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https://nznorthernbaysmotors.sharepoint.com/sites/Financial/Shared Documents/Peter Correspondence/Weekly dashboard projects/"/>
    </mc:Choice>
  </mc:AlternateContent>
  <xr:revisionPtr revIDLastSave="4319" documentId="8_{FBD89A58-289A-47A5-84ED-90B20B4A9A9B}" xr6:coauthVersionLast="47" xr6:coauthVersionMax="47" xr10:uidLastSave="{092D41F7-9ACC-4C73-803D-223134A17478}"/>
  <bookViews>
    <workbookView xWindow="28680" yWindow="-120" windowWidth="29040" windowHeight="15720" firstSheet="2" activeTab="3" xr2:uid="{23D34F47-3F82-4529-9559-1C4B70C136E8}"/>
  </bookViews>
  <sheets>
    <sheet name="FY 2024" sheetId="14" state="hidden" r:id="rId1"/>
    <sheet name="FY 2023" sheetId="13" state="hidden" r:id="rId2"/>
    <sheet name="Assumption" sheetId="87" r:id="rId3"/>
    <sheet name="Overall " sheetId="85" r:id="rId4"/>
    <sheet name="Overall - Toyota" sheetId="69" r:id="rId5"/>
    <sheet name="Overall - lexus" sheetId="73" r:id="rId6"/>
    <sheet name="FEF Incentive Forecast FY2025" sheetId="67" r:id="rId7"/>
    <sheet name="Commission OLD vs NEW" sheetId="74" state="hidden" r:id="rId8"/>
    <sheet name="New Vehicles - Group" sheetId="1" r:id="rId9"/>
    <sheet name="New Vehicles - NS" sheetId="24" r:id="rId10"/>
    <sheet name="New Vehicles - NW" sheetId="25" r:id="rId11"/>
    <sheet name="Used Vehicles - Group" sheetId="4" r:id="rId12"/>
    <sheet name="Used Vehicles - NS 5" sheetId="8" r:id="rId13"/>
    <sheet name="Used Vehicles - NS 6" sheetId="71" state="hidden" r:id="rId14"/>
    <sheet name="Used Vehicles - NW" sheetId="9" r:id="rId15"/>
    <sheet name="F&amp;I" sheetId="5" r:id="rId16"/>
    <sheet name="F&amp;I - NS " sheetId="26" r:id="rId17"/>
    <sheet name="F&amp;I - NW" sheetId="27" r:id="rId18"/>
    <sheet name="Parts - Group " sheetId="80" r:id="rId19"/>
    <sheet name="Parts - 130" sheetId="75" r:id="rId20"/>
    <sheet name="Parts - 230" sheetId="77" r:id="rId21"/>
    <sheet name="Parts - 330" sheetId="78" r:id="rId22"/>
    <sheet name="Parts - 430" sheetId="79" r:id="rId23"/>
    <sheet name="Service - Group " sheetId="84" r:id="rId24"/>
    <sheet name="Service - 140 " sheetId="76" r:id="rId25"/>
    <sheet name="Service - 240" sheetId="82" r:id="rId26"/>
    <sheet name="Service - 340" sheetId="83" r:id="rId27"/>
    <sheet name="Service - 440" sheetId="81" r:id="rId28"/>
    <sheet name="Toyota - Admin" sheetId="6" r:id="rId29"/>
    <sheet name="LEF Incentive Forecast FY2025" sheetId="68" r:id="rId30"/>
    <sheet name="LEX - New Vehicles" sheetId="37" r:id="rId31"/>
    <sheet name="LEX - Used Vehicles" sheetId="38" r:id="rId32"/>
    <sheet name="LEX - F&amp;I" sheetId="39" r:id="rId33"/>
    <sheet name="LEX - Parts" sheetId="40" r:id="rId34"/>
    <sheet name="LEX - Service" sheetId="41" r:id="rId35"/>
    <sheet name="Bridgestone Group" sheetId="43" r:id="rId36"/>
    <sheet name="Bridgestone 935" sheetId="44" r:id="rId37"/>
    <sheet name="Bridgestone 936" sheetId="45" r:id="rId38"/>
    <sheet name="Retail Detailing" sheetId="42" r:id="rId39"/>
    <sheet name="Other - Admin" sheetId="46" r:id="rId40"/>
    <sheet name="Working date cal" sheetId="86" state="hidden" r:id="rId41"/>
  </sheets>
  <externalReferences>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s>
  <definedNames>
    <definedName name="_xlnm._FilterDatabase" localSheetId="1" hidden="1">'FY 2023'!$A$9:$O$221</definedName>
    <definedName name="_xlnm._FilterDatabase" localSheetId="0" hidden="1">'FY 2024'!$A$9:$P$203</definedName>
    <definedName name="_xlnm._FilterDatabase" localSheetId="21" hidden="1">'Parts - 330'!#REF!</definedName>
    <definedName name="_xlnm._FilterDatabase" localSheetId="26" hidden="1">'Service - 340'!#REF!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xlnp="http://schemas.microsoft.com/office/spreadsheetml/2019/extlinksprops" uri="{FCE6A71B-6B00-49CD-AB44-F6B1AE7CDE65}">
      <xxlnp:externalLinksPr autoRefresh="1"/>
    </ext>
  </extLst>
</workbook>
</file>

<file path=xl/calcChain.xml><?xml version="1.0" encoding="utf-8"?>
<calcChain xmlns="http://schemas.openxmlformats.org/spreadsheetml/2006/main">
  <c r="P4" i="46" l="1"/>
  <c r="P11" i="42"/>
  <c r="P12" i="42"/>
  <c r="P7" i="42"/>
  <c r="P6" i="42"/>
  <c r="P4" i="42"/>
  <c r="P10" i="45"/>
  <c r="P7" i="45"/>
  <c r="P6" i="45"/>
  <c r="P4" i="45"/>
  <c r="P10" i="44"/>
  <c r="P7" i="44"/>
  <c r="P6" i="44"/>
  <c r="P4" i="44"/>
  <c r="P16" i="41"/>
  <c r="P14" i="41"/>
  <c r="P10" i="41"/>
  <c r="P9" i="41"/>
  <c r="P8" i="41"/>
  <c r="P6" i="41"/>
  <c r="P4" i="41"/>
  <c r="P8" i="40"/>
  <c r="P6" i="40"/>
  <c r="P10" i="40" s="1"/>
  <c r="P5" i="40"/>
  <c r="P4" i="40"/>
  <c r="P9" i="39"/>
  <c r="P8" i="39"/>
  <c r="P7" i="39"/>
  <c r="P12" i="38"/>
  <c r="P11" i="38"/>
  <c r="P10" i="38"/>
  <c r="P8" i="38"/>
  <c r="P4" i="38"/>
  <c r="P5" i="42" l="1"/>
  <c r="P6" i="39"/>
  <c r="F26" i="1" l="1"/>
  <c r="G26" i="1"/>
  <c r="H26" i="1"/>
  <c r="I26" i="1"/>
  <c r="J26" i="1"/>
  <c r="K26" i="1"/>
  <c r="L26" i="1"/>
  <c r="M26" i="1"/>
  <c r="N26" i="1"/>
  <c r="O26" i="1"/>
  <c r="P26" i="1"/>
  <c r="E26" i="1"/>
  <c r="E25" i="1"/>
  <c r="E30" i="4"/>
  <c r="H2" i="86" l="1"/>
  <c r="N3" i="86" s="1"/>
  <c r="I2" i="86"/>
  <c r="H3" i="86" s="1"/>
  <c r="J2" i="86"/>
  <c r="I3" i="86" s="1"/>
  <c r="K2" i="86"/>
  <c r="J3" i="86" s="1"/>
  <c r="L2" i="86"/>
  <c r="K3" i="86" s="1"/>
  <c r="M2" i="86"/>
  <c r="L3" i="86" s="1"/>
  <c r="N2" i="86"/>
  <c r="O2" i="86"/>
  <c r="P2" i="86"/>
  <c r="Q2" i="86"/>
  <c r="R2" i="86"/>
  <c r="S2" i="86"/>
  <c r="M3" i="86"/>
  <c r="E53" i="76"/>
  <c r="R53" i="76" s="1"/>
  <c r="F53" i="76"/>
  <c r="G53" i="76"/>
  <c r="H53" i="76"/>
  <c r="I53" i="76"/>
  <c r="J53" i="76"/>
  <c r="K53" i="76"/>
  <c r="L53" i="76"/>
  <c r="M53" i="76"/>
  <c r="N53" i="76"/>
  <c r="O53" i="76"/>
  <c r="P53" i="76"/>
  <c r="S3" i="86" l="1"/>
  <c r="R3" i="86"/>
  <c r="U3" i="86" s="1"/>
  <c r="Q3" i="86"/>
  <c r="P3" i="86"/>
  <c r="O3" i="86"/>
  <c r="G37" i="68" l="1"/>
  <c r="F33" i="9" l="1"/>
  <c r="G33" i="9"/>
  <c r="H33" i="9"/>
  <c r="I33" i="9"/>
  <c r="J33" i="9"/>
  <c r="K33" i="9"/>
  <c r="L33" i="9"/>
  <c r="M33" i="9"/>
  <c r="N33" i="9"/>
  <c r="O33" i="9"/>
  <c r="P33" i="9"/>
  <c r="E33" i="9"/>
  <c r="F33" i="8"/>
  <c r="G33" i="8"/>
  <c r="H33" i="8"/>
  <c r="I33" i="8"/>
  <c r="J33" i="8"/>
  <c r="K33" i="8"/>
  <c r="L33" i="8"/>
  <c r="M33" i="8"/>
  <c r="N33" i="8"/>
  <c r="O33" i="8"/>
  <c r="P33" i="8"/>
  <c r="E33" i="8"/>
  <c r="A43" i="67" l="1"/>
  <c r="A42" i="67"/>
  <c r="A41" i="67"/>
  <c r="A40" i="67"/>
  <c r="AL97" i="85"/>
  <c r="F71" i="9" l="1"/>
  <c r="F72" i="9" s="1"/>
  <c r="G71" i="9"/>
  <c r="G72" i="9" s="1"/>
  <c r="H71" i="9"/>
  <c r="I71" i="9"/>
  <c r="I72" i="9" s="1"/>
  <c r="J71" i="9"/>
  <c r="K71" i="9"/>
  <c r="L71" i="9"/>
  <c r="L72" i="9" s="1"/>
  <c r="M71" i="9"/>
  <c r="N71" i="9"/>
  <c r="N72" i="9" s="1"/>
  <c r="O71" i="9"/>
  <c r="P71" i="9"/>
  <c r="E71" i="9"/>
  <c r="E72" i="9" s="1"/>
  <c r="F71" i="8"/>
  <c r="G71" i="8"/>
  <c r="G72" i="8" s="1"/>
  <c r="H71" i="8"/>
  <c r="I71" i="8"/>
  <c r="J71" i="8"/>
  <c r="K71" i="8"/>
  <c r="L71" i="8"/>
  <c r="M71" i="8"/>
  <c r="N71" i="8"/>
  <c r="O71" i="8"/>
  <c r="O72" i="8" s="1"/>
  <c r="P71" i="8"/>
  <c r="E71" i="8"/>
  <c r="AL94" i="85"/>
  <c r="G75" i="84"/>
  <c r="F25" i="25"/>
  <c r="G25" i="25"/>
  <c r="H25" i="25"/>
  <c r="I25" i="25"/>
  <c r="J25" i="25"/>
  <c r="K25" i="25"/>
  <c r="L25" i="25"/>
  <c r="M25" i="25"/>
  <c r="N25" i="25"/>
  <c r="O25" i="25"/>
  <c r="P25" i="25"/>
  <c r="E25" i="25"/>
  <c r="P25" i="1"/>
  <c r="M25" i="1"/>
  <c r="N25" i="1" s="1"/>
  <c r="O25" i="1" s="1"/>
  <c r="L25" i="1"/>
  <c r="K25" i="1"/>
  <c r="H25" i="1"/>
  <c r="I25" i="1" s="1"/>
  <c r="J25" i="1" s="1"/>
  <c r="F25" i="1"/>
  <c r="G25" i="1" s="1"/>
  <c r="K72" i="9"/>
  <c r="J72" i="9"/>
  <c r="L72" i="8"/>
  <c r="AL95" i="85"/>
  <c r="M72" i="9"/>
  <c r="P72" i="9"/>
  <c r="O72" i="9"/>
  <c r="H72" i="9"/>
  <c r="F72" i="8"/>
  <c r="H72" i="8"/>
  <c r="I72" i="8"/>
  <c r="J72" i="8"/>
  <c r="K72" i="8"/>
  <c r="M72" i="8"/>
  <c r="N72" i="8"/>
  <c r="P72" i="8"/>
  <c r="E38" i="8"/>
  <c r="F29" i="44" l="1"/>
  <c r="G29" i="44"/>
  <c r="H29" i="44"/>
  <c r="I29" i="44"/>
  <c r="J29" i="44"/>
  <c r="K29" i="44"/>
  <c r="L29" i="44"/>
  <c r="M29" i="44"/>
  <c r="N29" i="44"/>
  <c r="O29" i="44"/>
  <c r="P29" i="44"/>
  <c r="E29" i="44"/>
  <c r="P46" i="41"/>
  <c r="J8" i="40"/>
  <c r="E29" i="24" l="1"/>
  <c r="M7" i="26" l="1"/>
  <c r="J7" i="26" l="1"/>
  <c r="G7" i="26" l="1"/>
  <c r="O13" i="79" l="1"/>
  <c r="E16" i="24"/>
  <c r="B27" i="40" l="1"/>
  <c r="F20" i="42" l="1"/>
  <c r="G20" i="42"/>
  <c r="H20" i="42"/>
  <c r="I20" i="42"/>
  <c r="J20" i="42"/>
  <c r="K20" i="42"/>
  <c r="L20" i="42"/>
  <c r="M20" i="42"/>
  <c r="N20" i="42"/>
  <c r="O20" i="42"/>
  <c r="P20" i="42"/>
  <c r="E20" i="42"/>
  <c r="R18" i="44"/>
  <c r="R18" i="45"/>
  <c r="AL87" i="85" l="1"/>
  <c r="AL86" i="85"/>
  <c r="P55" i="85"/>
  <c r="O55" i="85"/>
  <c r="N55" i="85"/>
  <c r="M55" i="85"/>
  <c r="L55" i="85"/>
  <c r="K55" i="85"/>
  <c r="J55" i="85"/>
  <c r="I55" i="85"/>
  <c r="H55" i="85"/>
  <c r="G55" i="85"/>
  <c r="F55" i="85"/>
  <c r="E55" i="85"/>
  <c r="D55" i="85"/>
  <c r="C55" i="85"/>
  <c r="B55" i="85"/>
  <c r="AN33" i="85"/>
  <c r="U33" i="85"/>
  <c r="AI27" i="85"/>
  <c r="AH27" i="85"/>
  <c r="AF27" i="85"/>
  <c r="AE27" i="85"/>
  <c r="AC27" i="85"/>
  <c r="AB27" i="85"/>
  <c r="Z27" i="85"/>
  <c r="Y27" i="85"/>
  <c r="AI26" i="85"/>
  <c r="AH26" i="85"/>
  <c r="AF26" i="85"/>
  <c r="AE26" i="85"/>
  <c r="AC26" i="85"/>
  <c r="AB26" i="85"/>
  <c r="Z26" i="85"/>
  <c r="Y26" i="85"/>
  <c r="AN9" i="85"/>
  <c r="U9" i="85"/>
  <c r="K50" i="84"/>
  <c r="J50" i="84"/>
  <c r="J51" i="84" s="1"/>
  <c r="I50" i="84"/>
  <c r="I51" i="84" s="1"/>
  <c r="H50" i="84"/>
  <c r="H51" i="84" s="1"/>
  <c r="G50" i="84"/>
  <c r="G51" i="84" s="1"/>
  <c r="F50" i="84"/>
  <c r="F49" i="84"/>
  <c r="J47" i="84"/>
  <c r="I47" i="84"/>
  <c r="H47" i="84"/>
  <c r="G47" i="84"/>
  <c r="F47" i="84"/>
  <c r="J45" i="84"/>
  <c r="I45" i="84"/>
  <c r="H45" i="84"/>
  <c r="G45" i="84"/>
  <c r="F45" i="84"/>
  <c r="J43" i="84"/>
  <c r="I43" i="84"/>
  <c r="H43" i="84"/>
  <c r="G43" i="84"/>
  <c r="F43" i="84"/>
  <c r="O16" i="83"/>
  <c r="N16" i="83"/>
  <c r="M16" i="83"/>
  <c r="L16" i="83"/>
  <c r="K16" i="83"/>
  <c r="J16" i="83"/>
  <c r="I16" i="83"/>
  <c r="H16" i="83"/>
  <c r="G16" i="83"/>
  <c r="F16" i="83"/>
  <c r="E16" i="83"/>
  <c r="D16" i="83"/>
  <c r="C16" i="83"/>
  <c r="B16" i="83"/>
  <c r="O10" i="83"/>
  <c r="C30" i="83" s="1"/>
  <c r="N10" i="83"/>
  <c r="B30" i="83" s="1"/>
  <c r="M10" i="83"/>
  <c r="L10" i="83"/>
  <c r="K10" i="83"/>
  <c r="J10" i="83"/>
  <c r="I10" i="83"/>
  <c r="H10" i="83"/>
  <c r="G10" i="83"/>
  <c r="F10" i="83"/>
  <c r="E10" i="83"/>
  <c r="D10" i="83"/>
  <c r="C10" i="83"/>
  <c r="B10" i="83"/>
  <c r="O8" i="83"/>
  <c r="C28" i="83" s="1"/>
  <c r="N8" i="83"/>
  <c r="B28" i="83" s="1"/>
  <c r="M8" i="83"/>
  <c r="L8" i="83"/>
  <c r="K8" i="83"/>
  <c r="J8" i="83"/>
  <c r="I8" i="83"/>
  <c r="H8" i="83"/>
  <c r="G8" i="83"/>
  <c r="F8" i="83"/>
  <c r="E8" i="83"/>
  <c r="D8" i="83"/>
  <c r="C8" i="83"/>
  <c r="B8" i="83"/>
  <c r="M7" i="83"/>
  <c r="N7" i="83" s="1"/>
  <c r="B27" i="83" s="1"/>
  <c r="L7" i="83"/>
  <c r="K7" i="83"/>
  <c r="J7" i="83"/>
  <c r="I7" i="83"/>
  <c r="H7" i="83"/>
  <c r="G7" i="83"/>
  <c r="F7" i="83"/>
  <c r="E7" i="83"/>
  <c r="D7" i="83"/>
  <c r="C7" i="83"/>
  <c r="B7" i="83"/>
  <c r="O6" i="83"/>
  <c r="N6" i="83"/>
  <c r="B26" i="83" s="1"/>
  <c r="M6" i="83"/>
  <c r="L6" i="83"/>
  <c r="K6" i="83"/>
  <c r="J6" i="83"/>
  <c r="I6" i="83"/>
  <c r="H6" i="83"/>
  <c r="G6" i="83"/>
  <c r="F6" i="83"/>
  <c r="E6" i="83"/>
  <c r="D6" i="83"/>
  <c r="C6" i="83"/>
  <c r="B6" i="83"/>
  <c r="O4" i="83"/>
  <c r="C24" i="83" s="1"/>
  <c r="N4" i="83"/>
  <c r="B24" i="83" s="1"/>
  <c r="M4" i="83"/>
  <c r="L4" i="83"/>
  <c r="K4" i="83"/>
  <c r="J4" i="83"/>
  <c r="I4" i="83"/>
  <c r="H4" i="83"/>
  <c r="G4" i="83"/>
  <c r="F4" i="83"/>
  <c r="E4" i="83"/>
  <c r="D4" i="83"/>
  <c r="C4" i="83"/>
  <c r="B4" i="83"/>
  <c r="R27" i="82"/>
  <c r="O16" i="82"/>
  <c r="C36" i="82" s="1"/>
  <c r="N16" i="82"/>
  <c r="B36" i="82" s="1"/>
  <c r="M16" i="82"/>
  <c r="L16" i="82"/>
  <c r="K16" i="82"/>
  <c r="J16" i="82"/>
  <c r="I16" i="82"/>
  <c r="H16" i="82"/>
  <c r="G16" i="82"/>
  <c r="F16" i="82"/>
  <c r="E16" i="82"/>
  <c r="D16" i="82"/>
  <c r="C16" i="82"/>
  <c r="B16" i="82"/>
  <c r="O10" i="82"/>
  <c r="C30" i="82" s="1"/>
  <c r="N10" i="82"/>
  <c r="B30" i="82" s="1"/>
  <c r="M10" i="82"/>
  <c r="L10" i="82"/>
  <c r="K10" i="82"/>
  <c r="J10" i="82"/>
  <c r="I10" i="82"/>
  <c r="H10" i="82"/>
  <c r="G10" i="82"/>
  <c r="F10" i="82"/>
  <c r="E10" i="82"/>
  <c r="D10" i="82"/>
  <c r="C10" i="82"/>
  <c r="B10" i="82"/>
  <c r="O8" i="82"/>
  <c r="C28" i="82" s="1"/>
  <c r="N8" i="82"/>
  <c r="B28" i="82" s="1"/>
  <c r="M8" i="82"/>
  <c r="L8" i="82"/>
  <c r="K8" i="82"/>
  <c r="J8" i="82"/>
  <c r="I8" i="82"/>
  <c r="H8" i="82"/>
  <c r="G8" i="82"/>
  <c r="F8" i="82"/>
  <c r="E8" i="82"/>
  <c r="D8" i="82"/>
  <c r="C8" i="82"/>
  <c r="B8" i="82"/>
  <c r="O7" i="82"/>
  <c r="C27" i="82" s="1"/>
  <c r="N7" i="82"/>
  <c r="B27" i="82" s="1"/>
  <c r="M7" i="82"/>
  <c r="L7" i="82"/>
  <c r="K7" i="82"/>
  <c r="J7" i="82"/>
  <c r="I7" i="82"/>
  <c r="H7" i="82"/>
  <c r="G7" i="82"/>
  <c r="F7" i="82"/>
  <c r="E7" i="82"/>
  <c r="D7" i="82"/>
  <c r="C7" i="82"/>
  <c r="B7" i="82"/>
  <c r="O6" i="82"/>
  <c r="C26" i="82" s="1"/>
  <c r="N6" i="82"/>
  <c r="M6" i="82"/>
  <c r="L6" i="82"/>
  <c r="K6" i="82"/>
  <c r="J6" i="82"/>
  <c r="I6" i="82"/>
  <c r="H6" i="82"/>
  <c r="G6" i="82"/>
  <c r="F6" i="82"/>
  <c r="E6" i="82"/>
  <c r="D6" i="82"/>
  <c r="C6" i="82"/>
  <c r="B6" i="82"/>
  <c r="O4" i="82"/>
  <c r="N4" i="82"/>
  <c r="M4" i="82"/>
  <c r="L4" i="82"/>
  <c r="K4" i="82"/>
  <c r="J4" i="82"/>
  <c r="I4" i="82"/>
  <c r="H4" i="82"/>
  <c r="G4" i="82"/>
  <c r="F4" i="82"/>
  <c r="E4" i="82"/>
  <c r="D4" i="82"/>
  <c r="C4" i="82"/>
  <c r="B4" i="82"/>
  <c r="T15" i="83" l="1"/>
  <c r="T15" i="82"/>
  <c r="T7" i="82"/>
  <c r="D14" i="83"/>
  <c r="D12" i="83" s="1"/>
  <c r="L17" i="83"/>
  <c r="L18" i="83" s="1"/>
  <c r="I17" i="82"/>
  <c r="I18" i="82" s="1"/>
  <c r="M14" i="82"/>
  <c r="G5" i="83"/>
  <c r="O17" i="83"/>
  <c r="C37" i="83" s="1"/>
  <c r="N14" i="82"/>
  <c r="N17" i="82"/>
  <c r="B37" i="82" s="1"/>
  <c r="B38" i="82" s="1"/>
  <c r="B11" i="83"/>
  <c r="F11" i="83"/>
  <c r="K5" i="83"/>
  <c r="F14" i="83"/>
  <c r="E5" i="83"/>
  <c r="N14" i="83"/>
  <c r="K17" i="82"/>
  <c r="K18" i="82" s="1"/>
  <c r="B11" i="82"/>
  <c r="H17" i="83"/>
  <c r="H18" i="83" s="1"/>
  <c r="N17" i="83"/>
  <c r="B37" i="83" s="1"/>
  <c r="L17" i="82"/>
  <c r="L18" i="82" s="1"/>
  <c r="E14" i="82"/>
  <c r="E46" i="82" s="1"/>
  <c r="C17" i="82"/>
  <c r="C18" i="82" s="1"/>
  <c r="H14" i="83"/>
  <c r="D17" i="83"/>
  <c r="D18" i="83" s="1"/>
  <c r="D14" i="82"/>
  <c r="D12" i="82" s="1"/>
  <c r="K5" i="82"/>
  <c r="M17" i="82"/>
  <c r="M18" i="82" s="1"/>
  <c r="B5" i="83"/>
  <c r="G11" i="82"/>
  <c r="D17" i="82"/>
  <c r="D18" i="82" s="1"/>
  <c r="I11" i="83"/>
  <c r="J11" i="83"/>
  <c r="J11" i="82"/>
  <c r="F17" i="82"/>
  <c r="F18" i="82" s="1"/>
  <c r="L14" i="82"/>
  <c r="M5" i="83"/>
  <c r="L11" i="83"/>
  <c r="K17" i="83"/>
  <c r="K18" i="83" s="1"/>
  <c r="C17" i="83"/>
  <c r="C18" i="83" s="1"/>
  <c r="C5" i="83"/>
  <c r="E17" i="82"/>
  <c r="E18" i="82" s="1"/>
  <c r="F17" i="83"/>
  <c r="F18" i="83" s="1"/>
  <c r="I14" i="83"/>
  <c r="F14" i="82"/>
  <c r="G17" i="82"/>
  <c r="G18" i="82" s="1"/>
  <c r="H11" i="82"/>
  <c r="B17" i="82"/>
  <c r="B18" i="82" s="1"/>
  <c r="J17" i="82"/>
  <c r="J18" i="82" s="1"/>
  <c r="M17" i="83"/>
  <c r="M18" i="83" s="1"/>
  <c r="O7" i="83"/>
  <c r="P7" i="83" s="1"/>
  <c r="D27" i="83" s="1"/>
  <c r="E27" i="83" s="1"/>
  <c r="F27" i="83" s="1"/>
  <c r="H17" i="82"/>
  <c r="H18" i="82" s="1"/>
  <c r="B14" i="82"/>
  <c r="B12" i="82" s="1"/>
  <c r="J14" i="82"/>
  <c r="K11" i="83"/>
  <c r="D5" i="83"/>
  <c r="G17" i="83"/>
  <c r="G18" i="83" s="1"/>
  <c r="N11" i="83"/>
  <c r="B31" i="83" s="1"/>
  <c r="O5" i="83"/>
  <c r="C25" i="83" s="1"/>
  <c r="O17" i="82"/>
  <c r="C37" i="82" s="1"/>
  <c r="C38" i="82" s="1"/>
  <c r="O11" i="82"/>
  <c r="C31" i="82" s="1"/>
  <c r="F51" i="84"/>
  <c r="I17" i="83"/>
  <c r="I18" i="83" s="1"/>
  <c r="J14" i="83"/>
  <c r="B17" i="83"/>
  <c r="B18" i="83" s="1"/>
  <c r="E14" i="83"/>
  <c r="E11" i="83"/>
  <c r="M14" i="83"/>
  <c r="M11" i="83"/>
  <c r="L14" i="83"/>
  <c r="L46" i="83" s="1"/>
  <c r="B36" i="83"/>
  <c r="C36" i="83"/>
  <c r="J17" i="83"/>
  <c r="J18" i="83" s="1"/>
  <c r="J5" i="83"/>
  <c r="B14" i="83"/>
  <c r="C26" i="83"/>
  <c r="C11" i="83"/>
  <c r="G14" i="83"/>
  <c r="G11" i="83"/>
  <c r="O14" i="83"/>
  <c r="O46" i="83" s="1"/>
  <c r="C14" i="83"/>
  <c r="C12" i="83" s="1"/>
  <c r="E17" i="83"/>
  <c r="D11" i="83"/>
  <c r="K14" i="83"/>
  <c r="K46" i="83" s="1"/>
  <c r="L5" i="83"/>
  <c r="F5" i="83"/>
  <c r="N5" i="83"/>
  <c r="B25" i="83" s="1"/>
  <c r="H5" i="83"/>
  <c r="I5" i="83"/>
  <c r="H11" i="83"/>
  <c r="C5" i="82"/>
  <c r="G14" i="82"/>
  <c r="C14" i="82"/>
  <c r="C12" i="82" s="1"/>
  <c r="C11" i="82"/>
  <c r="K14" i="82"/>
  <c r="K11" i="82"/>
  <c r="G5" i="82"/>
  <c r="H14" i="82"/>
  <c r="H46" i="82" s="1"/>
  <c r="O5" i="82"/>
  <c r="C25" i="82" s="1"/>
  <c r="C24" i="82"/>
  <c r="I14" i="82"/>
  <c r="I46" i="82" s="1"/>
  <c r="I11" i="82"/>
  <c r="H5" i="82"/>
  <c r="I5" i="82"/>
  <c r="O14" i="82"/>
  <c r="O46" i="82" s="1"/>
  <c r="B5" i="82"/>
  <c r="J5" i="82"/>
  <c r="B24" i="82"/>
  <c r="B26" i="82"/>
  <c r="D5" i="82"/>
  <c r="L5" i="82"/>
  <c r="M5" i="82"/>
  <c r="D11" i="82"/>
  <c r="L11" i="82"/>
  <c r="E5" i="82"/>
  <c r="F5" i="82"/>
  <c r="N5" i="82"/>
  <c r="B25" i="82" s="1"/>
  <c r="E11" i="82"/>
  <c r="M11" i="82"/>
  <c r="F11" i="82"/>
  <c r="N11" i="82"/>
  <c r="B31" i="82" s="1"/>
  <c r="B38" i="83" l="1"/>
  <c r="D15" i="83"/>
  <c r="D9" i="83" s="1"/>
  <c r="N15" i="82"/>
  <c r="B35" i="82" s="1"/>
  <c r="N46" i="82"/>
  <c r="G12" i="83"/>
  <c r="G46" i="83"/>
  <c r="I12" i="83"/>
  <c r="I46" i="83"/>
  <c r="L12" i="82"/>
  <c r="L46" i="82"/>
  <c r="N12" i="83"/>
  <c r="B32" i="83" s="1"/>
  <c r="N46" i="83"/>
  <c r="K12" i="82"/>
  <c r="K46" i="82"/>
  <c r="F12" i="83"/>
  <c r="F46" i="83"/>
  <c r="M12" i="82"/>
  <c r="M46" i="82"/>
  <c r="G12" i="82"/>
  <c r="G46" i="82"/>
  <c r="M12" i="83"/>
  <c r="M46" i="83"/>
  <c r="H12" i="83"/>
  <c r="H46" i="83"/>
  <c r="F12" i="82"/>
  <c r="F46" i="82"/>
  <c r="E15" i="83"/>
  <c r="E9" i="83" s="1"/>
  <c r="E46" i="83"/>
  <c r="T7" i="83"/>
  <c r="T17" i="83" s="1"/>
  <c r="U15" i="83"/>
  <c r="T14" i="83"/>
  <c r="T16" i="83" s="1"/>
  <c r="J46" i="83"/>
  <c r="J15" i="82"/>
  <c r="J9" i="82" s="1"/>
  <c r="J46" i="82"/>
  <c r="B34" i="83"/>
  <c r="E15" i="82"/>
  <c r="E9" i="82" s="1"/>
  <c r="T14" i="82"/>
  <c r="T16" i="82" s="1"/>
  <c r="U15" i="82"/>
  <c r="T17" i="82"/>
  <c r="C38" i="83"/>
  <c r="O18" i="83"/>
  <c r="N18" i="82"/>
  <c r="B34" i="82"/>
  <c r="N12" i="82"/>
  <c r="B32" i="82" s="1"/>
  <c r="N18" i="83"/>
  <c r="M15" i="82"/>
  <c r="M9" i="82" s="1"/>
  <c r="F15" i="83"/>
  <c r="F9" i="83" s="1"/>
  <c r="N15" i="83"/>
  <c r="B35" i="83" s="1"/>
  <c r="R7" i="83"/>
  <c r="O18" i="82"/>
  <c r="I15" i="83"/>
  <c r="I9" i="83" s="1"/>
  <c r="L15" i="82"/>
  <c r="L9" i="82" s="1"/>
  <c r="J12" i="82"/>
  <c r="E12" i="82"/>
  <c r="B15" i="82"/>
  <c r="B9" i="82" s="1"/>
  <c r="N9" i="82"/>
  <c r="B29" i="82" s="1"/>
  <c r="H15" i="83"/>
  <c r="H9" i="83" s="1"/>
  <c r="C27" i="83"/>
  <c r="M15" i="83"/>
  <c r="M9" i="83" s="1"/>
  <c r="O11" i="83"/>
  <c r="C31" i="83" s="1"/>
  <c r="D15" i="82"/>
  <c r="D9" i="82" s="1"/>
  <c r="F15" i="82"/>
  <c r="F9" i="82" s="1"/>
  <c r="G27" i="83"/>
  <c r="E18" i="83"/>
  <c r="B12" i="83"/>
  <c r="B15" i="83"/>
  <c r="J15" i="83"/>
  <c r="J12" i="83"/>
  <c r="G15" i="83"/>
  <c r="G9" i="83" s="1"/>
  <c r="O12" i="83"/>
  <c r="C32" i="83" s="1"/>
  <c r="C34" i="83"/>
  <c r="O15" i="83"/>
  <c r="K15" i="83"/>
  <c r="K9" i="83" s="1"/>
  <c r="K12" i="83"/>
  <c r="E12" i="83"/>
  <c r="C15" i="83"/>
  <c r="C9" i="83" s="1"/>
  <c r="L15" i="83"/>
  <c r="L9" i="83" s="1"/>
  <c r="L12" i="83"/>
  <c r="G15" i="82"/>
  <c r="G9" i="82" s="1"/>
  <c r="I15" i="82"/>
  <c r="I9" i="82" s="1"/>
  <c r="I12" i="82"/>
  <c r="C15" i="82"/>
  <c r="C9" i="82" s="1"/>
  <c r="C34" i="82"/>
  <c r="O15" i="82"/>
  <c r="O12" i="82"/>
  <c r="C32" i="82" s="1"/>
  <c r="K15" i="82"/>
  <c r="K9" i="82" s="1"/>
  <c r="H15" i="82"/>
  <c r="H9" i="82" s="1"/>
  <c r="H12" i="82"/>
  <c r="J9" i="83" l="1"/>
  <c r="U14" i="83"/>
  <c r="U16" i="83" s="1"/>
  <c r="U14" i="82"/>
  <c r="U16" i="82" s="1"/>
  <c r="N9" i="83"/>
  <c r="B29" i="83" s="1"/>
  <c r="H27" i="83"/>
  <c r="B9" i="83"/>
  <c r="O9" i="83"/>
  <c r="C29" i="83" s="1"/>
  <c r="C35" i="83"/>
  <c r="I28" i="83"/>
  <c r="P28" i="83"/>
  <c r="H28" i="83"/>
  <c r="O28" i="83"/>
  <c r="N28" i="83"/>
  <c r="F28" i="83"/>
  <c r="L28" i="83"/>
  <c r="K28" i="83"/>
  <c r="J28" i="83"/>
  <c r="G28" i="83"/>
  <c r="M28" i="83"/>
  <c r="E28" i="83"/>
  <c r="K28" i="82"/>
  <c r="J28" i="82"/>
  <c r="O28" i="82"/>
  <c r="I28" i="82"/>
  <c r="P28" i="82"/>
  <c r="H28" i="82"/>
  <c r="G28" i="82"/>
  <c r="N28" i="82"/>
  <c r="F28" i="82"/>
  <c r="M28" i="82"/>
  <c r="E28" i="82"/>
  <c r="L28" i="82"/>
  <c r="C35" i="82"/>
  <c r="O9" i="82"/>
  <c r="C29" i="82" s="1"/>
  <c r="I27" i="83" l="1"/>
  <c r="I29" i="83"/>
  <c r="G29" i="83"/>
  <c r="P29" i="83"/>
  <c r="H29" i="83"/>
  <c r="O29" i="83"/>
  <c r="N29" i="83"/>
  <c r="F29" i="83"/>
  <c r="L29" i="83"/>
  <c r="K29" i="83"/>
  <c r="M29" i="83"/>
  <c r="J29" i="83"/>
  <c r="E29" i="83"/>
  <c r="K29" i="82"/>
  <c r="J29" i="82"/>
  <c r="I29" i="82"/>
  <c r="G29" i="82"/>
  <c r="P29" i="82"/>
  <c r="H29" i="82"/>
  <c r="O29" i="82"/>
  <c r="N29" i="82"/>
  <c r="F29" i="82"/>
  <c r="M29" i="82"/>
  <c r="E29" i="82"/>
  <c r="L29" i="82"/>
  <c r="J27" i="83" l="1"/>
  <c r="K27" i="83" l="1"/>
  <c r="L27" i="83" l="1"/>
  <c r="M27" i="83" l="1"/>
  <c r="N16" i="81"/>
  <c r="B36" i="81" s="1"/>
  <c r="M16" i="81"/>
  <c r="L16" i="81"/>
  <c r="K16" i="81"/>
  <c r="J16" i="81"/>
  <c r="I16" i="81"/>
  <c r="H16" i="81"/>
  <c r="G16" i="81"/>
  <c r="F16" i="81"/>
  <c r="E16" i="81"/>
  <c r="D16" i="81"/>
  <c r="C16" i="81"/>
  <c r="B16" i="81"/>
  <c r="N10" i="81"/>
  <c r="B30" i="81" s="1"/>
  <c r="M10" i="81"/>
  <c r="L10" i="81"/>
  <c r="K10" i="81"/>
  <c r="J10" i="81"/>
  <c r="I10" i="81"/>
  <c r="H10" i="81"/>
  <c r="G10" i="81"/>
  <c r="F10" i="81"/>
  <c r="E10" i="81"/>
  <c r="D10" i="81"/>
  <c r="C10" i="81"/>
  <c r="B10" i="81"/>
  <c r="N8" i="81"/>
  <c r="B28" i="81" s="1"/>
  <c r="M8" i="81"/>
  <c r="L8" i="81"/>
  <c r="K8" i="81"/>
  <c r="J8" i="81"/>
  <c r="I8" i="81"/>
  <c r="H8" i="81"/>
  <c r="G8" i="81"/>
  <c r="F8" i="81"/>
  <c r="E8" i="81"/>
  <c r="D8" i="81"/>
  <c r="C8" i="81"/>
  <c r="B8" i="81"/>
  <c r="M7" i="81"/>
  <c r="N7" i="81" s="1"/>
  <c r="L7" i="81"/>
  <c r="K7" i="81"/>
  <c r="J7" i="81"/>
  <c r="I7" i="81"/>
  <c r="H7" i="81"/>
  <c r="G7" i="81"/>
  <c r="F7" i="81"/>
  <c r="E7" i="81"/>
  <c r="D7" i="81"/>
  <c r="C7" i="81"/>
  <c r="B7" i="81"/>
  <c r="N6" i="81"/>
  <c r="B26" i="81" s="1"/>
  <c r="M6" i="81"/>
  <c r="L6" i="81"/>
  <c r="K6" i="81"/>
  <c r="J6" i="81"/>
  <c r="I6" i="81"/>
  <c r="H6" i="81"/>
  <c r="G6" i="81"/>
  <c r="F6" i="81"/>
  <c r="E6" i="81"/>
  <c r="D6" i="81"/>
  <c r="C6" i="81"/>
  <c r="B6" i="81"/>
  <c r="N4" i="81"/>
  <c r="B24" i="81" s="1"/>
  <c r="M4" i="81"/>
  <c r="L4" i="81"/>
  <c r="K4" i="81"/>
  <c r="J4" i="81"/>
  <c r="I4" i="81"/>
  <c r="H4" i="81"/>
  <c r="G4" i="81"/>
  <c r="F4" i="81"/>
  <c r="E4" i="81"/>
  <c r="D4" i="81"/>
  <c r="C4" i="81"/>
  <c r="B4" i="81"/>
  <c r="B14" i="81" l="1"/>
  <c r="B12" i="81" s="1"/>
  <c r="L17" i="81"/>
  <c r="M17" i="81"/>
  <c r="M18" i="81" s="1"/>
  <c r="M11" i="81"/>
  <c r="K17" i="81"/>
  <c r="K18" i="81" s="1"/>
  <c r="B17" i="81"/>
  <c r="B18" i="81" s="1"/>
  <c r="I14" i="81"/>
  <c r="G17" i="81"/>
  <c r="G18" i="81" s="1"/>
  <c r="J14" i="81"/>
  <c r="H17" i="81"/>
  <c r="H18" i="81" s="1"/>
  <c r="I17" i="81"/>
  <c r="I18" i="81" s="1"/>
  <c r="L14" i="81"/>
  <c r="J17" i="81"/>
  <c r="J18" i="81" s="1"/>
  <c r="C11" i="81"/>
  <c r="K11" i="81"/>
  <c r="D11" i="81"/>
  <c r="N17" i="81"/>
  <c r="B37" i="81" s="1"/>
  <c r="B38" i="81" s="1"/>
  <c r="C17" i="81"/>
  <c r="C18" i="81" s="1"/>
  <c r="K14" i="81"/>
  <c r="D17" i="81"/>
  <c r="D18" i="81" s="1"/>
  <c r="E5" i="81"/>
  <c r="C14" i="81"/>
  <c r="C12" i="81" s="1"/>
  <c r="F5" i="81"/>
  <c r="E14" i="81"/>
  <c r="F14" i="81"/>
  <c r="F17" i="81"/>
  <c r="F18" i="81" s="1"/>
  <c r="G5" i="81"/>
  <c r="L11" i="81"/>
  <c r="D14" i="81"/>
  <c r="D15" i="81" s="1"/>
  <c r="N27" i="83"/>
  <c r="B27" i="81"/>
  <c r="N11" i="81"/>
  <c r="B31" i="81" s="1"/>
  <c r="O7" i="81"/>
  <c r="T7" i="81" s="1"/>
  <c r="E11" i="81"/>
  <c r="M14" i="81"/>
  <c r="M46" i="81" s="1"/>
  <c r="F11" i="81"/>
  <c r="N14" i="81"/>
  <c r="N46" i="81" s="1"/>
  <c r="E17" i="81"/>
  <c r="M5" i="81"/>
  <c r="N5" i="81"/>
  <c r="B25" i="81" s="1"/>
  <c r="G11" i="81"/>
  <c r="G14" i="81"/>
  <c r="L18" i="81"/>
  <c r="H5" i="81"/>
  <c r="I5" i="81"/>
  <c r="H11" i="81"/>
  <c r="H14" i="81"/>
  <c r="B5" i="81"/>
  <c r="J5" i="81"/>
  <c r="I11" i="81"/>
  <c r="C5" i="81"/>
  <c r="K5" i="81"/>
  <c r="B11" i="81"/>
  <c r="J11" i="81"/>
  <c r="D5" i="81"/>
  <c r="L5" i="81"/>
  <c r="B15" i="81" l="1"/>
  <c r="B9" i="81" s="1"/>
  <c r="E12" i="81"/>
  <c r="E46" i="81"/>
  <c r="G12" i="81"/>
  <c r="G46" i="81"/>
  <c r="K12" i="81"/>
  <c r="K46" i="81"/>
  <c r="H12" i="81"/>
  <c r="H46" i="81"/>
  <c r="I12" i="81"/>
  <c r="I46" i="81"/>
  <c r="L12" i="81"/>
  <c r="L46" i="81"/>
  <c r="F15" i="81"/>
  <c r="F9" i="81" s="1"/>
  <c r="F46" i="81"/>
  <c r="J12" i="81"/>
  <c r="J46" i="81"/>
  <c r="N18" i="81"/>
  <c r="J15" i="81"/>
  <c r="J9" i="81" s="1"/>
  <c r="I15" i="81"/>
  <c r="I9" i="81" s="1"/>
  <c r="L15" i="81"/>
  <c r="L9" i="81" s="1"/>
  <c r="E15" i="81"/>
  <c r="E9" i="81" s="1"/>
  <c r="C15" i="81"/>
  <c r="C9" i="81" s="1"/>
  <c r="D12" i="81"/>
  <c r="K15" i="81"/>
  <c r="K9" i="81" s="1"/>
  <c r="D9" i="81"/>
  <c r="F12" i="81"/>
  <c r="G15" i="81"/>
  <c r="G9" i="81" s="1"/>
  <c r="O27" i="83"/>
  <c r="E18" i="81"/>
  <c r="H15" i="81"/>
  <c r="H9" i="81" s="1"/>
  <c r="B34" i="81"/>
  <c r="N15" i="81"/>
  <c r="N12" i="81"/>
  <c r="B32" i="81" s="1"/>
  <c r="M15" i="81"/>
  <c r="M9" i="81" s="1"/>
  <c r="M12" i="81"/>
  <c r="C27" i="81"/>
  <c r="P7" i="81"/>
  <c r="P27" i="83" l="1"/>
  <c r="D27" i="81"/>
  <c r="E27" i="81" s="1"/>
  <c r="E27" i="84" s="1"/>
  <c r="R7" i="81"/>
  <c r="B35" i="81"/>
  <c r="N9" i="81"/>
  <c r="B29" i="81" s="1"/>
  <c r="R27" i="83" l="1"/>
  <c r="F27" i="81"/>
  <c r="G27" i="81" l="1"/>
  <c r="F27" i="84"/>
  <c r="H27" i="81" l="1"/>
  <c r="G27" i="84"/>
  <c r="O37" i="80"/>
  <c r="N37" i="80"/>
  <c r="L37" i="80"/>
  <c r="K37" i="80"/>
  <c r="I37" i="80"/>
  <c r="H37" i="80"/>
  <c r="F37" i="80"/>
  <c r="E37" i="80"/>
  <c r="E35" i="80"/>
  <c r="B31" i="80"/>
  <c r="P9" i="80"/>
  <c r="O9" i="80"/>
  <c r="N9" i="80"/>
  <c r="M9" i="80"/>
  <c r="L9" i="80"/>
  <c r="K9" i="80"/>
  <c r="J9" i="80"/>
  <c r="I9" i="80"/>
  <c r="H9" i="80"/>
  <c r="G9" i="80"/>
  <c r="F9" i="80"/>
  <c r="E9" i="80"/>
  <c r="M8" i="80"/>
  <c r="M18" i="80" s="1"/>
  <c r="L8" i="80"/>
  <c r="K8" i="80"/>
  <c r="J8" i="80"/>
  <c r="J18" i="80" s="1"/>
  <c r="I8" i="80"/>
  <c r="H8" i="80"/>
  <c r="G8" i="80"/>
  <c r="F8" i="80"/>
  <c r="E8" i="80"/>
  <c r="F55" i="80"/>
  <c r="K54" i="80"/>
  <c r="J54" i="80"/>
  <c r="J55" i="80" s="1"/>
  <c r="I54" i="80"/>
  <c r="I55" i="80" s="1"/>
  <c r="H54" i="80"/>
  <c r="H55" i="80" s="1"/>
  <c r="G54" i="80"/>
  <c r="G55" i="80" s="1"/>
  <c r="F54" i="80"/>
  <c r="F53" i="80"/>
  <c r="J51" i="80"/>
  <c r="I51" i="80"/>
  <c r="H51" i="80"/>
  <c r="G51" i="80"/>
  <c r="F51" i="80"/>
  <c r="J49" i="80"/>
  <c r="I49" i="80"/>
  <c r="H49" i="80"/>
  <c r="G49" i="80"/>
  <c r="F49" i="80"/>
  <c r="J47" i="80"/>
  <c r="I47" i="80"/>
  <c r="H47" i="80"/>
  <c r="G47" i="80"/>
  <c r="F47" i="80"/>
  <c r="B38" i="79"/>
  <c r="B37" i="79"/>
  <c r="F35" i="79"/>
  <c r="G35" i="79" s="1"/>
  <c r="H35" i="79" s="1"/>
  <c r="H35" i="80" s="1"/>
  <c r="B35" i="79"/>
  <c r="B33" i="79"/>
  <c r="B26" i="79"/>
  <c r="M18" i="79"/>
  <c r="L18" i="79"/>
  <c r="K18" i="79"/>
  <c r="J18" i="79"/>
  <c r="I18" i="79"/>
  <c r="H18" i="79"/>
  <c r="G18" i="79"/>
  <c r="F18" i="79"/>
  <c r="E18" i="79"/>
  <c r="N16" i="79"/>
  <c r="M16" i="79"/>
  <c r="L16" i="79"/>
  <c r="K16" i="79"/>
  <c r="J16" i="79"/>
  <c r="I16" i="79"/>
  <c r="H16" i="79"/>
  <c r="G16" i="79"/>
  <c r="F16" i="79"/>
  <c r="E16" i="79"/>
  <c r="D16" i="79"/>
  <c r="C16" i="79"/>
  <c r="B16" i="79"/>
  <c r="N15" i="79"/>
  <c r="M15" i="79"/>
  <c r="L15" i="79"/>
  <c r="K15" i="79"/>
  <c r="J15" i="79"/>
  <c r="I15" i="79"/>
  <c r="H15" i="79"/>
  <c r="G15" i="79"/>
  <c r="F15" i="79"/>
  <c r="E15" i="79"/>
  <c r="D15" i="79"/>
  <c r="C15" i="79"/>
  <c r="B15" i="79"/>
  <c r="N13" i="79"/>
  <c r="M13" i="79"/>
  <c r="L13" i="79"/>
  <c r="K13" i="79"/>
  <c r="J13" i="79"/>
  <c r="I13" i="79"/>
  <c r="H13" i="79"/>
  <c r="G13" i="79"/>
  <c r="F13" i="79"/>
  <c r="E13" i="79"/>
  <c r="D13" i="79"/>
  <c r="C13" i="79"/>
  <c r="B13" i="79"/>
  <c r="N11" i="79"/>
  <c r="M11" i="79"/>
  <c r="L11" i="79"/>
  <c r="K11" i="79"/>
  <c r="J11" i="79"/>
  <c r="I11" i="79"/>
  <c r="H11" i="79"/>
  <c r="G11" i="79"/>
  <c r="F11" i="79"/>
  <c r="E11" i="79"/>
  <c r="D11" i="79"/>
  <c r="C11" i="79"/>
  <c r="B11" i="79"/>
  <c r="N4" i="79"/>
  <c r="M4" i="79"/>
  <c r="L4" i="79"/>
  <c r="K4" i="79"/>
  <c r="J4" i="79"/>
  <c r="I4" i="79"/>
  <c r="H4" i="79"/>
  <c r="G4" i="79"/>
  <c r="F4" i="79"/>
  <c r="E4" i="79"/>
  <c r="D4" i="79"/>
  <c r="C4" i="79"/>
  <c r="B4" i="79"/>
  <c r="B38" i="78"/>
  <c r="B37" i="78"/>
  <c r="R35" i="78"/>
  <c r="B35" i="78"/>
  <c r="B33" i="78"/>
  <c r="B26" i="78"/>
  <c r="M18" i="78"/>
  <c r="L18" i="78"/>
  <c r="K18" i="78"/>
  <c r="J18" i="78"/>
  <c r="I18" i="78"/>
  <c r="H18" i="78"/>
  <c r="G18" i="78"/>
  <c r="F18" i="78"/>
  <c r="E18" i="78"/>
  <c r="N16" i="78"/>
  <c r="M16" i="78"/>
  <c r="L16" i="78"/>
  <c r="K16" i="78"/>
  <c r="J16" i="78"/>
  <c r="I16" i="78"/>
  <c r="H16" i="78"/>
  <c r="G16" i="78"/>
  <c r="F16" i="78"/>
  <c r="E16" i="78"/>
  <c r="D16" i="78"/>
  <c r="C16" i="78"/>
  <c r="B16" i="78"/>
  <c r="N15" i="78"/>
  <c r="M15" i="78"/>
  <c r="L15" i="78"/>
  <c r="K15" i="78"/>
  <c r="J15" i="78"/>
  <c r="I15" i="78"/>
  <c r="H15" i="78"/>
  <c r="G15" i="78"/>
  <c r="F15" i="78"/>
  <c r="E15" i="78"/>
  <c r="D15" i="78"/>
  <c r="C15" i="78"/>
  <c r="B15" i="78"/>
  <c r="N13" i="78"/>
  <c r="M13" i="78"/>
  <c r="L13" i="78"/>
  <c r="K13" i="78"/>
  <c r="J13" i="78"/>
  <c r="I13" i="78"/>
  <c r="H13" i="78"/>
  <c r="G13" i="78"/>
  <c r="F13" i="78"/>
  <c r="E13" i="78"/>
  <c r="D13" i="78"/>
  <c r="C13" i="78"/>
  <c r="B13" i="78"/>
  <c r="N11" i="78"/>
  <c r="M11" i="78"/>
  <c r="L11" i="78"/>
  <c r="K11" i="78"/>
  <c r="J11" i="78"/>
  <c r="I11" i="78"/>
  <c r="H11" i="78"/>
  <c r="G11" i="78"/>
  <c r="F11" i="78"/>
  <c r="E11" i="78"/>
  <c r="D11" i="78"/>
  <c r="C11" i="78"/>
  <c r="B11" i="78"/>
  <c r="N4" i="78"/>
  <c r="M4" i="78"/>
  <c r="L4" i="78"/>
  <c r="K4" i="78"/>
  <c r="J4" i="78"/>
  <c r="I4" i="78"/>
  <c r="H4" i="78"/>
  <c r="G4" i="78"/>
  <c r="F4" i="78"/>
  <c r="E4" i="78"/>
  <c r="D4" i="78"/>
  <c r="C4" i="78"/>
  <c r="B4" i="78"/>
  <c r="B38" i="77"/>
  <c r="B37" i="77"/>
  <c r="R35" i="77"/>
  <c r="B35" i="77"/>
  <c r="B33" i="77"/>
  <c r="B26" i="77"/>
  <c r="M18" i="77"/>
  <c r="L18" i="77"/>
  <c r="K18" i="77"/>
  <c r="J18" i="77"/>
  <c r="I18" i="77"/>
  <c r="H18" i="77"/>
  <c r="G18" i="77"/>
  <c r="F18" i="77"/>
  <c r="E18" i="77"/>
  <c r="N16" i="77"/>
  <c r="M16" i="77"/>
  <c r="L16" i="77"/>
  <c r="K16" i="77"/>
  <c r="J16" i="77"/>
  <c r="I16" i="77"/>
  <c r="H16" i="77"/>
  <c r="G16" i="77"/>
  <c r="F16" i="77"/>
  <c r="E16" i="77"/>
  <c r="D16" i="77"/>
  <c r="C16" i="77"/>
  <c r="B16" i="77"/>
  <c r="N15" i="77"/>
  <c r="M15" i="77"/>
  <c r="L15" i="77"/>
  <c r="K15" i="77"/>
  <c r="J15" i="77"/>
  <c r="I15" i="77"/>
  <c r="H15" i="77"/>
  <c r="G15" i="77"/>
  <c r="F15" i="77"/>
  <c r="E15" i="77"/>
  <c r="D15" i="77"/>
  <c r="C15" i="77"/>
  <c r="B15" i="77"/>
  <c r="N13" i="77"/>
  <c r="M13" i="77"/>
  <c r="L13" i="77"/>
  <c r="K13" i="77"/>
  <c r="J13" i="77"/>
  <c r="I13" i="77"/>
  <c r="H13" i="77"/>
  <c r="G13" i="77"/>
  <c r="F13" i="77"/>
  <c r="E13" i="77"/>
  <c r="D13" i="77"/>
  <c r="C13" i="77"/>
  <c r="B13" i="77"/>
  <c r="N11" i="77"/>
  <c r="M11" i="77"/>
  <c r="L11" i="77"/>
  <c r="K11" i="77"/>
  <c r="J11" i="77"/>
  <c r="I11" i="77"/>
  <c r="H11" i="77"/>
  <c r="G11" i="77"/>
  <c r="F11" i="77"/>
  <c r="E11" i="77"/>
  <c r="D11" i="77"/>
  <c r="C11" i="77"/>
  <c r="B11" i="77"/>
  <c r="N4" i="77"/>
  <c r="M4" i="77"/>
  <c r="L4" i="77"/>
  <c r="K4" i="77"/>
  <c r="J4" i="77"/>
  <c r="I4" i="77"/>
  <c r="H4" i="77"/>
  <c r="G4" i="77"/>
  <c r="F4" i="77"/>
  <c r="E4" i="77"/>
  <c r="D4" i="77"/>
  <c r="C4" i="77"/>
  <c r="B4" i="77"/>
  <c r="F10" i="79" l="1"/>
  <c r="G10" i="79"/>
  <c r="K10" i="78"/>
  <c r="H6" i="79"/>
  <c r="L6" i="78"/>
  <c r="I6" i="79"/>
  <c r="G10" i="77"/>
  <c r="F6" i="78"/>
  <c r="L10" i="79"/>
  <c r="L50" i="79"/>
  <c r="T13" i="79"/>
  <c r="F52" i="79"/>
  <c r="F50" i="79"/>
  <c r="N50" i="79"/>
  <c r="N52" i="79"/>
  <c r="F17" i="77"/>
  <c r="F52" i="77"/>
  <c r="F50" i="77"/>
  <c r="N52" i="77"/>
  <c r="N50" i="77"/>
  <c r="K52" i="78"/>
  <c r="K50" i="78"/>
  <c r="G52" i="79"/>
  <c r="G50" i="79"/>
  <c r="E52" i="77"/>
  <c r="E50" i="77"/>
  <c r="G17" i="77"/>
  <c r="G52" i="77"/>
  <c r="G50" i="77"/>
  <c r="L17" i="78"/>
  <c r="L52" i="78"/>
  <c r="L50" i="78"/>
  <c r="H52" i="77"/>
  <c r="H50" i="77"/>
  <c r="E52" i="78"/>
  <c r="E50" i="78"/>
  <c r="M17" i="78"/>
  <c r="M52" i="78"/>
  <c r="M50" i="78"/>
  <c r="I52" i="79"/>
  <c r="I50" i="79"/>
  <c r="I50" i="77"/>
  <c r="I52" i="77"/>
  <c r="F17" i="78"/>
  <c r="F52" i="78"/>
  <c r="F50" i="78"/>
  <c r="N52" i="78"/>
  <c r="N50" i="78"/>
  <c r="G50" i="78"/>
  <c r="G52" i="78"/>
  <c r="K17" i="79"/>
  <c r="K52" i="79"/>
  <c r="K50" i="79"/>
  <c r="M52" i="77"/>
  <c r="M50" i="77"/>
  <c r="H52" i="79"/>
  <c r="H50" i="79"/>
  <c r="K17" i="77"/>
  <c r="K50" i="77"/>
  <c r="K52" i="77"/>
  <c r="H17" i="78"/>
  <c r="H50" i="78"/>
  <c r="H52" i="78"/>
  <c r="L52" i="79"/>
  <c r="L17" i="77"/>
  <c r="L52" i="77"/>
  <c r="L50" i="77"/>
  <c r="I52" i="78"/>
  <c r="I50" i="78"/>
  <c r="E50" i="79"/>
  <c r="E52" i="79"/>
  <c r="M50" i="79"/>
  <c r="M52" i="79"/>
  <c r="T3" i="78"/>
  <c r="J17" i="78"/>
  <c r="J50" i="78"/>
  <c r="J52" i="78"/>
  <c r="T3" i="79"/>
  <c r="J17" i="79"/>
  <c r="J52" i="79"/>
  <c r="J50" i="79"/>
  <c r="J50" i="77"/>
  <c r="J52" i="77"/>
  <c r="L17" i="79"/>
  <c r="F35" i="80"/>
  <c r="G35" i="80"/>
  <c r="H18" i="80"/>
  <c r="L18" i="80"/>
  <c r="I17" i="77"/>
  <c r="J17" i="77"/>
  <c r="E18" i="80"/>
  <c r="E6" i="78"/>
  <c r="E10" i="79"/>
  <c r="I18" i="80"/>
  <c r="N19" i="79"/>
  <c r="N20" i="79" s="1"/>
  <c r="I12" i="77"/>
  <c r="H12" i="78"/>
  <c r="D12" i="79"/>
  <c r="C12" i="79"/>
  <c r="I12" i="78"/>
  <c r="B41" i="78"/>
  <c r="B42" i="78" s="1"/>
  <c r="B19" i="78"/>
  <c r="B20" i="78" s="1"/>
  <c r="J19" i="78"/>
  <c r="C5" i="78"/>
  <c r="G12" i="78"/>
  <c r="M19" i="79"/>
  <c r="M20" i="79" s="1"/>
  <c r="K12" i="77"/>
  <c r="H10" i="79"/>
  <c r="B12" i="79"/>
  <c r="J12" i="79"/>
  <c r="L5" i="79"/>
  <c r="H6" i="78"/>
  <c r="E5" i="77"/>
  <c r="M5" i="77"/>
  <c r="E12" i="77"/>
  <c r="I27" i="81"/>
  <c r="H27" i="84"/>
  <c r="C12" i="77"/>
  <c r="L19" i="79"/>
  <c r="L20" i="79" s="1"/>
  <c r="I5" i="78"/>
  <c r="I17" i="78"/>
  <c r="C5" i="79"/>
  <c r="K5" i="79"/>
  <c r="D5" i="79"/>
  <c r="M12" i="77"/>
  <c r="E5" i="79"/>
  <c r="F5" i="79"/>
  <c r="M19" i="78"/>
  <c r="M20" i="78" s="1"/>
  <c r="M6" i="78"/>
  <c r="G6" i="77"/>
  <c r="B5" i="78"/>
  <c r="K19" i="78"/>
  <c r="K20" i="78" s="1"/>
  <c r="B19" i="79"/>
  <c r="B20" i="79" s="1"/>
  <c r="J19" i="79"/>
  <c r="K6" i="77"/>
  <c r="K12" i="79"/>
  <c r="J6" i="79"/>
  <c r="M17" i="79"/>
  <c r="G18" i="80"/>
  <c r="F18" i="80"/>
  <c r="K18" i="80"/>
  <c r="N8" i="79"/>
  <c r="N18" i="79" s="1"/>
  <c r="N17" i="79" s="1"/>
  <c r="D19" i="79"/>
  <c r="D20" i="79" s="1"/>
  <c r="N5" i="79"/>
  <c r="F6" i="79"/>
  <c r="H12" i="79"/>
  <c r="L12" i="79"/>
  <c r="I12" i="79"/>
  <c r="I35" i="79"/>
  <c r="E17" i="79"/>
  <c r="G6" i="79"/>
  <c r="H17" i="79"/>
  <c r="H7" i="79" s="1"/>
  <c r="H5" i="79"/>
  <c r="G17" i="79"/>
  <c r="E6" i="79"/>
  <c r="E12" i="79"/>
  <c r="M6" i="79"/>
  <c r="M12" i="79"/>
  <c r="G5" i="79"/>
  <c r="I5" i="79"/>
  <c r="F12" i="79"/>
  <c r="N12" i="79"/>
  <c r="I17" i="79"/>
  <c r="I7" i="79" s="1"/>
  <c r="B41" i="79"/>
  <c r="B42" i="79" s="1"/>
  <c r="B34" i="79"/>
  <c r="B30" i="79"/>
  <c r="B40" i="79" s="1"/>
  <c r="B39" i="79" s="1"/>
  <c r="B27" i="79"/>
  <c r="G12" i="79"/>
  <c r="E19" i="79"/>
  <c r="C19" i="79"/>
  <c r="C20" i="79" s="1"/>
  <c r="H19" i="79"/>
  <c r="H20" i="79" s="1"/>
  <c r="M5" i="79"/>
  <c r="M10" i="79"/>
  <c r="F19" i="79"/>
  <c r="F20" i="79" s="1"/>
  <c r="G19" i="79"/>
  <c r="G20" i="79" s="1"/>
  <c r="K19" i="79"/>
  <c r="K20" i="79" s="1"/>
  <c r="F17" i="79"/>
  <c r="I10" i="79"/>
  <c r="K6" i="79"/>
  <c r="J10" i="79"/>
  <c r="I19" i="79"/>
  <c r="I20" i="79" s="1"/>
  <c r="B5" i="79"/>
  <c r="J5" i="79"/>
  <c r="L6" i="79"/>
  <c r="K10" i="79"/>
  <c r="E12" i="78"/>
  <c r="K5" i="78"/>
  <c r="N12" i="78"/>
  <c r="K17" i="78"/>
  <c r="D12" i="78"/>
  <c r="G6" i="78"/>
  <c r="G17" i="78"/>
  <c r="J5" i="78"/>
  <c r="F12" i="78"/>
  <c r="E5" i="78"/>
  <c r="C19" i="78"/>
  <c r="C20" i="78" s="1"/>
  <c r="D5" i="78"/>
  <c r="M5" i="78"/>
  <c r="N8" i="78"/>
  <c r="F5" i="78"/>
  <c r="N5" i="78"/>
  <c r="G10" i="78"/>
  <c r="B12" i="78"/>
  <c r="J12" i="78"/>
  <c r="F19" i="78"/>
  <c r="F20" i="78" s="1"/>
  <c r="N19" i="78"/>
  <c r="N20" i="78" s="1"/>
  <c r="L10" i="78"/>
  <c r="M10" i="78"/>
  <c r="D19" i="78"/>
  <c r="D20" i="78" s="1"/>
  <c r="G5" i="78"/>
  <c r="I6" i="78"/>
  <c r="H10" i="78"/>
  <c r="C12" i="78"/>
  <c r="K12" i="78"/>
  <c r="G19" i="78"/>
  <c r="G20" i="78" s="1"/>
  <c r="L5" i="78"/>
  <c r="E10" i="78"/>
  <c r="H5" i="78"/>
  <c r="J6" i="78"/>
  <c r="I10" i="78"/>
  <c r="L12" i="78"/>
  <c r="E17" i="78"/>
  <c r="H19" i="78"/>
  <c r="H20" i="78" s="1"/>
  <c r="B30" i="78"/>
  <c r="B40" i="78" s="1"/>
  <c r="B39" i="78" s="1"/>
  <c r="F10" i="78"/>
  <c r="E19" i="78"/>
  <c r="K6" i="78"/>
  <c r="J10" i="78"/>
  <c r="M12" i="78"/>
  <c r="I19" i="78"/>
  <c r="I20" i="78" s="1"/>
  <c r="L19" i="78"/>
  <c r="L20" i="78" s="1"/>
  <c r="B27" i="78"/>
  <c r="B34" i="78"/>
  <c r="G19" i="77"/>
  <c r="G20" i="77" s="1"/>
  <c r="F19" i="77"/>
  <c r="F20" i="77" s="1"/>
  <c r="N19" i="77"/>
  <c r="N20" i="77" s="1"/>
  <c r="I6" i="77"/>
  <c r="I19" i="77"/>
  <c r="I20" i="77" s="1"/>
  <c r="H17" i="77"/>
  <c r="G5" i="77"/>
  <c r="E19" i="77"/>
  <c r="E20" i="77" s="1"/>
  <c r="M19" i="77"/>
  <c r="M20" i="77" s="1"/>
  <c r="H6" i="77"/>
  <c r="H12" i="77"/>
  <c r="H19" i="77"/>
  <c r="H20" i="77" s="1"/>
  <c r="H5" i="77"/>
  <c r="J12" i="77"/>
  <c r="H10" i="77"/>
  <c r="B12" i="77"/>
  <c r="T3" i="77"/>
  <c r="J6" i="77"/>
  <c r="I10" i="77"/>
  <c r="D12" i="77"/>
  <c r="L12" i="77"/>
  <c r="E17" i="77"/>
  <c r="M17" i="77"/>
  <c r="B30" i="77"/>
  <c r="B40" i="77" s="1"/>
  <c r="B39" i="77" s="1"/>
  <c r="B5" i="77"/>
  <c r="J5" i="77"/>
  <c r="L6" i="77"/>
  <c r="K10" i="77"/>
  <c r="F12" i="77"/>
  <c r="N12" i="77"/>
  <c r="B19" i="77"/>
  <c r="B20" i="77" s="1"/>
  <c r="J19" i="77"/>
  <c r="B34" i="77"/>
  <c r="B41" i="77"/>
  <c r="B42" i="77" s="1"/>
  <c r="I5" i="77"/>
  <c r="C5" i="77"/>
  <c r="K5" i="77"/>
  <c r="E6" i="77"/>
  <c r="M6" i="77"/>
  <c r="L10" i="77"/>
  <c r="G12" i="77"/>
  <c r="C19" i="77"/>
  <c r="C20" i="77" s="1"/>
  <c r="K19" i="77"/>
  <c r="K20" i="77" s="1"/>
  <c r="D5" i="77"/>
  <c r="L5" i="77"/>
  <c r="F6" i="77"/>
  <c r="E10" i="77"/>
  <c r="M10" i="77"/>
  <c r="D19" i="77"/>
  <c r="D20" i="77" s="1"/>
  <c r="L19" i="77"/>
  <c r="L20" i="77" s="1"/>
  <c r="B27" i="77"/>
  <c r="F10" i="77"/>
  <c r="J10" i="77"/>
  <c r="F5" i="77"/>
  <c r="N5" i="77"/>
  <c r="L7" i="79" l="1"/>
  <c r="F7" i="78"/>
  <c r="L7" i="78"/>
  <c r="M7" i="78"/>
  <c r="J7" i="77"/>
  <c r="J7" i="78"/>
  <c r="K7" i="77"/>
  <c r="I7" i="77"/>
  <c r="F7" i="77"/>
  <c r="G7" i="78"/>
  <c r="H7" i="78"/>
  <c r="L7" i="77"/>
  <c r="K7" i="79"/>
  <c r="G7" i="77"/>
  <c r="J7" i="79"/>
  <c r="J20" i="78"/>
  <c r="J20" i="79"/>
  <c r="J20" i="77"/>
  <c r="J35" i="79"/>
  <c r="I35" i="80"/>
  <c r="N6" i="79"/>
  <c r="N7" i="79" s="1"/>
  <c r="B28" i="79"/>
  <c r="B29" i="79" s="1"/>
  <c r="M7" i="79"/>
  <c r="I7" i="78"/>
  <c r="H7" i="77"/>
  <c r="K7" i="78"/>
  <c r="J27" i="81"/>
  <c r="I27" i="84"/>
  <c r="F7" i="79"/>
  <c r="E20" i="79"/>
  <c r="G7" i="79"/>
  <c r="E7" i="79"/>
  <c r="K35" i="79"/>
  <c r="K35" i="80" s="1"/>
  <c r="B28" i="78"/>
  <c r="B29" i="78" s="1"/>
  <c r="E7" i="78"/>
  <c r="E20" i="78"/>
  <c r="N6" i="78"/>
  <c r="N18" i="78"/>
  <c r="E7" i="77"/>
  <c r="M7" i="77"/>
  <c r="B28" i="77"/>
  <c r="B29" i="77" s="1"/>
  <c r="J35" i="80" l="1"/>
  <c r="K27" i="81"/>
  <c r="J27" i="84"/>
  <c r="L35" i="79"/>
  <c r="N17" i="78"/>
  <c r="R27" i="76"/>
  <c r="N16" i="76"/>
  <c r="M16" i="76"/>
  <c r="M16" i="84" s="1"/>
  <c r="M55" i="84" s="1"/>
  <c r="L16" i="76"/>
  <c r="L16" i="84" s="1"/>
  <c r="L55" i="84" s="1"/>
  <c r="K16" i="76"/>
  <c r="K16" i="84" s="1"/>
  <c r="K55" i="84" s="1"/>
  <c r="J16" i="76"/>
  <c r="J16" i="84" s="1"/>
  <c r="J55" i="84" s="1"/>
  <c r="I16" i="76"/>
  <c r="I16" i="84" s="1"/>
  <c r="I55" i="84" s="1"/>
  <c r="H16" i="76"/>
  <c r="H16" i="84" s="1"/>
  <c r="H55" i="84" s="1"/>
  <c r="G16" i="76"/>
  <c r="G16" i="84" s="1"/>
  <c r="G55" i="84" s="1"/>
  <c r="F16" i="76"/>
  <c r="F16" i="84" s="1"/>
  <c r="F55" i="84" s="1"/>
  <c r="E16" i="76"/>
  <c r="E16" i="84" s="1"/>
  <c r="E55" i="84" s="1"/>
  <c r="D16" i="76"/>
  <c r="D16" i="84" s="1"/>
  <c r="D8" i="69" s="1"/>
  <c r="C16" i="76"/>
  <c r="C16" i="84" s="1"/>
  <c r="C8" i="69" s="1"/>
  <c r="B16" i="76"/>
  <c r="B16" i="84" s="1"/>
  <c r="B8" i="69" s="1"/>
  <c r="N10" i="76"/>
  <c r="B30" i="76" s="1"/>
  <c r="M10" i="76"/>
  <c r="L10" i="76"/>
  <c r="K10" i="76"/>
  <c r="J10" i="76"/>
  <c r="I10" i="76"/>
  <c r="H10" i="76"/>
  <c r="G10" i="76"/>
  <c r="F10" i="76"/>
  <c r="E10" i="76"/>
  <c r="D10" i="76"/>
  <c r="C10" i="76"/>
  <c r="B10" i="76"/>
  <c r="N8" i="76"/>
  <c r="B28" i="76" s="1"/>
  <c r="M8" i="76"/>
  <c r="L8" i="76"/>
  <c r="K8" i="76"/>
  <c r="J8" i="76"/>
  <c r="I8" i="76"/>
  <c r="H8" i="76"/>
  <c r="G8" i="76"/>
  <c r="F8" i="76"/>
  <c r="E8" i="76"/>
  <c r="D8" i="76"/>
  <c r="C8" i="76"/>
  <c r="B8" i="76"/>
  <c r="M7" i="76"/>
  <c r="L7" i="76"/>
  <c r="L7" i="84" s="1"/>
  <c r="K7" i="76"/>
  <c r="K7" i="84" s="1"/>
  <c r="J7" i="76"/>
  <c r="I7" i="76"/>
  <c r="I7" i="84" s="1"/>
  <c r="H7" i="76"/>
  <c r="H7" i="84" s="1"/>
  <c r="G7" i="76"/>
  <c r="G7" i="84" s="1"/>
  <c r="F7" i="76"/>
  <c r="F7" i="84" s="1"/>
  <c r="E7" i="76"/>
  <c r="E7" i="84" s="1"/>
  <c r="D7" i="76"/>
  <c r="D7" i="84" s="1"/>
  <c r="C7" i="76"/>
  <c r="C7" i="84" s="1"/>
  <c r="B7" i="76"/>
  <c r="B7" i="84" s="1"/>
  <c r="N6" i="76"/>
  <c r="M6" i="76"/>
  <c r="L6" i="76"/>
  <c r="K6" i="76"/>
  <c r="J6" i="76"/>
  <c r="I6" i="76"/>
  <c r="H6" i="76"/>
  <c r="G6" i="76"/>
  <c r="F6" i="76"/>
  <c r="E6" i="76"/>
  <c r="D6" i="76"/>
  <c r="C6" i="76"/>
  <c r="B6" i="76"/>
  <c r="N4" i="76"/>
  <c r="M4" i="76"/>
  <c r="L4" i="76"/>
  <c r="K4" i="76"/>
  <c r="J4" i="76"/>
  <c r="I4" i="76"/>
  <c r="H4" i="76"/>
  <c r="G4" i="76"/>
  <c r="F4" i="76"/>
  <c r="E4" i="76"/>
  <c r="D4" i="76"/>
  <c r="C4" i="76"/>
  <c r="C4" i="84" s="1"/>
  <c r="B4" i="76"/>
  <c r="E11" i="76" l="1"/>
  <c r="E8" i="69"/>
  <c r="F8" i="69"/>
  <c r="G8" i="69"/>
  <c r="H8" i="69"/>
  <c r="J8" i="69"/>
  <c r="L8" i="69"/>
  <c r="I8" i="69"/>
  <c r="K8" i="69"/>
  <c r="M8" i="69"/>
  <c r="J7" i="84"/>
  <c r="J4" i="84"/>
  <c r="L4" i="84"/>
  <c r="L11" i="84" s="1"/>
  <c r="I4" i="84"/>
  <c r="I11" i="84" s="1"/>
  <c r="K4" i="84"/>
  <c r="K11" i="84" s="1"/>
  <c r="F4" i="84"/>
  <c r="F11" i="84" s="1"/>
  <c r="B24" i="76"/>
  <c r="G4" i="84"/>
  <c r="G11" i="84" s="1"/>
  <c r="M35" i="79"/>
  <c r="L35" i="80"/>
  <c r="D4" i="84"/>
  <c r="D11" i="84" s="1"/>
  <c r="I17" i="76"/>
  <c r="I17" i="84" s="1"/>
  <c r="J17" i="76"/>
  <c r="J18" i="76" s="1"/>
  <c r="K17" i="76"/>
  <c r="K18" i="76" s="1"/>
  <c r="L17" i="76"/>
  <c r="L17" i="84" s="1"/>
  <c r="B17" i="76"/>
  <c r="B18" i="76" s="1"/>
  <c r="N17" i="76"/>
  <c r="N17" i="84" s="1"/>
  <c r="N15" i="69" s="1"/>
  <c r="D17" i="76"/>
  <c r="D17" i="84" s="1"/>
  <c r="B36" i="76"/>
  <c r="N16" i="84"/>
  <c r="N55" i="84" s="1"/>
  <c r="B26" i="76"/>
  <c r="M17" i="76"/>
  <c r="M17" i="84" s="1"/>
  <c r="N14" i="76"/>
  <c r="N4" i="84"/>
  <c r="C5" i="76"/>
  <c r="C5" i="84" s="1"/>
  <c r="C6" i="84" s="1"/>
  <c r="E17" i="76"/>
  <c r="E17" i="84" s="1"/>
  <c r="F17" i="76"/>
  <c r="F17" i="84" s="1"/>
  <c r="B8" i="85"/>
  <c r="B12" i="6" s="1"/>
  <c r="C8" i="85"/>
  <c r="C12" i="6" s="1"/>
  <c r="H5" i="76"/>
  <c r="H5" i="84" s="1"/>
  <c r="H4" i="84"/>
  <c r="D8" i="85"/>
  <c r="D12" i="6" s="1"/>
  <c r="M8" i="85"/>
  <c r="M12" i="6" s="1"/>
  <c r="B14" i="76"/>
  <c r="B14" i="84" s="1"/>
  <c r="B4" i="84"/>
  <c r="F8" i="85"/>
  <c r="F12" i="6" s="1"/>
  <c r="G8" i="85"/>
  <c r="G12" i="6" s="1"/>
  <c r="K8" i="85"/>
  <c r="K12" i="6" s="1"/>
  <c r="L8" i="85"/>
  <c r="L12" i="6" s="1"/>
  <c r="E8" i="85"/>
  <c r="E12" i="6" s="1"/>
  <c r="H8" i="85"/>
  <c r="H12" i="6" s="1"/>
  <c r="J8" i="85"/>
  <c r="J12" i="6" s="1"/>
  <c r="N7" i="76"/>
  <c r="N7" i="84" s="1"/>
  <c r="M7" i="84"/>
  <c r="C11" i="84"/>
  <c r="E14" i="76"/>
  <c r="E4" i="84"/>
  <c r="M14" i="76"/>
  <c r="M4" i="84"/>
  <c r="I8" i="85"/>
  <c r="I12" i="6" s="1"/>
  <c r="L27" i="81"/>
  <c r="K27" i="84"/>
  <c r="I5" i="76"/>
  <c r="I5" i="84" s="1"/>
  <c r="B5" i="76"/>
  <c r="B5" i="84" s="1"/>
  <c r="H11" i="76"/>
  <c r="C17" i="76"/>
  <c r="H14" i="76"/>
  <c r="H46" i="76" s="1"/>
  <c r="K5" i="76"/>
  <c r="K5" i="84" s="1"/>
  <c r="F14" i="76"/>
  <c r="G17" i="76"/>
  <c r="G14" i="76"/>
  <c r="H17" i="76"/>
  <c r="H17" i="84" s="1"/>
  <c r="N35" i="79"/>
  <c r="N35" i="80" s="1"/>
  <c r="N7" i="78"/>
  <c r="I11" i="76"/>
  <c r="I14" i="76"/>
  <c r="J5" i="76"/>
  <c r="J11" i="76"/>
  <c r="J14" i="76"/>
  <c r="D5" i="76"/>
  <c r="D5" i="84" s="1"/>
  <c r="L5" i="76"/>
  <c r="L5" i="84" s="1"/>
  <c r="C11" i="76"/>
  <c r="K11" i="76"/>
  <c r="C14" i="76"/>
  <c r="K14" i="76"/>
  <c r="E5" i="76"/>
  <c r="E5" i="84" s="1"/>
  <c r="M5" i="76"/>
  <c r="D11" i="76"/>
  <c r="L11" i="76"/>
  <c r="D14" i="76"/>
  <c r="L14" i="76"/>
  <c r="L46" i="76" s="1"/>
  <c r="B11" i="76"/>
  <c r="F5" i="76"/>
  <c r="F5" i="84" s="1"/>
  <c r="N5" i="76"/>
  <c r="M11" i="76"/>
  <c r="G5" i="76"/>
  <c r="G5" i="84" s="1"/>
  <c r="F11" i="76"/>
  <c r="G11" i="76"/>
  <c r="J11" i="84" l="1"/>
  <c r="N8" i="69"/>
  <c r="L6" i="84"/>
  <c r="L10" i="84" s="1"/>
  <c r="I6" i="84"/>
  <c r="I10" i="84" s="1"/>
  <c r="G14" i="84"/>
  <c r="G12" i="84" s="1"/>
  <c r="G46" i="76"/>
  <c r="E14" i="84"/>
  <c r="E15" i="84" s="1"/>
  <c r="E9" i="84" s="1"/>
  <c r="E46" i="76"/>
  <c r="K14" i="84"/>
  <c r="K15" i="84" s="1"/>
  <c r="K9" i="84" s="1"/>
  <c r="K46" i="76"/>
  <c r="I14" i="84"/>
  <c r="I15" i="84" s="1"/>
  <c r="I9" i="84" s="1"/>
  <c r="I46" i="76"/>
  <c r="N14" i="84"/>
  <c r="N12" i="84" s="1"/>
  <c r="B32" i="84" s="1"/>
  <c r="N46" i="76"/>
  <c r="F14" i="84"/>
  <c r="F15" i="84" s="1"/>
  <c r="F9" i="84" s="1"/>
  <c r="F46" i="76"/>
  <c r="K6" i="84"/>
  <c r="M14" i="84"/>
  <c r="M15" i="84" s="1"/>
  <c r="M46" i="76"/>
  <c r="J14" i="84"/>
  <c r="J15" i="84" s="1"/>
  <c r="J46" i="76"/>
  <c r="J5" i="84"/>
  <c r="J6" i="84" s="1"/>
  <c r="F6" i="84"/>
  <c r="F10" i="84" s="1"/>
  <c r="G6" i="84"/>
  <c r="I18" i="76"/>
  <c r="M35" i="80"/>
  <c r="D6" i="84"/>
  <c r="D10" i="84" s="1"/>
  <c r="N18" i="76"/>
  <c r="B17" i="84"/>
  <c r="B18" i="84" s="1"/>
  <c r="K17" i="84"/>
  <c r="K15" i="69" s="1"/>
  <c r="M15" i="85"/>
  <c r="M22" i="85" s="1"/>
  <c r="M15" i="69"/>
  <c r="I15" i="85"/>
  <c r="I22" i="85" s="1"/>
  <c r="I15" i="69"/>
  <c r="D15" i="85"/>
  <c r="D22" i="85" s="1"/>
  <c r="D15" i="69"/>
  <c r="L15" i="85"/>
  <c r="L22" i="85" s="1"/>
  <c r="L15" i="69"/>
  <c r="F15" i="85"/>
  <c r="F22" i="85" s="1"/>
  <c r="F15" i="69"/>
  <c r="E18" i="84"/>
  <c r="E15" i="69"/>
  <c r="H15" i="85"/>
  <c r="H22" i="85" s="1"/>
  <c r="H15" i="69"/>
  <c r="B37" i="76"/>
  <c r="B38" i="76" s="1"/>
  <c r="B34" i="76"/>
  <c r="M18" i="76"/>
  <c r="D18" i="76"/>
  <c r="D18" i="84"/>
  <c r="L18" i="84"/>
  <c r="J17" i="84"/>
  <c r="E15" i="76"/>
  <c r="E9" i="76" s="1"/>
  <c r="L18" i="76"/>
  <c r="F18" i="76"/>
  <c r="F18" i="84"/>
  <c r="F15" i="76"/>
  <c r="F9" i="76" s="1"/>
  <c r="E15" i="85"/>
  <c r="E22" i="85" s="1"/>
  <c r="N15" i="76"/>
  <c r="N9" i="76" s="1"/>
  <c r="B29" i="76" s="1"/>
  <c r="E18" i="76"/>
  <c r="B25" i="76"/>
  <c r="N5" i="84"/>
  <c r="B25" i="84" s="1"/>
  <c r="N15" i="85"/>
  <c r="B37" i="84"/>
  <c r="N12" i="76"/>
  <c r="B32" i="76" s="1"/>
  <c r="B24" i="84"/>
  <c r="I18" i="84"/>
  <c r="B36" i="84"/>
  <c r="N8" i="85"/>
  <c r="N18" i="84"/>
  <c r="B38" i="84" s="1"/>
  <c r="M18" i="84"/>
  <c r="G12" i="76"/>
  <c r="H18" i="76"/>
  <c r="H18" i="84"/>
  <c r="G15" i="76"/>
  <c r="G9" i="76" s="1"/>
  <c r="M11" i="84"/>
  <c r="B6" i="84"/>
  <c r="B11" i="84"/>
  <c r="F12" i="76"/>
  <c r="M15" i="76"/>
  <c r="M9" i="76" s="1"/>
  <c r="B12" i="84"/>
  <c r="B8" i="84"/>
  <c r="R8" i="85"/>
  <c r="C12" i="76"/>
  <c r="C14" i="84"/>
  <c r="B27" i="76"/>
  <c r="B12" i="76"/>
  <c r="G18" i="76"/>
  <c r="G17" i="84"/>
  <c r="E11" i="84"/>
  <c r="E6" i="84"/>
  <c r="E10" i="84" s="1"/>
  <c r="B15" i="84"/>
  <c r="B9" i="84" s="1"/>
  <c r="B15" i="76"/>
  <c r="B9" i="76" s="1"/>
  <c r="B27" i="84"/>
  <c r="N11" i="84"/>
  <c r="N11" i="76"/>
  <c r="B31" i="76" s="1"/>
  <c r="M5" i="84"/>
  <c r="O7" i="76"/>
  <c r="O7" i="84" s="1"/>
  <c r="C27" i="84" s="1"/>
  <c r="H15" i="76"/>
  <c r="H9" i="76" s="1"/>
  <c r="H14" i="84"/>
  <c r="H11" i="84"/>
  <c r="H6" i="84"/>
  <c r="H10" i="84" s="1"/>
  <c r="L12" i="76"/>
  <c r="L14" i="84"/>
  <c r="D12" i="76"/>
  <c r="D14" i="84"/>
  <c r="M12" i="76"/>
  <c r="E12" i="76"/>
  <c r="C18" i="76"/>
  <c r="C17" i="84"/>
  <c r="M27" i="81"/>
  <c r="L27" i="84"/>
  <c r="L15" i="76"/>
  <c r="L9" i="76" s="1"/>
  <c r="H12" i="76"/>
  <c r="D15" i="76"/>
  <c r="D9" i="76" s="1"/>
  <c r="O35" i="79"/>
  <c r="K15" i="76"/>
  <c r="K9" i="76" s="1"/>
  <c r="K12" i="76"/>
  <c r="C15" i="76"/>
  <c r="C9" i="76" s="1"/>
  <c r="I12" i="76"/>
  <c r="I15" i="76"/>
  <c r="I9" i="76" s="1"/>
  <c r="J15" i="76"/>
  <c r="J12" i="76"/>
  <c r="M12" i="84" l="1"/>
  <c r="M8" i="84"/>
  <c r="G8" i="84"/>
  <c r="G15" i="84"/>
  <c r="G9" i="84" s="1"/>
  <c r="E8" i="84"/>
  <c r="E12" i="84"/>
  <c r="K8" i="84"/>
  <c r="K12" i="84"/>
  <c r="B31" i="84"/>
  <c r="I8" i="84"/>
  <c r="I12" i="84"/>
  <c r="N8" i="84"/>
  <c r="B28" i="84" s="1"/>
  <c r="B34" i="84"/>
  <c r="F8" i="84"/>
  <c r="F12" i="84"/>
  <c r="N15" i="84"/>
  <c r="B35" i="84" s="1"/>
  <c r="J9" i="84"/>
  <c r="M9" i="84"/>
  <c r="J8" i="84"/>
  <c r="J12" i="84"/>
  <c r="T7" i="76"/>
  <c r="J9" i="76"/>
  <c r="B35" i="76"/>
  <c r="P35" i="79"/>
  <c r="O35" i="80"/>
  <c r="K15" i="85"/>
  <c r="K22" i="85" s="1"/>
  <c r="B15" i="69"/>
  <c r="B10" i="84"/>
  <c r="K10" i="84"/>
  <c r="B15" i="85"/>
  <c r="B22" i="85" s="1"/>
  <c r="K18" i="84"/>
  <c r="B26" i="6"/>
  <c r="N12" i="6"/>
  <c r="G10" i="84"/>
  <c r="G15" i="69"/>
  <c r="J15" i="85"/>
  <c r="J22" i="85" s="1"/>
  <c r="J15" i="69"/>
  <c r="C10" i="84"/>
  <c r="C15" i="69"/>
  <c r="J18" i="84"/>
  <c r="J10" i="84"/>
  <c r="N6" i="84"/>
  <c r="B26" i="84" s="1"/>
  <c r="N22" i="85"/>
  <c r="D12" i="84"/>
  <c r="D8" i="84"/>
  <c r="D15" i="84"/>
  <c r="D9" i="84" s="1"/>
  <c r="P7" i="76"/>
  <c r="L12" i="84"/>
  <c r="L8" i="84"/>
  <c r="L15" i="84"/>
  <c r="L9" i="84" s="1"/>
  <c r="H8" i="84"/>
  <c r="H12" i="84"/>
  <c r="H15" i="84"/>
  <c r="H9" i="84" s="1"/>
  <c r="C12" i="84"/>
  <c r="C8" i="84"/>
  <c r="C15" i="84"/>
  <c r="C9" i="84" s="1"/>
  <c r="C15" i="85"/>
  <c r="C18" i="84"/>
  <c r="C27" i="76"/>
  <c r="M6" i="84"/>
  <c r="M10" i="84" s="1"/>
  <c r="G15" i="85"/>
  <c r="G18" i="84"/>
  <c r="N27" i="81"/>
  <c r="M27" i="84"/>
  <c r="R35" i="79"/>
  <c r="N9" i="84" l="1"/>
  <c r="B29" i="84" s="1"/>
  <c r="N10" i="84"/>
  <c r="B30" i="84" s="1"/>
  <c r="P35" i="80"/>
  <c r="R7" i="76"/>
  <c r="R15" i="85"/>
  <c r="C22" i="85"/>
  <c r="G22" i="85"/>
  <c r="D27" i="76"/>
  <c r="O27" i="81"/>
  <c r="N27" i="84"/>
  <c r="O13" i="78"/>
  <c r="O13" i="77"/>
  <c r="T13" i="77" s="1"/>
  <c r="T13" i="78" l="1"/>
  <c r="R35" i="80"/>
  <c r="R22" i="85"/>
  <c r="P27" i="81"/>
  <c r="O27" i="84"/>
  <c r="O13" i="80"/>
  <c r="C35" i="80" s="1"/>
  <c r="R13" i="77"/>
  <c r="C35" i="79"/>
  <c r="P27" i="84" l="1"/>
  <c r="R27" i="81"/>
  <c r="O15" i="79"/>
  <c r="R27" i="84" l="1"/>
  <c r="C37" i="79"/>
  <c r="S34" i="82" l="1"/>
  <c r="S34" i="76"/>
  <c r="S34" i="83"/>
  <c r="S34" i="81"/>
  <c r="O15" i="78"/>
  <c r="O15" i="77"/>
  <c r="C37" i="77" l="1"/>
  <c r="C37" i="78"/>
  <c r="O4" i="81"/>
  <c r="T15" i="81" s="1"/>
  <c r="T17" i="81" s="1"/>
  <c r="O4" i="76"/>
  <c r="T15" i="76" l="1"/>
  <c r="O4" i="84"/>
  <c r="O11" i="84" s="1"/>
  <c r="C24" i="76"/>
  <c r="O11" i="76"/>
  <c r="C31" i="76" s="1"/>
  <c r="C24" i="81"/>
  <c r="O11" i="81"/>
  <c r="C31" i="81" s="1"/>
  <c r="O6" i="81"/>
  <c r="O6" i="76"/>
  <c r="O4" i="79"/>
  <c r="T4" i="79" s="1"/>
  <c r="T12" i="79" s="1"/>
  <c r="O4" i="77"/>
  <c r="T4" i="77" s="1"/>
  <c r="T12" i="77" s="1"/>
  <c r="O4" i="78"/>
  <c r="T4" i="78" l="1"/>
  <c r="T12" i="78" s="1"/>
  <c r="T17" i="76"/>
  <c r="C31" i="84"/>
  <c r="C24" i="84"/>
  <c r="C26" i="77"/>
  <c r="O12" i="77"/>
  <c r="C26" i="78"/>
  <c r="O12" i="78"/>
  <c r="O8" i="78"/>
  <c r="C26" i="81"/>
  <c r="O5" i="81"/>
  <c r="U15" i="81" s="1"/>
  <c r="O12" i="79"/>
  <c r="C26" i="79"/>
  <c r="O8" i="79"/>
  <c r="T8" i="79" s="1"/>
  <c r="C26" i="76"/>
  <c r="O5" i="76"/>
  <c r="U15" i="76" s="1"/>
  <c r="O8" i="81"/>
  <c r="O8" i="76"/>
  <c r="O16" i="78"/>
  <c r="O16" i="77"/>
  <c r="O16" i="79"/>
  <c r="O6" i="78" l="1"/>
  <c r="T8" i="78"/>
  <c r="O52" i="79"/>
  <c r="O50" i="79"/>
  <c r="O50" i="77"/>
  <c r="O52" i="77"/>
  <c r="O52" i="78"/>
  <c r="O50" i="78"/>
  <c r="O5" i="84"/>
  <c r="C25" i="84" s="1"/>
  <c r="O18" i="79"/>
  <c r="C25" i="76"/>
  <c r="C33" i="79"/>
  <c r="C38" i="79"/>
  <c r="O5" i="79"/>
  <c r="C33" i="78"/>
  <c r="O5" i="78"/>
  <c r="C38" i="78"/>
  <c r="C28" i="76"/>
  <c r="O14" i="76"/>
  <c r="T14" i="76" s="1"/>
  <c r="T16" i="76" s="1"/>
  <c r="C28" i="81"/>
  <c r="O14" i="81"/>
  <c r="O18" i="78"/>
  <c r="C33" i="77"/>
  <c r="O5" i="77"/>
  <c r="C38" i="77"/>
  <c r="O6" i="79"/>
  <c r="C25" i="81"/>
  <c r="O11" i="79"/>
  <c r="O10" i="81"/>
  <c r="O16" i="81"/>
  <c r="O16" i="76"/>
  <c r="O10" i="76"/>
  <c r="O11" i="77"/>
  <c r="O11" i="78"/>
  <c r="O46" i="76" l="1"/>
  <c r="C27" i="77"/>
  <c r="T5" i="77"/>
  <c r="C27" i="78"/>
  <c r="T5" i="78"/>
  <c r="T9" i="79"/>
  <c r="T9" i="78"/>
  <c r="O46" i="81"/>
  <c r="T14" i="81"/>
  <c r="T16" i="81" s="1"/>
  <c r="C27" i="79"/>
  <c r="T5" i="79"/>
  <c r="O6" i="84"/>
  <c r="C26" i="84" s="1"/>
  <c r="O16" i="84"/>
  <c r="O55" i="84" s="1"/>
  <c r="O14" i="84"/>
  <c r="C34" i="84" s="1"/>
  <c r="O17" i="79"/>
  <c r="O7" i="79" s="1"/>
  <c r="C36" i="81"/>
  <c r="O15" i="81"/>
  <c r="U14" i="81" s="1"/>
  <c r="U16" i="81" s="1"/>
  <c r="C32" i="79"/>
  <c r="O19" i="79"/>
  <c r="T19" i="79" s="1"/>
  <c r="C32" i="77"/>
  <c r="O19" i="77"/>
  <c r="T19" i="77" s="1"/>
  <c r="C30" i="81"/>
  <c r="O17" i="81"/>
  <c r="O17" i="78"/>
  <c r="C34" i="81"/>
  <c r="O12" i="81"/>
  <c r="C32" i="81" s="1"/>
  <c r="C30" i="76"/>
  <c r="O17" i="76"/>
  <c r="O18" i="76" s="1"/>
  <c r="C36" i="76"/>
  <c r="O15" i="76"/>
  <c r="U14" i="76" s="1"/>
  <c r="U16" i="76" s="1"/>
  <c r="C32" i="78"/>
  <c r="O19" i="78"/>
  <c r="T19" i="78" s="1"/>
  <c r="C34" i="76"/>
  <c r="O12" i="76"/>
  <c r="C32" i="76" s="1"/>
  <c r="O27" i="78" l="1"/>
  <c r="P27" i="78"/>
  <c r="I27" i="78"/>
  <c r="G27" i="78"/>
  <c r="K27" i="78"/>
  <c r="J27" i="78"/>
  <c r="L27" i="78"/>
  <c r="M27" i="78"/>
  <c r="N27" i="78"/>
  <c r="F27" i="78"/>
  <c r="E27" i="78"/>
  <c r="H27" i="78"/>
  <c r="J27" i="79"/>
  <c r="G27" i="79"/>
  <c r="E27" i="79"/>
  <c r="P27" i="79"/>
  <c r="I27" i="79"/>
  <c r="M27" i="79"/>
  <c r="L27" i="79"/>
  <c r="N27" i="79"/>
  <c r="K27" i="79"/>
  <c r="O27" i="79"/>
  <c r="H27" i="79"/>
  <c r="F27" i="79"/>
  <c r="P27" i="77"/>
  <c r="K27" i="77"/>
  <c r="M27" i="77"/>
  <c r="E27" i="77"/>
  <c r="F27" i="77"/>
  <c r="N27" i="77"/>
  <c r="O27" i="77"/>
  <c r="G27" i="77"/>
  <c r="H27" i="77"/>
  <c r="I27" i="77"/>
  <c r="L27" i="77"/>
  <c r="J27" i="77"/>
  <c r="P29" i="81"/>
  <c r="I29" i="81"/>
  <c r="O29" i="81"/>
  <c r="L29" i="81"/>
  <c r="E29" i="81"/>
  <c r="G29" i="81"/>
  <c r="N29" i="81"/>
  <c r="K29" i="81"/>
  <c r="F29" i="81"/>
  <c r="H29" i="81"/>
  <c r="J29" i="81"/>
  <c r="M29" i="81"/>
  <c r="L28" i="81"/>
  <c r="N28" i="81"/>
  <c r="K28" i="81"/>
  <c r="M28" i="81"/>
  <c r="G28" i="81"/>
  <c r="E28" i="81"/>
  <c r="J28" i="81"/>
  <c r="H28" i="81"/>
  <c r="I28" i="81"/>
  <c r="P28" i="81"/>
  <c r="F28" i="81"/>
  <c r="O28" i="81"/>
  <c r="P31" i="78"/>
  <c r="N31" i="78"/>
  <c r="K31" i="78"/>
  <c r="F31" i="78"/>
  <c r="L31" i="78"/>
  <c r="M31" i="78"/>
  <c r="I31" i="78"/>
  <c r="J31" i="78"/>
  <c r="O31" i="78"/>
  <c r="G31" i="78"/>
  <c r="E31" i="78"/>
  <c r="H31" i="78"/>
  <c r="N29" i="76"/>
  <c r="P29" i="76"/>
  <c r="M29" i="76"/>
  <c r="I29" i="76"/>
  <c r="G29" i="76"/>
  <c r="K29" i="76"/>
  <c r="J29" i="76"/>
  <c r="L29" i="76"/>
  <c r="O29" i="76"/>
  <c r="E29" i="76"/>
  <c r="H29" i="76"/>
  <c r="F29" i="76"/>
  <c r="N31" i="79"/>
  <c r="I31" i="79"/>
  <c r="P31" i="79"/>
  <c r="L31" i="79"/>
  <c r="F31" i="79"/>
  <c r="M31" i="79"/>
  <c r="O31" i="79"/>
  <c r="H31" i="79"/>
  <c r="E31" i="79"/>
  <c r="J31" i="79"/>
  <c r="K31" i="79"/>
  <c r="G31" i="79"/>
  <c r="P28" i="76"/>
  <c r="G28" i="76"/>
  <c r="F28" i="76"/>
  <c r="M28" i="76"/>
  <c r="L28" i="76"/>
  <c r="K28" i="76"/>
  <c r="J28" i="76"/>
  <c r="N28" i="76"/>
  <c r="E28" i="76"/>
  <c r="O28" i="76"/>
  <c r="H28" i="76"/>
  <c r="I28" i="76"/>
  <c r="O17" i="84"/>
  <c r="C37" i="84" s="1"/>
  <c r="O8" i="85"/>
  <c r="O8" i="69"/>
  <c r="O8" i="84"/>
  <c r="C28" i="84" s="1"/>
  <c r="C36" i="84"/>
  <c r="O12" i="84"/>
  <c r="C32" i="84" s="1"/>
  <c r="O15" i="84"/>
  <c r="O9" i="84" s="1"/>
  <c r="C29" i="84" s="1"/>
  <c r="C34" i="78"/>
  <c r="C41" i="78"/>
  <c r="O20" i="78"/>
  <c r="T20" i="78" s="1"/>
  <c r="C37" i="81"/>
  <c r="C38" i="81" s="1"/>
  <c r="C35" i="76"/>
  <c r="O9" i="76"/>
  <c r="C29" i="76" s="1"/>
  <c r="C37" i="76"/>
  <c r="C38" i="76" s="1"/>
  <c r="C35" i="81"/>
  <c r="O9" i="81"/>
  <c r="C29" i="81" s="1"/>
  <c r="O18" i="81"/>
  <c r="C34" i="77"/>
  <c r="C41" i="77"/>
  <c r="O20" i="77"/>
  <c r="T20" i="77" s="1"/>
  <c r="C41" i="79"/>
  <c r="O20" i="79"/>
  <c r="O7" i="78"/>
  <c r="C42" i="79" l="1"/>
  <c r="T20" i="79"/>
  <c r="O18" i="84"/>
  <c r="C38" i="84" s="1"/>
  <c r="O10" i="84"/>
  <c r="C30" i="84" s="1"/>
  <c r="O12" i="6"/>
  <c r="C26" i="6"/>
  <c r="O15" i="85"/>
  <c r="O15" i="69"/>
  <c r="C35" i="84"/>
  <c r="C42" i="77"/>
  <c r="C35" i="77"/>
  <c r="C42" i="78"/>
  <c r="C35" i="78"/>
  <c r="O22" i="85" l="1"/>
  <c r="B38" i="75" l="1"/>
  <c r="B38" i="80" s="1"/>
  <c r="B37" i="75"/>
  <c r="B37" i="80" s="1"/>
  <c r="R35" i="75"/>
  <c r="B33" i="75"/>
  <c r="B26" i="75"/>
  <c r="M18" i="75"/>
  <c r="L18" i="75"/>
  <c r="K18" i="75"/>
  <c r="J18" i="75"/>
  <c r="I18" i="75"/>
  <c r="H18" i="75"/>
  <c r="G18" i="75"/>
  <c r="F18" i="75"/>
  <c r="E18" i="75"/>
  <c r="O16" i="75"/>
  <c r="N16" i="75"/>
  <c r="M16" i="75"/>
  <c r="L16" i="75"/>
  <c r="K16" i="75"/>
  <c r="J16" i="75"/>
  <c r="I16" i="75"/>
  <c r="H16" i="75"/>
  <c r="G16" i="75"/>
  <c r="F16" i="75"/>
  <c r="E16" i="75"/>
  <c r="D16" i="75"/>
  <c r="D16" i="80" s="1"/>
  <c r="C16" i="75"/>
  <c r="B16" i="75"/>
  <c r="B16" i="80" s="1"/>
  <c r="O15" i="75"/>
  <c r="N15" i="75"/>
  <c r="N15" i="80" s="1"/>
  <c r="M15" i="75"/>
  <c r="M15" i="80" s="1"/>
  <c r="L15" i="75"/>
  <c r="L15" i="80" s="1"/>
  <c r="K15" i="75"/>
  <c r="K15" i="80" s="1"/>
  <c r="J15" i="75"/>
  <c r="J15" i="80" s="1"/>
  <c r="I15" i="75"/>
  <c r="I15" i="80" s="1"/>
  <c r="H15" i="75"/>
  <c r="H15" i="80" s="1"/>
  <c r="G15" i="75"/>
  <c r="G15" i="80" s="1"/>
  <c r="F15" i="75"/>
  <c r="F15" i="80" s="1"/>
  <c r="E15" i="75"/>
  <c r="E15" i="80" s="1"/>
  <c r="D15" i="75"/>
  <c r="D15" i="80" s="1"/>
  <c r="C15" i="75"/>
  <c r="C15" i="80" s="1"/>
  <c r="B15" i="75"/>
  <c r="B15" i="80" s="1"/>
  <c r="M13" i="75"/>
  <c r="M13" i="80" s="1"/>
  <c r="L13" i="75"/>
  <c r="L13" i="80" s="1"/>
  <c r="K13" i="75"/>
  <c r="K13" i="80" s="1"/>
  <c r="J13" i="75"/>
  <c r="I13" i="75"/>
  <c r="I13" i="80" s="1"/>
  <c r="H13" i="75"/>
  <c r="H13" i="80" s="1"/>
  <c r="G13" i="75"/>
  <c r="G13" i="80" s="1"/>
  <c r="F13" i="75"/>
  <c r="F13" i="80" s="1"/>
  <c r="E13" i="75"/>
  <c r="E13" i="80" s="1"/>
  <c r="D13" i="75"/>
  <c r="D13" i="80" s="1"/>
  <c r="C13" i="75"/>
  <c r="C13" i="80" s="1"/>
  <c r="B13" i="75"/>
  <c r="B13" i="80" s="1"/>
  <c r="O11" i="75"/>
  <c r="C33" i="75" s="1"/>
  <c r="N11" i="75"/>
  <c r="M11" i="75"/>
  <c r="L11" i="75"/>
  <c r="K11" i="75"/>
  <c r="J11" i="75"/>
  <c r="I11" i="75"/>
  <c r="H11" i="75"/>
  <c r="G11" i="75"/>
  <c r="F11" i="75"/>
  <c r="E11" i="75"/>
  <c r="D11" i="75"/>
  <c r="C11" i="75"/>
  <c r="B11" i="75"/>
  <c r="O4" i="75"/>
  <c r="N4" i="75"/>
  <c r="M4" i="75"/>
  <c r="L4" i="75"/>
  <c r="K4" i="75"/>
  <c r="J4" i="75"/>
  <c r="I4" i="75"/>
  <c r="H4" i="75"/>
  <c r="G4" i="75"/>
  <c r="F4" i="75"/>
  <c r="E4" i="75"/>
  <c r="D4" i="75"/>
  <c r="C4" i="75"/>
  <c r="C4" i="80" s="1"/>
  <c r="B4" i="75"/>
  <c r="K52" i="75" l="1"/>
  <c r="K50" i="75"/>
  <c r="I52" i="75"/>
  <c r="I50" i="75"/>
  <c r="L52" i="75"/>
  <c r="L50" i="75"/>
  <c r="E52" i="75"/>
  <c r="E50" i="75"/>
  <c r="M16" i="80"/>
  <c r="M52" i="75"/>
  <c r="M50" i="75"/>
  <c r="F52" i="75"/>
  <c r="F50" i="75"/>
  <c r="N16" i="80"/>
  <c r="N7" i="85" s="1"/>
  <c r="N52" i="75"/>
  <c r="N50" i="75"/>
  <c r="G52" i="75"/>
  <c r="G50" i="75"/>
  <c r="H16" i="80"/>
  <c r="H50" i="75"/>
  <c r="H52" i="75"/>
  <c r="O52" i="75"/>
  <c r="O50" i="75"/>
  <c r="T3" i="75"/>
  <c r="T4" i="75"/>
  <c r="J16" i="80"/>
  <c r="J50" i="75"/>
  <c r="J52" i="75"/>
  <c r="J13" i="80"/>
  <c r="F4" i="80"/>
  <c r="F12" i="80" s="1"/>
  <c r="N4" i="80"/>
  <c r="O8" i="75"/>
  <c r="L4" i="80"/>
  <c r="L12" i="80" s="1"/>
  <c r="H4" i="80"/>
  <c r="H6" i="80" s="1"/>
  <c r="G16" i="80"/>
  <c r="E16" i="80"/>
  <c r="E17" i="80" s="1"/>
  <c r="D7" i="85"/>
  <c r="D11" i="6" s="1"/>
  <c r="D7" i="69"/>
  <c r="B7" i="85"/>
  <c r="B11" i="6" s="1"/>
  <c r="B7" i="69"/>
  <c r="E19" i="75"/>
  <c r="E19" i="80" s="1"/>
  <c r="J12" i="75"/>
  <c r="K19" i="75"/>
  <c r="K19" i="80" s="1"/>
  <c r="B26" i="80"/>
  <c r="B30" i="75"/>
  <c r="B28" i="75" s="1"/>
  <c r="G12" i="75"/>
  <c r="N13" i="75"/>
  <c r="N13" i="80" s="1"/>
  <c r="I5" i="75"/>
  <c r="G6" i="75"/>
  <c r="C38" i="75"/>
  <c r="O16" i="80"/>
  <c r="C37" i="75"/>
  <c r="O15" i="80"/>
  <c r="C37" i="80" s="1"/>
  <c r="C26" i="75"/>
  <c r="O4" i="80"/>
  <c r="C16" i="80"/>
  <c r="K16" i="80"/>
  <c r="E6" i="75"/>
  <c r="I12" i="75"/>
  <c r="L17" i="75"/>
  <c r="L16" i="80"/>
  <c r="C19" i="75"/>
  <c r="C19" i="80" s="1"/>
  <c r="C14" i="69" s="1"/>
  <c r="M10" i="75"/>
  <c r="M4" i="80"/>
  <c r="H6" i="75"/>
  <c r="F17" i="75"/>
  <c r="F16" i="80"/>
  <c r="M19" i="75"/>
  <c r="M19" i="80" s="1"/>
  <c r="M14" i="69" s="1"/>
  <c r="E10" i="75"/>
  <c r="E4" i="80"/>
  <c r="M5" i="75"/>
  <c r="B19" i="75"/>
  <c r="B4" i="80"/>
  <c r="B12" i="80" s="1"/>
  <c r="J19" i="75"/>
  <c r="J4" i="80"/>
  <c r="E5" i="75"/>
  <c r="C12" i="80"/>
  <c r="K10" i="75"/>
  <c r="K4" i="80"/>
  <c r="F10" i="75"/>
  <c r="I17" i="75"/>
  <c r="I16" i="80"/>
  <c r="H17" i="75"/>
  <c r="K17" i="75"/>
  <c r="G10" i="75"/>
  <c r="G4" i="80"/>
  <c r="I19" i="75"/>
  <c r="I19" i="80" s="1"/>
  <c r="I4" i="80"/>
  <c r="C5" i="75"/>
  <c r="M6" i="75"/>
  <c r="D4" i="80"/>
  <c r="D12" i="80" s="1"/>
  <c r="K5" i="75"/>
  <c r="L10" i="75"/>
  <c r="B12" i="75"/>
  <c r="J17" i="75"/>
  <c r="O19" i="75"/>
  <c r="E17" i="75"/>
  <c r="M17" i="75"/>
  <c r="H12" i="75"/>
  <c r="G17" i="75"/>
  <c r="G5" i="75"/>
  <c r="O5" i="75"/>
  <c r="D19" i="75"/>
  <c r="D5" i="75"/>
  <c r="D12" i="75"/>
  <c r="L19" i="75"/>
  <c r="L5" i="75"/>
  <c r="L6" i="75"/>
  <c r="L12" i="75"/>
  <c r="F6" i="75"/>
  <c r="F12" i="75"/>
  <c r="F19" i="75"/>
  <c r="F20" i="75" s="1"/>
  <c r="F5" i="75"/>
  <c r="N19" i="75"/>
  <c r="N19" i="80" s="1"/>
  <c r="N5" i="75"/>
  <c r="I6" i="75"/>
  <c r="H10" i="75"/>
  <c r="C12" i="75"/>
  <c r="K12" i="75"/>
  <c r="G19" i="75"/>
  <c r="G20" i="75" s="1"/>
  <c r="H5" i="75"/>
  <c r="J6" i="75"/>
  <c r="I10" i="75"/>
  <c r="H19" i="75"/>
  <c r="B41" i="75"/>
  <c r="K6" i="75"/>
  <c r="J10" i="75"/>
  <c r="E12" i="75"/>
  <c r="M12" i="75"/>
  <c r="B5" i="75"/>
  <c r="J5" i="75"/>
  <c r="B27" i="75"/>
  <c r="O4" i="25"/>
  <c r="O10" i="1"/>
  <c r="N10" i="1"/>
  <c r="N12" i="80" l="1"/>
  <c r="H61" i="80"/>
  <c r="J59" i="80"/>
  <c r="M7" i="69"/>
  <c r="N7" i="69"/>
  <c r="H12" i="80"/>
  <c r="L6" i="80"/>
  <c r="J17" i="80"/>
  <c r="J7" i="69"/>
  <c r="M61" i="80"/>
  <c r="M5" i="80"/>
  <c r="M7" i="85"/>
  <c r="M11" i="6" s="1"/>
  <c r="M59" i="80"/>
  <c r="F6" i="80"/>
  <c r="H7" i="69"/>
  <c r="H17" i="80"/>
  <c r="H7" i="80" s="1"/>
  <c r="H7" i="85"/>
  <c r="H11" i="6" s="1"/>
  <c r="J5" i="80"/>
  <c r="M17" i="80"/>
  <c r="H59" i="80"/>
  <c r="H5" i="80"/>
  <c r="T13" i="75"/>
  <c r="T12" i="75" s="1"/>
  <c r="N59" i="80"/>
  <c r="F10" i="80"/>
  <c r="E5" i="80"/>
  <c r="N61" i="80"/>
  <c r="T5" i="75"/>
  <c r="E27" i="75" s="1"/>
  <c r="E20" i="80"/>
  <c r="J7" i="85"/>
  <c r="J11" i="6" s="1"/>
  <c r="N5" i="80"/>
  <c r="J61" i="80"/>
  <c r="J19" i="80"/>
  <c r="J14" i="69" s="1"/>
  <c r="T19" i="75"/>
  <c r="H10" i="80"/>
  <c r="L10" i="80"/>
  <c r="F61" i="80"/>
  <c r="F59" i="80"/>
  <c r="K61" i="80"/>
  <c r="K59" i="80"/>
  <c r="G17" i="80"/>
  <c r="G59" i="80"/>
  <c r="G61" i="80"/>
  <c r="L61" i="80"/>
  <c r="L59" i="80"/>
  <c r="I59" i="80"/>
  <c r="I61" i="80"/>
  <c r="O61" i="80"/>
  <c r="O59" i="80"/>
  <c r="E7" i="69"/>
  <c r="E59" i="80"/>
  <c r="E61" i="80"/>
  <c r="E7" i="85"/>
  <c r="E11" i="6" s="1"/>
  <c r="G7" i="69"/>
  <c r="G7" i="85"/>
  <c r="G11" i="6" s="1"/>
  <c r="G5" i="80"/>
  <c r="E20" i="75"/>
  <c r="O7" i="85"/>
  <c r="O7" i="69"/>
  <c r="N20" i="80"/>
  <c r="N14" i="69"/>
  <c r="B25" i="6"/>
  <c r="N11" i="6"/>
  <c r="L7" i="85"/>
  <c r="L11" i="6" s="1"/>
  <c r="L7" i="69"/>
  <c r="I14" i="85"/>
  <c r="I14" i="69"/>
  <c r="E14" i="85"/>
  <c r="E14" i="69"/>
  <c r="K7" i="85"/>
  <c r="K11" i="6" s="1"/>
  <c r="K7" i="69"/>
  <c r="I7" i="85"/>
  <c r="I11" i="6" s="1"/>
  <c r="I7" i="69"/>
  <c r="C7" i="85"/>
  <c r="C11" i="6" s="1"/>
  <c r="C7" i="69"/>
  <c r="F7" i="85"/>
  <c r="F11" i="6" s="1"/>
  <c r="F7" i="69"/>
  <c r="K14" i="85"/>
  <c r="K14" i="69"/>
  <c r="B35" i="75"/>
  <c r="B35" i="80" s="1"/>
  <c r="B34" i="80" s="1"/>
  <c r="N20" i="75"/>
  <c r="J20" i="75"/>
  <c r="N12" i="75"/>
  <c r="B34" i="75" s="1"/>
  <c r="K20" i="75"/>
  <c r="B42" i="75"/>
  <c r="B41" i="80"/>
  <c r="M7" i="75"/>
  <c r="B40" i="75"/>
  <c r="B39" i="75" s="1"/>
  <c r="B29" i="75" s="1"/>
  <c r="B30" i="80"/>
  <c r="B28" i="80" s="1"/>
  <c r="N14" i="85"/>
  <c r="N21" i="85" s="1"/>
  <c r="N11" i="80"/>
  <c r="B27" i="80"/>
  <c r="M20" i="75"/>
  <c r="K7" i="75"/>
  <c r="H7" i="75"/>
  <c r="I7" i="75"/>
  <c r="F7" i="75"/>
  <c r="M11" i="80"/>
  <c r="M14" i="85"/>
  <c r="L7" i="75"/>
  <c r="G7" i="75"/>
  <c r="M20" i="80"/>
  <c r="D5" i="80"/>
  <c r="C11" i="80"/>
  <c r="C14" i="85"/>
  <c r="C26" i="80"/>
  <c r="O12" i="80"/>
  <c r="C41" i="75"/>
  <c r="O19" i="80"/>
  <c r="O20" i="75"/>
  <c r="C42" i="75" s="1"/>
  <c r="C38" i="80"/>
  <c r="O5" i="80"/>
  <c r="C27" i="80" s="1"/>
  <c r="G19" i="80"/>
  <c r="K5" i="80"/>
  <c r="K20" i="80"/>
  <c r="K17" i="80"/>
  <c r="G10" i="80"/>
  <c r="G12" i="80"/>
  <c r="G6" i="80"/>
  <c r="K12" i="80"/>
  <c r="K10" i="80"/>
  <c r="K6" i="80"/>
  <c r="J6" i="80"/>
  <c r="J10" i="80"/>
  <c r="J12" i="80"/>
  <c r="L17" i="80"/>
  <c r="B20" i="75"/>
  <c r="B19" i="80"/>
  <c r="J7" i="75"/>
  <c r="I20" i="80"/>
  <c r="I5" i="80"/>
  <c r="I17" i="80"/>
  <c r="L5" i="80"/>
  <c r="F5" i="80"/>
  <c r="F17" i="80"/>
  <c r="C20" i="80"/>
  <c r="C5" i="80"/>
  <c r="I11" i="80"/>
  <c r="C20" i="75"/>
  <c r="H20" i="75"/>
  <c r="H19" i="80"/>
  <c r="B5" i="80"/>
  <c r="E6" i="80"/>
  <c r="E7" i="80" s="1"/>
  <c r="E10" i="80"/>
  <c r="E12" i="80"/>
  <c r="M6" i="80"/>
  <c r="M10" i="80"/>
  <c r="M12" i="80"/>
  <c r="K11" i="80"/>
  <c r="I12" i="80"/>
  <c r="I10" i="80"/>
  <c r="I6" i="80"/>
  <c r="F19" i="80"/>
  <c r="D20" i="75"/>
  <c r="D19" i="80"/>
  <c r="I20" i="75"/>
  <c r="L20" i="75"/>
  <c r="L19" i="80"/>
  <c r="L14" i="69" s="1"/>
  <c r="E11" i="80"/>
  <c r="C27" i="75"/>
  <c r="E7" i="75"/>
  <c r="C35" i="75"/>
  <c r="O12" i="75"/>
  <c r="C34" i="75" s="1"/>
  <c r="O4" i="46"/>
  <c r="O52" i="85" s="1"/>
  <c r="O12" i="42"/>
  <c r="O41" i="85" s="1"/>
  <c r="O11" i="42"/>
  <c r="O42" i="42" s="1"/>
  <c r="O7" i="42"/>
  <c r="O6" i="42"/>
  <c r="O4" i="42"/>
  <c r="O10" i="45"/>
  <c r="O7" i="45"/>
  <c r="O6" i="45"/>
  <c r="O4" i="45"/>
  <c r="O10" i="44"/>
  <c r="O7" i="44"/>
  <c r="O6" i="44"/>
  <c r="O4" i="44"/>
  <c r="O16" i="41"/>
  <c r="O10" i="41"/>
  <c r="O9" i="41"/>
  <c r="O8" i="41"/>
  <c r="O7" i="41"/>
  <c r="O6" i="41"/>
  <c r="O4" i="41"/>
  <c r="O8" i="40"/>
  <c r="O6" i="40"/>
  <c r="O5" i="40"/>
  <c r="O4" i="40"/>
  <c r="O9" i="39"/>
  <c r="O8" i="39"/>
  <c r="O7" i="39"/>
  <c r="O17" i="38"/>
  <c r="O16" i="38"/>
  <c r="O14" i="38"/>
  <c r="O13" i="38"/>
  <c r="O12" i="38"/>
  <c r="O11" i="38"/>
  <c r="O10" i="38"/>
  <c r="O8" i="38"/>
  <c r="O5" i="38"/>
  <c r="O4" i="38"/>
  <c r="O11" i="37"/>
  <c r="O10" i="37"/>
  <c r="O9" i="37"/>
  <c r="O8" i="37"/>
  <c r="O5" i="37"/>
  <c r="O4" i="37"/>
  <c r="O4" i="6"/>
  <c r="O24" i="85" s="1"/>
  <c r="O9" i="27"/>
  <c r="O8" i="27"/>
  <c r="O7" i="27"/>
  <c r="O9" i="26"/>
  <c r="O8" i="26"/>
  <c r="O7" i="26"/>
  <c r="O9" i="5"/>
  <c r="O22" i="9"/>
  <c r="O21" i="9"/>
  <c r="O19" i="9"/>
  <c r="O17" i="9"/>
  <c r="O16" i="9"/>
  <c r="O15" i="9"/>
  <c r="O14" i="9"/>
  <c r="O13" i="9"/>
  <c r="O12" i="9"/>
  <c r="O11" i="9"/>
  <c r="O8" i="9"/>
  <c r="O6" i="9"/>
  <c r="O5" i="9"/>
  <c r="O4" i="9"/>
  <c r="O22" i="8"/>
  <c r="O21" i="8"/>
  <c r="O19" i="8"/>
  <c r="O18" i="8"/>
  <c r="O17" i="8"/>
  <c r="O16" i="8"/>
  <c r="O15" i="8"/>
  <c r="O14" i="8"/>
  <c r="O13" i="8"/>
  <c r="O12" i="8"/>
  <c r="O11" i="8"/>
  <c r="O8" i="8"/>
  <c r="O6" i="8"/>
  <c r="O5" i="8"/>
  <c r="O4" i="8"/>
  <c r="O19" i="4"/>
  <c r="O15" i="4"/>
  <c r="O18" i="25"/>
  <c r="O13" i="25"/>
  <c r="O12" i="25"/>
  <c r="O11" i="25"/>
  <c r="O10" i="25"/>
  <c r="O9" i="25"/>
  <c r="O5" i="25"/>
  <c r="O5" i="1" s="1"/>
  <c r="O18" i="24"/>
  <c r="O16" i="24"/>
  <c r="O14" i="24"/>
  <c r="O13" i="24"/>
  <c r="O12" i="24"/>
  <c r="O11" i="24"/>
  <c r="O10" i="24"/>
  <c r="O9" i="24"/>
  <c r="O4" i="24"/>
  <c r="O4" i="1" s="1"/>
  <c r="R43" i="25"/>
  <c r="P34" i="9"/>
  <c r="O34" i="9"/>
  <c r="N34" i="9"/>
  <c r="M34" i="9"/>
  <c r="L34" i="9"/>
  <c r="K34" i="9"/>
  <c r="J34" i="9"/>
  <c r="I34" i="9"/>
  <c r="H34" i="9"/>
  <c r="R57" i="9"/>
  <c r="J33" i="43"/>
  <c r="I33" i="43"/>
  <c r="H33" i="43"/>
  <c r="G33" i="43"/>
  <c r="F33" i="43"/>
  <c r="J31" i="43"/>
  <c r="I31" i="43"/>
  <c r="H31" i="43"/>
  <c r="G31" i="43"/>
  <c r="F31" i="43"/>
  <c r="F7" i="80" l="1"/>
  <c r="M21" i="85"/>
  <c r="O34" i="44"/>
  <c r="L7" i="80"/>
  <c r="O34" i="45"/>
  <c r="J7" i="80"/>
  <c r="C34" i="80"/>
  <c r="M7" i="80"/>
  <c r="J14" i="85"/>
  <c r="J21" i="85" s="1"/>
  <c r="J20" i="80"/>
  <c r="J11" i="80"/>
  <c r="T20" i="75"/>
  <c r="G27" i="75"/>
  <c r="O9" i="40"/>
  <c r="O29" i="85" s="1"/>
  <c r="E21" i="85"/>
  <c r="G7" i="80"/>
  <c r="K21" i="85"/>
  <c r="I21" i="85"/>
  <c r="O14" i="85"/>
  <c r="O21" i="85" s="1"/>
  <c r="O14" i="69"/>
  <c r="C21" i="85"/>
  <c r="C25" i="6"/>
  <c r="O11" i="6"/>
  <c r="G14" i="85"/>
  <c r="G21" i="85" s="1"/>
  <c r="G14" i="69"/>
  <c r="F14" i="85"/>
  <c r="F21" i="85" s="1"/>
  <c r="F14" i="69"/>
  <c r="H14" i="85"/>
  <c r="H21" i="85" s="1"/>
  <c r="H14" i="69"/>
  <c r="B14" i="85"/>
  <c r="B21" i="85" s="1"/>
  <c r="B14" i="69"/>
  <c r="R7" i="85"/>
  <c r="D14" i="85"/>
  <c r="D21" i="85" s="1"/>
  <c r="D14" i="69"/>
  <c r="K27" i="75"/>
  <c r="H27" i="75"/>
  <c r="B33" i="80"/>
  <c r="B42" i="80"/>
  <c r="O13" i="46"/>
  <c r="O32" i="85"/>
  <c r="O50" i="85" s="1"/>
  <c r="B40" i="80"/>
  <c r="B39" i="80" s="1"/>
  <c r="B29" i="80" s="1"/>
  <c r="B32" i="80"/>
  <c r="O12" i="46"/>
  <c r="O30" i="85"/>
  <c r="O9" i="46"/>
  <c r="O27" i="85"/>
  <c r="O27" i="75"/>
  <c r="L11" i="80"/>
  <c r="L14" i="85"/>
  <c r="L21" i="85" s="1"/>
  <c r="K7" i="80"/>
  <c r="P27" i="75"/>
  <c r="I27" i="75"/>
  <c r="J27" i="75"/>
  <c r="C41" i="80"/>
  <c r="O11" i="80"/>
  <c r="C33" i="80" s="1"/>
  <c r="O9" i="38"/>
  <c r="M27" i="75"/>
  <c r="F27" i="75"/>
  <c r="O20" i="80"/>
  <c r="C42" i="80" s="1"/>
  <c r="F11" i="80"/>
  <c r="F20" i="80"/>
  <c r="B11" i="80"/>
  <c r="B20" i="80"/>
  <c r="I7" i="80"/>
  <c r="L20" i="80"/>
  <c r="G11" i="80"/>
  <c r="G20" i="80"/>
  <c r="D11" i="80"/>
  <c r="D20" i="80"/>
  <c r="H11" i="80"/>
  <c r="H20" i="80"/>
  <c r="N27" i="75"/>
  <c r="O11" i="1"/>
  <c r="O13" i="1"/>
  <c r="O17" i="1" s="1"/>
  <c r="O11" i="85" s="1"/>
  <c r="L27" i="75"/>
  <c r="O4" i="39"/>
  <c r="O13" i="42"/>
  <c r="O5" i="44"/>
  <c r="D35" i="75"/>
  <c r="R13" i="75"/>
  <c r="O8" i="1"/>
  <c r="O16" i="1" s="1"/>
  <c r="O10" i="39"/>
  <c r="O8" i="42"/>
  <c r="O12" i="1"/>
  <c r="O8" i="44"/>
  <c r="O6" i="1"/>
  <c r="O18" i="1"/>
  <c r="O9" i="42"/>
  <c r="O12" i="37"/>
  <c r="O16" i="37" s="1"/>
  <c r="O35" i="85" s="1"/>
  <c r="O11" i="44"/>
  <c r="O7" i="43"/>
  <c r="O5" i="42"/>
  <c r="O11" i="45"/>
  <c r="O12" i="45" s="1"/>
  <c r="O8" i="45"/>
  <c r="O4" i="43"/>
  <c r="O5" i="45"/>
  <c r="O10" i="43"/>
  <c r="O11" i="41"/>
  <c r="O14" i="41"/>
  <c r="O5" i="41"/>
  <c r="O17" i="41"/>
  <c r="O10" i="40"/>
  <c r="O38" i="85" s="1"/>
  <c r="O6" i="39"/>
  <c r="O6" i="38"/>
  <c r="O18" i="38"/>
  <c r="O6" i="37"/>
  <c r="O15" i="37"/>
  <c r="O26" i="85" s="1"/>
  <c r="O37" i="43" l="1"/>
  <c r="O47" i="85"/>
  <c r="O11" i="40"/>
  <c r="O12" i="41"/>
  <c r="O46" i="41"/>
  <c r="O32" i="40"/>
  <c r="O34" i="40"/>
  <c r="O12" i="39"/>
  <c r="O10" i="46" s="1"/>
  <c r="O15" i="39"/>
  <c r="O13" i="39"/>
  <c r="O37" i="85" s="1"/>
  <c r="O4" i="85"/>
  <c r="O18" i="85" s="1"/>
  <c r="O19" i="38"/>
  <c r="O36" i="85"/>
  <c r="O45" i="85" s="1"/>
  <c r="O14" i="46"/>
  <c r="O31" i="85"/>
  <c r="O44" i="85"/>
  <c r="O18" i="41"/>
  <c r="O39" i="85"/>
  <c r="O48" i="85" s="1"/>
  <c r="R14" i="85"/>
  <c r="R21" i="85"/>
  <c r="O11" i="43"/>
  <c r="O40" i="85" s="1"/>
  <c r="O12" i="44"/>
  <c r="O19" i="1"/>
  <c r="O13" i="37"/>
  <c r="O8" i="43"/>
  <c r="O15" i="41"/>
  <c r="O14" i="1"/>
  <c r="O9" i="1"/>
  <c r="O11" i="46"/>
  <c r="O17" i="37"/>
  <c r="O8" i="46"/>
  <c r="O5" i="43"/>
  <c r="O28" i="85" l="1"/>
  <c r="O14" i="39"/>
  <c r="C22" i="6"/>
  <c r="O8" i="6"/>
  <c r="O12" i="43"/>
  <c r="O6" i="43"/>
  <c r="O46" i="85"/>
  <c r="O33" i="85"/>
  <c r="O49" i="85"/>
  <c r="O42" i="85"/>
  <c r="O7" i="46"/>
  <c r="O6" i="46" s="1"/>
  <c r="O51" i="85" l="1"/>
  <c r="O25" i="46"/>
  <c r="N25" i="46"/>
  <c r="L25" i="46"/>
  <c r="K25" i="46"/>
  <c r="I25" i="46"/>
  <c r="H25" i="46"/>
  <c r="F25" i="46"/>
  <c r="E25" i="46"/>
  <c r="O24" i="46"/>
  <c r="N24" i="46"/>
  <c r="L24" i="46"/>
  <c r="K24" i="46"/>
  <c r="I24" i="46"/>
  <c r="H24" i="46"/>
  <c r="F24" i="46"/>
  <c r="E24" i="46"/>
  <c r="C20" i="46"/>
  <c r="N4" i="46"/>
  <c r="M4" i="46"/>
  <c r="M52" i="85" s="1"/>
  <c r="L4" i="46"/>
  <c r="K4" i="46"/>
  <c r="K52" i="85" s="1"/>
  <c r="J4" i="46"/>
  <c r="I4" i="46"/>
  <c r="I52" i="85" s="1"/>
  <c r="H4" i="46"/>
  <c r="H30" i="73" s="1"/>
  <c r="G4" i="46"/>
  <c r="F4" i="46"/>
  <c r="E4" i="46"/>
  <c r="E52" i="85" s="1"/>
  <c r="D4" i="46"/>
  <c r="C4" i="46"/>
  <c r="C52" i="85" s="1"/>
  <c r="B4" i="46"/>
  <c r="P38" i="42"/>
  <c r="O38" i="42"/>
  <c r="N38" i="42"/>
  <c r="M38" i="42"/>
  <c r="L38" i="42"/>
  <c r="K38" i="42"/>
  <c r="J38" i="42"/>
  <c r="I38" i="42"/>
  <c r="H38" i="42"/>
  <c r="G38" i="42"/>
  <c r="F38" i="42"/>
  <c r="E38" i="42"/>
  <c r="P37" i="42"/>
  <c r="O37" i="42"/>
  <c r="N37" i="42"/>
  <c r="M37" i="42"/>
  <c r="L37" i="42"/>
  <c r="K37" i="42"/>
  <c r="J37" i="42"/>
  <c r="I37" i="42"/>
  <c r="H37" i="42"/>
  <c r="G37" i="42"/>
  <c r="F37" i="42"/>
  <c r="E37" i="42"/>
  <c r="E35" i="42"/>
  <c r="J33" i="42"/>
  <c r="E33" i="42"/>
  <c r="R21" i="42"/>
  <c r="P21" i="42"/>
  <c r="O21" i="42"/>
  <c r="N21" i="42"/>
  <c r="M21" i="42"/>
  <c r="L21" i="42"/>
  <c r="K21" i="42"/>
  <c r="J21" i="42"/>
  <c r="I21" i="42"/>
  <c r="H21" i="42"/>
  <c r="G21" i="42"/>
  <c r="F21" i="42"/>
  <c r="R19" i="42"/>
  <c r="P19" i="42"/>
  <c r="O19" i="42"/>
  <c r="N19" i="42"/>
  <c r="M19" i="42"/>
  <c r="L19" i="42"/>
  <c r="K19" i="42"/>
  <c r="J19" i="42"/>
  <c r="I19" i="42"/>
  <c r="H19" i="42"/>
  <c r="G19" i="42"/>
  <c r="F19" i="42"/>
  <c r="E19" i="42"/>
  <c r="P19" i="73"/>
  <c r="C27" i="42"/>
  <c r="N12" i="42"/>
  <c r="M12" i="42"/>
  <c r="M41" i="85" s="1"/>
  <c r="L12" i="42"/>
  <c r="L41" i="85" s="1"/>
  <c r="K12" i="42"/>
  <c r="J12" i="42"/>
  <c r="I12" i="42"/>
  <c r="H12" i="42"/>
  <c r="H41" i="85" s="1"/>
  <c r="G12" i="42"/>
  <c r="G41" i="85" s="1"/>
  <c r="F12" i="42"/>
  <c r="F19" i="73" s="1"/>
  <c r="E12" i="42"/>
  <c r="D12" i="42"/>
  <c r="C12" i="42"/>
  <c r="C19" i="73" s="1"/>
  <c r="B12" i="42"/>
  <c r="N11" i="42"/>
  <c r="M11" i="42"/>
  <c r="L11" i="42"/>
  <c r="K11" i="42"/>
  <c r="K42" i="42" s="1"/>
  <c r="J11" i="42"/>
  <c r="I11" i="42"/>
  <c r="I42" i="42" s="1"/>
  <c r="H11" i="42"/>
  <c r="H42" i="42" s="1"/>
  <c r="G11" i="42"/>
  <c r="G42" i="42" s="1"/>
  <c r="F11" i="42"/>
  <c r="F42" i="42" s="1"/>
  <c r="E11" i="42"/>
  <c r="D11" i="42"/>
  <c r="D32" i="85" s="1"/>
  <c r="C11" i="42"/>
  <c r="C32" i="85" s="1"/>
  <c r="B11" i="42"/>
  <c r="B32" i="85" s="1"/>
  <c r="D22" i="42"/>
  <c r="C22" i="42"/>
  <c r="N7" i="42"/>
  <c r="M7" i="42"/>
  <c r="L7" i="42"/>
  <c r="K7" i="42"/>
  <c r="J7" i="42"/>
  <c r="I7" i="42"/>
  <c r="H7" i="42"/>
  <c r="G7" i="42"/>
  <c r="F7" i="42"/>
  <c r="E7" i="42"/>
  <c r="D7" i="42"/>
  <c r="C7" i="42"/>
  <c r="B7" i="42"/>
  <c r="D21" i="42"/>
  <c r="C21" i="42"/>
  <c r="N6" i="42"/>
  <c r="B21" i="42" s="1"/>
  <c r="M6" i="42"/>
  <c r="L6" i="42"/>
  <c r="K6" i="42"/>
  <c r="J6" i="42"/>
  <c r="I6" i="42"/>
  <c r="H6" i="42"/>
  <c r="G6" i="42"/>
  <c r="F6" i="42"/>
  <c r="E6" i="42"/>
  <c r="D6" i="42"/>
  <c r="C6" i="42"/>
  <c r="B6" i="42"/>
  <c r="D19" i="42"/>
  <c r="C19" i="42"/>
  <c r="N4" i="42"/>
  <c r="B19" i="42" s="1"/>
  <c r="M4" i="42"/>
  <c r="L4" i="42"/>
  <c r="K4" i="42"/>
  <c r="J4" i="42"/>
  <c r="I4" i="42"/>
  <c r="H4" i="42"/>
  <c r="G4" i="42"/>
  <c r="F4" i="42"/>
  <c r="E4" i="42"/>
  <c r="D4" i="42"/>
  <c r="C4" i="42"/>
  <c r="B4" i="42"/>
  <c r="F21" i="45"/>
  <c r="G21" i="45" s="1"/>
  <c r="C24" i="45"/>
  <c r="N10" i="45"/>
  <c r="M10" i="45"/>
  <c r="L10" i="45"/>
  <c r="K10" i="45"/>
  <c r="J10" i="45"/>
  <c r="I10" i="45"/>
  <c r="H10" i="45"/>
  <c r="G10" i="45"/>
  <c r="F10" i="45"/>
  <c r="E10" i="45"/>
  <c r="D10" i="45"/>
  <c r="C10" i="45"/>
  <c r="B10" i="45"/>
  <c r="D21" i="45"/>
  <c r="N7" i="45"/>
  <c r="M7" i="45"/>
  <c r="L7" i="45"/>
  <c r="K7" i="45"/>
  <c r="J7" i="45"/>
  <c r="I7" i="45"/>
  <c r="H7" i="45"/>
  <c r="G7" i="45"/>
  <c r="F7" i="45"/>
  <c r="E7" i="45"/>
  <c r="D7" i="45"/>
  <c r="C7" i="45"/>
  <c r="B7" i="45"/>
  <c r="D20" i="45"/>
  <c r="C20" i="45"/>
  <c r="N6" i="45"/>
  <c r="B20" i="45" s="1"/>
  <c r="M6" i="45"/>
  <c r="L6" i="45"/>
  <c r="K6" i="45"/>
  <c r="J6" i="45"/>
  <c r="I6" i="45"/>
  <c r="H6" i="45"/>
  <c r="G6" i="45"/>
  <c r="F6" i="45"/>
  <c r="E6" i="45"/>
  <c r="D6" i="45"/>
  <c r="C6" i="45"/>
  <c r="B6" i="45"/>
  <c r="C18" i="45"/>
  <c r="N4" i="45"/>
  <c r="M4" i="45"/>
  <c r="L4" i="45"/>
  <c r="K4" i="45"/>
  <c r="J4" i="45"/>
  <c r="I4" i="45"/>
  <c r="H4" i="45"/>
  <c r="G4" i="45"/>
  <c r="F4" i="45"/>
  <c r="E4" i="45"/>
  <c r="D4" i="45"/>
  <c r="C4" i="45"/>
  <c r="B4" i="45"/>
  <c r="F21" i="44"/>
  <c r="N10" i="44"/>
  <c r="M10" i="44"/>
  <c r="L10" i="44"/>
  <c r="K10" i="44"/>
  <c r="J10" i="44"/>
  <c r="I10" i="44"/>
  <c r="H10" i="44"/>
  <c r="G10" i="44"/>
  <c r="F10" i="44"/>
  <c r="E10" i="44"/>
  <c r="D10" i="44"/>
  <c r="C10" i="44"/>
  <c r="B10" i="44"/>
  <c r="D21" i="44"/>
  <c r="N7" i="44"/>
  <c r="B21" i="44" s="1"/>
  <c r="M7" i="44"/>
  <c r="L7" i="44"/>
  <c r="K7" i="44"/>
  <c r="J7" i="44"/>
  <c r="I7" i="44"/>
  <c r="H7" i="44"/>
  <c r="G7" i="44"/>
  <c r="F7" i="44"/>
  <c r="E7" i="44"/>
  <c r="D7" i="44"/>
  <c r="C7" i="44"/>
  <c r="B7" i="44"/>
  <c r="D20" i="44"/>
  <c r="C20" i="44"/>
  <c r="N6" i="44"/>
  <c r="B20" i="44" s="1"/>
  <c r="M6" i="44"/>
  <c r="L6" i="44"/>
  <c r="K6" i="44"/>
  <c r="J6" i="44"/>
  <c r="I6" i="44"/>
  <c r="H6" i="44"/>
  <c r="G6" i="44"/>
  <c r="F6" i="44"/>
  <c r="E6" i="44"/>
  <c r="D6" i="44"/>
  <c r="C6" i="44"/>
  <c r="B6" i="44"/>
  <c r="N4" i="44"/>
  <c r="B18" i="44" s="1"/>
  <c r="M4" i="44"/>
  <c r="L4" i="44"/>
  <c r="K4" i="44"/>
  <c r="J4" i="44"/>
  <c r="I4" i="44"/>
  <c r="H4" i="44"/>
  <c r="G4" i="44"/>
  <c r="F4" i="44"/>
  <c r="E4" i="44"/>
  <c r="D4" i="44"/>
  <c r="C4" i="44"/>
  <c r="B4" i="44"/>
  <c r="E21" i="43"/>
  <c r="P30" i="85"/>
  <c r="N16" i="41"/>
  <c r="N30" i="85" s="1"/>
  <c r="M16" i="41"/>
  <c r="M30" i="85" s="1"/>
  <c r="L16" i="41"/>
  <c r="K16" i="41"/>
  <c r="K30" i="85" s="1"/>
  <c r="J16" i="41"/>
  <c r="I16" i="41"/>
  <c r="I30" i="85" s="1"/>
  <c r="H16" i="41"/>
  <c r="H30" i="85" s="1"/>
  <c r="G16" i="41"/>
  <c r="G30" i="85" s="1"/>
  <c r="F16" i="41"/>
  <c r="F30" i="85" s="1"/>
  <c r="E16" i="41"/>
  <c r="D16" i="41"/>
  <c r="C16" i="41"/>
  <c r="B16" i="41"/>
  <c r="D30" i="41"/>
  <c r="C30" i="41"/>
  <c r="N10" i="41"/>
  <c r="B30" i="41" s="1"/>
  <c r="M10" i="41"/>
  <c r="L10" i="41"/>
  <c r="K10" i="41"/>
  <c r="J10" i="41"/>
  <c r="I10" i="41"/>
  <c r="H10" i="41"/>
  <c r="G10" i="41"/>
  <c r="F10" i="41"/>
  <c r="E10" i="41"/>
  <c r="D10" i="41"/>
  <c r="C10" i="41"/>
  <c r="B10" i="41"/>
  <c r="D29" i="41"/>
  <c r="C29" i="41"/>
  <c r="N9" i="41"/>
  <c r="B29" i="41" s="1"/>
  <c r="M9" i="41"/>
  <c r="L9" i="41"/>
  <c r="K9" i="41"/>
  <c r="J9" i="41"/>
  <c r="I9" i="41"/>
  <c r="H9" i="41"/>
  <c r="G9" i="41"/>
  <c r="F9" i="41"/>
  <c r="E9" i="41"/>
  <c r="D9" i="41"/>
  <c r="C9" i="41"/>
  <c r="B9" i="41"/>
  <c r="D28" i="41"/>
  <c r="C28" i="41"/>
  <c r="N8" i="41"/>
  <c r="B28" i="41" s="1"/>
  <c r="M8" i="41"/>
  <c r="L8" i="41"/>
  <c r="K8" i="41"/>
  <c r="J8" i="41"/>
  <c r="I8" i="41"/>
  <c r="H8" i="41"/>
  <c r="G8" i="41"/>
  <c r="F8" i="41"/>
  <c r="E8" i="41"/>
  <c r="D8" i="41"/>
  <c r="C8" i="41"/>
  <c r="B8" i="41"/>
  <c r="N7" i="41"/>
  <c r="B27" i="41" s="1"/>
  <c r="M7" i="41"/>
  <c r="L7" i="41"/>
  <c r="K7" i="41"/>
  <c r="J7" i="41"/>
  <c r="I7" i="41"/>
  <c r="H7" i="41"/>
  <c r="G7" i="41"/>
  <c r="F7" i="41"/>
  <c r="E7" i="41"/>
  <c r="D7" i="41"/>
  <c r="C7" i="41"/>
  <c r="B7" i="41"/>
  <c r="C26" i="41"/>
  <c r="N6" i="41"/>
  <c r="M6" i="41"/>
  <c r="L6" i="41"/>
  <c r="K6" i="41"/>
  <c r="J6" i="41"/>
  <c r="I6" i="41"/>
  <c r="H6" i="41"/>
  <c r="G6" i="41"/>
  <c r="F6" i="41"/>
  <c r="E6" i="41"/>
  <c r="D6" i="41"/>
  <c r="C6" i="41"/>
  <c r="B6" i="41"/>
  <c r="D24" i="41"/>
  <c r="N4" i="41"/>
  <c r="M4" i="41"/>
  <c r="L4" i="41"/>
  <c r="K4" i="41"/>
  <c r="J4" i="41"/>
  <c r="I4" i="41"/>
  <c r="H4" i="41"/>
  <c r="G4" i="41"/>
  <c r="F4" i="41"/>
  <c r="E4" i="41"/>
  <c r="D4" i="41"/>
  <c r="C4" i="41"/>
  <c r="B4" i="41"/>
  <c r="C21" i="40"/>
  <c r="N8" i="40"/>
  <c r="B21" i="40" s="1"/>
  <c r="M8" i="40"/>
  <c r="L8" i="40"/>
  <c r="K8" i="40"/>
  <c r="I8" i="40"/>
  <c r="H8" i="40"/>
  <c r="G8" i="40"/>
  <c r="F8" i="40"/>
  <c r="E8" i="40"/>
  <c r="D8" i="40"/>
  <c r="C8" i="40"/>
  <c r="B8" i="40"/>
  <c r="D19" i="40"/>
  <c r="C19" i="40"/>
  <c r="N6" i="40"/>
  <c r="B19" i="40" s="1"/>
  <c r="M6" i="40"/>
  <c r="L6" i="40"/>
  <c r="K6" i="40"/>
  <c r="J6" i="40"/>
  <c r="I6" i="40"/>
  <c r="H6" i="40"/>
  <c r="G6" i="40"/>
  <c r="F6" i="40"/>
  <c r="E6" i="40"/>
  <c r="D6" i="40"/>
  <c r="C6" i="40"/>
  <c r="B6" i="40"/>
  <c r="C18" i="40"/>
  <c r="N5" i="40"/>
  <c r="B18" i="40" s="1"/>
  <c r="M5" i="40"/>
  <c r="L5" i="40"/>
  <c r="K5" i="40"/>
  <c r="J5" i="40"/>
  <c r="I5" i="40"/>
  <c r="H5" i="40"/>
  <c r="G5" i="40"/>
  <c r="F5" i="40"/>
  <c r="E5" i="40"/>
  <c r="D5" i="40"/>
  <c r="C5" i="40"/>
  <c r="B5" i="40"/>
  <c r="D17" i="40"/>
  <c r="C17" i="40"/>
  <c r="N4" i="40"/>
  <c r="M4" i="40"/>
  <c r="L4" i="40"/>
  <c r="K4" i="40"/>
  <c r="J4" i="40"/>
  <c r="I4" i="40"/>
  <c r="H4" i="40"/>
  <c r="G4" i="40"/>
  <c r="F4" i="40"/>
  <c r="E4" i="40"/>
  <c r="D4" i="40"/>
  <c r="C4" i="40"/>
  <c r="B4" i="40"/>
  <c r="D23" i="39"/>
  <c r="C23" i="39"/>
  <c r="P20" i="39"/>
  <c r="O20" i="39"/>
  <c r="N20" i="39"/>
  <c r="M20" i="39"/>
  <c r="L20" i="39"/>
  <c r="K20" i="39"/>
  <c r="J20" i="39"/>
  <c r="I20" i="39"/>
  <c r="H20" i="39"/>
  <c r="G20" i="39"/>
  <c r="F20" i="39"/>
  <c r="E20" i="39"/>
  <c r="R20" i="39" s="1"/>
  <c r="C25" i="39"/>
  <c r="N9" i="39"/>
  <c r="M9" i="39"/>
  <c r="L9" i="39"/>
  <c r="K9" i="39"/>
  <c r="J9" i="39"/>
  <c r="I9" i="39"/>
  <c r="H9" i="39"/>
  <c r="G9" i="39"/>
  <c r="F9" i="39"/>
  <c r="E9" i="39"/>
  <c r="D9" i="39"/>
  <c r="C9" i="39"/>
  <c r="B9" i="39"/>
  <c r="D22" i="39"/>
  <c r="C24" i="39"/>
  <c r="N8" i="39"/>
  <c r="B24" i="39" s="1"/>
  <c r="M8" i="39"/>
  <c r="L8" i="39"/>
  <c r="K8" i="39"/>
  <c r="J8" i="39"/>
  <c r="I8" i="39"/>
  <c r="H8" i="39"/>
  <c r="G8" i="39"/>
  <c r="F8" i="39"/>
  <c r="E8" i="39"/>
  <c r="D8" i="39"/>
  <c r="C8" i="39"/>
  <c r="B8" i="39"/>
  <c r="N7" i="39"/>
  <c r="B23" i="39" s="1"/>
  <c r="M7" i="39"/>
  <c r="L7" i="39"/>
  <c r="K7" i="39"/>
  <c r="J7" i="39"/>
  <c r="I7" i="39"/>
  <c r="H7" i="39"/>
  <c r="G7" i="39"/>
  <c r="F7" i="39"/>
  <c r="E7" i="39"/>
  <c r="D7" i="39"/>
  <c r="C7" i="39"/>
  <c r="B7" i="39"/>
  <c r="P44" i="38"/>
  <c r="O44" i="38"/>
  <c r="N44" i="38"/>
  <c r="M44" i="38"/>
  <c r="L44" i="38"/>
  <c r="K44" i="38"/>
  <c r="J44" i="38"/>
  <c r="I44" i="38"/>
  <c r="H44" i="38"/>
  <c r="G44" i="38"/>
  <c r="F44" i="38"/>
  <c r="E44" i="38"/>
  <c r="O38" i="38"/>
  <c r="N38" i="38"/>
  <c r="L38" i="38"/>
  <c r="K38" i="38"/>
  <c r="I38" i="38"/>
  <c r="H38" i="38"/>
  <c r="F38" i="38"/>
  <c r="E38" i="38"/>
  <c r="B38" i="38"/>
  <c r="R37" i="38"/>
  <c r="D37" i="38"/>
  <c r="C37" i="38"/>
  <c r="B37" i="38"/>
  <c r="B35" i="38"/>
  <c r="B34" i="38"/>
  <c r="B33" i="38"/>
  <c r="B32" i="38"/>
  <c r="O31" i="38"/>
  <c r="N31" i="38"/>
  <c r="L31" i="38"/>
  <c r="K31" i="38"/>
  <c r="I31" i="38"/>
  <c r="H31" i="38"/>
  <c r="F31" i="38"/>
  <c r="E31" i="38"/>
  <c r="B31" i="38"/>
  <c r="R29" i="38"/>
  <c r="P29" i="38"/>
  <c r="O29" i="38"/>
  <c r="N29" i="38"/>
  <c r="M29" i="38"/>
  <c r="L29" i="38"/>
  <c r="K29" i="38"/>
  <c r="J29" i="38"/>
  <c r="I29" i="38"/>
  <c r="H29" i="38"/>
  <c r="G29" i="38"/>
  <c r="F29" i="38"/>
  <c r="B29" i="38"/>
  <c r="R27" i="38"/>
  <c r="P27" i="38"/>
  <c r="O27" i="38"/>
  <c r="N27" i="38"/>
  <c r="M27" i="38"/>
  <c r="L27" i="38"/>
  <c r="K27" i="38"/>
  <c r="J27" i="38"/>
  <c r="I27" i="38"/>
  <c r="H27" i="38"/>
  <c r="G27" i="38"/>
  <c r="F27" i="38"/>
  <c r="E27" i="38"/>
  <c r="R26" i="38"/>
  <c r="D26" i="38"/>
  <c r="C26" i="38"/>
  <c r="B26" i="38"/>
  <c r="R25" i="38"/>
  <c r="B25" i="38"/>
  <c r="N17" i="38"/>
  <c r="N16" i="38"/>
  <c r="M16" i="38"/>
  <c r="L16" i="38"/>
  <c r="K16" i="38"/>
  <c r="J16" i="38"/>
  <c r="I16" i="38"/>
  <c r="H16" i="38"/>
  <c r="G16" i="38"/>
  <c r="F16" i="38"/>
  <c r="E16" i="38"/>
  <c r="D16" i="38"/>
  <c r="C16" i="38"/>
  <c r="B16" i="38"/>
  <c r="N14" i="38"/>
  <c r="N13" i="38"/>
  <c r="D33" i="38"/>
  <c r="C33" i="38"/>
  <c r="N12" i="38"/>
  <c r="M12" i="38"/>
  <c r="L12" i="38"/>
  <c r="K12" i="38"/>
  <c r="J12" i="38"/>
  <c r="I12" i="38"/>
  <c r="H12" i="38"/>
  <c r="G12" i="38"/>
  <c r="F12" i="38"/>
  <c r="E12" i="38"/>
  <c r="D12" i="38"/>
  <c r="C12" i="38"/>
  <c r="B12" i="38"/>
  <c r="N11" i="38"/>
  <c r="M11" i="38"/>
  <c r="L11" i="38"/>
  <c r="K11" i="38"/>
  <c r="J11" i="38"/>
  <c r="I11" i="38"/>
  <c r="H11" i="38"/>
  <c r="G11" i="38"/>
  <c r="F11" i="38"/>
  <c r="E11" i="38"/>
  <c r="D11" i="38"/>
  <c r="C11" i="38"/>
  <c r="B11" i="38"/>
  <c r="D31" i="38"/>
  <c r="C31" i="38"/>
  <c r="N10" i="38"/>
  <c r="M10" i="38"/>
  <c r="L10" i="38"/>
  <c r="K10" i="38"/>
  <c r="J10" i="38"/>
  <c r="I10" i="38"/>
  <c r="H10" i="38"/>
  <c r="G10" i="38"/>
  <c r="F10" i="38"/>
  <c r="E10" i="38"/>
  <c r="D10" i="38"/>
  <c r="C10" i="38"/>
  <c r="B10" i="38"/>
  <c r="D29" i="38"/>
  <c r="C29" i="38"/>
  <c r="N8" i="38"/>
  <c r="M8" i="38"/>
  <c r="L8" i="38"/>
  <c r="K8" i="38"/>
  <c r="J8" i="38"/>
  <c r="I8" i="38"/>
  <c r="H8" i="38"/>
  <c r="G8" i="38"/>
  <c r="F8" i="38"/>
  <c r="E8" i="38"/>
  <c r="D8" i="38"/>
  <c r="C8" i="38"/>
  <c r="B8" i="38"/>
  <c r="N5" i="38"/>
  <c r="M5" i="38"/>
  <c r="L5" i="38"/>
  <c r="K5" i="38"/>
  <c r="J5" i="38"/>
  <c r="I5" i="38"/>
  <c r="H5" i="38"/>
  <c r="G5" i="38"/>
  <c r="F5" i="38"/>
  <c r="E5" i="38"/>
  <c r="D5" i="38"/>
  <c r="C5" i="38"/>
  <c r="B5" i="38"/>
  <c r="D25" i="38"/>
  <c r="C27" i="38"/>
  <c r="N4" i="38"/>
  <c r="M4" i="38"/>
  <c r="L4" i="38"/>
  <c r="K4" i="38"/>
  <c r="J4" i="38"/>
  <c r="I4" i="38"/>
  <c r="H4" i="38"/>
  <c r="G4" i="38"/>
  <c r="F4" i="38"/>
  <c r="E4" i="38"/>
  <c r="D4" i="38"/>
  <c r="C4" i="38"/>
  <c r="B4" i="38"/>
  <c r="P40" i="37"/>
  <c r="O40" i="37"/>
  <c r="N40" i="37"/>
  <c r="M40" i="37"/>
  <c r="L40" i="37"/>
  <c r="K40" i="37"/>
  <c r="J40" i="37"/>
  <c r="I40" i="37"/>
  <c r="H40" i="37"/>
  <c r="G40" i="37"/>
  <c r="F40" i="37"/>
  <c r="E40" i="37"/>
  <c r="O34" i="37"/>
  <c r="N34" i="37"/>
  <c r="L34" i="37"/>
  <c r="K34" i="37"/>
  <c r="I34" i="37"/>
  <c r="H34" i="37"/>
  <c r="F34" i="37"/>
  <c r="E34" i="37"/>
  <c r="C28" i="37"/>
  <c r="R27" i="37"/>
  <c r="P27" i="37"/>
  <c r="O27" i="37"/>
  <c r="N27" i="37"/>
  <c r="M27" i="37"/>
  <c r="L27" i="37"/>
  <c r="K27" i="37"/>
  <c r="J27" i="37"/>
  <c r="I27" i="37"/>
  <c r="H27" i="37"/>
  <c r="G27" i="37"/>
  <c r="F27" i="37"/>
  <c r="R25" i="37"/>
  <c r="P25" i="37"/>
  <c r="O25" i="37"/>
  <c r="N25" i="37"/>
  <c r="M25" i="37"/>
  <c r="L25" i="37"/>
  <c r="K25" i="37"/>
  <c r="J25" i="37"/>
  <c r="I25" i="37"/>
  <c r="H25" i="37"/>
  <c r="G25" i="37"/>
  <c r="F25" i="37"/>
  <c r="E25" i="37"/>
  <c r="R24" i="37"/>
  <c r="P24" i="37"/>
  <c r="O24" i="37"/>
  <c r="N24" i="37"/>
  <c r="M24" i="37"/>
  <c r="L24" i="37"/>
  <c r="K24" i="37"/>
  <c r="J24" i="37"/>
  <c r="I24" i="37"/>
  <c r="H24" i="37"/>
  <c r="G24" i="37"/>
  <c r="F24" i="37"/>
  <c r="R23" i="37"/>
  <c r="C30" i="37"/>
  <c r="N11" i="37"/>
  <c r="B30" i="37" s="1"/>
  <c r="M11" i="37"/>
  <c r="L11" i="37"/>
  <c r="K11" i="37"/>
  <c r="J11" i="37"/>
  <c r="I11" i="37"/>
  <c r="H11" i="37"/>
  <c r="G11" i="37"/>
  <c r="F11" i="37"/>
  <c r="E11" i="37"/>
  <c r="D11" i="37"/>
  <c r="C11" i="37"/>
  <c r="B11" i="37"/>
  <c r="N10" i="37"/>
  <c r="B29" i="37" s="1"/>
  <c r="M10" i="37"/>
  <c r="L10" i="37"/>
  <c r="K10" i="37"/>
  <c r="J10" i="37"/>
  <c r="I10" i="37"/>
  <c r="H10" i="37"/>
  <c r="G10" i="37"/>
  <c r="F10" i="37"/>
  <c r="E10" i="37"/>
  <c r="D10" i="37"/>
  <c r="C10" i="37"/>
  <c r="B10" i="37"/>
  <c r="N9" i="37"/>
  <c r="B28" i="37" s="1"/>
  <c r="M9" i="37"/>
  <c r="M8" i="37" s="1"/>
  <c r="L9" i="37"/>
  <c r="L8" i="37" s="1"/>
  <c r="K9" i="37"/>
  <c r="K8" i="37" s="1"/>
  <c r="J9" i="37"/>
  <c r="J8" i="37" s="1"/>
  <c r="I9" i="37"/>
  <c r="I8" i="37" s="1"/>
  <c r="H9" i="37"/>
  <c r="H8" i="37" s="1"/>
  <c r="G9" i="37"/>
  <c r="G8" i="37" s="1"/>
  <c r="F9" i="37"/>
  <c r="F8" i="37" s="1"/>
  <c r="E9" i="37"/>
  <c r="E8" i="37" s="1"/>
  <c r="D9" i="37"/>
  <c r="D8" i="37" s="1"/>
  <c r="C9" i="37"/>
  <c r="C8" i="37" s="1"/>
  <c r="B9" i="37"/>
  <c r="B8" i="37" s="1"/>
  <c r="N8" i="37"/>
  <c r="C24" i="37"/>
  <c r="N5" i="37"/>
  <c r="B24" i="37" s="1"/>
  <c r="M5" i="37"/>
  <c r="L5" i="37"/>
  <c r="K5" i="37"/>
  <c r="J5" i="37"/>
  <c r="I5" i="37"/>
  <c r="H5" i="37"/>
  <c r="G5" i="37"/>
  <c r="F5" i="37"/>
  <c r="E5" i="37"/>
  <c r="D5" i="37"/>
  <c r="C5" i="37"/>
  <c r="B5" i="37"/>
  <c r="C23" i="37"/>
  <c r="N4" i="37"/>
  <c r="B23" i="37" s="1"/>
  <c r="M4" i="37"/>
  <c r="L4" i="37"/>
  <c r="K4" i="37"/>
  <c r="J4" i="37"/>
  <c r="I4" i="37"/>
  <c r="H4" i="37"/>
  <c r="G4" i="37"/>
  <c r="F4" i="37"/>
  <c r="E4" i="37"/>
  <c r="D4" i="37"/>
  <c r="C4" i="37"/>
  <c r="B4" i="37"/>
  <c r="S34" i="68"/>
  <c r="O34" i="68"/>
  <c r="K34" i="68"/>
  <c r="G34" i="68"/>
  <c r="C34" i="68"/>
  <c r="S33" i="68"/>
  <c r="R33" i="68"/>
  <c r="O33" i="68"/>
  <c r="N33" i="68"/>
  <c r="K33" i="68"/>
  <c r="J33" i="68"/>
  <c r="G33" i="68"/>
  <c r="F33" i="68"/>
  <c r="C33" i="68"/>
  <c r="B33" i="68"/>
  <c r="S32" i="68"/>
  <c r="O32" i="68"/>
  <c r="K32" i="68"/>
  <c r="G32" i="68"/>
  <c r="C32" i="68"/>
  <c r="R28" i="68"/>
  <c r="N28" i="68"/>
  <c r="J28" i="68"/>
  <c r="F28" i="68"/>
  <c r="C28" i="68"/>
  <c r="B28" i="68"/>
  <c r="C25" i="68"/>
  <c r="C21" i="68"/>
  <c r="S20" i="68"/>
  <c r="S21" i="68" s="1"/>
  <c r="P30" i="38" s="1"/>
  <c r="P31" i="38" s="1"/>
  <c r="P38" i="38" s="1"/>
  <c r="C17" i="68"/>
  <c r="C11" i="68"/>
  <c r="S7" i="68"/>
  <c r="S15" i="68" s="1"/>
  <c r="O7" i="68"/>
  <c r="O20" i="68" s="1"/>
  <c r="O21" i="68" s="1"/>
  <c r="M30" i="38" s="1"/>
  <c r="M31" i="38" s="1"/>
  <c r="M38" i="38" s="1"/>
  <c r="K7" i="68"/>
  <c r="K15" i="68" s="1"/>
  <c r="S4" i="68"/>
  <c r="S4" i="68" a="1"/>
  <c r="O4" i="68"/>
  <c r="O4" i="68" a="1"/>
  <c r="K4" i="68"/>
  <c r="K4" i="68" a="1"/>
  <c r="G4" i="68"/>
  <c r="G4" i="68" a="1"/>
  <c r="C4" i="68"/>
  <c r="C4" i="68" a="1"/>
  <c r="G3" i="68"/>
  <c r="S2" i="68"/>
  <c r="O2" i="68"/>
  <c r="K2" i="68"/>
  <c r="G2" i="68"/>
  <c r="G7" i="68" s="1"/>
  <c r="V40" i="6"/>
  <c r="R39" i="6"/>
  <c r="X38" i="6"/>
  <c r="X37" i="6"/>
  <c r="X36" i="6"/>
  <c r="X35" i="6"/>
  <c r="X34" i="6"/>
  <c r="X33" i="6"/>
  <c r="X32" i="6"/>
  <c r="X31" i="6"/>
  <c r="X30" i="6"/>
  <c r="C18" i="6"/>
  <c r="N4" i="6"/>
  <c r="M4" i="6"/>
  <c r="L4" i="6"/>
  <c r="L24" i="85" s="1"/>
  <c r="K4" i="6"/>
  <c r="J4" i="6"/>
  <c r="I4" i="6"/>
  <c r="H4" i="6"/>
  <c r="H24" i="85" s="1"/>
  <c r="G4" i="6"/>
  <c r="G24" i="85" s="1"/>
  <c r="F4" i="6"/>
  <c r="E4" i="6"/>
  <c r="E24" i="85" s="1"/>
  <c r="D4" i="6"/>
  <c r="D24" i="85" s="1"/>
  <c r="C4" i="6"/>
  <c r="B4" i="6"/>
  <c r="B25" i="27"/>
  <c r="B24" i="27"/>
  <c r="B23" i="27"/>
  <c r="N9" i="27"/>
  <c r="M9" i="27"/>
  <c r="L9" i="27"/>
  <c r="K9" i="27"/>
  <c r="J9" i="27"/>
  <c r="I9" i="27"/>
  <c r="H9" i="27"/>
  <c r="G9" i="27"/>
  <c r="F9" i="27"/>
  <c r="E9" i="27"/>
  <c r="D9" i="27"/>
  <c r="C9" i="27"/>
  <c r="B9" i="27"/>
  <c r="O6" i="27"/>
  <c r="N8" i="27"/>
  <c r="M8" i="27"/>
  <c r="L8" i="27"/>
  <c r="K8" i="27"/>
  <c r="J8" i="27"/>
  <c r="I8" i="27"/>
  <c r="H8" i="27"/>
  <c r="G8" i="27"/>
  <c r="F8" i="27"/>
  <c r="E8" i="27"/>
  <c r="D8" i="27"/>
  <c r="C8" i="27"/>
  <c r="B8" i="27"/>
  <c r="N7" i="27"/>
  <c r="M7" i="27"/>
  <c r="L7" i="27"/>
  <c r="K7" i="27"/>
  <c r="J7" i="27"/>
  <c r="I7" i="27"/>
  <c r="H7" i="27"/>
  <c r="G7" i="27"/>
  <c r="F7" i="27"/>
  <c r="E7" i="27"/>
  <c r="D7" i="27"/>
  <c r="C7" i="27"/>
  <c r="B7" i="27"/>
  <c r="N9" i="26"/>
  <c r="M9" i="26"/>
  <c r="L9" i="26"/>
  <c r="K9" i="26"/>
  <c r="J9" i="26"/>
  <c r="I9" i="26"/>
  <c r="H9" i="26"/>
  <c r="G9" i="26"/>
  <c r="F9" i="26"/>
  <c r="E9" i="26"/>
  <c r="D9" i="26"/>
  <c r="C9" i="26"/>
  <c r="B9" i="26"/>
  <c r="N8" i="26"/>
  <c r="M8" i="26"/>
  <c r="L8" i="26"/>
  <c r="K8" i="26"/>
  <c r="J8" i="26"/>
  <c r="I8" i="26"/>
  <c r="H8" i="26"/>
  <c r="G8" i="26"/>
  <c r="F8" i="26"/>
  <c r="E8" i="26"/>
  <c r="D8" i="26"/>
  <c r="C8" i="26"/>
  <c r="B8" i="26"/>
  <c r="C23" i="26"/>
  <c r="N7" i="26"/>
  <c r="B23" i="26" s="1"/>
  <c r="L7" i="26"/>
  <c r="K7" i="26"/>
  <c r="I7" i="26"/>
  <c r="H7" i="26"/>
  <c r="F7" i="26"/>
  <c r="E7" i="26"/>
  <c r="D7" i="26"/>
  <c r="C7" i="26"/>
  <c r="B7" i="26"/>
  <c r="C25" i="5"/>
  <c r="N9" i="5"/>
  <c r="B25" i="5" s="1"/>
  <c r="M9" i="5"/>
  <c r="L9" i="5"/>
  <c r="K9" i="5"/>
  <c r="J9" i="5"/>
  <c r="I9" i="5"/>
  <c r="H9" i="5"/>
  <c r="G9" i="5"/>
  <c r="F9" i="5"/>
  <c r="E9" i="5"/>
  <c r="D9" i="5"/>
  <c r="C9" i="5"/>
  <c r="B9" i="5"/>
  <c r="D8" i="5"/>
  <c r="C8" i="5"/>
  <c r="B8" i="5"/>
  <c r="D7" i="5"/>
  <c r="C7" i="5"/>
  <c r="B7" i="5"/>
  <c r="S62" i="9"/>
  <c r="S61" i="9"/>
  <c r="M56" i="9"/>
  <c r="E56" i="9"/>
  <c r="S52" i="9"/>
  <c r="B48" i="9"/>
  <c r="R47" i="9"/>
  <c r="D47" i="9"/>
  <c r="C47" i="9"/>
  <c r="B47" i="9"/>
  <c r="B45" i="9"/>
  <c r="S43" i="9"/>
  <c r="B43" i="9"/>
  <c r="S42" i="9"/>
  <c r="B42" i="9"/>
  <c r="B41" i="9"/>
  <c r="B40" i="9"/>
  <c r="S39" i="9"/>
  <c r="B39" i="9"/>
  <c r="S38" i="9"/>
  <c r="R38" i="9"/>
  <c r="J38" i="9"/>
  <c r="I38" i="9"/>
  <c r="H38" i="9"/>
  <c r="G38" i="9"/>
  <c r="F38" i="9"/>
  <c r="E38" i="9"/>
  <c r="B38" i="9"/>
  <c r="S37" i="9"/>
  <c r="O37" i="9"/>
  <c r="P37" i="9" s="1"/>
  <c r="M37" i="9"/>
  <c r="L37" i="9"/>
  <c r="I37" i="9"/>
  <c r="J37" i="9" s="1"/>
  <c r="F37" i="9"/>
  <c r="G37" i="9" s="1"/>
  <c r="R37" i="9" s="1"/>
  <c r="B37" i="9"/>
  <c r="S35" i="9"/>
  <c r="R35" i="9"/>
  <c r="R34" i="9"/>
  <c r="B34" i="9"/>
  <c r="P57" i="9"/>
  <c r="O57" i="9"/>
  <c r="N57" i="9"/>
  <c r="M57" i="9"/>
  <c r="L57" i="9"/>
  <c r="K57" i="9"/>
  <c r="J57" i="9"/>
  <c r="I57" i="9"/>
  <c r="H57" i="9"/>
  <c r="G56" i="9"/>
  <c r="F56" i="9"/>
  <c r="S32" i="9"/>
  <c r="B32" i="9"/>
  <c r="S31" i="9"/>
  <c r="B31" i="9"/>
  <c r="S30" i="9"/>
  <c r="B30" i="9"/>
  <c r="N22" i="9"/>
  <c r="M22" i="9"/>
  <c r="L22" i="9"/>
  <c r="K22" i="9"/>
  <c r="J22" i="9"/>
  <c r="I22" i="9"/>
  <c r="H22" i="9"/>
  <c r="G22" i="9"/>
  <c r="F22" i="9"/>
  <c r="E22" i="9"/>
  <c r="D22" i="9"/>
  <c r="C22" i="9"/>
  <c r="B22" i="9"/>
  <c r="N21" i="9"/>
  <c r="M21" i="9"/>
  <c r="L21" i="9"/>
  <c r="K21" i="9"/>
  <c r="J21" i="9"/>
  <c r="I21" i="9"/>
  <c r="H21" i="9"/>
  <c r="G21" i="9"/>
  <c r="F21" i="9"/>
  <c r="E21" i="9"/>
  <c r="D21" i="9"/>
  <c r="C21" i="9"/>
  <c r="B21" i="9"/>
  <c r="N19" i="9"/>
  <c r="M19" i="9"/>
  <c r="L19" i="9"/>
  <c r="K19" i="9"/>
  <c r="J19" i="9"/>
  <c r="I19" i="9"/>
  <c r="H19" i="9"/>
  <c r="G19" i="9"/>
  <c r="F19" i="9"/>
  <c r="E19" i="9"/>
  <c r="D19" i="9"/>
  <c r="C19" i="9"/>
  <c r="B19" i="9"/>
  <c r="N17" i="9"/>
  <c r="M17" i="9"/>
  <c r="L17" i="9"/>
  <c r="K17" i="9"/>
  <c r="J17" i="9"/>
  <c r="I17" i="9"/>
  <c r="H17" i="9"/>
  <c r="G17" i="9"/>
  <c r="F17" i="9"/>
  <c r="E17" i="9"/>
  <c r="D17" i="9"/>
  <c r="C17" i="9"/>
  <c r="B17" i="9"/>
  <c r="N16" i="9"/>
  <c r="M16" i="9"/>
  <c r="L16" i="9"/>
  <c r="K16" i="9"/>
  <c r="J16" i="9"/>
  <c r="I16" i="9"/>
  <c r="H16" i="9"/>
  <c r="G16" i="9"/>
  <c r="F16" i="9"/>
  <c r="E16" i="9"/>
  <c r="D16" i="9"/>
  <c r="C16" i="9"/>
  <c r="B16" i="9"/>
  <c r="N15" i="9"/>
  <c r="M15" i="9"/>
  <c r="L15" i="9"/>
  <c r="K15" i="9"/>
  <c r="J15" i="9"/>
  <c r="I15" i="9"/>
  <c r="H15" i="9"/>
  <c r="G15" i="9"/>
  <c r="F15" i="9"/>
  <c r="E15" i="9"/>
  <c r="D15" i="9"/>
  <c r="C15" i="9"/>
  <c r="B15" i="9"/>
  <c r="N14" i="9"/>
  <c r="M14" i="9"/>
  <c r="L14" i="9"/>
  <c r="K14" i="9"/>
  <c r="J14" i="9"/>
  <c r="I14" i="9"/>
  <c r="H14" i="9"/>
  <c r="G14" i="9"/>
  <c r="F14" i="9"/>
  <c r="E14" i="9"/>
  <c r="D14" i="9"/>
  <c r="C14" i="9"/>
  <c r="B14" i="9"/>
  <c r="N13" i="9"/>
  <c r="M13" i="9"/>
  <c r="L13" i="9"/>
  <c r="K13" i="9"/>
  <c r="J13" i="9"/>
  <c r="I13" i="9"/>
  <c r="H13" i="9"/>
  <c r="G13" i="9"/>
  <c r="F13" i="9"/>
  <c r="E13" i="9"/>
  <c r="D13" i="9"/>
  <c r="C13" i="9"/>
  <c r="B13" i="9"/>
  <c r="N12" i="9"/>
  <c r="M12" i="9"/>
  <c r="L12" i="9"/>
  <c r="K12" i="9"/>
  <c r="J12" i="9"/>
  <c r="I12" i="9"/>
  <c r="H12" i="9"/>
  <c r="G12" i="9"/>
  <c r="F12" i="9"/>
  <c r="E12" i="9"/>
  <c r="D12" i="9"/>
  <c r="C12" i="9"/>
  <c r="B12" i="9"/>
  <c r="N11" i="9"/>
  <c r="M11" i="9"/>
  <c r="L11" i="9"/>
  <c r="K11" i="9"/>
  <c r="J11" i="9"/>
  <c r="I11" i="9"/>
  <c r="H11" i="9"/>
  <c r="G11" i="9"/>
  <c r="F11" i="9"/>
  <c r="E11" i="9"/>
  <c r="D11" i="9"/>
  <c r="C11" i="9"/>
  <c r="B11" i="9"/>
  <c r="O8" i="4"/>
  <c r="N8" i="9"/>
  <c r="N8" i="4" s="1"/>
  <c r="M8" i="9"/>
  <c r="L8" i="9"/>
  <c r="K8" i="9"/>
  <c r="J8" i="9"/>
  <c r="I8" i="9"/>
  <c r="H8" i="9"/>
  <c r="G8" i="9"/>
  <c r="F8" i="9"/>
  <c r="E8" i="9"/>
  <c r="D8" i="9"/>
  <c r="C8" i="9"/>
  <c r="B8" i="9"/>
  <c r="O6" i="4"/>
  <c r="N6" i="9"/>
  <c r="M6" i="9"/>
  <c r="L6" i="9"/>
  <c r="K6" i="9"/>
  <c r="J6" i="9"/>
  <c r="I6" i="9"/>
  <c r="H6" i="9"/>
  <c r="G6" i="9"/>
  <c r="F6" i="9"/>
  <c r="E6" i="9"/>
  <c r="D6" i="9"/>
  <c r="C6" i="9"/>
  <c r="B6" i="9"/>
  <c r="N5" i="9"/>
  <c r="M5" i="9"/>
  <c r="L5" i="9"/>
  <c r="K5" i="9"/>
  <c r="J5" i="9"/>
  <c r="I5" i="9"/>
  <c r="H5" i="9"/>
  <c r="G5" i="9"/>
  <c r="F5" i="9"/>
  <c r="E5" i="9"/>
  <c r="D5" i="9"/>
  <c r="C5" i="9"/>
  <c r="B5" i="9"/>
  <c r="N4" i="9"/>
  <c r="M4" i="9"/>
  <c r="L4" i="9"/>
  <c r="K4" i="9"/>
  <c r="J4" i="9"/>
  <c r="I4" i="9"/>
  <c r="H4" i="9"/>
  <c r="G4" i="9"/>
  <c r="F4" i="9"/>
  <c r="E4" i="9"/>
  <c r="D4" i="9"/>
  <c r="C4" i="9"/>
  <c r="B4" i="9"/>
  <c r="S63" i="71"/>
  <c r="S62" i="71"/>
  <c r="R58" i="71"/>
  <c r="P58" i="71"/>
  <c r="O58" i="71"/>
  <c r="N58" i="71"/>
  <c r="M58" i="71"/>
  <c r="L58" i="71"/>
  <c r="K58" i="71"/>
  <c r="J58" i="71"/>
  <c r="I58" i="71"/>
  <c r="H58" i="71"/>
  <c r="G58" i="71"/>
  <c r="F58" i="71"/>
  <c r="E58" i="71"/>
  <c r="R57" i="71"/>
  <c r="P57" i="71"/>
  <c r="O57" i="71"/>
  <c r="N57" i="71"/>
  <c r="M57" i="71"/>
  <c r="L57" i="71"/>
  <c r="K57" i="71"/>
  <c r="J57" i="71"/>
  <c r="I57" i="71"/>
  <c r="H57" i="71"/>
  <c r="G57" i="71"/>
  <c r="F57" i="71"/>
  <c r="E57" i="71"/>
  <c r="R56" i="71"/>
  <c r="P56" i="71"/>
  <c r="O56" i="71"/>
  <c r="N56" i="71"/>
  <c r="M56" i="71"/>
  <c r="L56" i="71"/>
  <c r="K56" i="71"/>
  <c r="J56" i="71"/>
  <c r="I56" i="71"/>
  <c r="H56" i="71"/>
  <c r="G56" i="71"/>
  <c r="F56" i="71"/>
  <c r="E56" i="71"/>
  <c r="B48" i="71"/>
  <c r="R47" i="71"/>
  <c r="D47" i="71"/>
  <c r="C47" i="71"/>
  <c r="B47" i="71"/>
  <c r="B45" i="71"/>
  <c r="B44" i="71"/>
  <c r="B43" i="71"/>
  <c r="B42" i="71"/>
  <c r="D41" i="71"/>
  <c r="C41" i="71"/>
  <c r="B41" i="71"/>
  <c r="D40" i="71"/>
  <c r="C40" i="71"/>
  <c r="B40" i="71"/>
  <c r="R39" i="71"/>
  <c r="P39" i="71"/>
  <c r="O39" i="71"/>
  <c r="N39" i="71"/>
  <c r="M39" i="71"/>
  <c r="L39" i="71"/>
  <c r="K39" i="71"/>
  <c r="J39" i="71"/>
  <c r="I39" i="71"/>
  <c r="H39" i="71"/>
  <c r="B39" i="71"/>
  <c r="R38" i="71"/>
  <c r="M38" i="71"/>
  <c r="L38" i="71"/>
  <c r="K38" i="71"/>
  <c r="J38" i="71"/>
  <c r="I38" i="71"/>
  <c r="H38" i="71"/>
  <c r="G38" i="71"/>
  <c r="F38" i="71"/>
  <c r="E38" i="71"/>
  <c r="B38" i="71"/>
  <c r="R37" i="71"/>
  <c r="P37" i="71"/>
  <c r="O37" i="71"/>
  <c r="M37" i="71"/>
  <c r="L37" i="71"/>
  <c r="J37" i="71"/>
  <c r="I37" i="71"/>
  <c r="G37" i="71"/>
  <c r="F37" i="71"/>
  <c r="B37" i="71"/>
  <c r="R35" i="71"/>
  <c r="R34" i="71"/>
  <c r="P34" i="71"/>
  <c r="O34" i="71"/>
  <c r="N34" i="71"/>
  <c r="M34" i="71"/>
  <c r="L34" i="71"/>
  <c r="K34" i="71"/>
  <c r="J34" i="71"/>
  <c r="I34" i="71"/>
  <c r="H34" i="71"/>
  <c r="G34" i="71"/>
  <c r="F34" i="71"/>
  <c r="B34" i="71"/>
  <c r="R33" i="71"/>
  <c r="P33" i="71"/>
  <c r="O33" i="71"/>
  <c r="N33" i="71"/>
  <c r="M33" i="71"/>
  <c r="L33" i="71"/>
  <c r="K33" i="71"/>
  <c r="J33" i="71"/>
  <c r="I33" i="71"/>
  <c r="H33" i="71"/>
  <c r="G33" i="71"/>
  <c r="F33" i="71"/>
  <c r="E33" i="71"/>
  <c r="B32" i="71"/>
  <c r="B31" i="71"/>
  <c r="B30" i="71"/>
  <c r="N22" i="71"/>
  <c r="M22" i="71"/>
  <c r="L22" i="71"/>
  <c r="K22" i="71"/>
  <c r="J22" i="71"/>
  <c r="I22" i="71"/>
  <c r="H22" i="71"/>
  <c r="G22" i="71"/>
  <c r="F22" i="71"/>
  <c r="E22" i="71"/>
  <c r="D22" i="71"/>
  <c r="C22" i="71"/>
  <c r="B22" i="71"/>
  <c r="P21" i="71"/>
  <c r="O21" i="71"/>
  <c r="N21" i="71"/>
  <c r="M21" i="71"/>
  <c r="L21" i="71"/>
  <c r="K21" i="71"/>
  <c r="J21" i="71"/>
  <c r="I21" i="71"/>
  <c r="H21" i="71"/>
  <c r="G21" i="71"/>
  <c r="F21" i="71"/>
  <c r="E21" i="71"/>
  <c r="D21" i="71"/>
  <c r="C21" i="71"/>
  <c r="B21" i="71"/>
  <c r="N19" i="71"/>
  <c r="M19" i="71"/>
  <c r="L19" i="71"/>
  <c r="K19" i="71"/>
  <c r="J19" i="71"/>
  <c r="I19" i="71"/>
  <c r="H19" i="71"/>
  <c r="G19" i="71"/>
  <c r="F19" i="71"/>
  <c r="E19" i="71"/>
  <c r="D19" i="71"/>
  <c r="C19" i="71"/>
  <c r="B19" i="71"/>
  <c r="N18" i="71"/>
  <c r="M18" i="71"/>
  <c r="L18" i="71"/>
  <c r="K18" i="71"/>
  <c r="J18" i="71"/>
  <c r="I18" i="71"/>
  <c r="H18" i="71"/>
  <c r="G18" i="71"/>
  <c r="F18" i="71"/>
  <c r="E18" i="71"/>
  <c r="D18" i="71"/>
  <c r="C18" i="71"/>
  <c r="N17" i="71"/>
  <c r="M17" i="71"/>
  <c r="L17" i="71"/>
  <c r="K17" i="71"/>
  <c r="J17" i="71"/>
  <c r="I17" i="71"/>
  <c r="H17" i="71"/>
  <c r="G17" i="71"/>
  <c r="F17" i="71"/>
  <c r="E17" i="71"/>
  <c r="D17" i="71"/>
  <c r="C17" i="71"/>
  <c r="B17" i="71"/>
  <c r="N16" i="71"/>
  <c r="M16" i="71"/>
  <c r="L16" i="71"/>
  <c r="K16" i="71"/>
  <c r="J16" i="71"/>
  <c r="I16" i="71"/>
  <c r="H16" i="71"/>
  <c r="G16" i="71"/>
  <c r="F16" i="71"/>
  <c r="E16" i="71"/>
  <c r="D16" i="71"/>
  <c r="C16" i="71"/>
  <c r="B16" i="71"/>
  <c r="N15" i="71"/>
  <c r="M15" i="71"/>
  <c r="L15" i="71"/>
  <c r="K15" i="71"/>
  <c r="J15" i="71"/>
  <c r="I15" i="71"/>
  <c r="H15" i="71"/>
  <c r="G15" i="71"/>
  <c r="F15" i="71"/>
  <c r="E15" i="71"/>
  <c r="D15" i="71"/>
  <c r="C15" i="71"/>
  <c r="B15" i="71"/>
  <c r="O14" i="71"/>
  <c r="N14" i="71"/>
  <c r="M14" i="71"/>
  <c r="L14" i="71"/>
  <c r="K14" i="71"/>
  <c r="J14" i="71"/>
  <c r="I14" i="71"/>
  <c r="H14" i="71"/>
  <c r="G14" i="71"/>
  <c r="F14" i="71"/>
  <c r="E14" i="71"/>
  <c r="D14" i="71"/>
  <c r="C14" i="71"/>
  <c r="B14" i="71"/>
  <c r="N13" i="71"/>
  <c r="M13" i="71"/>
  <c r="L13" i="71"/>
  <c r="K13" i="71"/>
  <c r="J13" i="71"/>
  <c r="I13" i="71"/>
  <c r="H13" i="71"/>
  <c r="G13" i="71"/>
  <c r="F13" i="71"/>
  <c r="E13" i="71"/>
  <c r="D13" i="71"/>
  <c r="C13" i="71"/>
  <c r="B13" i="71"/>
  <c r="N12" i="71"/>
  <c r="M12" i="71"/>
  <c r="L12" i="71"/>
  <c r="K12" i="71"/>
  <c r="J12" i="71"/>
  <c r="I12" i="71"/>
  <c r="H12" i="71"/>
  <c r="G12" i="71"/>
  <c r="F12" i="71"/>
  <c r="E12" i="71"/>
  <c r="D12" i="71"/>
  <c r="C12" i="71"/>
  <c r="B12" i="71"/>
  <c r="N11" i="71"/>
  <c r="I11" i="71"/>
  <c r="G11" i="71"/>
  <c r="F11" i="71"/>
  <c r="E11" i="71"/>
  <c r="D11" i="71"/>
  <c r="C11" i="71"/>
  <c r="B11" i="71"/>
  <c r="M8" i="71"/>
  <c r="L8" i="71"/>
  <c r="K8" i="71"/>
  <c r="J8" i="71"/>
  <c r="I8" i="71"/>
  <c r="H8" i="71"/>
  <c r="G8" i="71"/>
  <c r="F8" i="71"/>
  <c r="E8" i="71"/>
  <c r="D8" i="71"/>
  <c r="C8" i="71"/>
  <c r="B8" i="71"/>
  <c r="N6" i="71"/>
  <c r="M6" i="71"/>
  <c r="L6" i="71"/>
  <c r="K6" i="71"/>
  <c r="J6" i="71"/>
  <c r="I6" i="71"/>
  <c r="H6" i="71"/>
  <c r="G6" i="71"/>
  <c r="F6" i="71"/>
  <c r="E6" i="71"/>
  <c r="D6" i="71"/>
  <c r="C6" i="71"/>
  <c r="B6" i="71"/>
  <c r="N5" i="71"/>
  <c r="M5" i="71"/>
  <c r="L5" i="71"/>
  <c r="K5" i="71"/>
  <c r="J5" i="71"/>
  <c r="I5" i="71"/>
  <c r="H5" i="71"/>
  <c r="G5" i="71"/>
  <c r="F5" i="71"/>
  <c r="E5" i="71"/>
  <c r="D5" i="71"/>
  <c r="C5" i="71"/>
  <c r="B5" i="71"/>
  <c r="N4" i="71"/>
  <c r="M4" i="71"/>
  <c r="M11" i="71" s="1"/>
  <c r="L4" i="71"/>
  <c r="K4" i="71"/>
  <c r="J4" i="71"/>
  <c r="J11" i="71" s="1"/>
  <c r="I4" i="71"/>
  <c r="H4" i="71"/>
  <c r="G4" i="71"/>
  <c r="F4" i="71"/>
  <c r="E4" i="71"/>
  <c r="D4" i="71"/>
  <c r="C4" i="71"/>
  <c r="B4" i="71"/>
  <c r="S63" i="8"/>
  <c r="S62" i="8"/>
  <c r="P57" i="8"/>
  <c r="O57" i="8"/>
  <c r="N57" i="8"/>
  <c r="M57" i="8"/>
  <c r="L57" i="8"/>
  <c r="K57" i="8"/>
  <c r="J57" i="8"/>
  <c r="I57" i="8"/>
  <c r="H57" i="8"/>
  <c r="G57" i="8"/>
  <c r="F57" i="8"/>
  <c r="E57" i="8"/>
  <c r="P56" i="8"/>
  <c r="O56" i="8"/>
  <c r="N56" i="8"/>
  <c r="M56" i="8"/>
  <c r="L56" i="8"/>
  <c r="K56" i="8"/>
  <c r="J56" i="8"/>
  <c r="I56" i="8"/>
  <c r="H56" i="8"/>
  <c r="G56" i="8"/>
  <c r="F56" i="8"/>
  <c r="E56" i="8"/>
  <c r="B48" i="8"/>
  <c r="R47" i="8"/>
  <c r="D47" i="8"/>
  <c r="C47" i="8"/>
  <c r="B47" i="8"/>
  <c r="B45" i="8"/>
  <c r="B44" i="8"/>
  <c r="B43" i="8"/>
  <c r="B42" i="8"/>
  <c r="D41" i="8"/>
  <c r="C41" i="8"/>
  <c r="B41" i="8"/>
  <c r="D40" i="8"/>
  <c r="C40" i="8"/>
  <c r="B40" i="8"/>
  <c r="B39" i="8"/>
  <c r="J38" i="8"/>
  <c r="I38" i="8"/>
  <c r="H38" i="8"/>
  <c r="G38" i="8"/>
  <c r="F38" i="8"/>
  <c r="B38" i="8"/>
  <c r="R37" i="8"/>
  <c r="P37" i="8"/>
  <c r="O37" i="8"/>
  <c r="M37" i="8"/>
  <c r="L37" i="8"/>
  <c r="J37" i="8"/>
  <c r="I37" i="8"/>
  <c r="G37" i="8"/>
  <c r="F37" i="8"/>
  <c r="B37" i="8"/>
  <c r="R35" i="8"/>
  <c r="R34" i="8"/>
  <c r="P34" i="8"/>
  <c r="O34" i="8"/>
  <c r="N34" i="8"/>
  <c r="M34" i="8"/>
  <c r="L34" i="8"/>
  <c r="K34" i="8"/>
  <c r="J34" i="8"/>
  <c r="I34" i="8"/>
  <c r="H34" i="8"/>
  <c r="G34" i="8"/>
  <c r="F34" i="8"/>
  <c r="B34" i="8"/>
  <c r="R33" i="8"/>
  <c r="B32" i="8"/>
  <c r="B31" i="8"/>
  <c r="B30" i="8"/>
  <c r="N22" i="8"/>
  <c r="M22" i="8"/>
  <c r="L22" i="8"/>
  <c r="K22" i="8"/>
  <c r="J22" i="8"/>
  <c r="I22" i="8"/>
  <c r="H22" i="8"/>
  <c r="G22" i="8"/>
  <c r="F22" i="8"/>
  <c r="E22" i="8"/>
  <c r="D22" i="8"/>
  <c r="C22" i="8"/>
  <c r="B22" i="8"/>
  <c r="N21" i="8"/>
  <c r="M21" i="8"/>
  <c r="L21" i="8"/>
  <c r="K21" i="8"/>
  <c r="J21" i="8"/>
  <c r="I21" i="8"/>
  <c r="H21" i="8"/>
  <c r="G21" i="8"/>
  <c r="F21" i="8"/>
  <c r="E21" i="8"/>
  <c r="D21" i="8"/>
  <c r="C21" i="8"/>
  <c r="B21" i="8"/>
  <c r="N19" i="8"/>
  <c r="M19" i="8"/>
  <c r="L19" i="8"/>
  <c r="K19" i="8"/>
  <c r="J19" i="8"/>
  <c r="I19" i="8"/>
  <c r="H19" i="8"/>
  <c r="G19" i="8"/>
  <c r="F19" i="8"/>
  <c r="E19" i="8"/>
  <c r="D19" i="8"/>
  <c r="C19" i="8"/>
  <c r="B19" i="8"/>
  <c r="N18" i="8"/>
  <c r="M18" i="8"/>
  <c r="L18" i="8"/>
  <c r="K18" i="8"/>
  <c r="J18" i="8"/>
  <c r="I18" i="8"/>
  <c r="H18" i="8"/>
  <c r="G18" i="8"/>
  <c r="F18" i="8"/>
  <c r="E18" i="8"/>
  <c r="D18" i="8"/>
  <c r="C18" i="8"/>
  <c r="N17" i="8"/>
  <c r="M17" i="8"/>
  <c r="L17" i="8"/>
  <c r="K17" i="8"/>
  <c r="J17" i="8"/>
  <c r="I17" i="8"/>
  <c r="H17" i="8"/>
  <c r="G17" i="8"/>
  <c r="F17" i="8"/>
  <c r="E17" i="8"/>
  <c r="D17" i="8"/>
  <c r="C17" i="8"/>
  <c r="B17" i="8"/>
  <c r="N16" i="8"/>
  <c r="M16" i="8"/>
  <c r="L16" i="8"/>
  <c r="K16" i="8"/>
  <c r="J16" i="8"/>
  <c r="I16" i="8"/>
  <c r="H16" i="8"/>
  <c r="G16" i="8"/>
  <c r="F16" i="8"/>
  <c r="E16" i="8"/>
  <c r="D16" i="8"/>
  <c r="C16" i="8"/>
  <c r="B16" i="8"/>
  <c r="N15" i="8"/>
  <c r="M15" i="8"/>
  <c r="L15" i="8"/>
  <c r="K15" i="8"/>
  <c r="J15" i="8"/>
  <c r="I15" i="8"/>
  <c r="H15" i="8"/>
  <c r="G15" i="8"/>
  <c r="F15" i="8"/>
  <c r="E15" i="8"/>
  <c r="D15" i="8"/>
  <c r="C15" i="8"/>
  <c r="B15" i="8"/>
  <c r="N14" i="8"/>
  <c r="M14" i="8"/>
  <c r="L14" i="8"/>
  <c r="K14" i="8"/>
  <c r="J14" i="8"/>
  <c r="I14" i="8"/>
  <c r="H14" i="8"/>
  <c r="G14" i="8"/>
  <c r="F14" i="8"/>
  <c r="E14" i="8"/>
  <c r="D14" i="8"/>
  <c r="C14" i="8"/>
  <c r="B14" i="8"/>
  <c r="N13" i="8"/>
  <c r="M13" i="8"/>
  <c r="L13" i="8"/>
  <c r="K13" i="8"/>
  <c r="J13" i="8"/>
  <c r="I13" i="8"/>
  <c r="H13" i="8"/>
  <c r="G13" i="8"/>
  <c r="F13" i="8"/>
  <c r="E13" i="8"/>
  <c r="D13" i="8"/>
  <c r="C13" i="8"/>
  <c r="B13" i="8"/>
  <c r="N12" i="8"/>
  <c r="M12" i="8"/>
  <c r="L12" i="8"/>
  <c r="K12" i="8"/>
  <c r="J12" i="8"/>
  <c r="I12" i="8"/>
  <c r="H12" i="8"/>
  <c r="G12" i="8"/>
  <c r="F12" i="8"/>
  <c r="E12" i="8"/>
  <c r="D12" i="8"/>
  <c r="C12" i="8"/>
  <c r="B12" i="8"/>
  <c r="N11" i="8"/>
  <c r="I11" i="8"/>
  <c r="G11" i="8"/>
  <c r="F11" i="8"/>
  <c r="E11" i="8"/>
  <c r="D11" i="8"/>
  <c r="C11" i="8"/>
  <c r="B11" i="8"/>
  <c r="M8" i="8"/>
  <c r="L8" i="8"/>
  <c r="K8" i="8"/>
  <c r="J8" i="8"/>
  <c r="I8" i="8"/>
  <c r="H8" i="8"/>
  <c r="G8" i="8"/>
  <c r="F8" i="8"/>
  <c r="E8" i="8"/>
  <c r="D8" i="8"/>
  <c r="C8" i="8"/>
  <c r="B8" i="8"/>
  <c r="N6" i="8"/>
  <c r="M6" i="8"/>
  <c r="L6" i="8"/>
  <c r="K6" i="8"/>
  <c r="J6" i="8"/>
  <c r="I6" i="8"/>
  <c r="H6" i="8"/>
  <c r="G6" i="8"/>
  <c r="F6" i="8"/>
  <c r="E6" i="8"/>
  <c r="D6" i="8"/>
  <c r="C6" i="8"/>
  <c r="B6" i="8"/>
  <c r="N5" i="8"/>
  <c r="M5" i="8"/>
  <c r="L5" i="8"/>
  <c r="K5" i="8"/>
  <c r="J5" i="8"/>
  <c r="I5" i="8"/>
  <c r="H5" i="8"/>
  <c r="G5" i="8"/>
  <c r="F5" i="8"/>
  <c r="E5" i="8"/>
  <c r="D5" i="8"/>
  <c r="C5" i="8"/>
  <c r="B5" i="8"/>
  <c r="N4" i="8"/>
  <c r="M4" i="8"/>
  <c r="L4" i="8"/>
  <c r="L11" i="8" s="1"/>
  <c r="K4" i="8"/>
  <c r="K11" i="8" s="1"/>
  <c r="J4" i="8"/>
  <c r="J11" i="8" s="1"/>
  <c r="I4" i="8"/>
  <c r="H4" i="8"/>
  <c r="G4" i="8"/>
  <c r="F4" i="8"/>
  <c r="E4" i="8"/>
  <c r="D4" i="8"/>
  <c r="C4" i="8"/>
  <c r="B4" i="8"/>
  <c r="R47" i="4"/>
  <c r="B45" i="4"/>
  <c r="B41" i="4"/>
  <c r="P34" i="4"/>
  <c r="O34" i="4"/>
  <c r="N34" i="4"/>
  <c r="M34" i="4"/>
  <c r="L34" i="4"/>
  <c r="K34" i="4"/>
  <c r="J34" i="4"/>
  <c r="I34" i="4"/>
  <c r="H34" i="4"/>
  <c r="G34" i="4"/>
  <c r="F34" i="4"/>
  <c r="E34" i="4"/>
  <c r="E30" i="9" s="1"/>
  <c r="F30" i="4"/>
  <c r="N19" i="4"/>
  <c r="M19" i="4"/>
  <c r="L19" i="4"/>
  <c r="K19" i="4"/>
  <c r="J19" i="4"/>
  <c r="I19" i="4"/>
  <c r="H19" i="4"/>
  <c r="G19" i="4"/>
  <c r="F19" i="4"/>
  <c r="E19" i="4"/>
  <c r="D19" i="4"/>
  <c r="C19" i="4"/>
  <c r="B19" i="4"/>
  <c r="N15" i="4"/>
  <c r="M15" i="4"/>
  <c r="L15" i="4"/>
  <c r="K15" i="4"/>
  <c r="J15" i="4"/>
  <c r="I15" i="4"/>
  <c r="H15" i="4"/>
  <c r="G15" i="4"/>
  <c r="F15" i="4"/>
  <c r="E15" i="4"/>
  <c r="D15" i="4"/>
  <c r="C15" i="4"/>
  <c r="B15" i="4"/>
  <c r="N49" i="25"/>
  <c r="M49" i="25"/>
  <c r="L49" i="25"/>
  <c r="P48" i="25"/>
  <c r="O48" i="25"/>
  <c r="N48" i="25"/>
  <c r="M48" i="25"/>
  <c r="L48" i="25"/>
  <c r="K48" i="25"/>
  <c r="J48" i="25"/>
  <c r="P46" i="25"/>
  <c r="P49" i="25" s="1"/>
  <c r="O46" i="25"/>
  <c r="N46" i="25"/>
  <c r="M46" i="25"/>
  <c r="L46" i="25"/>
  <c r="K46" i="25"/>
  <c r="J46" i="25"/>
  <c r="J49" i="25" s="1"/>
  <c r="I46" i="25"/>
  <c r="I49" i="25" s="1"/>
  <c r="H46" i="25"/>
  <c r="H49" i="25" s="1"/>
  <c r="G46" i="25"/>
  <c r="G49" i="25" s="1"/>
  <c r="F46" i="25"/>
  <c r="F49" i="25" s="1"/>
  <c r="E46" i="25"/>
  <c r="E49" i="25" s="1"/>
  <c r="S39" i="25"/>
  <c r="B39" i="25"/>
  <c r="B34" i="25"/>
  <c r="B33" i="25"/>
  <c r="B32" i="25"/>
  <c r="S31" i="25"/>
  <c r="O31" i="25"/>
  <c r="N31" i="25"/>
  <c r="B31" i="25"/>
  <c r="S30" i="25"/>
  <c r="M30" i="25"/>
  <c r="P30" i="25" s="1"/>
  <c r="L30" i="25"/>
  <c r="O30" i="25" s="1"/>
  <c r="O29" i="25" s="1"/>
  <c r="K30" i="25"/>
  <c r="N30" i="25" s="1"/>
  <c r="N29" i="25" s="1"/>
  <c r="J30" i="25"/>
  <c r="I30" i="25"/>
  <c r="H30" i="25"/>
  <c r="G30" i="25"/>
  <c r="F30" i="25"/>
  <c r="F29" i="25" s="1"/>
  <c r="E30" i="25"/>
  <c r="E29" i="25" s="1"/>
  <c r="B30" i="25"/>
  <c r="I29" i="25"/>
  <c r="H29" i="25"/>
  <c r="R27" i="25"/>
  <c r="R26" i="25"/>
  <c r="E25" i="24"/>
  <c r="B26" i="25"/>
  <c r="B26" i="1" s="1"/>
  <c r="S25" i="25"/>
  <c r="C25" i="25"/>
  <c r="B25" i="25"/>
  <c r="N18" i="25"/>
  <c r="M18" i="25"/>
  <c r="L18" i="25"/>
  <c r="K18" i="25"/>
  <c r="J18" i="25"/>
  <c r="I18" i="25"/>
  <c r="H18" i="25"/>
  <c r="G18" i="25"/>
  <c r="F18" i="25"/>
  <c r="E18" i="25"/>
  <c r="D18" i="25"/>
  <c r="C18" i="25"/>
  <c r="B18" i="25"/>
  <c r="N13" i="25"/>
  <c r="M13" i="25"/>
  <c r="L13" i="25"/>
  <c r="K13" i="25"/>
  <c r="J13" i="25"/>
  <c r="I13" i="25"/>
  <c r="H13" i="25"/>
  <c r="G13" i="25"/>
  <c r="F13" i="25"/>
  <c r="E13" i="25"/>
  <c r="D13" i="25"/>
  <c r="C13" i="25"/>
  <c r="B13" i="25"/>
  <c r="N12" i="25"/>
  <c r="M12" i="25"/>
  <c r="L12" i="25"/>
  <c r="K12" i="25"/>
  <c r="J12" i="25"/>
  <c r="I12" i="25"/>
  <c r="H12" i="25"/>
  <c r="G12" i="25"/>
  <c r="F12" i="25"/>
  <c r="E12" i="25"/>
  <c r="D12" i="25"/>
  <c r="C12" i="25"/>
  <c r="B12" i="25"/>
  <c r="N11" i="25"/>
  <c r="M11" i="25"/>
  <c r="L11" i="25"/>
  <c r="K11" i="25"/>
  <c r="J11" i="25"/>
  <c r="I11" i="25"/>
  <c r="H11" i="25"/>
  <c r="G11" i="25"/>
  <c r="F11" i="25"/>
  <c r="E11" i="25"/>
  <c r="D11" i="25"/>
  <c r="C11" i="25"/>
  <c r="B11" i="25"/>
  <c r="N10" i="25"/>
  <c r="M10" i="25"/>
  <c r="L10" i="25"/>
  <c r="K10" i="25"/>
  <c r="J10" i="25"/>
  <c r="I10" i="25"/>
  <c r="H10" i="25"/>
  <c r="G10" i="25"/>
  <c r="F10" i="25"/>
  <c r="E10" i="25"/>
  <c r="D10" i="25"/>
  <c r="C10" i="25"/>
  <c r="B10" i="25"/>
  <c r="N9" i="25"/>
  <c r="M9" i="25"/>
  <c r="L9" i="25"/>
  <c r="K9" i="25"/>
  <c r="J9" i="25"/>
  <c r="I9" i="25"/>
  <c r="H9" i="25"/>
  <c r="G9" i="25"/>
  <c r="F9" i="25"/>
  <c r="E9" i="25"/>
  <c r="D9" i="25"/>
  <c r="C9" i="25"/>
  <c r="B9" i="25"/>
  <c r="N5" i="25"/>
  <c r="N5" i="1" s="1"/>
  <c r="M5" i="25"/>
  <c r="L5" i="25"/>
  <c r="K5" i="25"/>
  <c r="J5" i="25"/>
  <c r="I5" i="25"/>
  <c r="H5" i="25"/>
  <c r="G5" i="25"/>
  <c r="F5" i="25"/>
  <c r="E5" i="25"/>
  <c r="D5" i="25"/>
  <c r="C5" i="25"/>
  <c r="B5" i="25"/>
  <c r="N4" i="25"/>
  <c r="M4" i="25"/>
  <c r="L4" i="25"/>
  <c r="K4" i="25"/>
  <c r="J4" i="25"/>
  <c r="I4" i="25"/>
  <c r="H4" i="25"/>
  <c r="G4" i="25"/>
  <c r="F4" i="25"/>
  <c r="E4" i="25"/>
  <c r="D4" i="25"/>
  <c r="C4" i="25"/>
  <c r="B4" i="25"/>
  <c r="B39" i="24"/>
  <c r="B37" i="24"/>
  <c r="B35" i="24"/>
  <c r="B34" i="24"/>
  <c r="B33" i="24"/>
  <c r="B32" i="24"/>
  <c r="O31" i="24"/>
  <c r="N31" i="24"/>
  <c r="B31" i="24"/>
  <c r="R30" i="24"/>
  <c r="P30" i="24"/>
  <c r="O30" i="24"/>
  <c r="N30" i="24"/>
  <c r="M30" i="24"/>
  <c r="L30" i="24"/>
  <c r="K30" i="24"/>
  <c r="J30" i="24"/>
  <c r="I30" i="24"/>
  <c r="H30" i="24"/>
  <c r="G30" i="24"/>
  <c r="F30" i="24"/>
  <c r="E30" i="24"/>
  <c r="B30" i="24"/>
  <c r="O29" i="24"/>
  <c r="N29" i="24"/>
  <c r="L29" i="24"/>
  <c r="K29" i="24"/>
  <c r="I29" i="24"/>
  <c r="H29" i="24"/>
  <c r="F29" i="24"/>
  <c r="R26" i="24"/>
  <c r="B25" i="24"/>
  <c r="N18" i="24"/>
  <c r="M18" i="24"/>
  <c r="L18" i="24"/>
  <c r="K18" i="24"/>
  <c r="J18" i="24"/>
  <c r="I18" i="24"/>
  <c r="H18" i="24"/>
  <c r="G18" i="24"/>
  <c r="F18" i="24"/>
  <c r="E18" i="24"/>
  <c r="D18" i="24"/>
  <c r="C18" i="24"/>
  <c r="B18" i="24"/>
  <c r="N16" i="24"/>
  <c r="M16" i="24"/>
  <c r="L16" i="24"/>
  <c r="K16" i="24"/>
  <c r="J16" i="24"/>
  <c r="I16" i="24"/>
  <c r="H16" i="24"/>
  <c r="G16" i="24"/>
  <c r="F16" i="24"/>
  <c r="D16" i="24"/>
  <c r="C16" i="24"/>
  <c r="B16" i="24"/>
  <c r="N14" i="24"/>
  <c r="M14" i="24"/>
  <c r="L14" i="24"/>
  <c r="K14" i="24"/>
  <c r="J14" i="24"/>
  <c r="I14" i="24"/>
  <c r="H14" i="24"/>
  <c r="G14" i="24"/>
  <c r="F14" i="24"/>
  <c r="E14" i="24"/>
  <c r="D14" i="24"/>
  <c r="C14" i="24"/>
  <c r="B14" i="24"/>
  <c r="N13" i="24"/>
  <c r="M13" i="24"/>
  <c r="L13" i="24"/>
  <c r="K13" i="24"/>
  <c r="J13" i="24"/>
  <c r="I13" i="24"/>
  <c r="H13" i="24"/>
  <c r="G13" i="24"/>
  <c r="F13" i="24"/>
  <c r="E13" i="24"/>
  <c r="D13" i="24"/>
  <c r="C13" i="24"/>
  <c r="B13" i="24"/>
  <c r="N12" i="24"/>
  <c r="M12" i="24"/>
  <c r="L12" i="24"/>
  <c r="K12" i="24"/>
  <c r="J12" i="24"/>
  <c r="I12" i="24"/>
  <c r="H12" i="24"/>
  <c r="G12" i="24"/>
  <c r="F12" i="24"/>
  <c r="E12" i="24"/>
  <c r="D12" i="24"/>
  <c r="C12" i="24"/>
  <c r="B12" i="24"/>
  <c r="N11" i="24"/>
  <c r="M11" i="24"/>
  <c r="L11" i="24"/>
  <c r="K11" i="24"/>
  <c r="J11" i="24"/>
  <c r="I11" i="24"/>
  <c r="H11" i="24"/>
  <c r="G11" i="24"/>
  <c r="F11" i="24"/>
  <c r="E11" i="24"/>
  <c r="D11" i="24"/>
  <c r="C11" i="24"/>
  <c r="B11" i="24"/>
  <c r="N10" i="24"/>
  <c r="M10" i="24"/>
  <c r="L10" i="24"/>
  <c r="K10" i="24"/>
  <c r="J10" i="24"/>
  <c r="I10" i="24"/>
  <c r="H10" i="24"/>
  <c r="G10" i="24"/>
  <c r="F10" i="24"/>
  <c r="E10" i="24"/>
  <c r="D10" i="24"/>
  <c r="C10" i="24"/>
  <c r="B10" i="24"/>
  <c r="O8" i="24"/>
  <c r="N9" i="24"/>
  <c r="M9" i="24"/>
  <c r="L9" i="24"/>
  <c r="K9" i="24"/>
  <c r="J9" i="24"/>
  <c r="I9" i="24"/>
  <c r="H9" i="24"/>
  <c r="G9" i="24"/>
  <c r="F9" i="24"/>
  <c r="E9" i="24"/>
  <c r="D9" i="24"/>
  <c r="C9" i="24"/>
  <c r="B9" i="24"/>
  <c r="M5" i="24"/>
  <c r="L5" i="24"/>
  <c r="K5" i="24"/>
  <c r="J5" i="24"/>
  <c r="I5" i="24"/>
  <c r="H5" i="24"/>
  <c r="G5" i="24"/>
  <c r="F5" i="24"/>
  <c r="E5" i="24"/>
  <c r="D5" i="24"/>
  <c r="C5" i="24"/>
  <c r="B5" i="24"/>
  <c r="N4" i="24"/>
  <c r="N6" i="24" s="1"/>
  <c r="M4" i="24"/>
  <c r="L4" i="24"/>
  <c r="K4" i="24"/>
  <c r="J4" i="24"/>
  <c r="I4" i="24"/>
  <c r="H4" i="24"/>
  <c r="G4" i="24"/>
  <c r="F4" i="24"/>
  <c r="E4" i="24"/>
  <c r="D4" i="24"/>
  <c r="C4" i="24"/>
  <c r="B4" i="24"/>
  <c r="P47" i="1"/>
  <c r="AJ82" i="85" s="1"/>
  <c r="M47" i="1"/>
  <c r="AG82" i="85" s="1"/>
  <c r="L47" i="1"/>
  <c r="AF82" i="85" s="1"/>
  <c r="K47" i="1"/>
  <c r="AE82" i="85" s="1"/>
  <c r="E47" i="1"/>
  <c r="Y82" i="85" s="1"/>
  <c r="B31" i="1"/>
  <c r="P27" i="1"/>
  <c r="M27" i="1"/>
  <c r="L27" i="1"/>
  <c r="K27" i="1"/>
  <c r="E27" i="1"/>
  <c r="R26" i="1"/>
  <c r="H47" i="1"/>
  <c r="AB82" i="85" s="1"/>
  <c r="M10" i="1"/>
  <c r="L10" i="1"/>
  <c r="K10" i="1"/>
  <c r="J10" i="1"/>
  <c r="I10" i="1"/>
  <c r="H10" i="1"/>
  <c r="G10" i="1"/>
  <c r="F10" i="1"/>
  <c r="E10" i="1"/>
  <c r="D10" i="1"/>
  <c r="C10" i="1"/>
  <c r="B10" i="1"/>
  <c r="H46" i="74"/>
  <c r="H44" i="74"/>
  <c r="C44" i="74"/>
  <c r="H43" i="74"/>
  <c r="C43" i="74"/>
  <c r="B43" i="74"/>
  <c r="H41" i="74"/>
  <c r="C41" i="74"/>
  <c r="H40" i="74"/>
  <c r="C40" i="74"/>
  <c r="C38" i="74"/>
  <c r="C37" i="74"/>
  <c r="H36" i="74"/>
  <c r="C36" i="74"/>
  <c r="H35" i="74"/>
  <c r="C35" i="74"/>
  <c r="H33" i="74"/>
  <c r="H32" i="74"/>
  <c r="C32" i="74"/>
  <c r="H24" i="74"/>
  <c r="H22" i="74"/>
  <c r="C22" i="74"/>
  <c r="H21" i="74"/>
  <c r="C21" i="74"/>
  <c r="H19" i="74"/>
  <c r="C19" i="74"/>
  <c r="H18" i="74"/>
  <c r="C18" i="74"/>
  <c r="C16" i="74"/>
  <c r="C15" i="74"/>
  <c r="C13" i="74"/>
  <c r="H12" i="74"/>
  <c r="C12" i="74"/>
  <c r="H11" i="74"/>
  <c r="C11" i="74"/>
  <c r="H10" i="74"/>
  <c r="C10" i="74"/>
  <c r="C9" i="74"/>
  <c r="H8" i="74"/>
  <c r="C8" i="74"/>
  <c r="C7" i="74"/>
  <c r="H6" i="74"/>
  <c r="C6" i="74"/>
  <c r="H4" i="74"/>
  <c r="C4" i="74"/>
  <c r="C34" i="67"/>
  <c r="C31" i="67"/>
  <c r="C25" i="67"/>
  <c r="O24" i="67"/>
  <c r="K24" i="67"/>
  <c r="G24" i="67"/>
  <c r="B24" i="67"/>
  <c r="C19" i="67"/>
  <c r="O18" i="67"/>
  <c r="K18" i="67"/>
  <c r="G18" i="67"/>
  <c r="B18" i="67"/>
  <c r="C12" i="67"/>
  <c r="P4" i="67" a="1"/>
  <c r="P4" i="67" s="1"/>
  <c r="L4" i="67" a="1"/>
  <c r="L4" i="67" s="1"/>
  <c r="H4" i="67" a="1"/>
  <c r="H4" i="67" s="1"/>
  <c r="D4" i="67" a="1"/>
  <c r="D4" i="67" s="1"/>
  <c r="L2" i="67"/>
  <c r="P33" i="73"/>
  <c r="O33" i="73"/>
  <c r="N33" i="73"/>
  <c r="M33" i="73"/>
  <c r="L33" i="73"/>
  <c r="K33" i="73"/>
  <c r="J33" i="73"/>
  <c r="I33" i="73"/>
  <c r="H33" i="73"/>
  <c r="G33" i="73"/>
  <c r="F33" i="73"/>
  <c r="E33" i="73"/>
  <c r="D33" i="73"/>
  <c r="C33" i="73"/>
  <c r="B33" i="73"/>
  <c r="N30" i="73"/>
  <c r="O19" i="73"/>
  <c r="AN11" i="73"/>
  <c r="U11" i="73"/>
  <c r="N8" i="73"/>
  <c r="AI5" i="73"/>
  <c r="AH5" i="73"/>
  <c r="AF5" i="73"/>
  <c r="AE5" i="73"/>
  <c r="AC5" i="73"/>
  <c r="AB5" i="73"/>
  <c r="Z5" i="73"/>
  <c r="Y5" i="73"/>
  <c r="AI4" i="73"/>
  <c r="AH4" i="73"/>
  <c r="AF4" i="73"/>
  <c r="AE4" i="73"/>
  <c r="AC4" i="73"/>
  <c r="AB4" i="73"/>
  <c r="Z4" i="73"/>
  <c r="Y4" i="73"/>
  <c r="AL59" i="69"/>
  <c r="AL58" i="69"/>
  <c r="AG54" i="69"/>
  <c r="AF54" i="69"/>
  <c r="P27" i="69"/>
  <c r="O27" i="69"/>
  <c r="N27" i="69"/>
  <c r="M27" i="69"/>
  <c r="L27" i="69"/>
  <c r="K27" i="69"/>
  <c r="J27" i="69"/>
  <c r="I27" i="69"/>
  <c r="H27" i="69"/>
  <c r="G27" i="69"/>
  <c r="F27" i="69"/>
  <c r="E27" i="69"/>
  <c r="D27" i="69"/>
  <c r="C27" i="69"/>
  <c r="B27" i="69"/>
  <c r="O24" i="69"/>
  <c r="AN9" i="69"/>
  <c r="U9" i="69"/>
  <c r="J202" i="14"/>
  <c r="J197" i="14"/>
  <c r="J195" i="14"/>
  <c r="J194" i="14"/>
  <c r="J193" i="14"/>
  <c r="J192" i="14"/>
  <c r="J191" i="14"/>
  <c r="J189" i="14"/>
  <c r="J188" i="14"/>
  <c r="J187" i="14"/>
  <c r="J185" i="14"/>
  <c r="J183" i="14"/>
  <c r="J182" i="14"/>
  <c r="J181" i="14"/>
  <c r="J180" i="14"/>
  <c r="J179" i="14"/>
  <c r="J178" i="14"/>
  <c r="J177" i="14"/>
  <c r="J176" i="14"/>
  <c r="J175" i="14"/>
  <c r="J174" i="14"/>
  <c r="J173" i="14"/>
  <c r="J171" i="14"/>
  <c r="J170" i="14"/>
  <c r="J165" i="14"/>
  <c r="J164" i="14"/>
  <c r="J163" i="14"/>
  <c r="J162" i="14"/>
  <c r="J161" i="14"/>
  <c r="J160" i="14"/>
  <c r="J159" i="14"/>
  <c r="J157" i="14"/>
  <c r="J151" i="14"/>
  <c r="J150" i="14"/>
  <c r="J149" i="14"/>
  <c r="J148" i="14"/>
  <c r="J147" i="14"/>
  <c r="J145" i="14"/>
  <c r="J143" i="14"/>
  <c r="J142" i="14"/>
  <c r="J140" i="14"/>
  <c r="J139" i="14"/>
  <c r="J138" i="14"/>
  <c r="J137" i="14"/>
  <c r="J134" i="14"/>
  <c r="J132" i="14"/>
  <c r="J127" i="14"/>
  <c r="J126" i="14"/>
  <c r="J125" i="14"/>
  <c r="J123" i="14"/>
  <c r="J122" i="14"/>
  <c r="J121" i="14"/>
  <c r="J120" i="14"/>
  <c r="J117" i="14"/>
  <c r="J116" i="14"/>
  <c r="J115" i="14"/>
  <c r="J114" i="14"/>
  <c r="J112" i="14"/>
  <c r="J111" i="14"/>
  <c r="J110" i="14"/>
  <c r="J109" i="14"/>
  <c r="J108" i="14"/>
  <c r="J105" i="14"/>
  <c r="J104" i="14"/>
  <c r="J103" i="14"/>
  <c r="J102" i="14"/>
  <c r="J101" i="14"/>
  <c r="J100" i="14"/>
  <c r="J97" i="14"/>
  <c r="J96" i="14"/>
  <c r="J95" i="14"/>
  <c r="J94" i="14"/>
  <c r="J92" i="14"/>
  <c r="J91" i="14"/>
  <c r="J90" i="14"/>
  <c r="J89" i="14"/>
  <c r="J88" i="14"/>
  <c r="J87" i="14"/>
  <c r="J86" i="14"/>
  <c r="J85" i="14"/>
  <c r="J77" i="14"/>
  <c r="J73" i="14"/>
  <c r="J68" i="14"/>
  <c r="J67" i="14"/>
  <c r="J66" i="14"/>
  <c r="J65" i="14"/>
  <c r="J64" i="14"/>
  <c r="J63" i="14"/>
  <c r="J62" i="14"/>
  <c r="J61" i="14"/>
  <c r="J60" i="14"/>
  <c r="J59" i="14"/>
  <c r="J58" i="14"/>
  <c r="J57" i="14"/>
  <c r="J56" i="14"/>
  <c r="J55" i="14"/>
  <c r="J54" i="14"/>
  <c r="J53" i="14"/>
  <c r="J52" i="14"/>
  <c r="J51" i="14"/>
  <c r="J49" i="14"/>
  <c r="J48" i="14"/>
  <c r="J47" i="14"/>
  <c r="J46" i="14"/>
  <c r="J45" i="14"/>
  <c r="J44" i="14"/>
  <c r="J42" i="14"/>
  <c r="J41" i="14"/>
  <c r="J40" i="14"/>
  <c r="J39" i="14"/>
  <c r="J38" i="14"/>
  <c r="J36" i="14"/>
  <c r="J35" i="14"/>
  <c r="J32" i="14"/>
  <c r="J31" i="14"/>
  <c r="J30" i="14"/>
  <c r="J18" i="14"/>
  <c r="J15" i="14"/>
  <c r="J14" i="14"/>
  <c r="L7" i="67" l="1"/>
  <c r="B25" i="39"/>
  <c r="E30" i="85"/>
  <c r="AJ54" i="69"/>
  <c r="AE54" i="69"/>
  <c r="R56" i="8"/>
  <c r="R57" i="8"/>
  <c r="N27" i="1"/>
  <c r="R40" i="37"/>
  <c r="R44" i="38"/>
  <c r="F34" i="44"/>
  <c r="G34" i="45"/>
  <c r="G34" i="44"/>
  <c r="H34" i="45"/>
  <c r="H34" i="44"/>
  <c r="I34" i="45"/>
  <c r="I34" i="44"/>
  <c r="J34" i="45"/>
  <c r="J34" i="44"/>
  <c r="K34" i="45"/>
  <c r="K34" i="44"/>
  <c r="L34" i="45"/>
  <c r="L34" i="44"/>
  <c r="M34" i="45"/>
  <c r="M34" i="44"/>
  <c r="N34" i="44"/>
  <c r="F34" i="45"/>
  <c r="J9" i="40"/>
  <c r="J29" i="85" s="1"/>
  <c r="L9" i="40"/>
  <c r="L29" i="85" s="1"/>
  <c r="M9" i="40"/>
  <c r="M29" i="85" s="1"/>
  <c r="K6" i="39"/>
  <c r="R27" i="40"/>
  <c r="I9" i="40"/>
  <c r="I29" i="85" s="1"/>
  <c r="K9" i="40"/>
  <c r="K29" i="85" s="1"/>
  <c r="N5" i="4"/>
  <c r="H9" i="40"/>
  <c r="H29" i="85" s="1"/>
  <c r="J32" i="85"/>
  <c r="J42" i="42"/>
  <c r="B17" i="40"/>
  <c r="N9" i="40"/>
  <c r="N29" i="85" s="1"/>
  <c r="D24" i="45"/>
  <c r="P34" i="45"/>
  <c r="G9" i="40"/>
  <c r="G29" i="85" s="1"/>
  <c r="D18" i="40"/>
  <c r="P9" i="40"/>
  <c r="P29" i="85" s="1"/>
  <c r="T11" i="45"/>
  <c r="L32" i="85"/>
  <c r="L50" i="85" s="1"/>
  <c r="L42" i="42"/>
  <c r="T15" i="41"/>
  <c r="R41" i="41"/>
  <c r="P41" i="41" s="1"/>
  <c r="T10" i="44"/>
  <c r="E34" i="44"/>
  <c r="E32" i="85"/>
  <c r="E42" i="42"/>
  <c r="M32" i="85"/>
  <c r="M50" i="85" s="1"/>
  <c r="M42" i="42"/>
  <c r="I34" i="40"/>
  <c r="N32" i="85"/>
  <c r="N42" i="42"/>
  <c r="R7" i="44"/>
  <c r="D24" i="44"/>
  <c r="P34" i="44"/>
  <c r="E34" i="45"/>
  <c r="T10" i="45"/>
  <c r="T11" i="44"/>
  <c r="R4" i="44"/>
  <c r="E18" i="40"/>
  <c r="I18" i="40"/>
  <c r="F18" i="40"/>
  <c r="K18" i="40"/>
  <c r="N18" i="40"/>
  <c r="L18" i="40"/>
  <c r="G18" i="40"/>
  <c r="M18" i="40"/>
  <c r="O18" i="40"/>
  <c r="P18" i="40"/>
  <c r="J18" i="40"/>
  <c r="H18" i="40"/>
  <c r="T7" i="41"/>
  <c r="B24" i="45"/>
  <c r="N34" i="45"/>
  <c r="H39" i="24"/>
  <c r="P39" i="24"/>
  <c r="K39" i="24"/>
  <c r="E39" i="24"/>
  <c r="O39" i="24"/>
  <c r="I39" i="24"/>
  <c r="J39" i="24"/>
  <c r="L39" i="24"/>
  <c r="N39" i="24"/>
  <c r="M39" i="24"/>
  <c r="F39" i="24"/>
  <c r="G39" i="24"/>
  <c r="G6" i="26"/>
  <c r="B39" i="38"/>
  <c r="B40" i="38" s="1"/>
  <c r="C47" i="4"/>
  <c r="E30" i="73"/>
  <c r="H19" i="73"/>
  <c r="B29" i="24"/>
  <c r="H24" i="69"/>
  <c r="G21" i="44"/>
  <c r="I21" i="44" s="1"/>
  <c r="J21" i="44" s="1"/>
  <c r="K21" i="44" s="1"/>
  <c r="L21" i="44" s="1"/>
  <c r="M21" i="44" s="1"/>
  <c r="N21" i="44" s="1"/>
  <c r="O21" i="44" s="1"/>
  <c r="P21" i="44" s="1"/>
  <c r="F21" i="43"/>
  <c r="C22" i="4"/>
  <c r="C5" i="85" s="1"/>
  <c r="C9" i="6" s="1"/>
  <c r="G24" i="69"/>
  <c r="AG27" i="85"/>
  <c r="AG5" i="73"/>
  <c r="M25" i="46"/>
  <c r="AJ27" i="85"/>
  <c r="P25" i="46"/>
  <c r="AJ5" i="73"/>
  <c r="G20" i="68"/>
  <c r="G21" i="68" s="1"/>
  <c r="G30" i="38" s="1"/>
  <c r="G15" i="68"/>
  <c r="G10" i="68"/>
  <c r="G24" i="68"/>
  <c r="G25" i="68" s="1"/>
  <c r="G21" i="40" s="1"/>
  <c r="G14" i="68"/>
  <c r="G9" i="68"/>
  <c r="G11" i="68" s="1"/>
  <c r="G23" i="39" s="1"/>
  <c r="G16" i="68"/>
  <c r="K16" i="68"/>
  <c r="O16" i="68"/>
  <c r="S16" i="68"/>
  <c r="K9" i="68"/>
  <c r="K11" i="68" s="1"/>
  <c r="J23" i="39" s="1"/>
  <c r="O9" i="68"/>
  <c r="O11" i="68" s="1"/>
  <c r="M23" i="39" s="1"/>
  <c r="K14" i="68"/>
  <c r="K17" i="68" s="1"/>
  <c r="S9" i="68"/>
  <c r="S11" i="68" s="1"/>
  <c r="P23" i="39" s="1"/>
  <c r="O14" i="68"/>
  <c r="S14" i="68"/>
  <c r="K24" i="68"/>
  <c r="K25" i="68" s="1"/>
  <c r="J21" i="40" s="1"/>
  <c r="S10" i="68"/>
  <c r="O15" i="68"/>
  <c r="K20" i="68"/>
  <c r="K21" i="68" s="1"/>
  <c r="J30" i="38" s="1"/>
  <c r="J31" i="38" s="1"/>
  <c r="J38" i="38" s="1"/>
  <c r="K10" i="68"/>
  <c r="O24" i="68"/>
  <c r="O25" i="68" s="1"/>
  <c r="M21" i="40" s="1"/>
  <c r="O10" i="68"/>
  <c r="S24" i="68"/>
  <c r="S25" i="68" s="1"/>
  <c r="P21" i="40" s="1"/>
  <c r="I21" i="4"/>
  <c r="H56" i="9"/>
  <c r="L56" i="9"/>
  <c r="F30" i="9"/>
  <c r="I30" i="4"/>
  <c r="L30" i="4" s="1"/>
  <c r="L30" i="71" s="1"/>
  <c r="G30" i="4"/>
  <c r="G30" i="8" s="1"/>
  <c r="H30" i="4"/>
  <c r="K30" i="4" s="1"/>
  <c r="K30" i="8" s="1"/>
  <c r="F30" i="71"/>
  <c r="E30" i="8"/>
  <c r="F30" i="8"/>
  <c r="E30" i="71"/>
  <c r="G17" i="25"/>
  <c r="G19" i="73"/>
  <c r="N10" i="73"/>
  <c r="C8" i="73"/>
  <c r="B48" i="4"/>
  <c r="G6" i="4"/>
  <c r="B22" i="4"/>
  <c r="B5" i="69" s="1"/>
  <c r="F9" i="38"/>
  <c r="B30" i="38"/>
  <c r="N12" i="4"/>
  <c r="N4" i="4"/>
  <c r="F8" i="25"/>
  <c r="F16" i="25" s="1"/>
  <c r="C6" i="4"/>
  <c r="D27" i="42"/>
  <c r="P41" i="85"/>
  <c r="I12" i="4"/>
  <c r="N24" i="85"/>
  <c r="B20" i="46"/>
  <c r="N52" i="85"/>
  <c r="N18" i="9"/>
  <c r="D20" i="46"/>
  <c r="P52" i="85"/>
  <c r="B27" i="42"/>
  <c r="N41" i="85"/>
  <c r="C8" i="4"/>
  <c r="N5" i="73"/>
  <c r="N27" i="85"/>
  <c r="H7" i="43"/>
  <c r="F8" i="73"/>
  <c r="G8" i="73"/>
  <c r="M14" i="25"/>
  <c r="K8" i="73"/>
  <c r="C30" i="73"/>
  <c r="F17" i="25"/>
  <c r="J22" i="4"/>
  <c r="G5" i="4"/>
  <c r="D10" i="73"/>
  <c r="E10" i="73"/>
  <c r="L24" i="69"/>
  <c r="G8" i="4"/>
  <c r="L8" i="24"/>
  <c r="D24" i="69"/>
  <c r="M22" i="4"/>
  <c r="K6" i="27"/>
  <c r="E24" i="69"/>
  <c r="J30" i="73"/>
  <c r="J52" i="85"/>
  <c r="D21" i="4"/>
  <c r="D10" i="27"/>
  <c r="I8" i="4"/>
  <c r="F24" i="69"/>
  <c r="F24" i="85"/>
  <c r="B30" i="73"/>
  <c r="B52" i="85"/>
  <c r="F5" i="4"/>
  <c r="K11" i="44"/>
  <c r="K12" i="44" s="1"/>
  <c r="K32" i="85"/>
  <c r="M8" i="73"/>
  <c r="E4" i="4"/>
  <c r="D52" i="85"/>
  <c r="I30" i="73"/>
  <c r="I24" i="69"/>
  <c r="I24" i="85"/>
  <c r="J6" i="37"/>
  <c r="B10" i="43"/>
  <c r="B14" i="46" s="1"/>
  <c r="M10" i="73"/>
  <c r="L19" i="73"/>
  <c r="K30" i="73"/>
  <c r="K6" i="26"/>
  <c r="B24" i="85"/>
  <c r="J24" i="69"/>
  <c r="J24" i="85"/>
  <c r="E10" i="39"/>
  <c r="K10" i="40"/>
  <c r="E9" i="42"/>
  <c r="F13" i="46"/>
  <c r="F32" i="85"/>
  <c r="I41" i="85"/>
  <c r="F30" i="73"/>
  <c r="F52" i="85"/>
  <c r="M24" i="69"/>
  <c r="M24" i="85"/>
  <c r="D30" i="85"/>
  <c r="I13" i="46"/>
  <c r="I32" i="85"/>
  <c r="I10" i="73"/>
  <c r="I5" i="1"/>
  <c r="J10" i="73"/>
  <c r="L52" i="85"/>
  <c r="B6" i="37"/>
  <c r="C14" i="38"/>
  <c r="B10" i="73"/>
  <c r="M19" i="73"/>
  <c r="M30" i="73"/>
  <c r="F18" i="1"/>
  <c r="K8" i="25"/>
  <c r="K16" i="25" s="1"/>
  <c r="J5" i="4"/>
  <c r="M7" i="71"/>
  <c r="M23" i="71" s="1"/>
  <c r="C24" i="69"/>
  <c r="C24" i="85"/>
  <c r="K24" i="69"/>
  <c r="K24" i="85"/>
  <c r="B12" i="46"/>
  <c r="B30" i="85"/>
  <c r="J8" i="73"/>
  <c r="J30" i="85"/>
  <c r="P7" i="43"/>
  <c r="D21" i="43" s="1"/>
  <c r="D5" i="42"/>
  <c r="L5" i="42"/>
  <c r="G13" i="46"/>
  <c r="G32" i="85"/>
  <c r="G50" i="85" s="1"/>
  <c r="B19" i="73"/>
  <c r="B41" i="85"/>
  <c r="B50" i="85" s="1"/>
  <c r="J41" i="85"/>
  <c r="G52" i="85"/>
  <c r="L30" i="85"/>
  <c r="D19" i="73"/>
  <c r="D41" i="85"/>
  <c r="D50" i="85" s="1"/>
  <c r="E19" i="73"/>
  <c r="E41" i="85"/>
  <c r="H6" i="4"/>
  <c r="H10" i="26"/>
  <c r="L10" i="27"/>
  <c r="F41" i="85"/>
  <c r="M4" i="4"/>
  <c r="I12" i="37"/>
  <c r="I16" i="37" s="1"/>
  <c r="I35" i="85" s="1"/>
  <c r="L10" i="73"/>
  <c r="K14" i="38"/>
  <c r="J10" i="43"/>
  <c r="E8" i="73"/>
  <c r="C10" i="73"/>
  <c r="C28" i="73" s="1"/>
  <c r="B8" i="24"/>
  <c r="E6" i="26"/>
  <c r="C12" i="46"/>
  <c r="C30" i="85"/>
  <c r="H13" i="46"/>
  <c r="H32" i="85"/>
  <c r="H50" i="85" s="1"/>
  <c r="C41" i="85"/>
  <c r="C50" i="85" s="1"/>
  <c r="K41" i="85"/>
  <c r="H52" i="85"/>
  <c r="L10" i="43"/>
  <c r="J19" i="73"/>
  <c r="G30" i="73"/>
  <c r="B7" i="71"/>
  <c r="B9" i="71" s="1"/>
  <c r="M9" i="38"/>
  <c r="C7" i="43"/>
  <c r="K7" i="43"/>
  <c r="E10" i="43"/>
  <c r="M10" i="43"/>
  <c r="J11" i="45"/>
  <c r="J12" i="45" s="1"/>
  <c r="G6" i="24"/>
  <c r="C5" i="4"/>
  <c r="B6" i="27"/>
  <c r="I11" i="44"/>
  <c r="I12" i="44" s="1"/>
  <c r="F8" i="24"/>
  <c r="L11" i="41"/>
  <c r="B24" i="69"/>
  <c r="G10" i="73"/>
  <c r="I17" i="38"/>
  <c r="D6" i="27"/>
  <c r="G6" i="38"/>
  <c r="B35" i="25"/>
  <c r="N14" i="41"/>
  <c r="O10" i="26"/>
  <c r="C26" i="26" s="1"/>
  <c r="O13" i="4"/>
  <c r="C24" i="26"/>
  <c r="O7" i="9"/>
  <c r="C20" i="27" s="1"/>
  <c r="O5" i="4"/>
  <c r="O6" i="26"/>
  <c r="C22" i="26" s="1"/>
  <c r="L29" i="67"/>
  <c r="L10" i="67"/>
  <c r="L18" i="67"/>
  <c r="L30" i="67"/>
  <c r="L28" i="67"/>
  <c r="L23" i="67"/>
  <c r="L9" i="67"/>
  <c r="L11" i="67"/>
  <c r="L22" i="67"/>
  <c r="L17" i="67"/>
  <c r="L16" i="67"/>
  <c r="L24" i="67"/>
  <c r="L15" i="67"/>
  <c r="P25" i="24"/>
  <c r="P20" i="26" s="1"/>
  <c r="P43" i="25"/>
  <c r="L43" i="25"/>
  <c r="N43" i="25"/>
  <c r="I37" i="25"/>
  <c r="I43" i="25"/>
  <c r="J43" i="25"/>
  <c r="K43" i="25"/>
  <c r="M25" i="24"/>
  <c r="M27" i="24" s="1"/>
  <c r="M43" i="25"/>
  <c r="H43" i="25"/>
  <c r="O43" i="25"/>
  <c r="O49" i="25"/>
  <c r="K4" i="1"/>
  <c r="K49" i="25"/>
  <c r="L18" i="1"/>
  <c r="N47" i="1"/>
  <c r="AH82" i="85" s="1"/>
  <c r="B38" i="25"/>
  <c r="AB54" i="69"/>
  <c r="P2" i="67"/>
  <c r="P7" i="67" s="1"/>
  <c r="O25" i="24"/>
  <c r="O20" i="26" s="1"/>
  <c r="O47" i="1"/>
  <c r="AI82" i="85" s="1"/>
  <c r="O27" i="1"/>
  <c r="R49" i="25"/>
  <c r="F27" i="1"/>
  <c r="F47" i="1"/>
  <c r="Z82" i="85" s="1"/>
  <c r="D2" i="67"/>
  <c r="D7" i="67" s="1"/>
  <c r="L29" i="25"/>
  <c r="Y54" i="69"/>
  <c r="N18" i="1"/>
  <c r="R30" i="25"/>
  <c r="K29" i="25"/>
  <c r="I25" i="24"/>
  <c r="H25" i="24"/>
  <c r="H20" i="26" s="1"/>
  <c r="C5" i="1"/>
  <c r="H27" i="1"/>
  <c r="C18" i="1"/>
  <c r="K18" i="1"/>
  <c r="R33" i="9"/>
  <c r="O56" i="9"/>
  <c r="K56" i="9"/>
  <c r="N56" i="9"/>
  <c r="P56" i="9"/>
  <c r="I56" i="9"/>
  <c r="J56" i="9"/>
  <c r="R34" i="4"/>
  <c r="B6" i="5"/>
  <c r="C6" i="39"/>
  <c r="D4" i="43"/>
  <c r="D10" i="40"/>
  <c r="D38" i="85" s="1"/>
  <c r="D8" i="25"/>
  <c r="D16" i="25" s="1"/>
  <c r="D14" i="41"/>
  <c r="D15" i="41" s="1"/>
  <c r="D8" i="1"/>
  <c r="D9" i="1" s="1"/>
  <c r="E8" i="25"/>
  <c r="E16" i="25" s="1"/>
  <c r="F4" i="4"/>
  <c r="H13" i="38"/>
  <c r="H18" i="38" s="1"/>
  <c r="H36" i="85" s="1"/>
  <c r="H12" i="37"/>
  <c r="H16" i="37" s="1"/>
  <c r="H35" i="85" s="1"/>
  <c r="H8" i="25"/>
  <c r="H16" i="25" s="1"/>
  <c r="H4" i="1"/>
  <c r="I18" i="1"/>
  <c r="I4" i="4"/>
  <c r="I10" i="40"/>
  <c r="I38" i="85" s="1"/>
  <c r="J7" i="43"/>
  <c r="L6" i="27"/>
  <c r="L12" i="4"/>
  <c r="L10" i="40"/>
  <c r="L38" i="85" s="1"/>
  <c r="L10" i="39"/>
  <c r="M6" i="27"/>
  <c r="M12" i="37"/>
  <c r="M16" i="37" s="1"/>
  <c r="M13" i="73" s="1"/>
  <c r="M10" i="39"/>
  <c r="M11" i="44"/>
  <c r="M12" i="44" s="1"/>
  <c r="M9" i="42"/>
  <c r="N17" i="25"/>
  <c r="N7" i="8"/>
  <c r="N24" i="8" s="1"/>
  <c r="N9" i="38"/>
  <c r="N10" i="39"/>
  <c r="B26" i="39" s="1"/>
  <c r="B39" i="1"/>
  <c r="P13" i="38"/>
  <c r="D34" i="38" s="1"/>
  <c r="P10" i="39"/>
  <c r="D26" i="39" s="1"/>
  <c r="P5" i="44"/>
  <c r="D19" i="44" s="1"/>
  <c r="C20" i="42"/>
  <c r="P5" i="45"/>
  <c r="D19" i="45" s="1"/>
  <c r="P30" i="73"/>
  <c r="K6" i="4"/>
  <c r="K6" i="24"/>
  <c r="K19" i="73"/>
  <c r="K8" i="4"/>
  <c r="G10" i="40"/>
  <c r="G38" i="85" s="1"/>
  <c r="K37" i="25"/>
  <c r="K20" i="27"/>
  <c r="K25" i="24"/>
  <c r="O4" i="4"/>
  <c r="O7" i="8"/>
  <c r="O24" i="8" s="1"/>
  <c r="B32" i="4"/>
  <c r="M8" i="25"/>
  <c r="M16" i="25" s="1"/>
  <c r="B39" i="4"/>
  <c r="B22" i="27"/>
  <c r="B26" i="27"/>
  <c r="C8" i="24"/>
  <c r="K8" i="24"/>
  <c r="D8" i="24"/>
  <c r="E8" i="4"/>
  <c r="M8" i="4"/>
  <c r="N22" i="4"/>
  <c r="B34" i="1"/>
  <c r="J20" i="27"/>
  <c r="O11" i="4"/>
  <c r="K8" i="1"/>
  <c r="C8" i="1"/>
  <c r="C9" i="1" s="1"/>
  <c r="N11" i="4"/>
  <c r="O12" i="4"/>
  <c r="H13" i="4"/>
  <c r="C12" i="1"/>
  <c r="B37" i="4"/>
  <c r="D12" i="4"/>
  <c r="M21" i="4"/>
  <c r="F22" i="4"/>
  <c r="K10" i="73"/>
  <c r="N19" i="73"/>
  <c r="J8" i="24"/>
  <c r="H18" i="1"/>
  <c r="B32" i="1"/>
  <c r="C8" i="25"/>
  <c r="C16" i="25" s="1"/>
  <c r="B29" i="25"/>
  <c r="B37" i="25" s="1"/>
  <c r="F8" i="4"/>
  <c r="F21" i="4"/>
  <c r="G22" i="4"/>
  <c r="O22" i="4"/>
  <c r="B33" i="8"/>
  <c r="B49" i="8" s="1"/>
  <c r="B18" i="9"/>
  <c r="J18" i="9"/>
  <c r="H6" i="26"/>
  <c r="I10" i="26"/>
  <c r="O10" i="27"/>
  <c r="D24" i="39"/>
  <c r="M6" i="38"/>
  <c r="K5" i="44"/>
  <c r="B7" i="43"/>
  <c r="K10" i="43"/>
  <c r="F4" i="43"/>
  <c r="N11" i="45"/>
  <c r="B25" i="45" s="1"/>
  <c r="J13" i="42"/>
  <c r="J6" i="26"/>
  <c r="K10" i="26"/>
  <c r="B33" i="1"/>
  <c r="H6" i="27"/>
  <c r="I10" i="27"/>
  <c r="H10" i="39"/>
  <c r="H11" i="45"/>
  <c r="H12" i="45" s="1"/>
  <c r="C10" i="26"/>
  <c r="B6" i="4"/>
  <c r="L7" i="71"/>
  <c r="L24" i="71" s="1"/>
  <c r="N24" i="69"/>
  <c r="E6" i="24"/>
  <c r="M6" i="24"/>
  <c r="F5" i="1"/>
  <c r="E8" i="24"/>
  <c r="O8" i="25"/>
  <c r="O16" i="25" s="1"/>
  <c r="C13" i="1"/>
  <c r="K13" i="1"/>
  <c r="B33" i="71"/>
  <c r="B35" i="71" s="1"/>
  <c r="H8" i="4"/>
  <c r="H21" i="4"/>
  <c r="I22" i="4"/>
  <c r="B47" i="4"/>
  <c r="I6" i="37"/>
  <c r="E10" i="40"/>
  <c r="E38" i="85" s="1"/>
  <c r="M10" i="40"/>
  <c r="M38" i="85" s="1"/>
  <c r="H17" i="41"/>
  <c r="C5" i="42"/>
  <c r="K5" i="42"/>
  <c r="N14" i="25"/>
  <c r="I5" i="4"/>
  <c r="B18" i="71"/>
  <c r="N17" i="24"/>
  <c r="N19" i="24" s="1"/>
  <c r="I17" i="25"/>
  <c r="D18" i="1"/>
  <c r="B30" i="4"/>
  <c r="B4" i="4"/>
  <c r="J4" i="4"/>
  <c r="K13" i="4"/>
  <c r="F7" i="71"/>
  <c r="F9" i="71" s="1"/>
  <c r="N7" i="71"/>
  <c r="N9" i="71" s="1"/>
  <c r="N7" i="9"/>
  <c r="O18" i="9"/>
  <c r="N12" i="37"/>
  <c r="N16" i="37" s="1"/>
  <c r="N35" i="85" s="1"/>
  <c r="F10" i="40"/>
  <c r="D7" i="43"/>
  <c r="L7" i="43"/>
  <c r="N9" i="42"/>
  <c r="N13" i="42"/>
  <c r="J6" i="4"/>
  <c r="D7" i="71"/>
  <c r="D23" i="71" s="1"/>
  <c r="H5" i="1"/>
  <c r="B38" i="24"/>
  <c r="B40" i="24" s="1"/>
  <c r="N8" i="25"/>
  <c r="N16" i="25" s="1"/>
  <c r="M17" i="25"/>
  <c r="C4" i="4"/>
  <c r="K11" i="4"/>
  <c r="D5" i="4"/>
  <c r="L5" i="4"/>
  <c r="E6" i="4"/>
  <c r="M6" i="4"/>
  <c r="B34" i="4"/>
  <c r="G4" i="4"/>
  <c r="H12" i="4"/>
  <c r="K22" i="4"/>
  <c r="B44" i="9"/>
  <c r="B27" i="38"/>
  <c r="M6" i="39"/>
  <c r="H6" i="39"/>
  <c r="K12" i="1"/>
  <c r="C4" i="1"/>
  <c r="D6" i="37"/>
  <c r="L6" i="37"/>
  <c r="J12" i="37"/>
  <c r="J16" i="37" s="1"/>
  <c r="J35" i="85" s="1"/>
  <c r="L6" i="39"/>
  <c r="N4" i="43"/>
  <c r="B18" i="43" s="1"/>
  <c r="P10" i="43"/>
  <c r="L4" i="43"/>
  <c r="M11" i="45"/>
  <c r="M12" i="45" s="1"/>
  <c r="F7" i="43"/>
  <c r="F5" i="42"/>
  <c r="G21" i="43"/>
  <c r="E8" i="45"/>
  <c r="M8" i="45"/>
  <c r="E7" i="43"/>
  <c r="O8" i="73"/>
  <c r="P6" i="38"/>
  <c r="D27" i="38" s="1"/>
  <c r="P9" i="38"/>
  <c r="D30" i="38" s="1"/>
  <c r="C24" i="44"/>
  <c r="D25" i="39"/>
  <c r="C19" i="44"/>
  <c r="C19" i="45"/>
  <c r="C18" i="43"/>
  <c r="P17" i="41"/>
  <c r="F9" i="40"/>
  <c r="F29" i="85" s="1"/>
  <c r="D30" i="73"/>
  <c r="L30" i="73"/>
  <c r="I13" i="1"/>
  <c r="B5" i="1"/>
  <c r="J5" i="1"/>
  <c r="G7" i="71"/>
  <c r="G9" i="71" s="1"/>
  <c r="G18" i="9"/>
  <c r="K6" i="37"/>
  <c r="I15" i="37"/>
  <c r="I26" i="85" s="1"/>
  <c r="D12" i="37"/>
  <c r="D16" i="37" s="1"/>
  <c r="D35" i="85" s="1"/>
  <c r="L12" i="37"/>
  <c r="L16" i="37" s="1"/>
  <c r="L35" i="85" s="1"/>
  <c r="D6" i="38"/>
  <c r="L6" i="38"/>
  <c r="G13" i="38"/>
  <c r="G18" i="38" s="1"/>
  <c r="G36" i="85" s="1"/>
  <c r="M5" i="41"/>
  <c r="K4" i="43"/>
  <c r="B8" i="44"/>
  <c r="J8" i="44"/>
  <c r="L11" i="45"/>
  <c r="L12" i="45" s="1"/>
  <c r="M7" i="43"/>
  <c r="E5" i="42"/>
  <c r="M5" i="42"/>
  <c r="F8" i="42"/>
  <c r="B8" i="73"/>
  <c r="L8" i="73"/>
  <c r="K5" i="1"/>
  <c r="D5" i="1"/>
  <c r="L5" i="1"/>
  <c r="K11" i="1"/>
  <c r="M17" i="24"/>
  <c r="M19" i="24" s="1"/>
  <c r="L6" i="25"/>
  <c r="G11" i="4"/>
  <c r="F7" i="8"/>
  <c r="F23" i="8" s="1"/>
  <c r="H7" i="9"/>
  <c r="H24" i="9" s="1"/>
  <c r="H10" i="27"/>
  <c r="M6" i="37"/>
  <c r="F12" i="37"/>
  <c r="F13" i="37" s="1"/>
  <c r="I13" i="38"/>
  <c r="I18" i="38" s="1"/>
  <c r="I36" i="85" s="1"/>
  <c r="B4" i="39"/>
  <c r="B12" i="39" s="1"/>
  <c r="D8" i="44"/>
  <c r="G8" i="42"/>
  <c r="F10" i="73"/>
  <c r="F28" i="73" s="1"/>
  <c r="G7" i="8"/>
  <c r="G23" i="8" s="1"/>
  <c r="M11" i="8"/>
  <c r="M11" i="4" s="1"/>
  <c r="F12" i="4"/>
  <c r="G13" i="4"/>
  <c r="B18" i="8"/>
  <c r="I7" i="9"/>
  <c r="I4" i="27" s="1"/>
  <c r="K31" i="9"/>
  <c r="K32" i="9" s="1"/>
  <c r="D8" i="4"/>
  <c r="L8" i="4"/>
  <c r="G12" i="37"/>
  <c r="G13" i="37" s="1"/>
  <c r="I14" i="38"/>
  <c r="J13" i="38"/>
  <c r="J18" i="38" s="1"/>
  <c r="J36" i="85" s="1"/>
  <c r="D4" i="39"/>
  <c r="D12" i="39" s="1"/>
  <c r="D28" i="85" s="1"/>
  <c r="G10" i="39"/>
  <c r="G10" i="43"/>
  <c r="I9" i="42"/>
  <c r="D8" i="73"/>
  <c r="G5" i="1"/>
  <c r="H5" i="4"/>
  <c r="C11" i="4"/>
  <c r="G12" i="4"/>
  <c r="C7" i="71"/>
  <c r="C9" i="71" s="1"/>
  <c r="B7" i="9"/>
  <c r="B9" i="9" s="1"/>
  <c r="J7" i="9"/>
  <c r="J24" i="9" s="1"/>
  <c r="D18" i="9"/>
  <c r="C6" i="26"/>
  <c r="C13" i="38"/>
  <c r="C18" i="38" s="1"/>
  <c r="C36" i="85" s="1"/>
  <c r="K13" i="38"/>
  <c r="K18" i="38" s="1"/>
  <c r="K36" i="85" s="1"/>
  <c r="L4" i="39"/>
  <c r="C10" i="40"/>
  <c r="C38" i="85" s="1"/>
  <c r="F8" i="44"/>
  <c r="I5" i="42"/>
  <c r="C13" i="42"/>
  <c r="K13" i="42"/>
  <c r="C11" i="1"/>
  <c r="B15" i="37"/>
  <c r="B26" i="85" s="1"/>
  <c r="G9" i="38"/>
  <c r="H10" i="73"/>
  <c r="I19" i="73"/>
  <c r="E14" i="25"/>
  <c r="K4" i="4"/>
  <c r="C13" i="4"/>
  <c r="B8" i="4"/>
  <c r="J8" i="4"/>
  <c r="J6" i="27"/>
  <c r="C10" i="27"/>
  <c r="K10" i="27"/>
  <c r="M14" i="38"/>
  <c r="E6" i="39"/>
  <c r="C9" i="40"/>
  <c r="C10" i="43"/>
  <c r="C31" i="85" s="1"/>
  <c r="D13" i="42"/>
  <c r="L13" i="42"/>
  <c r="I4" i="1"/>
  <c r="H12" i="1"/>
  <c r="B21" i="4"/>
  <c r="J21" i="4"/>
  <c r="E5" i="4"/>
  <c r="M5" i="4"/>
  <c r="G15" i="37"/>
  <c r="G26" i="85" s="1"/>
  <c r="M13" i="38"/>
  <c r="M18" i="38" s="1"/>
  <c r="M36" i="85" s="1"/>
  <c r="G6" i="39"/>
  <c r="D9" i="40"/>
  <c r="D29" i="85" s="1"/>
  <c r="B4" i="43"/>
  <c r="F17" i="41"/>
  <c r="F39" i="85" s="1"/>
  <c r="F48" i="85" s="1"/>
  <c r="N5" i="41"/>
  <c r="B25" i="41" s="1"/>
  <c r="G11" i="41"/>
  <c r="P7" i="41"/>
  <c r="D27" i="41" s="1"/>
  <c r="E27" i="41" s="1"/>
  <c r="K12" i="46"/>
  <c r="G17" i="41"/>
  <c r="G39" i="85" s="1"/>
  <c r="G48" i="85" s="1"/>
  <c r="E12" i="46"/>
  <c r="M12" i="46"/>
  <c r="F12" i="46"/>
  <c r="I8" i="73"/>
  <c r="C36" i="41"/>
  <c r="K11" i="41"/>
  <c r="P15" i="41"/>
  <c r="D35" i="41" s="1"/>
  <c r="D36" i="41"/>
  <c r="B14" i="41"/>
  <c r="B15" i="41" s="1"/>
  <c r="J14" i="41"/>
  <c r="H8" i="73"/>
  <c r="P8" i="73"/>
  <c r="C11" i="41"/>
  <c r="P5" i="41"/>
  <c r="D25" i="41" s="1"/>
  <c r="I17" i="41"/>
  <c r="I39" i="85" s="1"/>
  <c r="I48" i="85" s="1"/>
  <c r="D26" i="41"/>
  <c r="M11" i="41"/>
  <c r="N11" i="41"/>
  <c r="B31" i="41" s="1"/>
  <c r="D11" i="41"/>
  <c r="M17" i="41"/>
  <c r="M39" i="85" s="1"/>
  <c r="M48" i="85" s="1"/>
  <c r="O17" i="24"/>
  <c r="O19" i="24" s="1"/>
  <c r="H6" i="24"/>
  <c r="O6" i="25"/>
  <c r="E20" i="27"/>
  <c r="R25" i="25"/>
  <c r="I20" i="27"/>
  <c r="N8" i="1"/>
  <c r="N8" i="24"/>
  <c r="I12" i="1"/>
  <c r="O14" i="25"/>
  <c r="E37" i="25"/>
  <c r="E20" i="26"/>
  <c r="E37" i="24"/>
  <c r="E31" i="1"/>
  <c r="E30" i="1"/>
  <c r="E27" i="24"/>
  <c r="G14" i="25"/>
  <c r="G8" i="25"/>
  <c r="G16" i="25" s="1"/>
  <c r="L20" i="27"/>
  <c r="L25" i="24"/>
  <c r="L37" i="25"/>
  <c r="M10" i="26"/>
  <c r="M6" i="26"/>
  <c r="B25" i="26"/>
  <c r="O6" i="24"/>
  <c r="N6" i="25"/>
  <c r="N13" i="1"/>
  <c r="N4" i="1"/>
  <c r="I11" i="1"/>
  <c r="I8" i="24"/>
  <c r="I8" i="1"/>
  <c r="G4" i="1"/>
  <c r="N11" i="1"/>
  <c r="E6" i="25"/>
  <c r="I14" i="25"/>
  <c r="I8" i="25"/>
  <c r="I16" i="25" s="1"/>
  <c r="M20" i="27"/>
  <c r="F20" i="27"/>
  <c r="F37" i="25"/>
  <c r="F25" i="24"/>
  <c r="N20" i="27"/>
  <c r="N37" i="25"/>
  <c r="N25" i="24"/>
  <c r="G20" i="27"/>
  <c r="N12" i="1"/>
  <c r="I6" i="24"/>
  <c r="O20" i="27"/>
  <c r="O37" i="25"/>
  <c r="B25" i="1"/>
  <c r="B29" i="1"/>
  <c r="G8" i="24"/>
  <c r="C17" i="24"/>
  <c r="C19" i="24" s="1"/>
  <c r="K17" i="24"/>
  <c r="K19" i="24" s="1"/>
  <c r="H14" i="25"/>
  <c r="O17" i="25"/>
  <c r="B38" i="4"/>
  <c r="D47" i="4"/>
  <c r="B8" i="25"/>
  <c r="B16" i="25" s="1"/>
  <c r="J8" i="25"/>
  <c r="J16" i="25" s="1"/>
  <c r="B18" i="1"/>
  <c r="J18" i="1"/>
  <c r="H20" i="27"/>
  <c r="H37" i="25"/>
  <c r="P20" i="27"/>
  <c r="N13" i="4"/>
  <c r="N6" i="4"/>
  <c r="C10" i="5"/>
  <c r="C6" i="5"/>
  <c r="N10" i="26"/>
  <c r="B26" i="26" s="1"/>
  <c r="F17" i="24"/>
  <c r="F19" i="24" s="1"/>
  <c r="P27" i="24"/>
  <c r="H17" i="25"/>
  <c r="C14" i="25"/>
  <c r="K14" i="25"/>
  <c r="D4" i="1"/>
  <c r="G13" i="1"/>
  <c r="G17" i="24"/>
  <c r="G19" i="24" s="1"/>
  <c r="B33" i="9"/>
  <c r="B56" i="9" s="1"/>
  <c r="B31" i="4"/>
  <c r="C6" i="24"/>
  <c r="M8" i="24"/>
  <c r="B27" i="24"/>
  <c r="D14" i="25"/>
  <c r="I39" i="25"/>
  <c r="J39" i="25"/>
  <c r="G39" i="25"/>
  <c r="O39" i="25"/>
  <c r="B27" i="25"/>
  <c r="O21" i="4"/>
  <c r="H22" i="4"/>
  <c r="L31" i="71"/>
  <c r="N10" i="27"/>
  <c r="D11" i="1"/>
  <c r="F13" i="1"/>
  <c r="G11" i="1"/>
  <c r="I17" i="24"/>
  <c r="I19" i="24" s="1"/>
  <c r="G18" i="1"/>
  <c r="C17" i="25"/>
  <c r="K17" i="25"/>
  <c r="F14" i="25"/>
  <c r="N21" i="4"/>
  <c r="H7" i="8"/>
  <c r="H4" i="4"/>
  <c r="G21" i="4"/>
  <c r="J11" i="4"/>
  <c r="M13" i="4"/>
  <c r="K5" i="4"/>
  <c r="D6" i="4"/>
  <c r="L6" i="4"/>
  <c r="M18" i="9"/>
  <c r="I6" i="27"/>
  <c r="L7" i="8"/>
  <c r="L23" i="8" s="1"/>
  <c r="M12" i="4"/>
  <c r="I6" i="26"/>
  <c r="D6" i="26"/>
  <c r="C25" i="26"/>
  <c r="H7" i="71"/>
  <c r="H9" i="71" s="1"/>
  <c r="E7" i="9"/>
  <c r="M7" i="9"/>
  <c r="M24" i="9" s="1"/>
  <c r="H18" i="9"/>
  <c r="D10" i="5"/>
  <c r="F10" i="26"/>
  <c r="F10" i="27"/>
  <c r="I7" i="71"/>
  <c r="I9" i="71" s="1"/>
  <c r="N31" i="71"/>
  <c r="I18" i="9"/>
  <c r="G10" i="26"/>
  <c r="C6" i="27"/>
  <c r="C7" i="8"/>
  <c r="C9" i="8" s="1"/>
  <c r="K7" i="8"/>
  <c r="K9" i="8" s="1"/>
  <c r="B13" i="4"/>
  <c r="J13" i="4"/>
  <c r="F31" i="71"/>
  <c r="G7" i="9"/>
  <c r="N6" i="26"/>
  <c r="B22" i="26" s="1"/>
  <c r="D10" i="26"/>
  <c r="B24" i="26"/>
  <c r="N6" i="27"/>
  <c r="B14" i="38"/>
  <c r="B17" i="38"/>
  <c r="B27" i="85" s="1"/>
  <c r="J14" i="38"/>
  <c r="J17" i="38"/>
  <c r="J27" i="85" s="1"/>
  <c r="B13" i="46"/>
  <c r="B13" i="42"/>
  <c r="D7" i="8"/>
  <c r="D9" i="8" s="1"/>
  <c r="K7" i="71"/>
  <c r="K9" i="71" s="1"/>
  <c r="C18" i="9"/>
  <c r="K18" i="9"/>
  <c r="D22" i="4"/>
  <c r="D5" i="85" s="1"/>
  <c r="D9" i="6" s="1"/>
  <c r="L22" i="4"/>
  <c r="D6" i="5"/>
  <c r="F6" i="26"/>
  <c r="F6" i="27"/>
  <c r="E7" i="8"/>
  <c r="E9" i="8" s="1"/>
  <c r="M7" i="8"/>
  <c r="M9" i="8" s="1"/>
  <c r="L11" i="71"/>
  <c r="L21" i="4"/>
  <c r="B10" i="26"/>
  <c r="J10" i="26"/>
  <c r="B10" i="27"/>
  <c r="J10" i="27"/>
  <c r="B17" i="41"/>
  <c r="B39" i="85" s="1"/>
  <c r="C11" i="44"/>
  <c r="C12" i="44" s="1"/>
  <c r="C4" i="43"/>
  <c r="H8" i="45"/>
  <c r="H4" i="43"/>
  <c r="H15" i="37"/>
  <c r="D14" i="38"/>
  <c r="L14" i="38"/>
  <c r="I10" i="39"/>
  <c r="I6" i="39"/>
  <c r="E9" i="38"/>
  <c r="N6" i="37"/>
  <c r="B25" i="37" s="1"/>
  <c r="N6" i="39"/>
  <c r="B22" i="39" s="1"/>
  <c r="K10" i="39"/>
  <c r="S4" i="40"/>
  <c r="B36" i="41"/>
  <c r="N12" i="46"/>
  <c r="B28" i="46" s="1"/>
  <c r="F10" i="43"/>
  <c r="F5" i="44"/>
  <c r="B24" i="44"/>
  <c r="N10" i="43"/>
  <c r="N5" i="44"/>
  <c r="B19" i="44" s="1"/>
  <c r="N4" i="39"/>
  <c r="U6" i="39" s="1"/>
  <c r="N6" i="38"/>
  <c r="N18" i="38"/>
  <c r="N9" i="46"/>
  <c r="B25" i="46" s="1"/>
  <c r="H14" i="41"/>
  <c r="N17" i="41"/>
  <c r="N39" i="85" s="1"/>
  <c r="N48" i="85" s="1"/>
  <c r="B26" i="41"/>
  <c r="B22" i="42"/>
  <c r="N8" i="42"/>
  <c r="B23" i="42" s="1"/>
  <c r="N5" i="42"/>
  <c r="B20" i="42" s="1"/>
  <c r="H10" i="43"/>
  <c r="N7" i="43"/>
  <c r="B21" i="43" s="1"/>
  <c r="B21" i="45"/>
  <c r="D13" i="46"/>
  <c r="B27" i="37"/>
  <c r="B34" i="37" s="1"/>
  <c r="N15" i="37"/>
  <c r="N26" i="85" s="1"/>
  <c r="H4" i="39"/>
  <c r="H6" i="38"/>
  <c r="C5" i="44"/>
  <c r="K8" i="44"/>
  <c r="N11" i="44"/>
  <c r="N8" i="45"/>
  <c r="B18" i="45"/>
  <c r="N5" i="45"/>
  <c r="B19" i="45" s="1"/>
  <c r="L13" i="46"/>
  <c r="F6" i="37"/>
  <c r="K12" i="37"/>
  <c r="K13" i="37" s="1"/>
  <c r="D13" i="38"/>
  <c r="D18" i="38" s="1"/>
  <c r="D36" i="85" s="1"/>
  <c r="L13" i="38"/>
  <c r="L18" i="38" s="1"/>
  <c r="L36" i="85" s="1"/>
  <c r="B10" i="39"/>
  <c r="J10" i="39"/>
  <c r="K13" i="46"/>
  <c r="H6" i="37"/>
  <c r="I4" i="39"/>
  <c r="F13" i="38"/>
  <c r="F18" i="38" s="1"/>
  <c r="F36" i="85" s="1"/>
  <c r="D10" i="39"/>
  <c r="H10" i="40"/>
  <c r="H38" i="85" s="1"/>
  <c r="N10" i="40"/>
  <c r="N38" i="85" s="1"/>
  <c r="C14" i="41"/>
  <c r="K14" i="41"/>
  <c r="B24" i="41"/>
  <c r="N8" i="44"/>
  <c r="B11" i="44"/>
  <c r="B12" i="44" s="1"/>
  <c r="E5" i="45"/>
  <c r="R7" i="45"/>
  <c r="E13" i="42"/>
  <c r="M13" i="42"/>
  <c r="B26" i="42"/>
  <c r="N13" i="46"/>
  <c r="B29" i="46" s="1"/>
  <c r="B18" i="6"/>
  <c r="J15" i="37"/>
  <c r="J26" i="85" s="1"/>
  <c r="J4" i="39"/>
  <c r="I9" i="38"/>
  <c r="J17" i="41"/>
  <c r="J39" i="85" s="1"/>
  <c r="L14" i="41"/>
  <c r="M5" i="45"/>
  <c r="B9" i="38"/>
  <c r="J9" i="38"/>
  <c r="C17" i="41"/>
  <c r="C39" i="85" s="1"/>
  <c r="E14" i="41"/>
  <c r="E15" i="41" s="1"/>
  <c r="M14" i="41"/>
  <c r="J11" i="44"/>
  <c r="C11" i="45"/>
  <c r="C12" i="45" s="1"/>
  <c r="K11" i="45"/>
  <c r="I7" i="43"/>
  <c r="C9" i="42"/>
  <c r="K9" i="42"/>
  <c r="F9" i="42"/>
  <c r="G13" i="42"/>
  <c r="L15" i="37"/>
  <c r="R5" i="38"/>
  <c r="C9" i="38"/>
  <c r="K9" i="38"/>
  <c r="D17" i="41"/>
  <c r="D39" i="85" s="1"/>
  <c r="L17" i="41"/>
  <c r="L39" i="85" s="1"/>
  <c r="D8" i="45"/>
  <c r="L8" i="45"/>
  <c r="D9" i="42"/>
  <c r="L9" i="42"/>
  <c r="G9" i="42"/>
  <c r="H13" i="42"/>
  <c r="D15" i="37"/>
  <c r="D9" i="38"/>
  <c r="L9" i="38"/>
  <c r="R16" i="38"/>
  <c r="J6" i="39"/>
  <c r="G5" i="41"/>
  <c r="G14" i="41"/>
  <c r="J4" i="43"/>
  <c r="H11" i="44"/>
  <c r="E11" i="45"/>
  <c r="E12" i="45" s="1"/>
  <c r="D11" i="45"/>
  <c r="D12" i="45" s="1"/>
  <c r="C13" i="46"/>
  <c r="C34" i="38"/>
  <c r="C31" i="37"/>
  <c r="C35" i="37" s="1"/>
  <c r="O30" i="73"/>
  <c r="C32" i="37"/>
  <c r="C29" i="37"/>
  <c r="C35" i="38"/>
  <c r="C24" i="41"/>
  <c r="P4" i="43"/>
  <c r="D18" i="43" s="1"/>
  <c r="C27" i="37"/>
  <c r="C34" i="37" s="1"/>
  <c r="P14" i="38"/>
  <c r="D35" i="38" s="1"/>
  <c r="C30" i="38"/>
  <c r="C35" i="41"/>
  <c r="C32" i="38"/>
  <c r="C22" i="39"/>
  <c r="C26" i="39"/>
  <c r="C25" i="41"/>
  <c r="C18" i="44"/>
  <c r="C25" i="45"/>
  <c r="C26" i="45" s="1"/>
  <c r="P17" i="38"/>
  <c r="P27" i="85" s="1"/>
  <c r="C25" i="38"/>
  <c r="D32" i="38"/>
  <c r="P11" i="44"/>
  <c r="D18" i="44"/>
  <c r="P11" i="45"/>
  <c r="D25" i="45" s="1"/>
  <c r="D18" i="45"/>
  <c r="D20" i="42"/>
  <c r="C28" i="46"/>
  <c r="R12" i="38"/>
  <c r="C23" i="42"/>
  <c r="P12" i="46"/>
  <c r="D28" i="46" s="1"/>
  <c r="C25" i="37"/>
  <c r="P38" i="85"/>
  <c r="P8" i="42"/>
  <c r="D23" i="42" s="1"/>
  <c r="B6" i="24"/>
  <c r="B13" i="1"/>
  <c r="B12" i="1"/>
  <c r="B11" i="1"/>
  <c r="B8" i="1"/>
  <c r="B4" i="1"/>
  <c r="J6" i="24"/>
  <c r="J13" i="1"/>
  <c r="J12" i="1"/>
  <c r="J11" i="1"/>
  <c r="J8" i="1"/>
  <c r="J4" i="1"/>
  <c r="B6" i="25"/>
  <c r="B17" i="25"/>
  <c r="J17" i="25"/>
  <c r="J6" i="25"/>
  <c r="L14" i="25"/>
  <c r="L8" i="1"/>
  <c r="L8" i="25"/>
  <c r="L16" i="25" s="1"/>
  <c r="G12" i="1"/>
  <c r="H13" i="1"/>
  <c r="H17" i="24"/>
  <c r="H19" i="24" s="1"/>
  <c r="J31" i="9"/>
  <c r="J32" i="9" s="1"/>
  <c r="E31" i="9"/>
  <c r="E32" i="9" s="1"/>
  <c r="C7" i="9"/>
  <c r="M31" i="9"/>
  <c r="M32" i="9" s="1"/>
  <c r="D6" i="25"/>
  <c r="D17" i="25"/>
  <c r="D13" i="1"/>
  <c r="D12" i="1"/>
  <c r="L17" i="25"/>
  <c r="L13" i="1"/>
  <c r="L12" i="1"/>
  <c r="L4" i="1"/>
  <c r="L11" i="1"/>
  <c r="H11" i="1"/>
  <c r="B17" i="24"/>
  <c r="B19" i="24" s="1"/>
  <c r="J17" i="24"/>
  <c r="J19" i="24" s="1"/>
  <c r="D7" i="9"/>
  <c r="D4" i="4"/>
  <c r="D11" i="4"/>
  <c r="L7" i="9"/>
  <c r="L4" i="4"/>
  <c r="F13" i="4"/>
  <c r="F6" i="4"/>
  <c r="F11" i="4"/>
  <c r="E8" i="1"/>
  <c r="M8" i="1"/>
  <c r="E18" i="1"/>
  <c r="M18" i="1"/>
  <c r="B14" i="25"/>
  <c r="D13" i="4"/>
  <c r="L11" i="4"/>
  <c r="L13" i="4"/>
  <c r="E7" i="71"/>
  <c r="E23" i="71" s="1"/>
  <c r="L18" i="9"/>
  <c r="M6" i="25"/>
  <c r="D6" i="24"/>
  <c r="L6" i="24"/>
  <c r="R5" i="24"/>
  <c r="E5" i="1"/>
  <c r="M5" i="1"/>
  <c r="H8" i="1"/>
  <c r="D17" i="24"/>
  <c r="D19" i="24" s="1"/>
  <c r="L17" i="24"/>
  <c r="L19" i="24" s="1"/>
  <c r="J14" i="25"/>
  <c r="E4" i="1"/>
  <c r="M4" i="1"/>
  <c r="H8" i="24"/>
  <c r="E13" i="1"/>
  <c r="M13" i="1"/>
  <c r="E17" i="25"/>
  <c r="K7" i="9"/>
  <c r="G8" i="1"/>
  <c r="E12" i="1"/>
  <c r="M12" i="1"/>
  <c r="I11" i="4"/>
  <c r="I7" i="8"/>
  <c r="I23" i="8" s="1"/>
  <c r="I13" i="4"/>
  <c r="I6" i="4"/>
  <c r="C12" i="4"/>
  <c r="K12" i="4"/>
  <c r="C21" i="4"/>
  <c r="K21" i="4"/>
  <c r="B10" i="5"/>
  <c r="E11" i="1"/>
  <c r="M11" i="1"/>
  <c r="E17" i="24"/>
  <c r="N39" i="25"/>
  <c r="F39" i="25"/>
  <c r="M39" i="25"/>
  <c r="E39" i="25"/>
  <c r="L39" i="25"/>
  <c r="K39" i="25"/>
  <c r="P39" i="25"/>
  <c r="H39" i="25"/>
  <c r="F6" i="24"/>
  <c r="C6" i="25"/>
  <c r="K6" i="25"/>
  <c r="B12" i="4"/>
  <c r="J12" i="4"/>
  <c r="K11" i="71"/>
  <c r="R21" i="71"/>
  <c r="B6" i="26"/>
  <c r="E13" i="4"/>
  <c r="E22" i="4"/>
  <c r="F6" i="25"/>
  <c r="I31" i="8"/>
  <c r="P31" i="8"/>
  <c r="H31" i="8"/>
  <c r="O31" i="8"/>
  <c r="G31" i="8"/>
  <c r="N31" i="8"/>
  <c r="F31" i="8"/>
  <c r="L31" i="8"/>
  <c r="B5" i="4"/>
  <c r="B7" i="8"/>
  <c r="B11" i="4"/>
  <c r="E12" i="4"/>
  <c r="E21" i="4"/>
  <c r="E31" i="8"/>
  <c r="E10" i="27"/>
  <c r="M10" i="27"/>
  <c r="F4" i="1"/>
  <c r="F8" i="1"/>
  <c r="F11" i="1"/>
  <c r="F12" i="1"/>
  <c r="G6" i="25"/>
  <c r="J31" i="8"/>
  <c r="J31" i="71"/>
  <c r="I31" i="71"/>
  <c r="P31" i="71"/>
  <c r="H31" i="71"/>
  <c r="O31" i="71"/>
  <c r="G31" i="71"/>
  <c r="M31" i="71"/>
  <c r="E31" i="71"/>
  <c r="H6" i="25"/>
  <c r="K31" i="8"/>
  <c r="J7" i="71"/>
  <c r="J9" i="71" s="1"/>
  <c r="G10" i="27"/>
  <c r="G6" i="27"/>
  <c r="I6" i="25"/>
  <c r="J7" i="8"/>
  <c r="E11" i="4"/>
  <c r="M31" i="8"/>
  <c r="K31" i="71"/>
  <c r="I31" i="9"/>
  <c r="I32" i="9" s="1"/>
  <c r="F7" i="9"/>
  <c r="F18" i="9"/>
  <c r="L6" i="26"/>
  <c r="L10" i="26"/>
  <c r="E6" i="27"/>
  <c r="E18" i="9"/>
  <c r="L31" i="9"/>
  <c r="L32" i="9" s="1"/>
  <c r="F31" i="9"/>
  <c r="F32" i="9" s="1"/>
  <c r="N31" i="9"/>
  <c r="N32" i="9" s="1"/>
  <c r="H11" i="71"/>
  <c r="G31" i="9"/>
  <c r="G32" i="9" s="1"/>
  <c r="O31" i="9"/>
  <c r="O32" i="9" s="1"/>
  <c r="H11" i="8"/>
  <c r="H11" i="4" s="1"/>
  <c r="H31" i="9"/>
  <c r="H32" i="9" s="1"/>
  <c r="P31" i="9"/>
  <c r="P32" i="9" s="1"/>
  <c r="P39" i="9" s="1"/>
  <c r="E10" i="26"/>
  <c r="H17" i="38"/>
  <c r="H27" i="85" s="1"/>
  <c r="H9" i="38"/>
  <c r="H14" i="38"/>
  <c r="R4" i="6"/>
  <c r="C6" i="37"/>
  <c r="M15" i="37"/>
  <c r="M26" i="85" s="1"/>
  <c r="C4" i="39"/>
  <c r="C6" i="38"/>
  <c r="K4" i="39"/>
  <c r="K6" i="38"/>
  <c r="F6" i="39"/>
  <c r="F10" i="39"/>
  <c r="E6" i="37"/>
  <c r="U4" i="6"/>
  <c r="F15" i="37"/>
  <c r="F26" i="85" s="1"/>
  <c r="E15" i="37"/>
  <c r="E26" i="85" s="1"/>
  <c r="B10" i="40"/>
  <c r="B38" i="85" s="1"/>
  <c r="B9" i="40"/>
  <c r="B29" i="85" s="1"/>
  <c r="J10" i="40"/>
  <c r="J38" i="85" s="1"/>
  <c r="I12" i="46"/>
  <c r="R16" i="41"/>
  <c r="H5" i="42"/>
  <c r="H8" i="42"/>
  <c r="H9" i="42"/>
  <c r="R4" i="38"/>
  <c r="E4" i="39"/>
  <c r="M4" i="39"/>
  <c r="R11" i="38"/>
  <c r="F4" i="39"/>
  <c r="F6" i="38"/>
  <c r="E6" i="38"/>
  <c r="E17" i="38"/>
  <c r="E27" i="85" s="1"/>
  <c r="R10" i="38"/>
  <c r="M17" i="38"/>
  <c r="M27" i="85" s="1"/>
  <c r="C15" i="37"/>
  <c r="C26" i="85" s="1"/>
  <c r="K15" i="37"/>
  <c r="K26" i="85" s="1"/>
  <c r="F17" i="38"/>
  <c r="F27" i="85" s="1"/>
  <c r="E14" i="38"/>
  <c r="F5" i="41"/>
  <c r="R6" i="41"/>
  <c r="R26" i="41" s="1"/>
  <c r="E17" i="41"/>
  <c r="E39" i="85" s="1"/>
  <c r="E5" i="41"/>
  <c r="E12" i="37"/>
  <c r="E13" i="37" s="1"/>
  <c r="R8" i="38"/>
  <c r="G17" i="38"/>
  <c r="G27" i="85" s="1"/>
  <c r="E13" i="38"/>
  <c r="G14" i="38"/>
  <c r="G4" i="43"/>
  <c r="G11" i="44"/>
  <c r="G12" i="44" s="1"/>
  <c r="G5" i="44"/>
  <c r="F14" i="38"/>
  <c r="H12" i="46"/>
  <c r="C21" i="45"/>
  <c r="C22" i="45"/>
  <c r="G6" i="37"/>
  <c r="G4" i="39"/>
  <c r="I6" i="38"/>
  <c r="C17" i="38"/>
  <c r="C27" i="85" s="1"/>
  <c r="K17" i="38"/>
  <c r="K27" i="85" s="1"/>
  <c r="E11" i="41"/>
  <c r="B12" i="37"/>
  <c r="B16" i="37" s="1"/>
  <c r="B6" i="38"/>
  <c r="J6" i="38"/>
  <c r="B13" i="38"/>
  <c r="B18" i="38" s="1"/>
  <c r="D17" i="38"/>
  <c r="D27" i="85" s="1"/>
  <c r="L17" i="38"/>
  <c r="L27" i="85" s="1"/>
  <c r="B6" i="39"/>
  <c r="R7" i="39"/>
  <c r="R4" i="41"/>
  <c r="R24" i="41" s="1"/>
  <c r="C12" i="37"/>
  <c r="C16" i="37" s="1"/>
  <c r="C35" i="85" s="1"/>
  <c r="D6" i="39"/>
  <c r="C10" i="39"/>
  <c r="F14" i="41"/>
  <c r="F11" i="41"/>
  <c r="G8" i="44"/>
  <c r="U4" i="46"/>
  <c r="S4" i="46"/>
  <c r="R8" i="39"/>
  <c r="R9" i="39"/>
  <c r="C5" i="41"/>
  <c r="K5" i="41"/>
  <c r="K17" i="41"/>
  <c r="K39" i="85" s="1"/>
  <c r="K48" i="85" s="1"/>
  <c r="B11" i="41"/>
  <c r="J11" i="41"/>
  <c r="E8" i="44"/>
  <c r="E4" i="43"/>
  <c r="M8" i="44"/>
  <c r="M4" i="43"/>
  <c r="M5" i="44"/>
  <c r="G7" i="43"/>
  <c r="C21" i="44"/>
  <c r="C22" i="44"/>
  <c r="F13" i="42"/>
  <c r="R4" i="40"/>
  <c r="R17" i="40" s="1"/>
  <c r="D5" i="41"/>
  <c r="L5" i="41"/>
  <c r="G12" i="46"/>
  <c r="I5" i="45"/>
  <c r="I10" i="43"/>
  <c r="R10" i="45"/>
  <c r="E9" i="40"/>
  <c r="E29" i="85" s="1"/>
  <c r="J12" i="46"/>
  <c r="B5" i="42"/>
  <c r="B8" i="42"/>
  <c r="J8" i="42"/>
  <c r="J5" i="42"/>
  <c r="H5" i="41"/>
  <c r="F11" i="45"/>
  <c r="F12" i="45" s="1"/>
  <c r="F8" i="45"/>
  <c r="F5" i="45"/>
  <c r="R4" i="45"/>
  <c r="I5" i="41"/>
  <c r="H11" i="41"/>
  <c r="D12" i="46"/>
  <c r="L12" i="46"/>
  <c r="E11" i="44"/>
  <c r="B5" i="41"/>
  <c r="J5" i="41"/>
  <c r="I11" i="41"/>
  <c r="I14" i="41"/>
  <c r="L11" i="44"/>
  <c r="D10" i="43"/>
  <c r="D31" i="85" s="1"/>
  <c r="D5" i="44"/>
  <c r="L5" i="44"/>
  <c r="B9" i="42"/>
  <c r="H8" i="44"/>
  <c r="D11" i="44"/>
  <c r="G11" i="45"/>
  <c r="G12" i="45" s="1"/>
  <c r="G8" i="45"/>
  <c r="R12" i="42"/>
  <c r="L8" i="44"/>
  <c r="R10" i="44"/>
  <c r="F11" i="44"/>
  <c r="F12" i="44" s="1"/>
  <c r="I11" i="45"/>
  <c r="I4" i="43"/>
  <c r="E5" i="44"/>
  <c r="C8" i="44"/>
  <c r="I8" i="45"/>
  <c r="G5" i="45"/>
  <c r="H5" i="44"/>
  <c r="P8" i="44"/>
  <c r="G5" i="42"/>
  <c r="J13" i="46"/>
  <c r="J9" i="42"/>
  <c r="I5" i="44"/>
  <c r="I8" i="44"/>
  <c r="B5" i="44"/>
  <c r="J5" i="44"/>
  <c r="R6" i="42"/>
  <c r="R4" i="46"/>
  <c r="H5" i="45"/>
  <c r="P8" i="45"/>
  <c r="R4" i="42"/>
  <c r="R7" i="42"/>
  <c r="I8" i="42"/>
  <c r="I13" i="42"/>
  <c r="E13" i="46"/>
  <c r="M13" i="46"/>
  <c r="B5" i="45"/>
  <c r="J5" i="45"/>
  <c r="B8" i="45"/>
  <c r="J8" i="45"/>
  <c r="C8" i="42"/>
  <c r="K8" i="42"/>
  <c r="C5" i="45"/>
  <c r="K5" i="45"/>
  <c r="C8" i="45"/>
  <c r="K8" i="45"/>
  <c r="B11" i="45"/>
  <c r="D8" i="42"/>
  <c r="L8" i="42"/>
  <c r="D5" i="45"/>
  <c r="L5" i="45"/>
  <c r="E8" i="42"/>
  <c r="M8" i="42"/>
  <c r="T20" i="42" l="1"/>
  <c r="E26" i="41"/>
  <c r="F26" i="41"/>
  <c r="I26" i="41"/>
  <c r="J26" i="41"/>
  <c r="M26" i="41"/>
  <c r="G26" i="41"/>
  <c r="O26" i="41"/>
  <c r="H26" i="41"/>
  <c r="N26" i="41"/>
  <c r="P26" i="41"/>
  <c r="K26" i="41"/>
  <c r="L26" i="41"/>
  <c r="E17" i="40"/>
  <c r="M17" i="40"/>
  <c r="F17" i="40"/>
  <c r="G17" i="40"/>
  <c r="H17" i="40"/>
  <c r="I17" i="40"/>
  <c r="J17" i="40"/>
  <c r="N17" i="40"/>
  <c r="K17" i="40"/>
  <c r="L17" i="40"/>
  <c r="O17" i="40"/>
  <c r="P17" i="40"/>
  <c r="E24" i="41"/>
  <c r="G24" i="41"/>
  <c r="H24" i="41"/>
  <c r="I24" i="41"/>
  <c r="J24" i="41"/>
  <c r="L24" i="41"/>
  <c r="O24" i="41"/>
  <c r="K24" i="41"/>
  <c r="M24" i="41"/>
  <c r="N24" i="41"/>
  <c r="F24" i="41"/>
  <c r="P24" i="41"/>
  <c r="E32" i="8"/>
  <c r="E37" i="4"/>
  <c r="I30" i="9"/>
  <c r="F37" i="4"/>
  <c r="F32" i="71"/>
  <c r="F40" i="71" s="1"/>
  <c r="I30" i="71"/>
  <c r="L31" i="67"/>
  <c r="M37" i="77" s="1"/>
  <c r="G25" i="24"/>
  <c r="G30" i="1" s="1"/>
  <c r="K11" i="40"/>
  <c r="B22" i="45"/>
  <c r="G47" i="85"/>
  <c r="B22" i="44"/>
  <c r="D22" i="44"/>
  <c r="M37" i="43"/>
  <c r="D22" i="45"/>
  <c r="H37" i="43"/>
  <c r="J32" i="40"/>
  <c r="K37" i="43"/>
  <c r="J34" i="40"/>
  <c r="E5" i="85"/>
  <c r="E9" i="6" s="1"/>
  <c r="L5" i="85"/>
  <c r="L9" i="6" s="1"/>
  <c r="K34" i="40"/>
  <c r="P47" i="85"/>
  <c r="N47" i="85"/>
  <c r="G5" i="85"/>
  <c r="G9" i="6" s="1"/>
  <c r="N5" i="85"/>
  <c r="B23" i="6" s="1"/>
  <c r="M32" i="40"/>
  <c r="R34" i="44"/>
  <c r="O5" i="85"/>
  <c r="C23" i="6" s="1"/>
  <c r="E50" i="85"/>
  <c r="F46" i="41"/>
  <c r="H5" i="85"/>
  <c r="H9" i="6" s="1"/>
  <c r="L32" i="40"/>
  <c r="M34" i="40"/>
  <c r="M5" i="69"/>
  <c r="L34" i="40"/>
  <c r="I32" i="40"/>
  <c r="H34" i="40"/>
  <c r="H32" i="40"/>
  <c r="B26" i="45"/>
  <c r="K32" i="40"/>
  <c r="J50" i="85"/>
  <c r="D26" i="45"/>
  <c r="T12" i="44"/>
  <c r="N31" i="85"/>
  <c r="N37" i="43"/>
  <c r="E47" i="85"/>
  <c r="E32" i="40"/>
  <c r="E11" i="40"/>
  <c r="E34" i="40"/>
  <c r="P32" i="85"/>
  <c r="P50" i="85" s="1"/>
  <c r="P42" i="42"/>
  <c r="R42" i="42" s="1"/>
  <c r="E12" i="41"/>
  <c r="E46" i="41"/>
  <c r="T14" i="41"/>
  <c r="M15" i="41"/>
  <c r="M46" i="41"/>
  <c r="H12" i="41"/>
  <c r="H46" i="41"/>
  <c r="J15" i="41"/>
  <c r="J46" i="41"/>
  <c r="J31" i="85"/>
  <c r="J37" i="43"/>
  <c r="N32" i="40"/>
  <c r="N11" i="40"/>
  <c r="N34" i="40"/>
  <c r="U15" i="41"/>
  <c r="I12" i="41"/>
  <c r="I46" i="41"/>
  <c r="F14" i="46"/>
  <c r="F37" i="43"/>
  <c r="G31" i="85"/>
  <c r="G37" i="43"/>
  <c r="F32" i="40"/>
  <c r="F11" i="40"/>
  <c r="F34" i="40"/>
  <c r="L11" i="40"/>
  <c r="I11" i="40"/>
  <c r="T13" i="45"/>
  <c r="L15" i="41"/>
  <c r="L46" i="41"/>
  <c r="I31" i="85"/>
  <c r="I37" i="43"/>
  <c r="G12" i="41"/>
  <c r="G46" i="41"/>
  <c r="N50" i="85"/>
  <c r="P32" i="40"/>
  <c r="K12" i="41"/>
  <c r="K46" i="41"/>
  <c r="N13" i="39"/>
  <c r="N37" i="85" s="1"/>
  <c r="N15" i="39"/>
  <c r="N15" i="41"/>
  <c r="B35" i="41" s="1"/>
  <c r="N46" i="41"/>
  <c r="L31" i="85"/>
  <c r="L37" i="43"/>
  <c r="T13" i="44"/>
  <c r="T17" i="41"/>
  <c r="E31" i="85"/>
  <c r="E37" i="43"/>
  <c r="T12" i="45"/>
  <c r="J11" i="40"/>
  <c r="H11" i="40"/>
  <c r="G32" i="40"/>
  <c r="G11" i="40"/>
  <c r="G34" i="40"/>
  <c r="P31" i="85"/>
  <c r="P37" i="43"/>
  <c r="R34" i="45"/>
  <c r="M11" i="40"/>
  <c r="O41" i="41"/>
  <c r="N41" i="41"/>
  <c r="F12" i="39"/>
  <c r="F28" i="85" s="1"/>
  <c r="F15" i="39"/>
  <c r="H12" i="39"/>
  <c r="H28" i="85" s="1"/>
  <c r="H15" i="39"/>
  <c r="M12" i="39"/>
  <c r="M28" i="85" s="1"/>
  <c r="M15" i="39"/>
  <c r="E15" i="39"/>
  <c r="P16" i="39"/>
  <c r="L12" i="39"/>
  <c r="L6" i="73" s="1"/>
  <c r="L15" i="39"/>
  <c r="K13" i="39"/>
  <c r="K37" i="85" s="1"/>
  <c r="K15" i="39"/>
  <c r="G12" i="39"/>
  <c r="G28" i="85" s="1"/>
  <c r="G15" i="39"/>
  <c r="J12" i="39"/>
  <c r="J10" i="46" s="1"/>
  <c r="J15" i="39"/>
  <c r="I12" i="39"/>
  <c r="I28" i="85" s="1"/>
  <c r="I15" i="39"/>
  <c r="I12" i="27"/>
  <c r="I15" i="27"/>
  <c r="D28" i="73"/>
  <c r="L17" i="37"/>
  <c r="D24" i="43"/>
  <c r="E16" i="1"/>
  <c r="C45" i="85"/>
  <c r="L13" i="37"/>
  <c r="E14" i="46"/>
  <c r="P14" i="46"/>
  <c r="D30" i="46" s="1"/>
  <c r="J8" i="43"/>
  <c r="P18" i="38"/>
  <c r="P36" i="85" s="1"/>
  <c r="P45" i="85" s="1"/>
  <c r="C24" i="71"/>
  <c r="H28" i="73"/>
  <c r="I8" i="46"/>
  <c r="B8" i="46"/>
  <c r="C8" i="43"/>
  <c r="K8" i="43"/>
  <c r="M45" i="85"/>
  <c r="F9" i="8"/>
  <c r="I47" i="85"/>
  <c r="F24" i="8"/>
  <c r="F4" i="26"/>
  <c r="F12" i="26" s="1"/>
  <c r="I11" i="43"/>
  <c r="I40" i="85" s="1"/>
  <c r="G28" i="73"/>
  <c r="C5" i="69"/>
  <c r="L11" i="43"/>
  <c r="L40" i="85" s="1"/>
  <c r="H47" i="85"/>
  <c r="D12" i="41"/>
  <c r="N12" i="45"/>
  <c r="B24" i="71"/>
  <c r="M9" i="71"/>
  <c r="E28" i="73"/>
  <c r="B28" i="73"/>
  <c r="M24" i="71"/>
  <c r="R21" i="44"/>
  <c r="H23" i="9"/>
  <c r="J13" i="37"/>
  <c r="L48" i="85"/>
  <c r="I13" i="37"/>
  <c r="L45" i="85"/>
  <c r="D45" i="85"/>
  <c r="G19" i="25"/>
  <c r="M13" i="37"/>
  <c r="I28" i="73"/>
  <c r="H11" i="43"/>
  <c r="H40" i="85" s="1"/>
  <c r="R30" i="38"/>
  <c r="G31" i="38"/>
  <c r="AD27" i="85"/>
  <c r="J25" i="46"/>
  <c r="AD5" i="73"/>
  <c r="R23" i="39"/>
  <c r="S17" i="68"/>
  <c r="O17" i="68"/>
  <c r="R21" i="40"/>
  <c r="J28" i="37"/>
  <c r="J34" i="37" s="1"/>
  <c r="K28" i="68"/>
  <c r="G17" i="68"/>
  <c r="I24" i="9"/>
  <c r="L30" i="8"/>
  <c r="L32" i="8" s="1"/>
  <c r="L30" i="9"/>
  <c r="J30" i="4"/>
  <c r="J30" i="9" s="1"/>
  <c r="H30" i="8"/>
  <c r="N30" i="4"/>
  <c r="N30" i="8" s="1"/>
  <c r="N32" i="8" s="1"/>
  <c r="I30" i="8"/>
  <c r="I37" i="4" s="1"/>
  <c r="H30" i="9"/>
  <c r="K30" i="71"/>
  <c r="K32" i="71" s="1"/>
  <c r="K40" i="71" s="1"/>
  <c r="R56" i="9"/>
  <c r="M5" i="85"/>
  <c r="M9" i="6" s="1"/>
  <c r="G30" i="9"/>
  <c r="G37" i="4" s="1"/>
  <c r="K30" i="9"/>
  <c r="K37" i="4" s="1"/>
  <c r="O30" i="4"/>
  <c r="O30" i="71" s="1"/>
  <c r="O32" i="71" s="1"/>
  <c r="G30" i="71"/>
  <c r="H30" i="71"/>
  <c r="H32" i="71" s="1"/>
  <c r="H40" i="71" s="1"/>
  <c r="L32" i="71"/>
  <c r="L40" i="71" s="1"/>
  <c r="L48" i="71" s="1"/>
  <c r="G4" i="26"/>
  <c r="G12" i="26" s="1"/>
  <c r="P9" i="73"/>
  <c r="B23" i="71"/>
  <c r="B54" i="8"/>
  <c r="B50" i="71"/>
  <c r="H8" i="43"/>
  <c r="S30" i="85"/>
  <c r="F8" i="43"/>
  <c r="O7" i="4"/>
  <c r="M28" i="73"/>
  <c r="D47" i="85"/>
  <c r="B53" i="8"/>
  <c r="B5" i="85"/>
  <c r="B9" i="6" s="1"/>
  <c r="B52" i="8"/>
  <c r="D8" i="43"/>
  <c r="L28" i="73"/>
  <c r="K28" i="73"/>
  <c r="J23" i="9"/>
  <c r="M9" i="9"/>
  <c r="N19" i="38"/>
  <c r="N36" i="85"/>
  <c r="N45" i="85" s="1"/>
  <c r="I41" i="41"/>
  <c r="M4" i="27"/>
  <c r="N23" i="71"/>
  <c r="P18" i="41"/>
  <c r="P39" i="85"/>
  <c r="P48" i="85" s="1"/>
  <c r="H6" i="1"/>
  <c r="R24" i="69"/>
  <c r="N24" i="71"/>
  <c r="I6" i="1"/>
  <c r="H41" i="41"/>
  <c r="F41" i="41"/>
  <c r="S41" i="85"/>
  <c r="B18" i="41"/>
  <c r="I24" i="71"/>
  <c r="M24" i="8"/>
  <c r="N44" i="85"/>
  <c r="J28" i="73"/>
  <c r="C48" i="85"/>
  <c r="G45" i="85"/>
  <c r="H4" i="27"/>
  <c r="D23" i="8"/>
  <c r="B5" i="43"/>
  <c r="M47" i="85"/>
  <c r="J9" i="9"/>
  <c r="K11" i="43"/>
  <c r="K40" i="85" s="1"/>
  <c r="L8" i="43"/>
  <c r="I13" i="39"/>
  <c r="I37" i="85" s="1"/>
  <c r="G16" i="37"/>
  <c r="G35" i="85" s="1"/>
  <c r="G44" i="85" s="1"/>
  <c r="J4" i="27"/>
  <c r="L9" i="73"/>
  <c r="J9" i="73"/>
  <c r="C6" i="1"/>
  <c r="K6" i="1"/>
  <c r="F50" i="85"/>
  <c r="F23" i="71"/>
  <c r="H16" i="1"/>
  <c r="F45" i="85"/>
  <c r="D10" i="46"/>
  <c r="F19" i="25"/>
  <c r="L5" i="43"/>
  <c r="J14" i="46"/>
  <c r="I50" i="85"/>
  <c r="H9" i="9"/>
  <c r="K45" i="85"/>
  <c r="J45" i="85"/>
  <c r="S52" i="85"/>
  <c r="D24" i="8"/>
  <c r="C23" i="71"/>
  <c r="E4" i="26"/>
  <c r="E12" i="26" s="1"/>
  <c r="B4" i="27"/>
  <c r="B12" i="27" s="1"/>
  <c r="C14" i="46"/>
  <c r="L14" i="46"/>
  <c r="B23" i="9"/>
  <c r="B24" i="9"/>
  <c r="J5" i="85"/>
  <c r="J9" i="6" s="1"/>
  <c r="J5" i="69"/>
  <c r="C44" i="85"/>
  <c r="I44" i="85"/>
  <c r="I5" i="69"/>
  <c r="I5" i="85"/>
  <c r="I9" i="6" s="1"/>
  <c r="I27" i="85"/>
  <c r="I45" i="85" s="1"/>
  <c r="K38" i="85"/>
  <c r="L8" i="46"/>
  <c r="L26" i="85"/>
  <c r="H14" i="46"/>
  <c r="H31" i="85"/>
  <c r="R30" i="73"/>
  <c r="K5" i="85"/>
  <c r="K9" i="6" s="1"/>
  <c r="F16" i="73"/>
  <c r="F38" i="85"/>
  <c r="M14" i="46"/>
  <c r="M31" i="85"/>
  <c r="R52" i="85"/>
  <c r="B47" i="85"/>
  <c r="J44" i="85"/>
  <c r="B17" i="37"/>
  <c r="B35" i="85"/>
  <c r="B44" i="85" s="1"/>
  <c r="E16" i="4"/>
  <c r="H18" i="41"/>
  <c r="H39" i="85"/>
  <c r="H48" i="85" s="1"/>
  <c r="K14" i="46"/>
  <c r="K31" i="85"/>
  <c r="B19" i="38"/>
  <c r="B36" i="85"/>
  <c r="H13" i="39"/>
  <c r="H37" i="85" s="1"/>
  <c r="D13" i="39"/>
  <c r="D37" i="85" s="1"/>
  <c r="D46" i="85" s="1"/>
  <c r="H45" i="85"/>
  <c r="L24" i="8"/>
  <c r="F5" i="43"/>
  <c r="F31" i="85"/>
  <c r="K16" i="73"/>
  <c r="I5" i="73"/>
  <c r="K50" i="85"/>
  <c r="B10" i="46"/>
  <c r="B28" i="85"/>
  <c r="I9" i="46"/>
  <c r="F5" i="69"/>
  <c r="F5" i="85"/>
  <c r="F9" i="6" s="1"/>
  <c r="D48" i="85"/>
  <c r="R24" i="85"/>
  <c r="R32" i="85"/>
  <c r="J47" i="85"/>
  <c r="C11" i="40"/>
  <c r="C29" i="85"/>
  <c r="C47" i="85" s="1"/>
  <c r="R19" i="73"/>
  <c r="K17" i="1"/>
  <c r="K11" i="85" s="1"/>
  <c r="J48" i="85"/>
  <c r="D8" i="46"/>
  <c r="D26" i="85"/>
  <c r="L11" i="46"/>
  <c r="L47" i="85"/>
  <c r="E9" i="73"/>
  <c r="C17" i="1"/>
  <c r="C11" i="85" s="1"/>
  <c r="R41" i="85"/>
  <c r="H17" i="37"/>
  <c r="H26" i="85"/>
  <c r="M35" i="85"/>
  <c r="E48" i="85"/>
  <c r="B48" i="85"/>
  <c r="R30" i="85"/>
  <c r="B31" i="85"/>
  <c r="B9" i="73"/>
  <c r="F27" i="41"/>
  <c r="G27" i="41" s="1"/>
  <c r="R25" i="41"/>
  <c r="I17" i="37"/>
  <c r="F24" i="71"/>
  <c r="H13" i="37"/>
  <c r="K16" i="1"/>
  <c r="K5" i="43"/>
  <c r="G6" i="1"/>
  <c r="D4" i="26"/>
  <c r="D13" i="26" s="1"/>
  <c r="D16" i="1"/>
  <c r="D4" i="85" s="1"/>
  <c r="D8" i="6" s="1"/>
  <c r="M9" i="73"/>
  <c r="S30" i="73"/>
  <c r="C5" i="43"/>
  <c r="O24" i="9"/>
  <c r="D37" i="41"/>
  <c r="D38" i="41" s="1"/>
  <c r="O9" i="9"/>
  <c r="C36" i="37"/>
  <c r="O16" i="4"/>
  <c r="O4" i="27"/>
  <c r="O23" i="9"/>
  <c r="N12" i="41"/>
  <c r="B32" i="41" s="1"/>
  <c r="N4" i="26"/>
  <c r="N12" i="26" s="1"/>
  <c r="N9" i="8"/>
  <c r="N23" i="8"/>
  <c r="B42" i="4"/>
  <c r="N7" i="4"/>
  <c r="B34" i="41"/>
  <c r="P11" i="41"/>
  <c r="D31" i="41" s="1"/>
  <c r="P20" i="5"/>
  <c r="P30" i="1"/>
  <c r="O27" i="24"/>
  <c r="L12" i="67"/>
  <c r="O37" i="24"/>
  <c r="L19" i="67"/>
  <c r="O30" i="1"/>
  <c r="L25" i="67"/>
  <c r="O31" i="1"/>
  <c r="M30" i="1"/>
  <c r="M20" i="26"/>
  <c r="M20" i="5" s="1"/>
  <c r="K27" i="24"/>
  <c r="H31" i="1"/>
  <c r="H17" i="1"/>
  <c r="H11" i="69" s="1"/>
  <c r="I19" i="25"/>
  <c r="G20" i="26"/>
  <c r="G20" i="5" s="1"/>
  <c r="AH54" i="69"/>
  <c r="B40" i="25"/>
  <c r="Z54" i="69"/>
  <c r="C14" i="1"/>
  <c r="I47" i="1"/>
  <c r="AC82" i="85" s="1"/>
  <c r="I27" i="1"/>
  <c r="H2" i="67"/>
  <c r="H7" i="67" s="1"/>
  <c r="B19" i="25"/>
  <c r="H20" i="5"/>
  <c r="H23" i="5" s="1"/>
  <c r="N19" i="25"/>
  <c r="I17" i="1"/>
  <c r="H27" i="24"/>
  <c r="H30" i="1"/>
  <c r="M19" i="25"/>
  <c r="AI54" i="69"/>
  <c r="K9" i="1"/>
  <c r="C16" i="1"/>
  <c r="C4" i="85" s="1"/>
  <c r="C8" i="6" s="1"/>
  <c r="H37" i="24"/>
  <c r="D23" i="67"/>
  <c r="D18" i="67"/>
  <c r="D17" i="67"/>
  <c r="D15" i="67"/>
  <c r="D11" i="67"/>
  <c r="D9" i="67"/>
  <c r="D29" i="67"/>
  <c r="D30" i="67"/>
  <c r="D28" i="67"/>
  <c r="D16" i="67"/>
  <c r="D10" i="67"/>
  <c r="D24" i="67"/>
  <c r="D22" i="67"/>
  <c r="G47" i="1"/>
  <c r="AA82" i="85" s="1"/>
  <c r="G27" i="1"/>
  <c r="P29" i="67"/>
  <c r="P15" i="67"/>
  <c r="P9" i="67"/>
  <c r="P30" i="67"/>
  <c r="P24" i="67"/>
  <c r="P16" i="67"/>
  <c r="P22" i="67"/>
  <c r="P17" i="67"/>
  <c r="P11" i="67"/>
  <c r="P10" i="67"/>
  <c r="P18" i="67"/>
  <c r="P28" i="67"/>
  <c r="P23" i="67"/>
  <c r="B13" i="39"/>
  <c r="D9" i="71"/>
  <c r="D24" i="71"/>
  <c r="D16" i="73"/>
  <c r="D14" i="1"/>
  <c r="D17" i="4"/>
  <c r="D13" i="37"/>
  <c r="M39" i="1"/>
  <c r="G41" i="41"/>
  <c r="R5" i="42"/>
  <c r="B41" i="41"/>
  <c r="C41" i="41"/>
  <c r="D41" i="41"/>
  <c r="H19" i="25"/>
  <c r="H14" i="4"/>
  <c r="L41" i="41"/>
  <c r="S19" i="73"/>
  <c r="I16" i="73"/>
  <c r="I8" i="43"/>
  <c r="L9" i="71"/>
  <c r="L23" i="71"/>
  <c r="L16" i="73"/>
  <c r="M11" i="43"/>
  <c r="M6" i="43" s="1"/>
  <c r="G22" i="42"/>
  <c r="G23" i="42" s="1"/>
  <c r="N28" i="73"/>
  <c r="N8" i="43"/>
  <c r="N14" i="4"/>
  <c r="N13" i="37"/>
  <c r="B32" i="37" s="1"/>
  <c r="B31" i="37"/>
  <c r="B35" i="37" s="1"/>
  <c r="B36" i="37" s="1"/>
  <c r="B49" i="71"/>
  <c r="B49" i="9"/>
  <c r="K14" i="1"/>
  <c r="J41" i="41"/>
  <c r="O39" i="1"/>
  <c r="K5" i="69"/>
  <c r="K41" i="41"/>
  <c r="J39" i="1"/>
  <c r="G16" i="73"/>
  <c r="F16" i="37"/>
  <c r="F35" i="85" s="1"/>
  <c r="C23" i="9"/>
  <c r="L18" i="41"/>
  <c r="L17" i="73"/>
  <c r="L26" i="73" s="1"/>
  <c r="B17" i="73"/>
  <c r="B26" i="73" s="1"/>
  <c r="N9" i="9"/>
  <c r="S8" i="73"/>
  <c r="M41" i="41"/>
  <c r="B52" i="9"/>
  <c r="K17" i="73"/>
  <c r="K26" i="73" s="1"/>
  <c r="R10" i="43"/>
  <c r="R7" i="43"/>
  <c r="J5" i="43"/>
  <c r="P8" i="43"/>
  <c r="E30" i="43"/>
  <c r="E31" i="43" s="1"/>
  <c r="M31" i="43" s="1"/>
  <c r="D6" i="1"/>
  <c r="D18" i="41"/>
  <c r="D17" i="73"/>
  <c r="D26" i="73" s="1"/>
  <c r="N23" i="9"/>
  <c r="I18" i="41"/>
  <c r="I17" i="73"/>
  <c r="I26" i="73" s="1"/>
  <c r="O17" i="73"/>
  <c r="O26" i="73" s="1"/>
  <c r="R8" i="73"/>
  <c r="E41" i="41"/>
  <c r="N18" i="41"/>
  <c r="N17" i="73"/>
  <c r="N26" i="73" s="1"/>
  <c r="B54" i="9"/>
  <c r="O9" i="8"/>
  <c r="O17" i="4"/>
  <c r="O14" i="4"/>
  <c r="C17" i="73"/>
  <c r="C26" i="73" s="1"/>
  <c r="M18" i="41"/>
  <c r="M17" i="73"/>
  <c r="M26" i="73" s="1"/>
  <c r="G15" i="41"/>
  <c r="N17" i="4"/>
  <c r="N24" i="9"/>
  <c r="C32" i="41"/>
  <c r="F18" i="41"/>
  <c r="F17" i="73"/>
  <c r="F26" i="73" s="1"/>
  <c r="D23" i="9"/>
  <c r="K9" i="73"/>
  <c r="H17" i="73"/>
  <c r="H26" i="73" s="1"/>
  <c r="B56" i="8"/>
  <c r="B57" i="8"/>
  <c r="B35" i="8"/>
  <c r="B50" i="8"/>
  <c r="K20" i="26"/>
  <c r="K20" i="5" s="1"/>
  <c r="K23" i="5" s="1"/>
  <c r="K31" i="1"/>
  <c r="K37" i="24"/>
  <c r="K30" i="1"/>
  <c r="C4" i="26"/>
  <c r="C12" i="26" s="1"/>
  <c r="K19" i="25"/>
  <c r="D7" i="4"/>
  <c r="D9" i="4" s="1"/>
  <c r="B8" i="43"/>
  <c r="B53" i="9"/>
  <c r="O4" i="26"/>
  <c r="M16" i="73"/>
  <c r="O5" i="69"/>
  <c r="N16" i="4"/>
  <c r="G18" i="41"/>
  <c r="G17" i="73"/>
  <c r="G26" i="73" s="1"/>
  <c r="P17" i="73"/>
  <c r="P26" i="73" s="1"/>
  <c r="O23" i="8"/>
  <c r="E16" i="73"/>
  <c r="G5" i="69"/>
  <c r="N5" i="69"/>
  <c r="E18" i="41"/>
  <c r="E17" i="73"/>
  <c r="D14" i="4"/>
  <c r="B13" i="37"/>
  <c r="J13" i="39"/>
  <c r="J37" i="85" s="1"/>
  <c r="C24" i="8"/>
  <c r="D34" i="41"/>
  <c r="J18" i="41"/>
  <c r="J17" i="73"/>
  <c r="J26" i="73" s="1"/>
  <c r="L13" i="39"/>
  <c r="I23" i="71"/>
  <c r="B33" i="4"/>
  <c r="B50" i="4" s="1"/>
  <c r="N4" i="27"/>
  <c r="K18" i="41"/>
  <c r="F22" i="42"/>
  <c r="F23" i="42" s="1"/>
  <c r="C19" i="43"/>
  <c r="C30" i="46"/>
  <c r="O9" i="73"/>
  <c r="E32" i="43"/>
  <c r="E33" i="43" s="1"/>
  <c r="M33" i="43" s="1"/>
  <c r="C24" i="43"/>
  <c r="H21" i="43"/>
  <c r="I21" i="45"/>
  <c r="O4" i="73"/>
  <c r="H9" i="8"/>
  <c r="R10" i="39"/>
  <c r="G24" i="71"/>
  <c r="L13" i="73"/>
  <c r="L4" i="26"/>
  <c r="L13" i="26" s="1"/>
  <c r="D13" i="73"/>
  <c r="L9" i="8"/>
  <c r="D11" i="46"/>
  <c r="D7" i="73"/>
  <c r="C13" i="37"/>
  <c r="N39" i="1"/>
  <c r="L7" i="4"/>
  <c r="B4" i="73"/>
  <c r="G24" i="8"/>
  <c r="I4" i="73"/>
  <c r="K16" i="37"/>
  <c r="K13" i="73" s="1"/>
  <c r="D11" i="40"/>
  <c r="D17" i="37"/>
  <c r="I9" i="9"/>
  <c r="G39" i="1"/>
  <c r="H5" i="43"/>
  <c r="I23" i="9"/>
  <c r="E23" i="8"/>
  <c r="K23" i="8"/>
  <c r="M14" i="73"/>
  <c r="C9" i="73"/>
  <c r="F11" i="46"/>
  <c r="F7" i="73"/>
  <c r="G13" i="39"/>
  <c r="M13" i="39"/>
  <c r="M37" i="85" s="1"/>
  <c r="L12" i="41"/>
  <c r="R9" i="38"/>
  <c r="H23" i="71"/>
  <c r="K4" i="26"/>
  <c r="G23" i="71"/>
  <c r="K24" i="8"/>
  <c r="J13" i="73"/>
  <c r="C16" i="73"/>
  <c r="G14" i="46"/>
  <c r="G9" i="73"/>
  <c r="D6" i="73"/>
  <c r="D11" i="43"/>
  <c r="F23" i="9"/>
  <c r="G8" i="46"/>
  <c r="G4" i="73"/>
  <c r="C11" i="46"/>
  <c r="C7" i="73"/>
  <c r="B6" i="73"/>
  <c r="G14" i="73"/>
  <c r="G9" i="8"/>
  <c r="K12" i="45"/>
  <c r="E14" i="4"/>
  <c r="L7" i="73"/>
  <c r="R10" i="73"/>
  <c r="J12" i="41"/>
  <c r="H15" i="41"/>
  <c r="B12" i="41"/>
  <c r="C31" i="41"/>
  <c r="R7" i="41"/>
  <c r="P12" i="41"/>
  <c r="D32" i="41" s="1"/>
  <c r="C34" i="41"/>
  <c r="K15" i="41"/>
  <c r="C27" i="41"/>
  <c r="R12" i="46"/>
  <c r="M12" i="41"/>
  <c r="C37" i="41"/>
  <c r="C38" i="41" s="1"/>
  <c r="L39" i="1"/>
  <c r="N13" i="73"/>
  <c r="N14" i="46"/>
  <c r="B30" i="46" s="1"/>
  <c r="B24" i="43"/>
  <c r="N5" i="43"/>
  <c r="B19" i="43" s="1"/>
  <c r="N9" i="73"/>
  <c r="H16" i="73"/>
  <c r="J9" i="46"/>
  <c r="J5" i="73"/>
  <c r="M16" i="4"/>
  <c r="O20" i="5"/>
  <c r="O23" i="5" s="1"/>
  <c r="N9" i="1"/>
  <c r="N14" i="1"/>
  <c r="R11" i="45"/>
  <c r="R6" i="45" s="1"/>
  <c r="C16" i="4"/>
  <c r="H16" i="4"/>
  <c r="I39" i="1"/>
  <c r="K23" i="71"/>
  <c r="D17" i="1"/>
  <c r="D4" i="73"/>
  <c r="B35" i="9"/>
  <c r="B40" i="4"/>
  <c r="B43" i="4"/>
  <c r="C23" i="8"/>
  <c r="N16" i="1"/>
  <c r="N17" i="1"/>
  <c r="N11" i="85" s="1"/>
  <c r="N6" i="1"/>
  <c r="L20" i="26"/>
  <c r="L37" i="24"/>
  <c r="L31" i="1"/>
  <c r="L30" i="1"/>
  <c r="L27" i="24"/>
  <c r="J4" i="73"/>
  <c r="B25" i="44"/>
  <c r="B26" i="44" s="1"/>
  <c r="N11" i="43"/>
  <c r="N17" i="37"/>
  <c r="N8" i="46"/>
  <c r="N4" i="73"/>
  <c r="H9" i="73"/>
  <c r="B9" i="46"/>
  <c r="B5" i="73"/>
  <c r="G9" i="9"/>
  <c r="G4" i="27"/>
  <c r="G15" i="27" s="1"/>
  <c r="G17" i="4"/>
  <c r="G14" i="4"/>
  <c r="G7" i="4"/>
  <c r="G16" i="4"/>
  <c r="H7" i="4"/>
  <c r="H17" i="4"/>
  <c r="B30" i="1"/>
  <c r="B35" i="1"/>
  <c r="I9" i="1"/>
  <c r="I14" i="1"/>
  <c r="E20" i="5"/>
  <c r="E23" i="5" s="1"/>
  <c r="I20" i="26"/>
  <c r="I27" i="24"/>
  <c r="I37" i="24"/>
  <c r="I31" i="1"/>
  <c r="I30" i="1"/>
  <c r="R13" i="46"/>
  <c r="D12" i="44"/>
  <c r="H24" i="8"/>
  <c r="M7" i="4"/>
  <c r="E9" i="9"/>
  <c r="H4" i="26"/>
  <c r="F39" i="1"/>
  <c r="N11" i="46"/>
  <c r="B27" i="46" s="1"/>
  <c r="B22" i="40"/>
  <c r="N7" i="73"/>
  <c r="B28" i="42"/>
  <c r="B25" i="42"/>
  <c r="L14" i="73"/>
  <c r="H12" i="44"/>
  <c r="N14" i="73"/>
  <c r="N23" i="73" s="1"/>
  <c r="F9" i="73"/>
  <c r="E24" i="9"/>
  <c r="H24" i="71"/>
  <c r="B38" i="1"/>
  <c r="B37" i="1"/>
  <c r="B27" i="1"/>
  <c r="G17" i="1"/>
  <c r="G11" i="85" s="1"/>
  <c r="I12" i="45"/>
  <c r="M4" i="26"/>
  <c r="E4" i="27"/>
  <c r="C14" i="4"/>
  <c r="L23" i="9"/>
  <c r="J19" i="38"/>
  <c r="J14" i="73"/>
  <c r="D14" i="73"/>
  <c r="H14" i="73"/>
  <c r="L5" i="69"/>
  <c r="N20" i="26"/>
  <c r="N31" i="1"/>
  <c r="N30" i="1"/>
  <c r="N37" i="24"/>
  <c r="N27" i="24"/>
  <c r="I16" i="1"/>
  <c r="I19" i="38"/>
  <c r="I14" i="73"/>
  <c r="L43" i="71"/>
  <c r="L54" i="71" s="1"/>
  <c r="M17" i="4"/>
  <c r="E7" i="4"/>
  <c r="G23" i="9"/>
  <c r="L16" i="4"/>
  <c r="C12" i="41"/>
  <c r="C15" i="41"/>
  <c r="B37" i="41"/>
  <c r="B38" i="41" s="1"/>
  <c r="D5" i="69"/>
  <c r="G24" i="9"/>
  <c r="M23" i="8"/>
  <c r="O19" i="25"/>
  <c r="B50" i="9"/>
  <c r="R20" i="27"/>
  <c r="G11" i="43"/>
  <c r="J8" i="46"/>
  <c r="G42" i="71"/>
  <c r="G53" i="71" s="1"/>
  <c r="J23" i="71"/>
  <c r="E17" i="4"/>
  <c r="H23" i="8"/>
  <c r="C19" i="25"/>
  <c r="L14" i="4"/>
  <c r="K24" i="9"/>
  <c r="H13" i="73"/>
  <c r="J11" i="43"/>
  <c r="J40" i="85" s="1"/>
  <c r="J12" i="44"/>
  <c r="B23" i="40"/>
  <c r="N16" i="73"/>
  <c r="B20" i="39"/>
  <c r="N12" i="39"/>
  <c r="N28" i="85" s="1"/>
  <c r="H8" i="46"/>
  <c r="H4" i="73"/>
  <c r="C11" i="43"/>
  <c r="C40" i="85" s="1"/>
  <c r="C49" i="85" s="1"/>
  <c r="E29" i="1"/>
  <c r="E37" i="1" s="1"/>
  <c r="C18" i="41"/>
  <c r="J17" i="37"/>
  <c r="L17" i="4"/>
  <c r="K24" i="71"/>
  <c r="D19" i="25"/>
  <c r="L19" i="25"/>
  <c r="I13" i="73"/>
  <c r="L4" i="73"/>
  <c r="K11" i="46"/>
  <c r="K7" i="73"/>
  <c r="N12" i="44"/>
  <c r="M14" i="4"/>
  <c r="M23" i="9"/>
  <c r="H5" i="69"/>
  <c r="E24" i="8"/>
  <c r="F20" i="26"/>
  <c r="F31" i="1"/>
  <c r="F30" i="1"/>
  <c r="F27" i="24"/>
  <c r="F37" i="24"/>
  <c r="O15" i="73"/>
  <c r="C29" i="39"/>
  <c r="P13" i="46"/>
  <c r="D29" i="46" s="1"/>
  <c r="P9" i="42"/>
  <c r="P10" i="73"/>
  <c r="P28" i="73" s="1"/>
  <c r="D26" i="42"/>
  <c r="P13" i="42"/>
  <c r="R6" i="39"/>
  <c r="C23" i="40"/>
  <c r="O16" i="73"/>
  <c r="O7" i="73"/>
  <c r="C27" i="46"/>
  <c r="C22" i="40"/>
  <c r="D25" i="44"/>
  <c r="D26" i="44" s="1"/>
  <c r="P11" i="43"/>
  <c r="P40" i="85" s="1"/>
  <c r="P12" i="44"/>
  <c r="D23" i="40"/>
  <c r="P16" i="73"/>
  <c r="C25" i="44"/>
  <c r="C26" i="44" s="1"/>
  <c r="C20" i="39"/>
  <c r="P12" i="45"/>
  <c r="O13" i="73"/>
  <c r="C24" i="46"/>
  <c r="P7" i="73"/>
  <c r="P11" i="46"/>
  <c r="D27" i="46" s="1"/>
  <c r="D22" i="40"/>
  <c r="P5" i="43"/>
  <c r="D19" i="43" s="1"/>
  <c r="C38" i="38"/>
  <c r="C25" i="46"/>
  <c r="O5" i="73"/>
  <c r="R10" i="40"/>
  <c r="R6" i="40" s="1"/>
  <c r="D38" i="38"/>
  <c r="P9" i="46"/>
  <c r="D25" i="46" s="1"/>
  <c r="P5" i="73"/>
  <c r="R11" i="42"/>
  <c r="R13" i="42" s="1"/>
  <c r="C29" i="46"/>
  <c r="C26" i="42"/>
  <c r="O10" i="73"/>
  <c r="C39" i="38"/>
  <c r="O14" i="73"/>
  <c r="F48" i="71"/>
  <c r="H9" i="46"/>
  <c r="H19" i="38"/>
  <c r="H5" i="73"/>
  <c r="B4" i="26"/>
  <c r="B7" i="4"/>
  <c r="B9" i="8"/>
  <c r="N25" i="42"/>
  <c r="M25" i="42"/>
  <c r="E25" i="42"/>
  <c r="L25" i="42"/>
  <c r="K25" i="42"/>
  <c r="I25" i="42"/>
  <c r="P25" i="42"/>
  <c r="O25" i="42"/>
  <c r="J25" i="42"/>
  <c r="H25" i="42"/>
  <c r="G25" i="42"/>
  <c r="F25" i="42"/>
  <c r="C9" i="46"/>
  <c r="C19" i="38"/>
  <c r="C5" i="73"/>
  <c r="R5" i="44"/>
  <c r="R8" i="45"/>
  <c r="E18" i="38"/>
  <c r="R13" i="38"/>
  <c r="E9" i="46"/>
  <c r="R17" i="38"/>
  <c r="E5" i="73"/>
  <c r="M11" i="46"/>
  <c r="M7" i="73"/>
  <c r="V4" i="46"/>
  <c r="U21" i="46" s="1"/>
  <c r="G9" i="46"/>
  <c r="G19" i="38"/>
  <c r="G5" i="73"/>
  <c r="R5" i="41"/>
  <c r="R6" i="38"/>
  <c r="I15" i="41"/>
  <c r="C14" i="73"/>
  <c r="K12" i="39"/>
  <c r="K28" i="85" s="1"/>
  <c r="C12" i="39"/>
  <c r="C28" i="85" s="1"/>
  <c r="C13" i="39"/>
  <c r="C37" i="85" s="1"/>
  <c r="F4" i="27"/>
  <c r="F15" i="27" s="1"/>
  <c r="F9" i="9"/>
  <c r="F24" i="9"/>
  <c r="F14" i="4"/>
  <c r="J24" i="71"/>
  <c r="G32" i="8"/>
  <c r="G31" i="4"/>
  <c r="G38" i="4" s="1"/>
  <c r="K16" i="4"/>
  <c r="R31" i="9"/>
  <c r="J4" i="26"/>
  <c r="J7" i="4"/>
  <c r="J9" i="8"/>
  <c r="J23" i="8"/>
  <c r="E5" i="69"/>
  <c r="E19" i="25"/>
  <c r="I43" i="71"/>
  <c r="I54" i="71" s="1"/>
  <c r="I42" i="71"/>
  <c r="P43" i="71"/>
  <c r="P54" i="71" s="1"/>
  <c r="H43" i="71"/>
  <c r="H54" i="71" s="1"/>
  <c r="P42" i="71"/>
  <c r="H42" i="71"/>
  <c r="N43" i="71"/>
  <c r="N54" i="71" s="1"/>
  <c r="F43" i="71"/>
  <c r="F54" i="71" s="1"/>
  <c r="N42" i="71"/>
  <c r="F42" i="71"/>
  <c r="E9" i="71"/>
  <c r="M42" i="71"/>
  <c r="M43" i="71"/>
  <c r="M54" i="71" s="1"/>
  <c r="K42" i="71"/>
  <c r="K43" i="71"/>
  <c r="K54" i="71" s="1"/>
  <c r="J42" i="71"/>
  <c r="J43" i="71"/>
  <c r="J54" i="71" s="1"/>
  <c r="E42" i="71"/>
  <c r="E43" i="71"/>
  <c r="B11" i="43"/>
  <c r="B40" i="85" s="1"/>
  <c r="M5" i="43"/>
  <c r="M8" i="43"/>
  <c r="L42" i="71"/>
  <c r="C13" i="73"/>
  <c r="R10" i="41"/>
  <c r="U13" i="46"/>
  <c r="S12" i="46"/>
  <c r="E22" i="42"/>
  <c r="D14" i="46"/>
  <c r="D5" i="43"/>
  <c r="D9" i="73"/>
  <c r="U12" i="46"/>
  <c r="E11" i="46"/>
  <c r="R9" i="40"/>
  <c r="E7" i="73"/>
  <c r="L9" i="46"/>
  <c r="L19" i="38"/>
  <c r="L5" i="73"/>
  <c r="R17" i="41"/>
  <c r="R18" i="41" s="1"/>
  <c r="K8" i="46"/>
  <c r="K4" i="73"/>
  <c r="J11" i="46"/>
  <c r="J7" i="73"/>
  <c r="F13" i="39"/>
  <c r="F37" i="85" s="1"/>
  <c r="E8" i="46"/>
  <c r="E4" i="73"/>
  <c r="M8" i="46"/>
  <c r="M17" i="37"/>
  <c r="M4" i="73"/>
  <c r="G43" i="71"/>
  <c r="G54" i="71" s="1"/>
  <c r="E23" i="9"/>
  <c r="I39" i="9"/>
  <c r="M31" i="4"/>
  <c r="K32" i="8"/>
  <c r="K31" i="4"/>
  <c r="K38" i="4" s="1"/>
  <c r="O43" i="71"/>
  <c r="O54" i="71" s="1"/>
  <c r="O31" i="4"/>
  <c r="O38" i="4" s="1"/>
  <c r="M17" i="1"/>
  <c r="M11" i="85" s="1"/>
  <c r="M16" i="1"/>
  <c r="M6" i="1"/>
  <c r="I24" i="8"/>
  <c r="H14" i="1"/>
  <c r="H9" i="1"/>
  <c r="R31" i="8"/>
  <c r="E31" i="4"/>
  <c r="J24" i="8"/>
  <c r="E17" i="1"/>
  <c r="E11" i="85" s="1"/>
  <c r="E6" i="1"/>
  <c r="D9" i="46"/>
  <c r="D19" i="38"/>
  <c r="D5" i="73"/>
  <c r="J16" i="73"/>
  <c r="H31" i="4"/>
  <c r="H38" i="4" s="1"/>
  <c r="G14" i="1"/>
  <c r="G9" i="1"/>
  <c r="F39" i="9"/>
  <c r="I32" i="71"/>
  <c r="I40" i="71" s="1"/>
  <c r="J16" i="4"/>
  <c r="R39" i="24"/>
  <c r="E39" i="1"/>
  <c r="M14" i="1"/>
  <c r="M9" i="1"/>
  <c r="B12" i="45"/>
  <c r="I11" i="46"/>
  <c r="I7" i="73"/>
  <c r="F14" i="73"/>
  <c r="R14" i="41"/>
  <c r="R8" i="41" s="1"/>
  <c r="B16" i="73"/>
  <c r="O42" i="71"/>
  <c r="B16" i="4"/>
  <c r="F14" i="1"/>
  <c r="F9" i="1"/>
  <c r="I31" i="4"/>
  <c r="I38" i="4" s="1"/>
  <c r="R39" i="25"/>
  <c r="E19" i="24"/>
  <c r="E14" i="1"/>
  <c r="E9" i="1"/>
  <c r="L4" i="27"/>
  <c r="L15" i="27" s="1"/>
  <c r="L24" i="9"/>
  <c r="L9" i="9"/>
  <c r="L9" i="1"/>
  <c r="L14" i="1"/>
  <c r="B14" i="1"/>
  <c r="B9" i="1"/>
  <c r="H11" i="46"/>
  <c r="H7" i="73"/>
  <c r="K9" i="46"/>
  <c r="K19" i="38"/>
  <c r="K5" i="73"/>
  <c r="E12" i="39"/>
  <c r="E28" i="85" s="1"/>
  <c r="C8" i="46"/>
  <c r="C17" i="37"/>
  <c r="C4" i="73"/>
  <c r="P31" i="4"/>
  <c r="P38" i="4" s="1"/>
  <c r="K4" i="27"/>
  <c r="K15" i="27" s="1"/>
  <c r="K9" i="9"/>
  <c r="K17" i="4"/>
  <c r="K7" i="4"/>
  <c r="B17" i="1"/>
  <c r="B11" i="85" s="1"/>
  <c r="B16" i="1"/>
  <c r="B4" i="85" s="1"/>
  <c r="B8" i="6" s="1"/>
  <c r="B6" i="1"/>
  <c r="R11" i="44"/>
  <c r="R6" i="44" s="1"/>
  <c r="E12" i="44"/>
  <c r="E11" i="43"/>
  <c r="E40" i="85" s="1"/>
  <c r="G11" i="46"/>
  <c r="G7" i="73"/>
  <c r="R5" i="45"/>
  <c r="B13" i="73"/>
  <c r="G5" i="43"/>
  <c r="G8" i="43"/>
  <c r="I5" i="43"/>
  <c r="I14" i="46"/>
  <c r="I9" i="73"/>
  <c r="R4" i="43"/>
  <c r="E8" i="43"/>
  <c r="E5" i="43"/>
  <c r="E16" i="37"/>
  <c r="R14" i="38"/>
  <c r="M9" i="46"/>
  <c r="M19" i="38"/>
  <c r="M5" i="73"/>
  <c r="F8" i="46"/>
  <c r="F4" i="73"/>
  <c r="G16" i="1"/>
  <c r="R31" i="71"/>
  <c r="E32" i="71"/>
  <c r="J31" i="4"/>
  <c r="F17" i="1"/>
  <c r="F11" i="85" s="1"/>
  <c r="F16" i="1"/>
  <c r="F6" i="1"/>
  <c r="J17" i="4"/>
  <c r="L31" i="4"/>
  <c r="B23" i="8"/>
  <c r="I4" i="26"/>
  <c r="I9" i="8"/>
  <c r="I16" i="4"/>
  <c r="I7" i="4"/>
  <c r="I14" i="4"/>
  <c r="I17" i="4"/>
  <c r="F16" i="4"/>
  <c r="L16" i="1"/>
  <c r="L6" i="1"/>
  <c r="L17" i="1"/>
  <c r="L11" i="85" s="1"/>
  <c r="J17" i="1"/>
  <c r="J11" i="85" s="1"/>
  <c r="J16" i="1"/>
  <c r="J6" i="1"/>
  <c r="B11" i="46"/>
  <c r="B11" i="40"/>
  <c r="B7" i="73"/>
  <c r="E13" i="39"/>
  <c r="E37" i="85" s="1"/>
  <c r="R8" i="42"/>
  <c r="F11" i="43"/>
  <c r="F40" i="85" s="1"/>
  <c r="C22" i="43"/>
  <c r="C21" i="43"/>
  <c r="R8" i="44"/>
  <c r="F15" i="41"/>
  <c r="F12" i="41"/>
  <c r="F9" i="46"/>
  <c r="F19" i="38"/>
  <c r="F5" i="73"/>
  <c r="V4" i="6"/>
  <c r="I13" i="27"/>
  <c r="J14" i="4"/>
  <c r="B17" i="4"/>
  <c r="F32" i="8"/>
  <c r="F31" i="4"/>
  <c r="F38" i="4" s="1"/>
  <c r="H39" i="1"/>
  <c r="K23" i="9"/>
  <c r="B24" i="8"/>
  <c r="J14" i="1"/>
  <c r="J9" i="1"/>
  <c r="B14" i="73"/>
  <c r="L12" i="44"/>
  <c r="K14" i="73"/>
  <c r="B14" i="4"/>
  <c r="G32" i="71"/>
  <c r="N31" i="4"/>
  <c r="F17" i="4"/>
  <c r="K14" i="4"/>
  <c r="F7" i="4"/>
  <c r="K39" i="1"/>
  <c r="P39" i="1"/>
  <c r="E24" i="71"/>
  <c r="D4" i="27"/>
  <c r="D9" i="9"/>
  <c r="D24" i="9"/>
  <c r="D16" i="4"/>
  <c r="C4" i="27"/>
  <c r="C17" i="4"/>
  <c r="C9" i="9"/>
  <c r="C7" i="4"/>
  <c r="C24" i="9"/>
  <c r="J19" i="25"/>
  <c r="G27" i="24" l="1"/>
  <c r="G10" i="46"/>
  <c r="K15" i="73"/>
  <c r="R31" i="4"/>
  <c r="F52" i="71"/>
  <c r="G39" i="9"/>
  <c r="G40" i="9" s="1"/>
  <c r="H37" i="4"/>
  <c r="J30" i="8"/>
  <c r="K52" i="9"/>
  <c r="J39" i="9"/>
  <c r="J40" i="9" s="1"/>
  <c r="L37" i="4"/>
  <c r="M30" i="4"/>
  <c r="M30" i="8" s="1"/>
  <c r="M41" i="8" s="1"/>
  <c r="J30" i="71"/>
  <c r="J32" i="71" s="1"/>
  <c r="O30" i="9"/>
  <c r="O39" i="9" s="1"/>
  <c r="O40" i="9" s="1"/>
  <c r="O48" i="9" s="1"/>
  <c r="L39" i="8"/>
  <c r="L40" i="8" s="1"/>
  <c r="L48" i="8" s="1"/>
  <c r="F39" i="8"/>
  <c r="N39" i="8"/>
  <c r="N40" i="8" s="1"/>
  <c r="N48" i="8" s="1"/>
  <c r="G39" i="8"/>
  <c r="G40" i="8" s="1"/>
  <c r="K39" i="8"/>
  <c r="K40" i="8" s="1"/>
  <c r="K48" i="8" s="1"/>
  <c r="L39" i="9"/>
  <c r="L40" i="9" s="1"/>
  <c r="L48" i="9" s="1"/>
  <c r="H39" i="9"/>
  <c r="H40" i="9" s="1"/>
  <c r="H48" i="9" s="1"/>
  <c r="E39" i="9"/>
  <c r="M37" i="79"/>
  <c r="H29" i="1"/>
  <c r="H37" i="1" s="1"/>
  <c r="AB4" i="69" s="1"/>
  <c r="M37" i="75"/>
  <c r="M37" i="78"/>
  <c r="O29" i="1"/>
  <c r="O37" i="1" s="1"/>
  <c r="AI4" i="85" s="1"/>
  <c r="O22" i="6" s="1"/>
  <c r="O9" i="6"/>
  <c r="I46" i="85"/>
  <c r="B22" i="43"/>
  <c r="N15" i="73"/>
  <c r="B29" i="39"/>
  <c r="D22" i="43"/>
  <c r="F4" i="85"/>
  <c r="F8" i="6" s="1"/>
  <c r="I14" i="27"/>
  <c r="G33" i="85"/>
  <c r="I4" i="85"/>
  <c r="I8" i="6" s="1"/>
  <c r="H46" i="85"/>
  <c r="E4" i="85"/>
  <c r="E8" i="6" s="1"/>
  <c r="K4" i="85"/>
  <c r="K8" i="6" s="1"/>
  <c r="J49" i="85"/>
  <c r="N4" i="85"/>
  <c r="N8" i="6" s="1"/>
  <c r="N9" i="4"/>
  <c r="L4" i="85"/>
  <c r="L8" i="6" s="1"/>
  <c r="J4" i="85"/>
  <c r="J8" i="6" s="1"/>
  <c r="N9" i="6"/>
  <c r="M4" i="85"/>
  <c r="M8" i="6" s="1"/>
  <c r="H4" i="85"/>
  <c r="H8" i="6" s="1"/>
  <c r="G4" i="85"/>
  <c r="G8" i="6" s="1"/>
  <c r="O25" i="4"/>
  <c r="D19" i="67"/>
  <c r="I6" i="73"/>
  <c r="N46" i="85"/>
  <c r="E33" i="85"/>
  <c r="H10" i="46"/>
  <c r="H7" i="46" s="1"/>
  <c r="H6" i="46" s="1"/>
  <c r="M10" i="46"/>
  <c r="M7" i="46" s="1"/>
  <c r="M6" i="46" s="1"/>
  <c r="M6" i="73"/>
  <c r="M11" i="73" s="1"/>
  <c r="M33" i="85"/>
  <c r="I49" i="85"/>
  <c r="H6" i="73"/>
  <c r="H11" i="73" s="1"/>
  <c r="P49" i="85"/>
  <c r="L10" i="46"/>
  <c r="L7" i="46" s="1"/>
  <c r="L6" i="46" s="1"/>
  <c r="L28" i="85"/>
  <c r="L33" i="85" s="1"/>
  <c r="I10" i="46"/>
  <c r="I7" i="46" s="1"/>
  <c r="I6" i="46" s="1"/>
  <c r="F6" i="73"/>
  <c r="F11" i="73" s="1"/>
  <c r="F10" i="46"/>
  <c r="F7" i="46" s="1"/>
  <c r="F6" i="46" s="1"/>
  <c r="F46" i="85"/>
  <c r="F13" i="26"/>
  <c r="F14" i="26" s="1"/>
  <c r="K46" i="85"/>
  <c r="L49" i="85"/>
  <c r="N13" i="27"/>
  <c r="N15" i="27"/>
  <c r="N15" i="26"/>
  <c r="U14" i="41"/>
  <c r="U16" i="41" s="1"/>
  <c r="R37" i="43"/>
  <c r="R32" i="40"/>
  <c r="S32" i="85"/>
  <c r="R46" i="41"/>
  <c r="F47" i="85"/>
  <c r="O12" i="27"/>
  <c r="O15" i="27"/>
  <c r="R5" i="40"/>
  <c r="G6" i="73"/>
  <c r="G11" i="73" s="1"/>
  <c r="J28" i="85"/>
  <c r="J33" i="85" s="1"/>
  <c r="J6" i="73"/>
  <c r="J11" i="73" s="1"/>
  <c r="M46" i="85"/>
  <c r="P15" i="39"/>
  <c r="O16" i="39" s="1"/>
  <c r="E15" i="26"/>
  <c r="H12" i="27"/>
  <c r="H15" i="27"/>
  <c r="J12" i="27"/>
  <c r="J15" i="27"/>
  <c r="F15" i="26"/>
  <c r="M12" i="27"/>
  <c r="M15" i="27"/>
  <c r="E13" i="27"/>
  <c r="E15" i="27"/>
  <c r="P16" i="27"/>
  <c r="P16" i="26"/>
  <c r="E13" i="26"/>
  <c r="E14" i="26" s="1"/>
  <c r="M9" i="4"/>
  <c r="L4" i="5"/>
  <c r="E25" i="4"/>
  <c r="Y4" i="85"/>
  <c r="E22" i="6" s="1"/>
  <c r="H49" i="85"/>
  <c r="H6" i="43"/>
  <c r="P19" i="38"/>
  <c r="D18" i="4"/>
  <c r="D23" i="4" s="1"/>
  <c r="D12" i="85" s="1"/>
  <c r="D19" i="85" s="1"/>
  <c r="P14" i="73"/>
  <c r="P23" i="73" s="1"/>
  <c r="D39" i="38"/>
  <c r="D40" i="38" s="1"/>
  <c r="D4" i="69"/>
  <c r="N82" i="4"/>
  <c r="D4" i="5"/>
  <c r="D13" i="5" s="1"/>
  <c r="D13" i="85" s="1"/>
  <c r="I12" i="43"/>
  <c r="I18" i="73"/>
  <c r="I6" i="43"/>
  <c r="L18" i="73"/>
  <c r="L27" i="73" s="1"/>
  <c r="L6" i="43"/>
  <c r="I23" i="73"/>
  <c r="L12" i="43"/>
  <c r="H12" i="43"/>
  <c r="H18" i="73"/>
  <c r="H27" i="73" s="1"/>
  <c r="I15" i="73"/>
  <c r="I24" i="73" s="1"/>
  <c r="G13" i="26"/>
  <c r="G14" i="26" s="1"/>
  <c r="I42" i="85"/>
  <c r="R28" i="73"/>
  <c r="D19" i="1"/>
  <c r="D15" i="73"/>
  <c r="D24" i="73" s="1"/>
  <c r="K6" i="43"/>
  <c r="L22" i="73"/>
  <c r="AD26" i="85"/>
  <c r="J24" i="46"/>
  <c r="AD4" i="73"/>
  <c r="M28" i="37"/>
  <c r="M34" i="37" s="1"/>
  <c r="O28" i="68"/>
  <c r="S28" i="68"/>
  <c r="P28" i="37"/>
  <c r="P34" i="37" s="1"/>
  <c r="D14" i="39"/>
  <c r="G38" i="38"/>
  <c r="R31" i="38"/>
  <c r="H14" i="39"/>
  <c r="H15" i="73"/>
  <c r="G28" i="37"/>
  <c r="G28" i="68"/>
  <c r="I32" i="8"/>
  <c r="N30" i="9"/>
  <c r="J32" i="8"/>
  <c r="N30" i="71"/>
  <c r="N32" i="71" s="1"/>
  <c r="N52" i="71" s="1"/>
  <c r="H32" i="8"/>
  <c r="O30" i="8"/>
  <c r="O37" i="4" s="1"/>
  <c r="O24" i="4"/>
  <c r="L52" i="71"/>
  <c r="O82" i="4"/>
  <c r="O9" i="4"/>
  <c r="N24" i="4"/>
  <c r="B13" i="27"/>
  <c r="B14" i="27" s="1"/>
  <c r="O4" i="5"/>
  <c r="O18" i="4"/>
  <c r="O23" i="4" s="1"/>
  <c r="O12" i="85" s="1"/>
  <c r="O19" i="85" s="1"/>
  <c r="M13" i="27"/>
  <c r="E9" i="4"/>
  <c r="D24" i="4"/>
  <c r="C42" i="85"/>
  <c r="C13" i="26"/>
  <c r="C14" i="26" s="1"/>
  <c r="S38" i="85"/>
  <c r="M18" i="73"/>
  <c r="M27" i="73" s="1"/>
  <c r="R50" i="85"/>
  <c r="S31" i="85"/>
  <c r="R38" i="85"/>
  <c r="N12" i="43"/>
  <c r="N40" i="85"/>
  <c r="R26" i="85"/>
  <c r="I22" i="42"/>
  <c r="I26" i="42" s="1"/>
  <c r="N13" i="26"/>
  <c r="B29" i="26" s="1"/>
  <c r="H13" i="27"/>
  <c r="N33" i="85"/>
  <c r="K47" i="85"/>
  <c r="S50" i="85"/>
  <c r="O22" i="73"/>
  <c r="B44" i="4"/>
  <c r="B49" i="4" s="1"/>
  <c r="B20" i="26"/>
  <c r="B33" i="85"/>
  <c r="J14" i="39"/>
  <c r="J15" i="73"/>
  <c r="C18" i="4"/>
  <c r="C23" i="4" s="1"/>
  <c r="K19" i="1"/>
  <c r="K49" i="85"/>
  <c r="I33" i="85"/>
  <c r="C11" i="69"/>
  <c r="G13" i="73"/>
  <c r="G22" i="73" s="1"/>
  <c r="F26" i="42"/>
  <c r="K25" i="73"/>
  <c r="J13" i="27"/>
  <c r="E82" i="4"/>
  <c r="G17" i="37"/>
  <c r="C19" i="1"/>
  <c r="L25" i="73"/>
  <c r="S29" i="85"/>
  <c r="D12" i="26"/>
  <c r="D14" i="26" s="1"/>
  <c r="C4" i="69"/>
  <c r="I14" i="39"/>
  <c r="S27" i="85"/>
  <c r="M15" i="73"/>
  <c r="R27" i="85"/>
  <c r="F42" i="85"/>
  <c r="K12" i="43"/>
  <c r="L25" i="4"/>
  <c r="D12" i="43"/>
  <c r="S48" i="85"/>
  <c r="E24" i="4"/>
  <c r="H4" i="69"/>
  <c r="H18" i="69" s="1"/>
  <c r="M14" i="39"/>
  <c r="K18" i="73"/>
  <c r="K20" i="73" s="1"/>
  <c r="S39" i="85"/>
  <c r="D11" i="69"/>
  <c r="D11" i="85"/>
  <c r="L44" i="85"/>
  <c r="E17" i="37"/>
  <c r="E35" i="85"/>
  <c r="R5" i="85"/>
  <c r="E4" i="5"/>
  <c r="M22" i="69"/>
  <c r="K35" i="85"/>
  <c r="D25" i="73"/>
  <c r="H11" i="85"/>
  <c r="K33" i="85"/>
  <c r="H42" i="85"/>
  <c r="G6" i="43"/>
  <c r="G40" i="85"/>
  <c r="G49" i="85" s="1"/>
  <c r="K11" i="69"/>
  <c r="E19" i="38"/>
  <c r="E36" i="85"/>
  <c r="R36" i="85" s="1"/>
  <c r="I11" i="69"/>
  <c r="I11" i="85"/>
  <c r="F25" i="41"/>
  <c r="AI4" i="69"/>
  <c r="H44" i="85"/>
  <c r="H33" i="85"/>
  <c r="M25" i="73"/>
  <c r="G26" i="42"/>
  <c r="E18" i="4"/>
  <c r="E23" i="4" s="1"/>
  <c r="E12" i="85" s="1"/>
  <c r="G15" i="73"/>
  <c r="G37" i="85"/>
  <c r="L15" i="73"/>
  <c r="L24" i="73" s="1"/>
  <c r="L37" i="85"/>
  <c r="L42" i="85" s="1"/>
  <c r="B14" i="39"/>
  <c r="B37" i="85"/>
  <c r="R39" i="85"/>
  <c r="F44" i="85"/>
  <c r="B45" i="85"/>
  <c r="C46" i="85"/>
  <c r="C51" i="85" s="1"/>
  <c r="F13" i="73"/>
  <c r="F22" i="73" s="1"/>
  <c r="F25" i="73"/>
  <c r="D44" i="85"/>
  <c r="D33" i="85"/>
  <c r="F49" i="85"/>
  <c r="F33" i="85"/>
  <c r="C33" i="85"/>
  <c r="F17" i="37"/>
  <c r="K4" i="69"/>
  <c r="E49" i="85"/>
  <c r="B22" i="69"/>
  <c r="M82" i="4"/>
  <c r="D6" i="43"/>
  <c r="D40" i="85"/>
  <c r="B49" i="85"/>
  <c r="R31" i="85"/>
  <c r="M44" i="85"/>
  <c r="R29" i="85"/>
  <c r="U14" i="46"/>
  <c r="B18" i="85"/>
  <c r="E46" i="85"/>
  <c r="J22" i="73"/>
  <c r="D22" i="73"/>
  <c r="J42" i="85"/>
  <c r="M12" i="43"/>
  <c r="M40" i="85"/>
  <c r="M42" i="85" s="1"/>
  <c r="C18" i="85"/>
  <c r="R48" i="85"/>
  <c r="H27" i="41"/>
  <c r="I27" i="41" s="1"/>
  <c r="J27" i="41" s="1"/>
  <c r="K27" i="41" s="1"/>
  <c r="L27" i="41" s="1"/>
  <c r="M27" i="41" s="1"/>
  <c r="N27" i="41" s="1"/>
  <c r="O27" i="41" s="1"/>
  <c r="P27" i="41" s="1"/>
  <c r="E22" i="69"/>
  <c r="T13" i="39"/>
  <c r="M23" i="73"/>
  <c r="M24" i="4"/>
  <c r="L14" i="39"/>
  <c r="B15" i="73"/>
  <c r="B24" i="73" s="1"/>
  <c r="M4" i="5"/>
  <c r="H19" i="1"/>
  <c r="L12" i="26"/>
  <c r="K17" i="37"/>
  <c r="H22" i="42"/>
  <c r="C22" i="69"/>
  <c r="J21" i="69"/>
  <c r="J22" i="42"/>
  <c r="J23" i="42" s="1"/>
  <c r="M25" i="4"/>
  <c r="G25" i="73"/>
  <c r="H22" i="73"/>
  <c r="K21" i="69"/>
  <c r="O13" i="27"/>
  <c r="R12" i="41"/>
  <c r="N12" i="27"/>
  <c r="N4" i="5"/>
  <c r="B20" i="27"/>
  <c r="B28" i="27" s="1"/>
  <c r="N25" i="4"/>
  <c r="B35" i="4"/>
  <c r="N22" i="69"/>
  <c r="O21" i="69"/>
  <c r="M23" i="27"/>
  <c r="P31" i="67"/>
  <c r="M31" i="25"/>
  <c r="M29" i="25" s="1"/>
  <c r="M37" i="25" s="1"/>
  <c r="M31" i="24"/>
  <c r="L34" i="67"/>
  <c r="AG55" i="85" s="1"/>
  <c r="M23" i="26"/>
  <c r="P19" i="67"/>
  <c r="P31" i="25" s="1"/>
  <c r="P29" i="25" s="1"/>
  <c r="P37" i="25" s="1"/>
  <c r="D31" i="67"/>
  <c r="K29" i="1"/>
  <c r="K37" i="1" s="1"/>
  <c r="AE4" i="69" s="1"/>
  <c r="AC54" i="69"/>
  <c r="I29" i="1"/>
  <c r="I37" i="1" s="1"/>
  <c r="AC4" i="85" s="1"/>
  <c r="I22" i="6" s="1"/>
  <c r="P12" i="67"/>
  <c r="H16" i="67"/>
  <c r="H17" i="67"/>
  <c r="H9" i="67"/>
  <c r="H30" i="67"/>
  <c r="H28" i="67"/>
  <c r="H18" i="67"/>
  <c r="H22" i="67"/>
  <c r="H23" i="67"/>
  <c r="H24" i="67"/>
  <c r="H10" i="67"/>
  <c r="H29" i="67"/>
  <c r="H15" i="67"/>
  <c r="H11" i="67"/>
  <c r="P25" i="67"/>
  <c r="AA54" i="69"/>
  <c r="D12" i="67"/>
  <c r="J27" i="1"/>
  <c r="R27" i="1" s="1"/>
  <c r="J47" i="1"/>
  <c r="AD82" i="85" s="1"/>
  <c r="AL82" i="85" s="1"/>
  <c r="R25" i="1"/>
  <c r="J25" i="24"/>
  <c r="N29" i="1"/>
  <c r="N37" i="1" s="1"/>
  <c r="AH4" i="85" s="1"/>
  <c r="N22" i="6" s="1"/>
  <c r="D25" i="67"/>
  <c r="D18" i="73"/>
  <c r="R15" i="41"/>
  <c r="R9" i="41" s="1"/>
  <c r="H25" i="73"/>
  <c r="I22" i="73"/>
  <c r="J7" i="46"/>
  <c r="J6" i="46" s="1"/>
  <c r="L22" i="69"/>
  <c r="N18" i="4"/>
  <c r="N23" i="4" s="1"/>
  <c r="N12" i="85" s="1"/>
  <c r="N19" i="85" s="1"/>
  <c r="R5" i="43"/>
  <c r="N21" i="69"/>
  <c r="R9" i="42"/>
  <c r="C24" i="40"/>
  <c r="S13" i="46"/>
  <c r="D24" i="40"/>
  <c r="G18" i="73"/>
  <c r="G27" i="73" s="1"/>
  <c r="G12" i="43"/>
  <c r="G22" i="69"/>
  <c r="R22" i="44"/>
  <c r="F22" i="44"/>
  <c r="L22" i="44"/>
  <c r="E22" i="44"/>
  <c r="H22" i="44"/>
  <c r="P22" i="44"/>
  <c r="K22" i="44"/>
  <c r="S17" i="73"/>
  <c r="D7" i="46"/>
  <c r="D6" i="46" s="1"/>
  <c r="F29" i="1"/>
  <c r="F37" i="1" s="1"/>
  <c r="Z4" i="69" s="1"/>
  <c r="G19" i="45"/>
  <c r="O19" i="45"/>
  <c r="H19" i="45"/>
  <c r="P19" i="45"/>
  <c r="I19" i="45"/>
  <c r="E19" i="45"/>
  <c r="L19" i="45"/>
  <c r="J19" i="45"/>
  <c r="K19" i="45"/>
  <c r="N19" i="45"/>
  <c r="M19" i="45"/>
  <c r="F19" i="45"/>
  <c r="K19" i="44"/>
  <c r="L19" i="44"/>
  <c r="P19" i="44"/>
  <c r="M19" i="44"/>
  <c r="G19" i="44"/>
  <c r="O19" i="44"/>
  <c r="H19" i="44"/>
  <c r="F19" i="44"/>
  <c r="N19" i="44"/>
  <c r="I19" i="44"/>
  <c r="E19" i="44"/>
  <c r="J19" i="44"/>
  <c r="E12" i="27"/>
  <c r="K22" i="69"/>
  <c r="O12" i="26"/>
  <c r="O13" i="26"/>
  <c r="C29" i="26" s="1"/>
  <c r="C20" i="26"/>
  <c r="G14" i="39"/>
  <c r="G22" i="45"/>
  <c r="F22" i="45"/>
  <c r="R12" i="45"/>
  <c r="I21" i="43"/>
  <c r="J21" i="45"/>
  <c r="C40" i="38"/>
  <c r="F22" i="69"/>
  <c r="L82" i="4"/>
  <c r="L9" i="4"/>
  <c r="G18" i="4"/>
  <c r="G23" i="4" s="1"/>
  <c r="G12" i="85" s="1"/>
  <c r="D22" i="69"/>
  <c r="L24" i="4"/>
  <c r="C25" i="73"/>
  <c r="I18" i="4"/>
  <c r="I23" i="4" s="1"/>
  <c r="I21" i="69"/>
  <c r="K12" i="26"/>
  <c r="K13" i="26"/>
  <c r="E31" i="41"/>
  <c r="G31" i="41"/>
  <c r="R11" i="41"/>
  <c r="F31" i="41"/>
  <c r="R16" i="73"/>
  <c r="C6" i="43"/>
  <c r="C18" i="73"/>
  <c r="C27" i="73" s="1"/>
  <c r="C12" i="43"/>
  <c r="N25" i="73"/>
  <c r="L29" i="1"/>
  <c r="L37" i="1" s="1"/>
  <c r="AF4" i="85" s="1"/>
  <c r="L22" i="6" s="1"/>
  <c r="H18" i="4"/>
  <c r="H23" i="4" s="1"/>
  <c r="H12" i="85" s="1"/>
  <c r="H19" i="85" s="1"/>
  <c r="M18" i="4"/>
  <c r="M23" i="4" s="1"/>
  <c r="M12" i="85" s="1"/>
  <c r="M19" i="85" s="1"/>
  <c r="R14" i="46"/>
  <c r="S14" i="46"/>
  <c r="O11" i="69"/>
  <c r="F20" i="5"/>
  <c r="N20" i="5"/>
  <c r="N23" i="5" s="1"/>
  <c r="G11" i="69"/>
  <c r="B24" i="40"/>
  <c r="G24" i="4"/>
  <c r="G4" i="5"/>
  <c r="G82" i="4"/>
  <c r="G25" i="4"/>
  <c r="G9" i="4"/>
  <c r="F23" i="73"/>
  <c r="R11" i="46"/>
  <c r="F18" i="4"/>
  <c r="F23" i="4" s="1"/>
  <c r="F12" i="85" s="1"/>
  <c r="F19" i="85" s="1"/>
  <c r="J6" i="43"/>
  <c r="J18" i="73"/>
  <c r="J27" i="73" s="1"/>
  <c r="J12" i="43"/>
  <c r="B28" i="26"/>
  <c r="H4" i="5"/>
  <c r="H9" i="4"/>
  <c r="H25" i="4"/>
  <c r="H82" i="4"/>
  <c r="H24" i="4"/>
  <c r="N22" i="73"/>
  <c r="L20" i="5"/>
  <c r="L23" i="5" s="1"/>
  <c r="J22" i="69"/>
  <c r="O4" i="69"/>
  <c r="I4" i="69"/>
  <c r="I19" i="1"/>
  <c r="B40" i="1"/>
  <c r="G13" i="27"/>
  <c r="G12" i="27"/>
  <c r="O22" i="69"/>
  <c r="B24" i="46"/>
  <c r="J23" i="73"/>
  <c r="N11" i="69"/>
  <c r="J18" i="4"/>
  <c r="J23" i="4" s="1"/>
  <c r="M12" i="26"/>
  <c r="M13" i="26"/>
  <c r="B25" i="43"/>
  <c r="B26" i="43" s="1"/>
  <c r="N6" i="43"/>
  <c r="B20" i="43" s="1"/>
  <c r="N18" i="73"/>
  <c r="N27" i="73" s="1"/>
  <c r="N4" i="69"/>
  <c r="N19" i="1"/>
  <c r="N14" i="39"/>
  <c r="N10" i="46"/>
  <c r="B26" i="46" s="1"/>
  <c r="B28" i="39"/>
  <c r="N6" i="73"/>
  <c r="L18" i="4"/>
  <c r="L23" i="4" s="1"/>
  <c r="H12" i="26"/>
  <c r="H13" i="26"/>
  <c r="I20" i="5"/>
  <c r="I23" i="5" s="1"/>
  <c r="S16" i="73"/>
  <c r="O28" i="73"/>
  <c r="S28" i="73" s="1"/>
  <c r="S10" i="73"/>
  <c r="P6" i="43"/>
  <c r="D20" i="43" s="1"/>
  <c r="D25" i="43"/>
  <c r="D26" i="43" s="1"/>
  <c r="P18" i="73"/>
  <c r="P27" i="73" s="1"/>
  <c r="P12" i="43"/>
  <c r="C28" i="42"/>
  <c r="C25" i="42"/>
  <c r="R8" i="43"/>
  <c r="O23" i="73"/>
  <c r="O6" i="73"/>
  <c r="C28" i="39"/>
  <c r="C30" i="39" s="1"/>
  <c r="P25" i="73"/>
  <c r="D28" i="42"/>
  <c r="D25" i="42"/>
  <c r="O18" i="73"/>
  <c r="O27" i="73" s="1"/>
  <c r="C20" i="43"/>
  <c r="C25" i="43"/>
  <c r="C26" i="43" s="1"/>
  <c r="O25" i="73"/>
  <c r="G44" i="71"/>
  <c r="G49" i="71" s="1"/>
  <c r="J19" i="1"/>
  <c r="J4" i="69"/>
  <c r="F19" i="1"/>
  <c r="F4" i="69"/>
  <c r="I25" i="73"/>
  <c r="I11" i="73"/>
  <c r="F52" i="9"/>
  <c r="H48" i="71"/>
  <c r="L21" i="69"/>
  <c r="L23" i="73"/>
  <c r="L11" i="73"/>
  <c r="B6" i="43"/>
  <c r="B18" i="73"/>
  <c r="B12" i="43"/>
  <c r="R42" i="71"/>
  <c r="E53" i="71"/>
  <c r="E44" i="71"/>
  <c r="F44" i="71"/>
  <c r="F53" i="71"/>
  <c r="N38" i="4"/>
  <c r="R7" i="73"/>
  <c r="B25" i="73"/>
  <c r="B11" i="73"/>
  <c r="J11" i="69"/>
  <c r="L19" i="1"/>
  <c r="L4" i="69"/>
  <c r="F11" i="69"/>
  <c r="O44" i="71"/>
  <c r="O49" i="71" s="1"/>
  <c r="O53" i="71"/>
  <c r="Y4" i="69"/>
  <c r="R39" i="1"/>
  <c r="F40" i="9"/>
  <c r="E19" i="1"/>
  <c r="E4" i="69"/>
  <c r="M19" i="1"/>
  <c r="M4" i="69"/>
  <c r="S7" i="73"/>
  <c r="E25" i="73"/>
  <c r="R9" i="73"/>
  <c r="N44" i="71"/>
  <c r="N53" i="71"/>
  <c r="I44" i="71"/>
  <c r="I49" i="71" s="1"/>
  <c r="I53" i="71"/>
  <c r="E52" i="9"/>
  <c r="G23" i="73"/>
  <c r="S9" i="46"/>
  <c r="U9" i="46"/>
  <c r="E52" i="71"/>
  <c r="F4" i="5"/>
  <c r="F24" i="4"/>
  <c r="F9" i="4"/>
  <c r="G19" i="1"/>
  <c r="G4" i="69"/>
  <c r="R11" i="43"/>
  <c r="E6" i="43"/>
  <c r="E12" i="43"/>
  <c r="E18" i="73"/>
  <c r="B19" i="1"/>
  <c r="B4" i="69"/>
  <c r="E10" i="46"/>
  <c r="E7" i="46" s="1"/>
  <c r="E14" i="39"/>
  <c r="E6" i="73"/>
  <c r="E11" i="69"/>
  <c r="M11" i="69"/>
  <c r="I23" i="42"/>
  <c r="J53" i="71"/>
  <c r="J44" i="71"/>
  <c r="J49" i="71" s="1"/>
  <c r="G52" i="8"/>
  <c r="G32" i="4"/>
  <c r="G62" i="4" s="1"/>
  <c r="AA83" i="85" s="1"/>
  <c r="C15" i="73"/>
  <c r="C23" i="73"/>
  <c r="R5" i="73"/>
  <c r="H23" i="73"/>
  <c r="B11" i="69"/>
  <c r="G21" i="69"/>
  <c r="K22" i="73"/>
  <c r="R5" i="69"/>
  <c r="K18" i="4"/>
  <c r="K23" i="4" s="1"/>
  <c r="K12" i="85" s="1"/>
  <c r="K19" i="85" s="1"/>
  <c r="O52" i="71"/>
  <c r="G52" i="9"/>
  <c r="C10" i="46"/>
  <c r="C14" i="39"/>
  <c r="C6" i="73"/>
  <c r="C11" i="73" s="1"/>
  <c r="B24" i="4"/>
  <c r="B9" i="4"/>
  <c r="B4" i="5"/>
  <c r="F32" i="4"/>
  <c r="F33" i="4" s="1"/>
  <c r="F52" i="8"/>
  <c r="S9" i="73"/>
  <c r="C21" i="69"/>
  <c r="O52" i="9"/>
  <c r="I4" i="5"/>
  <c r="I24" i="4"/>
  <c r="I9" i="4"/>
  <c r="L38" i="4"/>
  <c r="J38" i="4"/>
  <c r="E13" i="73"/>
  <c r="E22" i="73" s="1"/>
  <c r="K4" i="5"/>
  <c r="K9" i="4"/>
  <c r="K25" i="4"/>
  <c r="K24" i="4"/>
  <c r="K82" i="4"/>
  <c r="R8" i="69"/>
  <c r="K23" i="73"/>
  <c r="K52" i="71"/>
  <c r="I52" i="71"/>
  <c r="K52" i="8"/>
  <c r="M38" i="4"/>
  <c r="U8" i="46"/>
  <c r="U11" i="46"/>
  <c r="S11" i="46"/>
  <c r="E26" i="42"/>
  <c r="E23" i="42"/>
  <c r="K53" i="71"/>
  <c r="K44" i="71"/>
  <c r="K49" i="71" s="1"/>
  <c r="H44" i="71"/>
  <c r="H49" i="71" s="1"/>
  <c r="H53" i="71"/>
  <c r="O40" i="71"/>
  <c r="G7" i="46"/>
  <c r="G6" i="46" s="1"/>
  <c r="R18" i="38"/>
  <c r="R19" i="38" s="1"/>
  <c r="E14" i="73"/>
  <c r="R9" i="46"/>
  <c r="B12" i="26"/>
  <c r="B13" i="26"/>
  <c r="N52" i="8"/>
  <c r="I22" i="69"/>
  <c r="L52" i="8"/>
  <c r="L32" i="4"/>
  <c r="L62" i="4" s="1"/>
  <c r="AF83" i="85" s="1"/>
  <c r="M21" i="69"/>
  <c r="J28" i="41"/>
  <c r="O28" i="41"/>
  <c r="G28" i="41"/>
  <c r="L28" i="41"/>
  <c r="M28" i="41"/>
  <c r="K28" i="41"/>
  <c r="I28" i="41"/>
  <c r="H28" i="41"/>
  <c r="P28" i="41"/>
  <c r="N28" i="41"/>
  <c r="E28" i="41"/>
  <c r="F28" i="41"/>
  <c r="F34" i="41" s="1"/>
  <c r="B22" i="73"/>
  <c r="K48" i="71"/>
  <c r="I48" i="71"/>
  <c r="E52" i="8"/>
  <c r="E32" i="4"/>
  <c r="I52" i="9"/>
  <c r="F15" i="73"/>
  <c r="L53" i="71"/>
  <c r="L44" i="71"/>
  <c r="P44" i="71"/>
  <c r="P49" i="71" s="1"/>
  <c r="P53" i="71"/>
  <c r="F25" i="4"/>
  <c r="B7" i="46"/>
  <c r="B6" i="46" s="1"/>
  <c r="R12" i="44"/>
  <c r="C22" i="73"/>
  <c r="R4" i="73"/>
  <c r="B18" i="4"/>
  <c r="B23" i="4" s="1"/>
  <c r="B12" i="85" s="1"/>
  <c r="B19" i="85" s="1"/>
  <c r="F21" i="69"/>
  <c r="D23" i="73"/>
  <c r="D11" i="73"/>
  <c r="I25" i="4"/>
  <c r="I40" i="9"/>
  <c r="H22" i="69"/>
  <c r="M22" i="73"/>
  <c r="M44" i="71"/>
  <c r="M49" i="71" s="1"/>
  <c r="M53" i="71"/>
  <c r="J24" i="4"/>
  <c r="J9" i="4"/>
  <c r="J4" i="5"/>
  <c r="J25" i="4"/>
  <c r="J82" i="4"/>
  <c r="F82" i="4"/>
  <c r="F12" i="27"/>
  <c r="F13" i="27"/>
  <c r="H21" i="69"/>
  <c r="R8" i="46"/>
  <c r="S5" i="73"/>
  <c r="D21" i="69"/>
  <c r="C12" i="27"/>
  <c r="C13" i="27"/>
  <c r="F6" i="43"/>
  <c r="F18" i="73"/>
  <c r="F27" i="73" s="1"/>
  <c r="F12" i="43"/>
  <c r="C4" i="5"/>
  <c r="C9" i="4"/>
  <c r="C24" i="4"/>
  <c r="G52" i="71"/>
  <c r="B23" i="73"/>
  <c r="D12" i="27"/>
  <c r="D13" i="27"/>
  <c r="G40" i="71"/>
  <c r="R7" i="69"/>
  <c r="E15" i="73"/>
  <c r="L11" i="69"/>
  <c r="I12" i="26"/>
  <c r="I13" i="26"/>
  <c r="E40" i="71"/>
  <c r="K12" i="27"/>
  <c r="K13" i="27"/>
  <c r="H52" i="9"/>
  <c r="L12" i="27"/>
  <c r="L13" i="27"/>
  <c r="I82" i="4"/>
  <c r="H52" i="71"/>
  <c r="J25" i="73"/>
  <c r="E26" i="73"/>
  <c r="R17" i="73"/>
  <c r="R43" i="71"/>
  <c r="E54" i="71"/>
  <c r="R54" i="71" s="1"/>
  <c r="J12" i="26"/>
  <c r="J13" i="26"/>
  <c r="F14" i="39"/>
  <c r="L52" i="9"/>
  <c r="K10" i="46"/>
  <c r="K7" i="46" s="1"/>
  <c r="K6" i="46" s="1"/>
  <c r="K14" i="39"/>
  <c r="K6" i="73"/>
  <c r="K24" i="73" s="1"/>
  <c r="B22" i="6" l="1"/>
  <c r="N24" i="73"/>
  <c r="E22" i="39"/>
  <c r="F22" i="39" s="1"/>
  <c r="D34" i="67"/>
  <c r="I51" i="85"/>
  <c r="L18" i="85"/>
  <c r="B30" i="39"/>
  <c r="J52" i="9"/>
  <c r="R30" i="4"/>
  <c r="K39" i="9"/>
  <c r="K40" i="9" s="1"/>
  <c r="K48" i="9" s="1"/>
  <c r="J37" i="4"/>
  <c r="K32" i="4"/>
  <c r="K62" i="4" s="1"/>
  <c r="AE83" i="85" s="1"/>
  <c r="P30" i="4"/>
  <c r="M30" i="71"/>
  <c r="M41" i="71" s="1"/>
  <c r="M30" i="9"/>
  <c r="M41" i="9" s="1"/>
  <c r="O32" i="8"/>
  <c r="O39" i="8" s="1"/>
  <c r="O40" i="8" s="1"/>
  <c r="O48" i="8" s="1"/>
  <c r="N37" i="4"/>
  <c r="G31" i="24"/>
  <c r="G29" i="24" s="1"/>
  <c r="G23" i="26"/>
  <c r="D40" i="67"/>
  <c r="E40" i="67" s="1"/>
  <c r="H39" i="8"/>
  <c r="H40" i="8" s="1"/>
  <c r="H48" i="8" s="1"/>
  <c r="J52" i="8"/>
  <c r="J39" i="8"/>
  <c r="J40" i="8" s="1"/>
  <c r="I39" i="8"/>
  <c r="I40" i="8" s="1"/>
  <c r="I48" i="8" s="1"/>
  <c r="F40" i="8"/>
  <c r="F48" i="8" s="1"/>
  <c r="N52" i="9"/>
  <c r="N39" i="9"/>
  <c r="N40" i="9" s="1"/>
  <c r="N48" i="9" s="1"/>
  <c r="E40" i="9"/>
  <c r="E48" i="9" s="1"/>
  <c r="AB4" i="85"/>
  <c r="H22" i="6" s="1"/>
  <c r="M37" i="80"/>
  <c r="AC4" i="69"/>
  <c r="P31" i="24"/>
  <c r="P31" i="1" s="1"/>
  <c r="P29" i="1" s="1"/>
  <c r="P37" i="1" s="1"/>
  <c r="AJ4" i="85" s="1"/>
  <c r="P37" i="79"/>
  <c r="P37" i="77"/>
  <c r="P37" i="75"/>
  <c r="P37" i="78"/>
  <c r="AE4" i="85"/>
  <c r="K22" i="6" s="1"/>
  <c r="E18" i="85"/>
  <c r="F18" i="85"/>
  <c r="N14" i="27"/>
  <c r="R4" i="85"/>
  <c r="M18" i="85"/>
  <c r="G31" i="25"/>
  <c r="G29" i="25" s="1"/>
  <c r="Z4" i="85"/>
  <c r="F22" i="6" s="1"/>
  <c r="G22" i="40"/>
  <c r="N18" i="85"/>
  <c r="O22" i="40"/>
  <c r="AI7" i="73" s="1"/>
  <c r="O14" i="27"/>
  <c r="F47" i="41"/>
  <c r="P22" i="40"/>
  <c r="AJ7" i="73" s="1"/>
  <c r="L22" i="40"/>
  <c r="AF7" i="73" s="1"/>
  <c r="H22" i="40"/>
  <c r="M22" i="40"/>
  <c r="AG7" i="73" s="1"/>
  <c r="K18" i="85"/>
  <c r="J22" i="40"/>
  <c r="G18" i="85"/>
  <c r="L13" i="5"/>
  <c r="L13" i="85" s="1"/>
  <c r="C20" i="5"/>
  <c r="I22" i="40"/>
  <c r="AC7" i="73" s="1"/>
  <c r="J18" i="85"/>
  <c r="K22" i="40"/>
  <c r="N22" i="40"/>
  <c r="G6" i="5"/>
  <c r="I18" i="85"/>
  <c r="AA55" i="85"/>
  <c r="G37" i="79"/>
  <c r="G37" i="78"/>
  <c r="G37" i="77"/>
  <c r="G37" i="75"/>
  <c r="H24" i="73"/>
  <c r="H29" i="73" s="1"/>
  <c r="H31" i="73" s="1"/>
  <c r="R47" i="85"/>
  <c r="M24" i="73"/>
  <c r="M29" i="73" s="1"/>
  <c r="M31" i="73" s="1"/>
  <c r="R28" i="85"/>
  <c r="E14" i="27"/>
  <c r="J46" i="85"/>
  <c r="J51" i="85" s="1"/>
  <c r="J24" i="73"/>
  <c r="J29" i="73" s="1"/>
  <c r="J31" i="73" s="1"/>
  <c r="F24" i="73"/>
  <c r="F29" i="73" s="1"/>
  <c r="F31" i="73" s="1"/>
  <c r="F8" i="5"/>
  <c r="F12" i="5" s="1"/>
  <c r="Y32" i="85"/>
  <c r="E43" i="42"/>
  <c r="N8" i="5"/>
  <c r="N12" i="5" s="1"/>
  <c r="N6" i="5"/>
  <c r="B22" i="5" s="1"/>
  <c r="Z32" i="85"/>
  <c r="F43" i="42"/>
  <c r="AA32" i="85"/>
  <c r="G43" i="42"/>
  <c r="AC32" i="85"/>
  <c r="I43" i="42"/>
  <c r="O15" i="26"/>
  <c r="O6" i="5" s="1"/>
  <c r="C22" i="5" s="1"/>
  <c r="O8" i="5"/>
  <c r="O12" i="5" s="1"/>
  <c r="H14" i="27"/>
  <c r="F6" i="5"/>
  <c r="M6" i="5"/>
  <c r="G8" i="5"/>
  <c r="G12" i="5" s="1"/>
  <c r="M8" i="5"/>
  <c r="M12" i="5" s="1"/>
  <c r="J8" i="5"/>
  <c r="J12" i="5" s="1"/>
  <c r="J14" i="27"/>
  <c r="M14" i="27"/>
  <c r="H15" i="26"/>
  <c r="H6" i="5" s="1"/>
  <c r="H8" i="5"/>
  <c r="J6" i="5"/>
  <c r="P15" i="27"/>
  <c r="O16" i="27" s="1"/>
  <c r="E8" i="5"/>
  <c r="E12" i="5" s="1"/>
  <c r="I15" i="26"/>
  <c r="I6" i="5" s="1"/>
  <c r="I8" i="5"/>
  <c r="I12" i="5" s="1"/>
  <c r="K15" i="26"/>
  <c r="K6" i="5" s="1"/>
  <c r="K8" i="5"/>
  <c r="K12" i="5" s="1"/>
  <c r="L8" i="5"/>
  <c r="E6" i="5"/>
  <c r="L14" i="26"/>
  <c r="L15" i="26"/>
  <c r="S14" i="73"/>
  <c r="N32" i="4"/>
  <c r="N33" i="4" s="1"/>
  <c r="E13" i="5"/>
  <c r="E13" i="85" s="1"/>
  <c r="E16" i="85" s="1"/>
  <c r="H51" i="85"/>
  <c r="D18" i="69"/>
  <c r="I20" i="73"/>
  <c r="I27" i="73"/>
  <c r="I29" i="73" s="1"/>
  <c r="I31" i="73" s="1"/>
  <c r="D12" i="5"/>
  <c r="D6" i="85" s="1"/>
  <c r="D10" i="6" s="1"/>
  <c r="O13" i="5"/>
  <c r="O13" i="85" s="1"/>
  <c r="O16" i="85" s="1"/>
  <c r="B29" i="27"/>
  <c r="B30" i="27" s="1"/>
  <c r="J32" i="4"/>
  <c r="J33" i="4" s="1"/>
  <c r="K27" i="73"/>
  <c r="K29" i="73" s="1"/>
  <c r="K31" i="73" s="1"/>
  <c r="Z10" i="73"/>
  <c r="D20" i="73"/>
  <c r="F29" i="46"/>
  <c r="O12" i="69"/>
  <c r="O19" i="69" s="1"/>
  <c r="H32" i="4"/>
  <c r="H33" i="4" s="1"/>
  <c r="H52" i="8"/>
  <c r="D12" i="69"/>
  <c r="D19" i="69" s="1"/>
  <c r="I32" i="4"/>
  <c r="I62" i="4" s="1"/>
  <c r="AC83" i="85" s="1"/>
  <c r="I52" i="8"/>
  <c r="AA10" i="73"/>
  <c r="S47" i="85"/>
  <c r="I18" i="69"/>
  <c r="R35" i="85"/>
  <c r="C18" i="69"/>
  <c r="AA27" i="85"/>
  <c r="AL27" i="85" s="1"/>
  <c r="R38" i="38"/>
  <c r="G25" i="46"/>
  <c r="S25" i="46" s="1"/>
  <c r="AA5" i="73"/>
  <c r="AL5" i="73" s="1"/>
  <c r="AJ26" i="85"/>
  <c r="AJ4" i="73"/>
  <c r="P24" i="46"/>
  <c r="L20" i="73"/>
  <c r="R28" i="37"/>
  <c r="G34" i="37"/>
  <c r="AG26" i="85"/>
  <c r="M24" i="46"/>
  <c r="AG4" i="73"/>
  <c r="L46" i="85"/>
  <c r="L51" i="85" s="1"/>
  <c r="H20" i="73"/>
  <c r="M23" i="5"/>
  <c r="B20" i="5"/>
  <c r="N13" i="5"/>
  <c r="N13" i="85" s="1"/>
  <c r="N16" i="85" s="1"/>
  <c r="J52" i="71"/>
  <c r="J40" i="71"/>
  <c r="M32" i="8"/>
  <c r="M39" i="8" s="1"/>
  <c r="P30" i="8"/>
  <c r="P30" i="9"/>
  <c r="P30" i="71"/>
  <c r="L62" i="71" s="1"/>
  <c r="N40" i="71"/>
  <c r="N48" i="71" s="1"/>
  <c r="G29" i="46"/>
  <c r="P31" i="41"/>
  <c r="I31" i="41"/>
  <c r="G20" i="73"/>
  <c r="M20" i="73"/>
  <c r="J31" i="41"/>
  <c r="N14" i="26"/>
  <c r="B30" i="26" s="1"/>
  <c r="R13" i="73"/>
  <c r="K31" i="41"/>
  <c r="H31" i="41"/>
  <c r="O31" i="41"/>
  <c r="N49" i="85"/>
  <c r="N51" i="85" s="1"/>
  <c r="N42" i="85"/>
  <c r="L31" i="41"/>
  <c r="M31" i="41"/>
  <c r="R27" i="41"/>
  <c r="R31" i="41" s="1"/>
  <c r="R37" i="85"/>
  <c r="D16" i="85"/>
  <c r="R33" i="85"/>
  <c r="D27" i="73"/>
  <c r="D29" i="73" s="1"/>
  <c r="D31" i="73" s="1"/>
  <c r="G24" i="73"/>
  <c r="G29" i="73" s="1"/>
  <c r="G31" i="73" s="1"/>
  <c r="L22" i="42"/>
  <c r="B42" i="85"/>
  <c r="K18" i="69"/>
  <c r="M49" i="85"/>
  <c r="D49" i="85"/>
  <c r="D51" i="85" s="1"/>
  <c r="D42" i="85"/>
  <c r="L12" i="69"/>
  <c r="L19" i="69" s="1"/>
  <c r="L12" i="85"/>
  <c r="R11" i="85"/>
  <c r="F51" i="85"/>
  <c r="H18" i="85"/>
  <c r="S40" i="85"/>
  <c r="I12" i="85"/>
  <c r="I19" i="85" s="1"/>
  <c r="G19" i="85"/>
  <c r="F22" i="40"/>
  <c r="B46" i="85"/>
  <c r="K42" i="85"/>
  <c r="K44" i="85"/>
  <c r="K51" i="85" s="1"/>
  <c r="E19" i="85"/>
  <c r="G46" i="85"/>
  <c r="G51" i="85" s="1"/>
  <c r="G42" i="85"/>
  <c r="J12" i="69"/>
  <c r="J19" i="69" s="1"/>
  <c r="J12" i="85"/>
  <c r="D18" i="85"/>
  <c r="S36" i="85"/>
  <c r="E45" i="85"/>
  <c r="S45" i="85" s="1"/>
  <c r="E42" i="85"/>
  <c r="E44" i="85"/>
  <c r="C12" i="69"/>
  <c r="C19" i="69" s="1"/>
  <c r="C12" i="85"/>
  <c r="R40" i="85"/>
  <c r="M13" i="5"/>
  <c r="M13" i="85" s="1"/>
  <c r="M16" i="85" s="1"/>
  <c r="J26" i="42"/>
  <c r="M22" i="42"/>
  <c r="M23" i="42" s="1"/>
  <c r="B20" i="73"/>
  <c r="K22" i="42"/>
  <c r="P34" i="41"/>
  <c r="M29" i="24"/>
  <c r="M31" i="1"/>
  <c r="M29" i="1" s="1"/>
  <c r="M37" i="1" s="1"/>
  <c r="H25" i="67"/>
  <c r="D42" i="67" s="1"/>
  <c r="E42" i="67" s="1"/>
  <c r="AD54" i="69"/>
  <c r="AL54" i="69" s="1"/>
  <c r="AH4" i="69"/>
  <c r="G41" i="71"/>
  <c r="G48" i="71" s="1"/>
  <c r="G50" i="71" s="1"/>
  <c r="G41" i="9"/>
  <c r="G48" i="9" s="1"/>
  <c r="G41" i="8"/>
  <c r="H31" i="67"/>
  <c r="D43" i="67" s="1"/>
  <c r="E43" i="67" s="1"/>
  <c r="R47" i="1"/>
  <c r="H19" i="67"/>
  <c r="D41" i="67" s="1"/>
  <c r="E41" i="67" s="1"/>
  <c r="P23" i="26"/>
  <c r="P23" i="27"/>
  <c r="H12" i="67"/>
  <c r="J20" i="26"/>
  <c r="J27" i="24"/>
  <c r="R27" i="24" s="1"/>
  <c r="R25" i="24"/>
  <c r="J30" i="1"/>
  <c r="P34" i="67"/>
  <c r="AJ55" i="85" s="1"/>
  <c r="G23" i="27"/>
  <c r="F24" i="44"/>
  <c r="F20" i="73"/>
  <c r="K24" i="45"/>
  <c r="G24" i="44"/>
  <c r="E24" i="44"/>
  <c r="G22" i="44"/>
  <c r="J24" i="45"/>
  <c r="L24" i="44"/>
  <c r="J18" i="43"/>
  <c r="G33" i="4"/>
  <c r="J22" i="45"/>
  <c r="J20" i="73"/>
  <c r="I24" i="44"/>
  <c r="J22" i="44"/>
  <c r="O24" i="45"/>
  <c r="L18" i="43"/>
  <c r="I22" i="44"/>
  <c r="N20" i="73"/>
  <c r="M18" i="43"/>
  <c r="K24" i="44"/>
  <c r="O34" i="41"/>
  <c r="E18" i="43"/>
  <c r="E22" i="43" s="1"/>
  <c r="N12" i="69"/>
  <c r="N19" i="69" s="1"/>
  <c r="I34" i="41"/>
  <c r="I18" i="43"/>
  <c r="I22" i="43" s="1"/>
  <c r="G34" i="41"/>
  <c r="F18" i="43"/>
  <c r="F22" i="43" s="1"/>
  <c r="E24" i="45"/>
  <c r="G24" i="45"/>
  <c r="E22" i="45"/>
  <c r="P24" i="45"/>
  <c r="K50" i="71"/>
  <c r="J24" i="44"/>
  <c r="F24" i="45"/>
  <c r="L39" i="4"/>
  <c r="K34" i="41"/>
  <c r="N24" i="45"/>
  <c r="N24" i="44"/>
  <c r="G18" i="43"/>
  <c r="G22" i="43" s="1"/>
  <c r="M24" i="45"/>
  <c r="H34" i="41"/>
  <c r="I12" i="69"/>
  <c r="I19" i="69" s="1"/>
  <c r="J34" i="41"/>
  <c r="P24" i="44"/>
  <c r="O20" i="73"/>
  <c r="H24" i="44"/>
  <c r="L24" i="45"/>
  <c r="N29" i="41"/>
  <c r="G25" i="41"/>
  <c r="I25" i="41"/>
  <c r="N18" i="43"/>
  <c r="P18" i="43"/>
  <c r="K18" i="43"/>
  <c r="C28" i="26"/>
  <c r="O14" i="26"/>
  <c r="C30" i="26" s="1"/>
  <c r="N22" i="44"/>
  <c r="H14" i="26"/>
  <c r="B23" i="46"/>
  <c r="B22" i="46" s="1"/>
  <c r="G14" i="27"/>
  <c r="M22" i="44"/>
  <c r="M24" i="44"/>
  <c r="O22" i="44"/>
  <c r="O24" i="44"/>
  <c r="N34" i="41"/>
  <c r="O18" i="43"/>
  <c r="H22" i="45"/>
  <c r="H18" i="43"/>
  <c r="H22" i="43" s="1"/>
  <c r="H24" i="45"/>
  <c r="I24" i="45"/>
  <c r="I22" i="45"/>
  <c r="J21" i="43"/>
  <c r="K21" i="45"/>
  <c r="L34" i="41"/>
  <c r="E22" i="40"/>
  <c r="N31" i="41"/>
  <c r="M34" i="41"/>
  <c r="R15" i="73"/>
  <c r="E25" i="41"/>
  <c r="R14" i="73"/>
  <c r="E23" i="73"/>
  <c r="S23" i="73" s="1"/>
  <c r="K45" i="71"/>
  <c r="K14" i="26"/>
  <c r="O25" i="41"/>
  <c r="L25" i="41"/>
  <c r="M25" i="41"/>
  <c r="N25" i="41"/>
  <c r="J25" i="41"/>
  <c r="E34" i="41"/>
  <c r="K25" i="41"/>
  <c r="H25" i="41"/>
  <c r="P25" i="41"/>
  <c r="I50" i="71"/>
  <c r="O18" i="69"/>
  <c r="L29" i="73"/>
  <c r="L31" i="73" s="1"/>
  <c r="L40" i="73" s="1"/>
  <c r="F23" i="5"/>
  <c r="M12" i="69"/>
  <c r="M19" i="69" s="1"/>
  <c r="H12" i="69"/>
  <c r="H19" i="69" s="1"/>
  <c r="C20" i="73"/>
  <c r="N18" i="69"/>
  <c r="H13" i="5"/>
  <c r="H13" i="85" s="1"/>
  <c r="H16" i="85" s="1"/>
  <c r="G13" i="5"/>
  <c r="G13" i="85" s="1"/>
  <c r="G16" i="85" s="1"/>
  <c r="AF4" i="69"/>
  <c r="F39" i="4"/>
  <c r="F40" i="4" s="1"/>
  <c r="G12" i="69"/>
  <c r="G19" i="69" s="1"/>
  <c r="B14" i="26"/>
  <c r="L14" i="27"/>
  <c r="C14" i="27"/>
  <c r="M14" i="26"/>
  <c r="N29" i="73"/>
  <c r="N31" i="73" s="1"/>
  <c r="N35" i="73" s="1"/>
  <c r="N36" i="73" s="1"/>
  <c r="N11" i="73"/>
  <c r="I45" i="71"/>
  <c r="N7" i="46"/>
  <c r="N6" i="46" s="1"/>
  <c r="C26" i="46"/>
  <c r="C23" i="46" s="1"/>
  <c r="C22" i="46" s="1"/>
  <c r="O24" i="73"/>
  <c r="O29" i="73" s="1"/>
  <c r="O31" i="73" s="1"/>
  <c r="O35" i="73" s="1"/>
  <c r="O36" i="73" s="1"/>
  <c r="O11" i="73"/>
  <c r="F41" i="4"/>
  <c r="F35" i="4"/>
  <c r="J13" i="5"/>
  <c r="J13" i="85" s="1"/>
  <c r="E21" i="69"/>
  <c r="S26" i="73"/>
  <c r="R26" i="73"/>
  <c r="J14" i="26"/>
  <c r="I14" i="26"/>
  <c r="F12" i="69"/>
  <c r="F19" i="69" s="1"/>
  <c r="D14" i="27"/>
  <c r="B12" i="69"/>
  <c r="R12" i="6"/>
  <c r="R6" i="43"/>
  <c r="R12" i="43"/>
  <c r="F62" i="4"/>
  <c r="Z83" i="85" s="1"/>
  <c r="N49" i="71"/>
  <c r="L18" i="69"/>
  <c r="E49" i="71"/>
  <c r="R44" i="71"/>
  <c r="R14" i="69"/>
  <c r="B21" i="69"/>
  <c r="R22" i="69"/>
  <c r="R10" i="46"/>
  <c r="R7" i="46" s="1"/>
  <c r="R6" i="46" s="1"/>
  <c r="E24" i="73"/>
  <c r="B18" i="69"/>
  <c r="R4" i="69"/>
  <c r="E11" i="73"/>
  <c r="E18" i="69"/>
  <c r="R53" i="71"/>
  <c r="H26" i="42"/>
  <c r="H23" i="42"/>
  <c r="D13" i="69"/>
  <c r="AA55" i="69"/>
  <c r="J18" i="69"/>
  <c r="M18" i="69"/>
  <c r="L26" i="42"/>
  <c r="L23" i="42"/>
  <c r="K14" i="27"/>
  <c r="O45" i="71"/>
  <c r="O48" i="71"/>
  <c r="O50" i="71" s="1"/>
  <c r="E62" i="4"/>
  <c r="Y83" i="85" s="1"/>
  <c r="L33" i="4"/>
  <c r="F83" i="4"/>
  <c r="F52" i="4"/>
  <c r="U12" i="6"/>
  <c r="K11" i="73"/>
  <c r="U10" i="46"/>
  <c r="U7" i="46" s="1"/>
  <c r="U6" i="46" s="1"/>
  <c r="U9" i="6"/>
  <c r="R9" i="6"/>
  <c r="F48" i="9"/>
  <c r="H50" i="71"/>
  <c r="U11" i="6"/>
  <c r="F32" i="41"/>
  <c r="E6" i="46"/>
  <c r="E33" i="4"/>
  <c r="AF55" i="69"/>
  <c r="E12" i="69"/>
  <c r="S18" i="73"/>
  <c r="E27" i="73"/>
  <c r="F13" i="5"/>
  <c r="F13" i="85" s="1"/>
  <c r="F16" i="85" s="1"/>
  <c r="R25" i="73"/>
  <c r="H45" i="71"/>
  <c r="C7" i="46"/>
  <c r="C6" i="46" s="1"/>
  <c r="L49" i="71"/>
  <c r="L50" i="71" s="1"/>
  <c r="L45" i="71"/>
  <c r="R22" i="73"/>
  <c r="C12" i="5"/>
  <c r="C6" i="85" s="1"/>
  <c r="C10" i="6" s="1"/>
  <c r="C13" i="5"/>
  <c r="C13" i="85" s="1"/>
  <c r="E48" i="71"/>
  <c r="E45" i="71"/>
  <c r="R11" i="6"/>
  <c r="F14" i="27"/>
  <c r="I48" i="9"/>
  <c r="K13" i="5"/>
  <c r="K13" i="85" s="1"/>
  <c r="K16" i="85" s="1"/>
  <c r="B12" i="5"/>
  <c r="B6" i="85" s="1"/>
  <c r="B10" i="6" s="1"/>
  <c r="B13" i="5"/>
  <c r="B13" i="85" s="1"/>
  <c r="K12" i="69"/>
  <c r="G39" i="4"/>
  <c r="R18" i="73"/>
  <c r="B27" i="73"/>
  <c r="R11" i="69"/>
  <c r="I29" i="46"/>
  <c r="AC10" i="73"/>
  <c r="E29" i="46"/>
  <c r="Y10" i="73"/>
  <c r="E20" i="73"/>
  <c r="I13" i="5"/>
  <c r="I13" i="85" s="1"/>
  <c r="C24" i="73"/>
  <c r="R6" i="73"/>
  <c r="G18" i="69"/>
  <c r="R15" i="69"/>
  <c r="S25" i="73"/>
  <c r="F49" i="71"/>
  <c r="F50" i="71" s="1"/>
  <c r="F45" i="71"/>
  <c r="F18" i="69"/>
  <c r="P22" i="6" l="1"/>
  <c r="E24" i="39"/>
  <c r="E28" i="39" s="1"/>
  <c r="AA29" i="85"/>
  <c r="AA7" i="73"/>
  <c r="AD29" i="85"/>
  <c r="AD7" i="73"/>
  <c r="Z29" i="85"/>
  <c r="Z7" i="73"/>
  <c r="H35" i="40"/>
  <c r="AB7" i="73"/>
  <c r="Y29" i="85"/>
  <c r="Y7" i="73"/>
  <c r="AH29" i="85"/>
  <c r="AH7" i="73"/>
  <c r="AE29" i="85"/>
  <c r="AE7" i="73"/>
  <c r="F24" i="39"/>
  <c r="F28" i="39" s="1"/>
  <c r="Z28" i="85" s="1"/>
  <c r="G22" i="39"/>
  <c r="H22" i="39" s="1"/>
  <c r="P29" i="24"/>
  <c r="J41" i="71"/>
  <c r="J45" i="71" s="1"/>
  <c r="J41" i="9"/>
  <c r="J48" i="9" s="1"/>
  <c r="J41" i="8"/>
  <c r="J48" i="8" s="1"/>
  <c r="L33" i="40"/>
  <c r="AF29" i="85"/>
  <c r="P33" i="40"/>
  <c r="AJ29" i="85"/>
  <c r="O35" i="40"/>
  <c r="AI29" i="85"/>
  <c r="M33" i="40"/>
  <c r="AG29" i="85"/>
  <c r="I35" i="40"/>
  <c r="AC29" i="85"/>
  <c r="H33" i="40"/>
  <c r="AB29" i="85"/>
  <c r="K39" i="4"/>
  <c r="K33" i="4"/>
  <c r="K52" i="4" s="1"/>
  <c r="AE55" i="69"/>
  <c r="M32" i="71"/>
  <c r="M40" i="71" s="1"/>
  <c r="M39" i="9"/>
  <c r="M40" i="9" s="1"/>
  <c r="M37" i="4"/>
  <c r="O52" i="8"/>
  <c r="O32" i="4"/>
  <c r="O39" i="4" s="1"/>
  <c r="F62" i="71"/>
  <c r="P41" i="71"/>
  <c r="R41" i="71" s="1"/>
  <c r="K62" i="71"/>
  <c r="M62" i="71"/>
  <c r="E62" i="71"/>
  <c r="I62" i="71"/>
  <c r="J61" i="9"/>
  <c r="P41" i="9"/>
  <c r="H62" i="8"/>
  <c r="P41" i="8"/>
  <c r="I33" i="40"/>
  <c r="V27" i="85"/>
  <c r="G31" i="1"/>
  <c r="P37" i="80"/>
  <c r="AG4" i="69"/>
  <c r="AG4" i="85"/>
  <c r="J37" i="79"/>
  <c r="J37" i="75"/>
  <c r="J37" i="77"/>
  <c r="J37" i="78"/>
  <c r="P35" i="45"/>
  <c r="J35" i="45"/>
  <c r="L35" i="40"/>
  <c r="E35" i="45"/>
  <c r="G35" i="44"/>
  <c r="O35" i="44"/>
  <c r="O35" i="45"/>
  <c r="K35" i="45"/>
  <c r="E35" i="44"/>
  <c r="M35" i="45"/>
  <c r="M35" i="44"/>
  <c r="H35" i="44"/>
  <c r="F35" i="45"/>
  <c r="G33" i="40"/>
  <c r="G35" i="45"/>
  <c r="N35" i="45"/>
  <c r="I35" i="44"/>
  <c r="I35" i="45"/>
  <c r="J35" i="44"/>
  <c r="F7" i="5"/>
  <c r="G35" i="40"/>
  <c r="N35" i="44"/>
  <c r="F35" i="44"/>
  <c r="L35" i="45"/>
  <c r="H35" i="45"/>
  <c r="P35" i="44"/>
  <c r="K35" i="44"/>
  <c r="L35" i="44"/>
  <c r="G45" i="71"/>
  <c r="K6" i="85"/>
  <c r="K10" i="6" s="1"/>
  <c r="M6" i="85"/>
  <c r="M10" i="6" s="1"/>
  <c r="M7" i="6" s="1"/>
  <c r="M6" i="6" s="1"/>
  <c r="I6" i="85"/>
  <c r="I10" i="6" s="1"/>
  <c r="J35" i="4"/>
  <c r="N33" i="40"/>
  <c r="K33" i="40"/>
  <c r="N35" i="40"/>
  <c r="K35" i="40"/>
  <c r="G6" i="85"/>
  <c r="G10" i="6" s="1"/>
  <c r="L13" i="69"/>
  <c r="L16" i="69" s="1"/>
  <c r="F6" i="85"/>
  <c r="F10" i="6" s="1"/>
  <c r="E47" i="41"/>
  <c r="E6" i="85"/>
  <c r="E10" i="6" s="1"/>
  <c r="P35" i="40"/>
  <c r="J33" i="40"/>
  <c r="J35" i="40"/>
  <c r="O6" i="85"/>
  <c r="O20" i="85" s="1"/>
  <c r="O23" i="85" s="1"/>
  <c r="O53" i="85" s="1"/>
  <c r="O57" i="85" s="1"/>
  <c r="O58" i="85" s="1"/>
  <c r="J6" i="85"/>
  <c r="J10" i="6" s="1"/>
  <c r="O33" i="40"/>
  <c r="M35" i="40"/>
  <c r="F10" i="5"/>
  <c r="E13" i="69"/>
  <c r="E16" i="69" s="1"/>
  <c r="Z6" i="73"/>
  <c r="G10" i="5"/>
  <c r="G7" i="5"/>
  <c r="N6" i="85"/>
  <c r="N20" i="85" s="1"/>
  <c r="N23" i="85" s="1"/>
  <c r="N53" i="85" s="1"/>
  <c r="N57" i="85" s="1"/>
  <c r="N58" i="85" s="1"/>
  <c r="B28" i="5"/>
  <c r="N6" i="69"/>
  <c r="N9" i="69" s="1"/>
  <c r="AD32" i="85"/>
  <c r="J43" i="42"/>
  <c r="N7" i="5"/>
  <c r="B23" i="5" s="1"/>
  <c r="B24" i="5"/>
  <c r="N10" i="5"/>
  <c r="B26" i="5" s="1"/>
  <c r="AB32" i="85"/>
  <c r="H43" i="42"/>
  <c r="AF32" i="85"/>
  <c r="L43" i="42"/>
  <c r="J32" i="41"/>
  <c r="J47" i="41"/>
  <c r="G32" i="41"/>
  <c r="G47" i="41"/>
  <c r="N32" i="41"/>
  <c r="N47" i="41"/>
  <c r="H32" i="41"/>
  <c r="H47" i="41"/>
  <c r="P32" i="41"/>
  <c r="P47" i="41"/>
  <c r="I32" i="41"/>
  <c r="I47" i="41"/>
  <c r="L32" i="41"/>
  <c r="L47" i="41"/>
  <c r="M32" i="41"/>
  <c r="M47" i="41"/>
  <c r="K32" i="41"/>
  <c r="K47" i="41"/>
  <c r="E32" i="41"/>
  <c r="O32" i="41"/>
  <c r="O47" i="41"/>
  <c r="O7" i="5"/>
  <c r="C23" i="5" s="1"/>
  <c r="O10" i="5"/>
  <c r="C26" i="5" s="1"/>
  <c r="C24" i="5"/>
  <c r="F35" i="40"/>
  <c r="F33" i="40"/>
  <c r="E35" i="40"/>
  <c r="E33" i="40"/>
  <c r="N39" i="4"/>
  <c r="N40" i="4" s="1"/>
  <c r="D14" i="5"/>
  <c r="G24" i="39"/>
  <c r="Y28" i="85"/>
  <c r="N62" i="4"/>
  <c r="AH83" i="85" s="1"/>
  <c r="D9" i="85"/>
  <c r="D6" i="69"/>
  <c r="D20" i="69" s="1"/>
  <c r="D23" i="69" s="1"/>
  <c r="D25" i="69" s="1"/>
  <c r="J22" i="27"/>
  <c r="F22" i="27"/>
  <c r="F24" i="27" s="1"/>
  <c r="F28" i="27" s="1"/>
  <c r="K22" i="27"/>
  <c r="K24" i="27" s="1"/>
  <c r="K28" i="27" s="1"/>
  <c r="O22" i="27"/>
  <c r="O24" i="27" s="1"/>
  <c r="O28" i="27" s="1"/>
  <c r="L22" i="27"/>
  <c r="L24" i="27" s="1"/>
  <c r="L28" i="27" s="1"/>
  <c r="N22" i="27"/>
  <c r="N24" i="27" s="1"/>
  <c r="N28" i="27" s="1"/>
  <c r="P22" i="27"/>
  <c r="P24" i="27" s="1"/>
  <c r="G22" i="27"/>
  <c r="G24" i="27" s="1"/>
  <c r="G28" i="27" s="1"/>
  <c r="H22" i="27"/>
  <c r="H24" i="27" s="1"/>
  <c r="H28" i="27" s="1"/>
  <c r="I22" i="27"/>
  <c r="I24" i="27" s="1"/>
  <c r="I28" i="27" s="1"/>
  <c r="M22" i="27"/>
  <c r="M24" i="27" s="1"/>
  <c r="M28" i="27" s="1"/>
  <c r="E22" i="27"/>
  <c r="H7" i="5"/>
  <c r="H10" i="5"/>
  <c r="L10" i="5"/>
  <c r="L12" i="5"/>
  <c r="J7" i="5"/>
  <c r="J10" i="5"/>
  <c r="K7" i="5"/>
  <c r="K10" i="5"/>
  <c r="M7" i="5"/>
  <c r="M10" i="5"/>
  <c r="J83" i="4"/>
  <c r="P15" i="26"/>
  <c r="O16" i="26" s="1"/>
  <c r="L6" i="5"/>
  <c r="L7" i="5" s="1"/>
  <c r="H12" i="5"/>
  <c r="I7" i="5"/>
  <c r="I10" i="5"/>
  <c r="E7" i="5"/>
  <c r="E10" i="5"/>
  <c r="J39" i="4"/>
  <c r="J40" i="4" s="1"/>
  <c r="C29" i="5"/>
  <c r="M6" i="69"/>
  <c r="M9" i="69" s="1"/>
  <c r="L83" i="4"/>
  <c r="N83" i="4"/>
  <c r="H41" i="4"/>
  <c r="H35" i="4"/>
  <c r="H52" i="4"/>
  <c r="N45" i="71"/>
  <c r="O13" i="69"/>
  <c r="O16" i="69" s="1"/>
  <c r="N50" i="71"/>
  <c r="O6" i="69"/>
  <c r="O14" i="5"/>
  <c r="C30" i="5" s="1"/>
  <c r="C28" i="5"/>
  <c r="J62" i="4"/>
  <c r="AD83" i="85" s="1"/>
  <c r="J52" i="4"/>
  <c r="D20" i="85"/>
  <c r="D23" i="85" s="1"/>
  <c r="D53" i="85" s="1"/>
  <c r="E6" i="69"/>
  <c r="E9" i="69" s="1"/>
  <c r="S27" i="73"/>
  <c r="E14" i="5"/>
  <c r="D16" i="69"/>
  <c r="I33" i="4"/>
  <c r="H39" i="4"/>
  <c r="H40" i="4" s="1"/>
  <c r="H83" i="4"/>
  <c r="H62" i="4"/>
  <c r="AB83" i="85" s="1"/>
  <c r="I39" i="4"/>
  <c r="AC55" i="69"/>
  <c r="S49" i="85"/>
  <c r="F27" i="46"/>
  <c r="AF88" i="85"/>
  <c r="O22" i="42"/>
  <c r="AI88" i="85" s="1"/>
  <c r="AA26" i="85"/>
  <c r="G24" i="46"/>
  <c r="S24" i="46" s="1"/>
  <c r="AA4" i="73"/>
  <c r="AL4" i="73" s="1"/>
  <c r="R34" i="37"/>
  <c r="E61" i="9"/>
  <c r="G40" i="4"/>
  <c r="O61" i="9"/>
  <c r="R30" i="9"/>
  <c r="H62" i="71"/>
  <c r="K61" i="9"/>
  <c r="B62" i="8"/>
  <c r="M62" i="8"/>
  <c r="N13" i="69"/>
  <c r="N16" i="69" s="1"/>
  <c r="R30" i="71"/>
  <c r="L62" i="8"/>
  <c r="L61" i="9"/>
  <c r="L74" i="4" s="1"/>
  <c r="R30" i="8"/>
  <c r="B29" i="5"/>
  <c r="J62" i="71"/>
  <c r="N62" i="8"/>
  <c r="N61" i="9"/>
  <c r="F61" i="9"/>
  <c r="G61" i="9"/>
  <c r="M52" i="9"/>
  <c r="E62" i="8"/>
  <c r="B61" i="9"/>
  <c r="M61" i="9"/>
  <c r="M74" i="4" s="1"/>
  <c r="K62" i="8"/>
  <c r="F62" i="8"/>
  <c r="M14" i="5"/>
  <c r="N14" i="5"/>
  <c r="B30" i="5" s="1"/>
  <c r="H61" i="9"/>
  <c r="P32" i="8"/>
  <c r="P62" i="8"/>
  <c r="P37" i="4"/>
  <c r="O62" i="8"/>
  <c r="G62" i="8"/>
  <c r="P32" i="71"/>
  <c r="P62" i="71"/>
  <c r="O62" i="71"/>
  <c r="G62" i="71"/>
  <c r="N62" i="71"/>
  <c r="M40" i="8"/>
  <c r="M32" i="4"/>
  <c r="M52" i="8"/>
  <c r="P61" i="9"/>
  <c r="I62" i="8"/>
  <c r="I61" i="9"/>
  <c r="J62" i="8"/>
  <c r="J27" i="46"/>
  <c r="V28" i="85"/>
  <c r="J24" i="43"/>
  <c r="R45" i="85"/>
  <c r="AA88" i="85"/>
  <c r="P22" i="42"/>
  <c r="P26" i="42" s="1"/>
  <c r="V30" i="85"/>
  <c r="V29" i="85"/>
  <c r="V26" i="85"/>
  <c r="M13" i="69"/>
  <c r="M16" i="69" s="1"/>
  <c r="AD10" i="73"/>
  <c r="AE88" i="85"/>
  <c r="M51" i="85"/>
  <c r="M26" i="42"/>
  <c r="V32" i="85"/>
  <c r="J29" i="46"/>
  <c r="AF60" i="73"/>
  <c r="AF62" i="73" s="1"/>
  <c r="Z88" i="85"/>
  <c r="N22" i="42"/>
  <c r="V31" i="85"/>
  <c r="R18" i="85"/>
  <c r="R13" i="85"/>
  <c r="G20" i="85"/>
  <c r="G23" i="85" s="1"/>
  <c r="G53" i="85" s="1"/>
  <c r="AB88" i="85"/>
  <c r="B20" i="85"/>
  <c r="B23" i="85" s="1"/>
  <c r="B9" i="85"/>
  <c r="R21" i="69"/>
  <c r="AG88" i="85"/>
  <c r="E51" i="85"/>
  <c r="R44" i="85"/>
  <c r="R46" i="85"/>
  <c r="B51" i="85"/>
  <c r="L19" i="85"/>
  <c r="L16" i="85"/>
  <c r="AD88" i="85"/>
  <c r="K27" i="46"/>
  <c r="C20" i="85"/>
  <c r="C9" i="85"/>
  <c r="Y88" i="85"/>
  <c r="J19" i="85"/>
  <c r="J16" i="85"/>
  <c r="B16" i="85"/>
  <c r="R49" i="85"/>
  <c r="R42" i="85"/>
  <c r="C19" i="85"/>
  <c r="C16" i="85"/>
  <c r="R12" i="85"/>
  <c r="AC88" i="85"/>
  <c r="I16" i="85"/>
  <c r="G27" i="46"/>
  <c r="AC60" i="73"/>
  <c r="AC62" i="73" s="1"/>
  <c r="L35" i="73"/>
  <c r="L36" i="73" s="1"/>
  <c r="K24" i="43"/>
  <c r="J22" i="43"/>
  <c r="AA60" i="73"/>
  <c r="AA62" i="73" s="1"/>
  <c r="I27" i="46"/>
  <c r="M27" i="46"/>
  <c r="G24" i="43"/>
  <c r="F24" i="43"/>
  <c r="M37" i="24"/>
  <c r="P23" i="5"/>
  <c r="P37" i="24"/>
  <c r="G37" i="24"/>
  <c r="G37" i="25"/>
  <c r="AJ4" i="69"/>
  <c r="R30" i="1"/>
  <c r="J31" i="25"/>
  <c r="J31" i="24"/>
  <c r="H34" i="67"/>
  <c r="J48" i="71"/>
  <c r="J50" i="71" s="1"/>
  <c r="G48" i="8"/>
  <c r="G29" i="1"/>
  <c r="G23" i="5"/>
  <c r="J20" i="5"/>
  <c r="R20" i="5" s="1"/>
  <c r="R20" i="26"/>
  <c r="G52" i="4"/>
  <c r="G35" i="4"/>
  <c r="G83" i="4"/>
  <c r="G41" i="4"/>
  <c r="Y60" i="73"/>
  <c r="Y62" i="73" s="1"/>
  <c r="E27" i="46"/>
  <c r="I24" i="43"/>
  <c r="O24" i="43"/>
  <c r="E24" i="43"/>
  <c r="L24" i="43"/>
  <c r="AD60" i="73"/>
  <c r="AD62" i="73" s="1"/>
  <c r="O29" i="41"/>
  <c r="O35" i="41" s="1"/>
  <c r="O36" i="41" s="1"/>
  <c r="AG60" i="73"/>
  <c r="AG62" i="73" s="1"/>
  <c r="N24" i="43"/>
  <c r="Z60" i="73"/>
  <c r="Z62" i="73" s="1"/>
  <c r="R24" i="44"/>
  <c r="R19" i="44" s="1"/>
  <c r="P24" i="43"/>
  <c r="R24" i="45"/>
  <c r="R19" i="45" s="1"/>
  <c r="M24" i="43"/>
  <c r="K29" i="41"/>
  <c r="K35" i="41" s="1"/>
  <c r="K36" i="41" s="1"/>
  <c r="N35" i="41"/>
  <c r="N36" i="41" s="1"/>
  <c r="E29" i="41"/>
  <c r="E35" i="41" s="1"/>
  <c r="L29" i="41"/>
  <c r="L35" i="41" s="1"/>
  <c r="L36" i="41" s="1"/>
  <c r="AF30" i="85" s="1"/>
  <c r="J29" i="41"/>
  <c r="J35" i="41" s="1"/>
  <c r="J36" i="41" s="1"/>
  <c r="AD30" i="85" s="1"/>
  <c r="F29" i="41"/>
  <c r="F35" i="41" s="1"/>
  <c r="F36" i="41" s="1"/>
  <c r="I29" i="41"/>
  <c r="I35" i="41" s="1"/>
  <c r="I36" i="41" s="1"/>
  <c r="M29" i="41"/>
  <c r="M35" i="41" s="1"/>
  <c r="M36" i="41" s="1"/>
  <c r="H29" i="41"/>
  <c r="H35" i="41" s="1"/>
  <c r="H36" i="41" s="1"/>
  <c r="AB30" i="85" s="1"/>
  <c r="G29" i="41"/>
  <c r="G35" i="41" s="1"/>
  <c r="G36" i="41" s="1"/>
  <c r="P29" i="41"/>
  <c r="P35" i="41" s="1"/>
  <c r="P36" i="41" s="1"/>
  <c r="AJ30" i="85" s="1"/>
  <c r="R24" i="73"/>
  <c r="AE60" i="73"/>
  <c r="AE62" i="73" s="1"/>
  <c r="H24" i="43"/>
  <c r="K21" i="43"/>
  <c r="K22" i="45"/>
  <c r="R18" i="43"/>
  <c r="AB60" i="73"/>
  <c r="AB62" i="73" s="1"/>
  <c r="R34" i="41"/>
  <c r="R32" i="41" s="1"/>
  <c r="R23" i="73"/>
  <c r="R11" i="73"/>
  <c r="V8" i="73" s="1"/>
  <c r="L52" i="4"/>
  <c r="C29" i="73"/>
  <c r="G14" i="5"/>
  <c r="G6" i="69"/>
  <c r="H13" i="69"/>
  <c r="G13" i="69"/>
  <c r="G16" i="69" s="1"/>
  <c r="R27" i="73"/>
  <c r="B14" i="5"/>
  <c r="B6" i="69"/>
  <c r="U8" i="6"/>
  <c r="K19" i="69"/>
  <c r="C13" i="69"/>
  <c r="C16" i="69" s="1"/>
  <c r="F13" i="69"/>
  <c r="F16" i="69" s="1"/>
  <c r="E41" i="4"/>
  <c r="E35" i="4"/>
  <c r="I35" i="73"/>
  <c r="I36" i="73" s="1"/>
  <c r="I40" i="73"/>
  <c r="N27" i="46"/>
  <c r="Y55" i="69"/>
  <c r="R18" i="69"/>
  <c r="Z55" i="69"/>
  <c r="O26" i="42"/>
  <c r="O23" i="42"/>
  <c r="F35" i="73"/>
  <c r="F36" i="73" s="1"/>
  <c r="F40" i="73"/>
  <c r="L40" i="4"/>
  <c r="K13" i="69"/>
  <c r="K16" i="69" s="1"/>
  <c r="I13" i="69"/>
  <c r="I16" i="69" s="1"/>
  <c r="K14" i="5"/>
  <c r="K6" i="69"/>
  <c r="H40" i="73"/>
  <c r="H35" i="73"/>
  <c r="H36" i="73" s="1"/>
  <c r="G40" i="73"/>
  <c r="G35" i="73"/>
  <c r="G36" i="73" s="1"/>
  <c r="P27" i="46"/>
  <c r="R8" i="6"/>
  <c r="C14" i="5"/>
  <c r="C6" i="69"/>
  <c r="F14" i="5"/>
  <c r="F6" i="69"/>
  <c r="J40" i="73"/>
  <c r="J35" i="73"/>
  <c r="J36" i="73" s="1"/>
  <c r="N52" i="4"/>
  <c r="F48" i="4"/>
  <c r="R12" i="69"/>
  <c r="B19" i="69"/>
  <c r="K26" i="42"/>
  <c r="K23" i="42"/>
  <c r="AI60" i="73"/>
  <c r="AI62" i="73" s="1"/>
  <c r="E26" i="46"/>
  <c r="Y6" i="73"/>
  <c r="M35" i="73"/>
  <c r="M36" i="73" s="1"/>
  <c r="M40" i="73"/>
  <c r="E19" i="69"/>
  <c r="N41" i="4"/>
  <c r="N35" i="4"/>
  <c r="L29" i="46"/>
  <c r="AF10" i="73"/>
  <c r="D7" i="6"/>
  <c r="D6" i="6" s="1"/>
  <c r="B13" i="69"/>
  <c r="E50" i="71"/>
  <c r="K35" i="73"/>
  <c r="K36" i="73" s="1"/>
  <c r="K40" i="73"/>
  <c r="D35" i="73"/>
  <c r="D36" i="73" s="1"/>
  <c r="D40" i="73"/>
  <c r="O27" i="46"/>
  <c r="J13" i="69"/>
  <c r="J16" i="69" s="1"/>
  <c r="R49" i="71"/>
  <c r="E52" i="4"/>
  <c r="J14" i="5"/>
  <c r="J6" i="69"/>
  <c r="L41" i="4"/>
  <c r="L35" i="4"/>
  <c r="R20" i="73"/>
  <c r="L27" i="46"/>
  <c r="H27" i="46"/>
  <c r="I14" i="5"/>
  <c r="I6" i="69"/>
  <c r="E29" i="73"/>
  <c r="B29" i="73"/>
  <c r="B31" i="73" s="1"/>
  <c r="R22" i="40"/>
  <c r="H29" i="46"/>
  <c r="AB10" i="73"/>
  <c r="E83" i="4"/>
  <c r="M22" i="6" l="1"/>
  <c r="F26" i="46"/>
  <c r="E74" i="4"/>
  <c r="P63" i="71"/>
  <c r="P64" i="71" s="1"/>
  <c r="M52" i="71"/>
  <c r="K83" i="4"/>
  <c r="D37" i="67"/>
  <c r="D38" i="67" s="1"/>
  <c r="AL96" i="85" s="1"/>
  <c r="AL99" i="85" s="1"/>
  <c r="AD55" i="85"/>
  <c r="AL55" i="85" s="1"/>
  <c r="R41" i="8"/>
  <c r="K41" i="4"/>
  <c r="E20" i="85"/>
  <c r="E23" i="85" s="1"/>
  <c r="E53" i="85" s="1"/>
  <c r="K40" i="4"/>
  <c r="K35" i="4"/>
  <c r="O33" i="4"/>
  <c r="O40" i="4" s="1"/>
  <c r="O62" i="4"/>
  <c r="AI55" i="69" s="1"/>
  <c r="R37" i="4"/>
  <c r="K74" i="4"/>
  <c r="F74" i="4"/>
  <c r="H67" i="4"/>
  <c r="I74" i="4"/>
  <c r="H74" i="4"/>
  <c r="O9" i="85"/>
  <c r="J9" i="85"/>
  <c r="H63" i="8"/>
  <c r="H64" i="8" s="1"/>
  <c r="P39" i="8"/>
  <c r="K62" i="9"/>
  <c r="K63" i="9" s="1"/>
  <c r="R39" i="9"/>
  <c r="J41" i="4"/>
  <c r="J48" i="4" s="1"/>
  <c r="AD5" i="69" s="1"/>
  <c r="R41" i="9"/>
  <c r="J37" i="80"/>
  <c r="J23" i="26"/>
  <c r="F9" i="85"/>
  <c r="M9" i="85"/>
  <c r="R35" i="44"/>
  <c r="F20" i="85"/>
  <c r="F23" i="85" s="1"/>
  <c r="F53" i="85" s="1"/>
  <c r="F57" i="85" s="1"/>
  <c r="F58" i="85" s="1"/>
  <c r="E9" i="85"/>
  <c r="M20" i="85"/>
  <c r="M23" i="85" s="1"/>
  <c r="M53" i="85" s="1"/>
  <c r="M57" i="85" s="1"/>
  <c r="M58" i="85" s="1"/>
  <c r="K9" i="85"/>
  <c r="K20" i="85"/>
  <c r="K23" i="85" s="1"/>
  <c r="K53" i="85" s="1"/>
  <c r="K57" i="85" s="1"/>
  <c r="K58" i="85" s="1"/>
  <c r="R35" i="45"/>
  <c r="I9" i="85"/>
  <c r="I20" i="85"/>
  <c r="I23" i="85" s="1"/>
  <c r="I53" i="85" s="1"/>
  <c r="G9" i="85"/>
  <c r="J20" i="85"/>
  <c r="J23" i="85" s="1"/>
  <c r="J53" i="85" s="1"/>
  <c r="J57" i="85" s="1"/>
  <c r="J58" i="85" s="1"/>
  <c r="H6" i="85"/>
  <c r="H10" i="6" s="1"/>
  <c r="H7" i="6" s="1"/>
  <c r="H6" i="6" s="1"/>
  <c r="N38" i="43"/>
  <c r="I83" i="4"/>
  <c r="F38" i="43"/>
  <c r="G38" i="43"/>
  <c r="H14" i="5"/>
  <c r="M38" i="43"/>
  <c r="E38" i="43"/>
  <c r="H6" i="69"/>
  <c r="H9" i="69" s="1"/>
  <c r="O38" i="43"/>
  <c r="O10" i="6"/>
  <c r="O7" i="6" s="1"/>
  <c r="O6" i="6" s="1"/>
  <c r="Z5" i="85"/>
  <c r="F23" i="6" s="1"/>
  <c r="L38" i="43"/>
  <c r="P38" i="43"/>
  <c r="I38" i="43"/>
  <c r="C24" i="6"/>
  <c r="C21" i="6" s="1"/>
  <c r="C20" i="6" s="1"/>
  <c r="E20" i="69"/>
  <c r="E23" i="69" s="1"/>
  <c r="E25" i="69" s="1"/>
  <c r="AH55" i="69"/>
  <c r="N20" i="69"/>
  <c r="N23" i="69" s="1"/>
  <c r="N25" i="69" s="1"/>
  <c r="N29" i="69" s="1"/>
  <c r="N30" i="69" s="1"/>
  <c r="AE31" i="85"/>
  <c r="K38" i="43"/>
  <c r="AG32" i="85"/>
  <c r="M43" i="42"/>
  <c r="AJ32" i="85"/>
  <c r="P43" i="42"/>
  <c r="AI32" i="85"/>
  <c r="O43" i="42"/>
  <c r="AB31" i="85"/>
  <c r="H38" i="43"/>
  <c r="AD31" i="85"/>
  <c r="J38" i="43"/>
  <c r="AE32" i="85"/>
  <c r="K43" i="42"/>
  <c r="N9" i="85"/>
  <c r="B24" i="6"/>
  <c r="B21" i="6" s="1"/>
  <c r="B20" i="6" s="1"/>
  <c r="N10" i="6"/>
  <c r="N7" i="6" s="1"/>
  <c r="N6" i="6" s="1"/>
  <c r="R47" i="41"/>
  <c r="R33" i="40"/>
  <c r="O20" i="69"/>
  <c r="O23" i="69" s="1"/>
  <c r="O25" i="69" s="1"/>
  <c r="O29" i="69" s="1"/>
  <c r="O30" i="69" s="1"/>
  <c r="R18" i="40"/>
  <c r="D9" i="69"/>
  <c r="G28" i="39"/>
  <c r="I22" i="39"/>
  <c r="H24" i="39"/>
  <c r="H28" i="39" s="1"/>
  <c r="L6" i="85"/>
  <c r="L14" i="5"/>
  <c r="L6" i="69"/>
  <c r="E24" i="27"/>
  <c r="E28" i="27" s="1"/>
  <c r="R22" i="27"/>
  <c r="H22" i="26"/>
  <c r="I22" i="26"/>
  <c r="O22" i="26"/>
  <c r="P22" i="26"/>
  <c r="J22" i="26"/>
  <c r="L22" i="26"/>
  <c r="E22" i="26"/>
  <c r="G22" i="26"/>
  <c r="K22" i="26"/>
  <c r="M22" i="26"/>
  <c r="N22" i="26"/>
  <c r="F22" i="26"/>
  <c r="O9" i="69"/>
  <c r="H48" i="4"/>
  <c r="I41" i="4"/>
  <c r="AD55" i="69"/>
  <c r="K63" i="8"/>
  <c r="AB55" i="69"/>
  <c r="I35" i="4"/>
  <c r="I52" i="4"/>
  <c r="G48" i="4"/>
  <c r="I40" i="4"/>
  <c r="M29" i="46"/>
  <c r="M63" i="8"/>
  <c r="M64" i="8" s="1"/>
  <c r="E63" i="71"/>
  <c r="E64" i="71" s="1"/>
  <c r="E63" i="8"/>
  <c r="E64" i="8" s="1"/>
  <c r="O63" i="71"/>
  <c r="O64" i="71" s="1"/>
  <c r="AJ60" i="73"/>
  <c r="AJ62" i="73" s="1"/>
  <c r="J62" i="9"/>
  <c r="J63" i="9" s="1"/>
  <c r="P62" i="9"/>
  <c r="P63" i="9" s="1"/>
  <c r="J63" i="71"/>
  <c r="J64" i="71" s="1"/>
  <c r="F62" i="9"/>
  <c r="F63" i="9" s="1"/>
  <c r="G62" i="9"/>
  <c r="G63" i="9" s="1"/>
  <c r="N23" i="42"/>
  <c r="N26" i="42"/>
  <c r="E62" i="9"/>
  <c r="E63" i="9" s="1"/>
  <c r="AL26" i="85"/>
  <c r="K63" i="71"/>
  <c r="R32" i="9"/>
  <c r="O74" i="4"/>
  <c r="M62" i="9"/>
  <c r="M63" i="9" s="1"/>
  <c r="B63" i="8"/>
  <c r="B64" i="8" s="1"/>
  <c r="P63" i="8"/>
  <c r="N62" i="9"/>
  <c r="N63" i="9" s="1"/>
  <c r="P74" i="4"/>
  <c r="R32" i="8"/>
  <c r="B62" i="9"/>
  <c r="B63" i="9" s="1"/>
  <c r="L63" i="8"/>
  <c r="L64" i="8" s="1"/>
  <c r="I62" i="9"/>
  <c r="I63" i="9" s="1"/>
  <c r="M48" i="9"/>
  <c r="F63" i="8"/>
  <c r="M48" i="8"/>
  <c r="M48" i="71"/>
  <c r="M50" i="71" s="1"/>
  <c r="M45" i="71"/>
  <c r="O62" i="9"/>
  <c r="O63" i="9" s="1"/>
  <c r="L67" i="4"/>
  <c r="M39" i="4"/>
  <c r="M62" i="4"/>
  <c r="M33" i="4"/>
  <c r="G63" i="71"/>
  <c r="I63" i="8"/>
  <c r="N74" i="4"/>
  <c r="K67" i="4"/>
  <c r="H62" i="9"/>
  <c r="H63" i="9" s="1"/>
  <c r="G63" i="8"/>
  <c r="I67" i="4"/>
  <c r="O63" i="8"/>
  <c r="G74" i="4"/>
  <c r="O67" i="4"/>
  <c r="F67" i="4"/>
  <c r="J67" i="4"/>
  <c r="M67" i="4"/>
  <c r="P52" i="9"/>
  <c r="N63" i="8"/>
  <c r="P67" i="4"/>
  <c r="N67" i="4"/>
  <c r="P40" i="71"/>
  <c r="R40" i="71" s="1"/>
  <c r="P52" i="71"/>
  <c r="L63" i="71"/>
  <c r="H63" i="71"/>
  <c r="F63" i="71"/>
  <c r="P52" i="8"/>
  <c r="P32" i="4"/>
  <c r="R32" i="4" s="1"/>
  <c r="E67" i="4"/>
  <c r="J74" i="4"/>
  <c r="N63" i="71"/>
  <c r="N64" i="71" s="1"/>
  <c r="R32" i="71"/>
  <c r="J63" i="8"/>
  <c r="G67" i="4"/>
  <c r="I63" i="71"/>
  <c r="L62" i="9"/>
  <c r="L63" i="9" s="1"/>
  <c r="M63" i="71"/>
  <c r="AD9" i="73"/>
  <c r="J19" i="43"/>
  <c r="AH60" i="73"/>
  <c r="AH62" i="73" s="1"/>
  <c r="AH88" i="85"/>
  <c r="AE9" i="73"/>
  <c r="R51" i="85"/>
  <c r="R22" i="42"/>
  <c r="P23" i="42"/>
  <c r="AJ88" i="85"/>
  <c r="M20" i="69"/>
  <c r="M23" i="69" s="1"/>
  <c r="M25" i="69" s="1"/>
  <c r="M34" i="69" s="1"/>
  <c r="AG10" i="73"/>
  <c r="N19" i="43"/>
  <c r="AH31" i="85"/>
  <c r="AF31" i="85"/>
  <c r="F19" i="43"/>
  <c r="Z31" i="85"/>
  <c r="AL29" i="85"/>
  <c r="AG8" i="73"/>
  <c r="AG30" i="85"/>
  <c r="R19" i="85"/>
  <c r="C23" i="85"/>
  <c r="C53" i="85" s="1"/>
  <c r="R16" i="85"/>
  <c r="K19" i="43"/>
  <c r="Z8" i="73"/>
  <c r="Z30" i="85"/>
  <c r="D62" i="85"/>
  <c r="D57" i="85"/>
  <c r="D58" i="85" s="1"/>
  <c r="B53" i="85"/>
  <c r="AI9" i="73"/>
  <c r="AI31" i="85"/>
  <c r="AI30" i="85"/>
  <c r="AC31" i="85"/>
  <c r="AE30" i="85"/>
  <c r="AC8" i="73"/>
  <c r="AC30" i="85"/>
  <c r="AH8" i="73"/>
  <c r="AH30" i="85"/>
  <c r="M19" i="43"/>
  <c r="AG31" i="85"/>
  <c r="P19" i="43"/>
  <c r="AJ31" i="85"/>
  <c r="AA31" i="85"/>
  <c r="G57" i="85"/>
  <c r="G58" i="85" s="1"/>
  <c r="G62" i="85"/>
  <c r="AA8" i="73"/>
  <c r="AA30" i="85"/>
  <c r="Y9" i="73"/>
  <c r="Y31" i="85"/>
  <c r="AA9" i="73"/>
  <c r="AF9" i="73"/>
  <c r="AC9" i="73"/>
  <c r="O19" i="43"/>
  <c r="I19" i="43"/>
  <c r="Z9" i="73"/>
  <c r="AG9" i="73"/>
  <c r="AG63" i="73"/>
  <c r="G19" i="43"/>
  <c r="AA63" i="73"/>
  <c r="AH9" i="73"/>
  <c r="J23" i="27"/>
  <c r="J24" i="27" s="1"/>
  <c r="J29" i="25"/>
  <c r="R31" i="25"/>
  <c r="G37" i="1"/>
  <c r="AA4" i="85" s="1"/>
  <c r="P28" i="27"/>
  <c r="J29" i="24"/>
  <c r="J31" i="1"/>
  <c r="R31" i="24"/>
  <c r="E19" i="43"/>
  <c r="AJ9" i="73"/>
  <c r="AJ8" i="73"/>
  <c r="L19" i="43"/>
  <c r="AD63" i="73"/>
  <c r="R28" i="41"/>
  <c r="E30" i="46" a="1"/>
  <c r="E30" i="46" s="1"/>
  <c r="S30" i="46" s="1"/>
  <c r="R24" i="43"/>
  <c r="R19" i="43" s="1"/>
  <c r="AI8" i="73"/>
  <c r="AE8" i="73"/>
  <c r="AF8" i="73"/>
  <c r="AB8" i="73"/>
  <c r="AD8" i="73"/>
  <c r="C31" i="73"/>
  <c r="C35" i="73" s="1"/>
  <c r="C36" i="73" s="1"/>
  <c r="L21" i="43"/>
  <c r="L22" i="43" s="1"/>
  <c r="M21" i="45"/>
  <c r="L22" i="45"/>
  <c r="K22" i="43"/>
  <c r="H19" i="43"/>
  <c r="AB9" i="73"/>
  <c r="V10" i="73"/>
  <c r="V7" i="73"/>
  <c r="V6" i="73"/>
  <c r="V4" i="73"/>
  <c r="V9" i="73"/>
  <c r="V5" i="73"/>
  <c r="H16" i="69"/>
  <c r="S27" i="46"/>
  <c r="G9" i="69"/>
  <c r="G20" i="69"/>
  <c r="G23" i="69" s="1"/>
  <c r="G25" i="69" s="1"/>
  <c r="G7" i="6"/>
  <c r="G6" i="6" s="1"/>
  <c r="R29" i="73"/>
  <c r="R31" i="73" s="1"/>
  <c r="J7" i="6"/>
  <c r="J6" i="6" s="1"/>
  <c r="C7" i="6"/>
  <c r="C6" i="6" s="1"/>
  <c r="AL7" i="73"/>
  <c r="R19" i="69"/>
  <c r="Z5" i="69"/>
  <c r="L48" i="4"/>
  <c r="O29" i="46"/>
  <c r="AI10" i="73"/>
  <c r="I20" i="69"/>
  <c r="I23" i="69" s="1"/>
  <c r="I25" i="69" s="1"/>
  <c r="I9" i="69"/>
  <c r="R13" i="69"/>
  <c r="B16" i="69"/>
  <c r="B20" i="69"/>
  <c r="B23" i="69" s="1"/>
  <c r="B9" i="69"/>
  <c r="F7" i="6"/>
  <c r="F6" i="6" s="1"/>
  <c r="F20" i="69"/>
  <c r="F23" i="69" s="1"/>
  <c r="F25" i="69" s="1"/>
  <c r="F9" i="69"/>
  <c r="N48" i="4"/>
  <c r="I7" i="6"/>
  <c r="I6" i="6" s="1"/>
  <c r="D34" i="69"/>
  <c r="D29" i="69"/>
  <c r="D30" i="69" s="1"/>
  <c r="P29" i="46"/>
  <c r="AJ10" i="73"/>
  <c r="E31" i="73"/>
  <c r="R35" i="41"/>
  <c r="R29" i="41" s="1"/>
  <c r="E36" i="41"/>
  <c r="Y30" i="85" s="1"/>
  <c r="K29" i="46"/>
  <c r="AE10" i="73"/>
  <c r="K7" i="6"/>
  <c r="K6" i="6" s="1"/>
  <c r="J20" i="69"/>
  <c r="J23" i="69" s="1"/>
  <c r="J25" i="69" s="1"/>
  <c r="J9" i="69"/>
  <c r="C20" i="69"/>
  <c r="C23" i="69" s="1"/>
  <c r="C25" i="69" s="1"/>
  <c r="C9" i="69"/>
  <c r="K20" i="69"/>
  <c r="K23" i="69" s="1"/>
  <c r="K25" i="69" s="1"/>
  <c r="K9" i="69"/>
  <c r="E7" i="6"/>
  <c r="E6" i="6" s="1"/>
  <c r="G22" i="6" l="1"/>
  <c r="K48" i="4"/>
  <c r="K62" i="85"/>
  <c r="O41" i="4"/>
  <c r="O48" i="4" s="1"/>
  <c r="AI83" i="85"/>
  <c r="O35" i="4"/>
  <c r="O52" i="4"/>
  <c r="O83" i="4"/>
  <c r="K68" i="4"/>
  <c r="K79" i="4" s="1"/>
  <c r="P40" i="8"/>
  <c r="P48" i="8" s="1"/>
  <c r="P40" i="9"/>
  <c r="K75" i="4"/>
  <c r="K76" i="4" s="1"/>
  <c r="J24" i="26"/>
  <c r="J28" i="26" s="1"/>
  <c r="F62" i="85"/>
  <c r="H9" i="85"/>
  <c r="H20" i="85"/>
  <c r="H23" i="85" s="1"/>
  <c r="H53" i="85" s="1"/>
  <c r="AD5" i="85"/>
  <c r="AH5" i="85"/>
  <c r="N23" i="6" s="1"/>
  <c r="AF5" i="85"/>
  <c r="L23" i="6" s="1"/>
  <c r="AA5" i="85"/>
  <c r="AB5" i="85"/>
  <c r="H23" i="6" s="1"/>
  <c r="AE5" i="85"/>
  <c r="K23" i="6" s="1"/>
  <c r="H20" i="69"/>
  <c r="H23" i="69" s="1"/>
  <c r="H25" i="69" s="1"/>
  <c r="H29" i="69" s="1"/>
  <c r="H30" i="69" s="1"/>
  <c r="R6" i="69"/>
  <c r="AB5" i="69"/>
  <c r="R38" i="43"/>
  <c r="AH32" i="85"/>
  <c r="AL32" i="85" s="1"/>
  <c r="N43" i="42"/>
  <c r="R43" i="42" s="1"/>
  <c r="J22" i="5"/>
  <c r="H26" i="46"/>
  <c r="AB6" i="73"/>
  <c r="AB11" i="73" s="1"/>
  <c r="AB28" i="85"/>
  <c r="AB33" i="85" s="1"/>
  <c r="J22" i="39"/>
  <c r="I24" i="39"/>
  <c r="I28" i="39" s="1"/>
  <c r="AA28" i="85"/>
  <c r="AA33" i="85" s="1"/>
  <c r="G26" i="46"/>
  <c r="AA6" i="73"/>
  <c r="AA11" i="73" s="1"/>
  <c r="I24" i="26"/>
  <c r="I28" i="26" s="1"/>
  <c r="I22" i="5"/>
  <c r="I24" i="5" s="1"/>
  <c r="I28" i="5" s="1"/>
  <c r="F24" i="26"/>
  <c r="F28" i="26" s="1"/>
  <c r="F22" i="5"/>
  <c r="F24" i="5" s="1"/>
  <c r="F28" i="5" s="1"/>
  <c r="K24" i="26"/>
  <c r="K28" i="26" s="1"/>
  <c r="K22" i="5"/>
  <c r="K24" i="5" s="1"/>
  <c r="K28" i="5" s="1"/>
  <c r="G22" i="5"/>
  <c r="G24" i="5" s="1"/>
  <c r="G28" i="5" s="1"/>
  <c r="G24" i="26"/>
  <c r="G28" i="26" s="1"/>
  <c r="L9" i="69"/>
  <c r="R9" i="69" s="1"/>
  <c r="L20" i="69"/>
  <c r="L23" i="69" s="1"/>
  <c r="L25" i="69" s="1"/>
  <c r="E22" i="5"/>
  <c r="E24" i="5" s="1"/>
  <c r="E28" i="5" s="1"/>
  <c r="E24" i="26"/>
  <c r="E28" i="26" s="1"/>
  <c r="R22" i="26"/>
  <c r="L24" i="26"/>
  <c r="L28" i="26" s="1"/>
  <c r="L22" i="5"/>
  <c r="L24" i="5" s="1"/>
  <c r="L28" i="5" s="1"/>
  <c r="L10" i="6"/>
  <c r="L7" i="6" s="1"/>
  <c r="L6" i="6" s="1"/>
  <c r="L9" i="85"/>
  <c r="L20" i="85"/>
  <c r="R6" i="85"/>
  <c r="M24" i="26"/>
  <c r="M28" i="26" s="1"/>
  <c r="M22" i="5"/>
  <c r="M24" i="5" s="1"/>
  <c r="M28" i="5" s="1"/>
  <c r="H24" i="26"/>
  <c r="H28" i="26" s="1"/>
  <c r="H22" i="5"/>
  <c r="H24" i="5" s="1"/>
  <c r="H28" i="5" s="1"/>
  <c r="N24" i="26"/>
  <c r="N28" i="26" s="1"/>
  <c r="N22" i="5"/>
  <c r="N24" i="5" s="1"/>
  <c r="N28" i="5" s="1"/>
  <c r="P22" i="5"/>
  <c r="P24" i="5" s="1"/>
  <c r="P28" i="5" s="1"/>
  <c r="P24" i="26"/>
  <c r="P28" i="26" s="1"/>
  <c r="O24" i="26"/>
  <c r="O28" i="26" s="1"/>
  <c r="O22" i="5"/>
  <c r="O24" i="5" s="1"/>
  <c r="O28" i="5" s="1"/>
  <c r="I48" i="4"/>
  <c r="K64" i="8"/>
  <c r="M52" i="4"/>
  <c r="AA5" i="69"/>
  <c r="AE5" i="69"/>
  <c r="J75" i="4"/>
  <c r="J76" i="4" s="1"/>
  <c r="N29" i="46"/>
  <c r="S29" i="46" s="1"/>
  <c r="F68" i="4"/>
  <c r="F79" i="4" s="1"/>
  <c r="K64" i="71"/>
  <c r="R26" i="42"/>
  <c r="AH10" i="73"/>
  <c r="G68" i="4"/>
  <c r="G69" i="4" s="1"/>
  <c r="P75" i="4"/>
  <c r="P76" i="4" s="1"/>
  <c r="R23" i="42"/>
  <c r="J68" i="4"/>
  <c r="J79" i="4" s="1"/>
  <c r="AJ63" i="73"/>
  <c r="G75" i="4"/>
  <c r="G76" i="4" s="1"/>
  <c r="M83" i="4"/>
  <c r="P68" i="4"/>
  <c r="P69" i="4" s="1"/>
  <c r="E68" i="4"/>
  <c r="E69" i="4" s="1"/>
  <c r="E75" i="4"/>
  <c r="E76" i="4" s="1"/>
  <c r="Z11" i="73"/>
  <c r="P64" i="8"/>
  <c r="I68" i="4"/>
  <c r="I79" i="4" s="1"/>
  <c r="J62" i="85"/>
  <c r="O68" i="4"/>
  <c r="O69" i="4" s="1"/>
  <c r="M68" i="4"/>
  <c r="M79" i="4" s="1"/>
  <c r="G64" i="8"/>
  <c r="N68" i="4"/>
  <c r="N69" i="4" s="1"/>
  <c r="I64" i="8"/>
  <c r="J64" i="8"/>
  <c r="N75" i="4"/>
  <c r="N76" i="4" s="1"/>
  <c r="O64" i="8"/>
  <c r="F64" i="8"/>
  <c r="G64" i="71"/>
  <c r="F75" i="4"/>
  <c r="F76" i="4" s="1"/>
  <c r="F64" i="71"/>
  <c r="H75" i="4"/>
  <c r="H76" i="4" s="1"/>
  <c r="H64" i="71"/>
  <c r="L75" i="4"/>
  <c r="L76" i="4" s="1"/>
  <c r="L64" i="71"/>
  <c r="R23" i="26"/>
  <c r="P45" i="71"/>
  <c r="R45" i="71" s="1"/>
  <c r="P48" i="71"/>
  <c r="P50" i="71" s="1"/>
  <c r="R50" i="71" s="1"/>
  <c r="O75" i="4"/>
  <c r="O76" i="4" s="1"/>
  <c r="L68" i="4"/>
  <c r="L69" i="4" s="1"/>
  <c r="J23" i="5"/>
  <c r="R23" i="5" s="1"/>
  <c r="M40" i="4"/>
  <c r="M41" i="4"/>
  <c r="M35" i="4"/>
  <c r="P39" i="4"/>
  <c r="P33" i="4"/>
  <c r="R33" i="4" s="1"/>
  <c r="P62" i="4"/>
  <c r="R62" i="4" s="1"/>
  <c r="R23" i="27"/>
  <c r="M62" i="85"/>
  <c r="N64" i="8"/>
  <c r="M75" i="4"/>
  <c r="M76" i="4" s="1"/>
  <c r="M64" i="71"/>
  <c r="AG83" i="85"/>
  <c r="AG55" i="69"/>
  <c r="I75" i="4"/>
  <c r="I76" i="4" s="1"/>
  <c r="I64" i="71"/>
  <c r="H68" i="4"/>
  <c r="AL60" i="73"/>
  <c r="AL62" i="73" s="1"/>
  <c r="M29" i="69"/>
  <c r="M30" i="69" s="1"/>
  <c r="AL88" i="85"/>
  <c r="Z33" i="85"/>
  <c r="C40" i="73"/>
  <c r="C57" i="85"/>
  <c r="C58" i="85" s="1"/>
  <c r="C62" i="85"/>
  <c r="I57" i="85"/>
  <c r="I58" i="85" s="1"/>
  <c r="I62" i="85"/>
  <c r="AL30" i="85"/>
  <c r="Y33" i="85"/>
  <c r="R24" i="27"/>
  <c r="AL31" i="85"/>
  <c r="J28" i="27"/>
  <c r="E57" i="85"/>
  <c r="E58" i="85" s="1"/>
  <c r="E62" i="85"/>
  <c r="B62" i="85"/>
  <c r="B57" i="85"/>
  <c r="B58" i="85" s="1"/>
  <c r="J37" i="24"/>
  <c r="R37" i="24" s="1"/>
  <c r="R29" i="24"/>
  <c r="AA4" i="69"/>
  <c r="J37" i="25"/>
  <c r="R29" i="25"/>
  <c r="R16" i="69"/>
  <c r="J29" i="1"/>
  <c r="R31" i="1"/>
  <c r="AL9" i="73"/>
  <c r="N21" i="45"/>
  <c r="M21" i="43"/>
  <c r="M22" i="45"/>
  <c r="G34" i="69"/>
  <c r="G29" i="69"/>
  <c r="G30" i="69" s="1"/>
  <c r="K29" i="69"/>
  <c r="K30" i="69" s="1"/>
  <c r="K34" i="69"/>
  <c r="C29" i="69"/>
  <c r="C30" i="69" s="1"/>
  <c r="C34" i="69"/>
  <c r="J29" i="69"/>
  <c r="J30" i="69" s="1"/>
  <c r="J34" i="69"/>
  <c r="E28" i="46" a="1"/>
  <c r="R36" i="41"/>
  <c r="Y8" i="73"/>
  <c r="E34" i="69"/>
  <c r="E29" i="69"/>
  <c r="E30" i="69" s="1"/>
  <c r="AF5" i="69"/>
  <c r="R10" i="6"/>
  <c r="R7" i="6" s="1"/>
  <c r="B7" i="6"/>
  <c r="B6" i="6" s="1"/>
  <c r="F29" i="69"/>
  <c r="F30" i="69" s="1"/>
  <c r="F34" i="69"/>
  <c r="B40" i="73"/>
  <c r="B35" i="73"/>
  <c r="B36" i="73" s="1"/>
  <c r="B25" i="69"/>
  <c r="I29" i="69"/>
  <c r="I30" i="69" s="1"/>
  <c r="I34" i="69"/>
  <c r="E35" i="73"/>
  <c r="E36" i="73" s="1"/>
  <c r="E40" i="73"/>
  <c r="AH5" i="69"/>
  <c r="J23" i="6" l="1"/>
  <c r="G23" i="6"/>
  <c r="R9" i="85"/>
  <c r="V4" i="85" s="1"/>
  <c r="K69" i="4"/>
  <c r="R40" i="9"/>
  <c r="P48" i="9"/>
  <c r="R48" i="9" s="1"/>
  <c r="U10" i="6"/>
  <c r="U7" i="6" s="1"/>
  <c r="U6" i="6" s="1"/>
  <c r="H34" i="69"/>
  <c r="H62" i="85"/>
  <c r="H57" i="85"/>
  <c r="H58" i="85" s="1"/>
  <c r="V6" i="69"/>
  <c r="Z6" i="85"/>
  <c r="F24" i="6" s="1"/>
  <c r="AI5" i="85"/>
  <c r="O23" i="6" s="1"/>
  <c r="AA6" i="85"/>
  <c r="R20" i="69"/>
  <c r="Z6" i="69"/>
  <c r="V7" i="85"/>
  <c r="AA6" i="69"/>
  <c r="I26" i="46"/>
  <c r="I23" i="46" s="1"/>
  <c r="AC6" i="73"/>
  <c r="AC11" i="73" s="1"/>
  <c r="AC28" i="85"/>
  <c r="AC33" i="85" s="1"/>
  <c r="K22" i="39"/>
  <c r="J24" i="39"/>
  <c r="J28" i="39" s="1"/>
  <c r="V8" i="85"/>
  <c r="Y6" i="85"/>
  <c r="E24" i="6" s="1"/>
  <c r="Y6" i="69"/>
  <c r="L29" i="69"/>
  <c r="L30" i="69" s="1"/>
  <c r="L34" i="69"/>
  <c r="AI6" i="85"/>
  <c r="O24" i="6" s="1"/>
  <c r="AI6" i="69"/>
  <c r="L23" i="85"/>
  <c r="R20" i="85"/>
  <c r="AE6" i="85"/>
  <c r="K24" i="6" s="1"/>
  <c r="AE6" i="69"/>
  <c r="V6" i="85"/>
  <c r="AB6" i="85"/>
  <c r="H24" i="6" s="1"/>
  <c r="AB6" i="69"/>
  <c r="AJ6" i="69"/>
  <c r="AJ6" i="85"/>
  <c r="V5" i="85"/>
  <c r="AH6" i="85"/>
  <c r="N24" i="6" s="1"/>
  <c r="AH6" i="69"/>
  <c r="AC6" i="85"/>
  <c r="I24" i="6" s="1"/>
  <c r="AC6" i="69"/>
  <c r="AG6" i="85"/>
  <c r="AG6" i="69"/>
  <c r="R23" i="69"/>
  <c r="R25" i="69" s="1"/>
  <c r="R24" i="26"/>
  <c r="AF6" i="85"/>
  <c r="L24" i="6" s="1"/>
  <c r="AF6" i="69"/>
  <c r="R22" i="5"/>
  <c r="AI5" i="69"/>
  <c r="AC5" i="85"/>
  <c r="I23" i="6" s="1"/>
  <c r="AC5" i="69"/>
  <c r="P52" i="4"/>
  <c r="G79" i="4"/>
  <c r="E79" i="4"/>
  <c r="O79" i="4"/>
  <c r="R25" i="42"/>
  <c r="AL10" i="73"/>
  <c r="F69" i="4"/>
  <c r="J69" i="4"/>
  <c r="P40" i="4"/>
  <c r="P83" i="4"/>
  <c r="I69" i="4"/>
  <c r="P79" i="4"/>
  <c r="M69" i="4"/>
  <c r="R48" i="71"/>
  <c r="N79" i="4"/>
  <c r="P35" i="4"/>
  <c r="R35" i="4" s="1"/>
  <c r="P41" i="4"/>
  <c r="L79" i="4"/>
  <c r="M48" i="4"/>
  <c r="AJ83" i="85"/>
  <c r="AJ55" i="69"/>
  <c r="J24" i="5"/>
  <c r="R24" i="5" s="1"/>
  <c r="H79" i="4"/>
  <c r="H69" i="4"/>
  <c r="R28" i="27"/>
  <c r="G37" i="80"/>
  <c r="R37" i="78"/>
  <c r="R37" i="79"/>
  <c r="R37" i="77"/>
  <c r="R37" i="75"/>
  <c r="AD47" i="73"/>
  <c r="AG47" i="73"/>
  <c r="R28" i="26"/>
  <c r="R37" i="25"/>
  <c r="J37" i="1"/>
  <c r="AD4" i="85" s="1"/>
  <c r="R29" i="1"/>
  <c r="AI47" i="73"/>
  <c r="AB47" i="73"/>
  <c r="M22" i="43"/>
  <c r="O21" i="45"/>
  <c r="N21" i="43"/>
  <c r="N22" i="43" s="1"/>
  <c r="N22" i="45"/>
  <c r="AL8" i="73"/>
  <c r="Y11" i="73"/>
  <c r="AJ47" i="73"/>
  <c r="U34" i="6"/>
  <c r="V34" i="6" s="1"/>
  <c r="U32" i="6"/>
  <c r="V32" i="6" s="1"/>
  <c r="U35" i="6"/>
  <c r="V35" i="6" s="1"/>
  <c r="U36" i="6"/>
  <c r="V36" i="6" s="1"/>
  <c r="U37" i="6"/>
  <c r="V37" i="6" s="1"/>
  <c r="U31" i="6"/>
  <c r="V31" i="6" s="1"/>
  <c r="U38" i="6"/>
  <c r="V38" i="6" s="1"/>
  <c r="U30" i="6"/>
  <c r="U33" i="6"/>
  <c r="V33" i="6" s="1"/>
  <c r="R6" i="6"/>
  <c r="AF47" i="73"/>
  <c r="AE47" i="73"/>
  <c r="E28" i="46"/>
  <c r="F23" i="46"/>
  <c r="G23" i="46"/>
  <c r="H23" i="46"/>
  <c r="B29" i="69"/>
  <c r="B30" i="69" s="1"/>
  <c r="B34" i="69"/>
  <c r="AH47" i="73"/>
  <c r="V5" i="69"/>
  <c r="V8" i="69"/>
  <c r="V7" i="69"/>
  <c r="V4" i="69"/>
  <c r="Z47" i="73"/>
  <c r="AA47" i="73"/>
  <c r="P24" i="6" l="1"/>
  <c r="M24" i="6"/>
  <c r="G24" i="6"/>
  <c r="AL4" i="85"/>
  <c r="J22" i="6"/>
  <c r="V9" i="85"/>
  <c r="L22" i="39"/>
  <c r="K24" i="39"/>
  <c r="K28" i="39" s="1"/>
  <c r="AD28" i="85"/>
  <c r="J26" i="46"/>
  <c r="AD6" i="73"/>
  <c r="L53" i="85"/>
  <c r="R23" i="85"/>
  <c r="AL55" i="69"/>
  <c r="R41" i="4"/>
  <c r="J28" i="5"/>
  <c r="AG5" i="85"/>
  <c r="AG5" i="69"/>
  <c r="AL83" i="85"/>
  <c r="P48" i="4"/>
  <c r="R37" i="80"/>
  <c r="AD4" i="69"/>
  <c r="R37" i="1"/>
  <c r="AA46" i="73"/>
  <c r="P21" i="45"/>
  <c r="O21" i="43"/>
  <c r="O22" i="45"/>
  <c r="R21" i="45"/>
  <c r="R22" i="45" s="1"/>
  <c r="S28" i="46"/>
  <c r="E23" i="46"/>
  <c r="V30" i="6"/>
  <c r="U39" i="6"/>
  <c r="V39" i="6" s="1"/>
  <c r="V9" i="69"/>
  <c r="Y47" i="73"/>
  <c r="AC47" i="73"/>
  <c r="M23" i="6" l="1"/>
  <c r="AD6" i="85"/>
  <c r="J23" i="46"/>
  <c r="AD33" i="85"/>
  <c r="AD11" i="73"/>
  <c r="AE6" i="73"/>
  <c r="AE11" i="73" s="1"/>
  <c r="K26" i="46"/>
  <c r="K23" i="46" s="1"/>
  <c r="AE28" i="85"/>
  <c r="AE33" i="85" s="1"/>
  <c r="M22" i="39"/>
  <c r="L24" i="39"/>
  <c r="L57" i="85"/>
  <c r="L58" i="85" s="1"/>
  <c r="L62" i="85"/>
  <c r="R53" i="85"/>
  <c r="R28" i="5"/>
  <c r="AD6" i="69"/>
  <c r="AJ5" i="69"/>
  <c r="AJ5" i="85"/>
  <c r="AL4" i="69"/>
  <c r="O22" i="43"/>
  <c r="P21" i="43"/>
  <c r="P22" i="43" s="1"/>
  <c r="P22" i="45"/>
  <c r="AF46" i="73"/>
  <c r="AH46" i="73"/>
  <c r="AG46" i="73"/>
  <c r="AJ46" i="73"/>
  <c r="AI46" i="73"/>
  <c r="Z46" i="73"/>
  <c r="AC46" i="73"/>
  <c r="AE46" i="73"/>
  <c r="AD46" i="73"/>
  <c r="AB46" i="73"/>
  <c r="P23" i="6" l="1"/>
  <c r="AL6" i="85"/>
  <c r="J24" i="6"/>
  <c r="S22" i="6"/>
  <c r="L28" i="39"/>
  <c r="N22" i="39"/>
  <c r="M24" i="39"/>
  <c r="M28" i="39" s="1"/>
  <c r="AL6" i="69"/>
  <c r="R22" i="43"/>
  <c r="R21" i="43"/>
  <c r="Y46" i="73"/>
  <c r="O22" i="39" l="1"/>
  <c r="N24" i="39"/>
  <c r="N28" i="39" s="1"/>
  <c r="M26" i="46"/>
  <c r="M23" i="46" s="1"/>
  <c r="AG28" i="85"/>
  <c r="AG33" i="85" s="1"/>
  <c r="AG6" i="73"/>
  <c r="AG11" i="73" s="1"/>
  <c r="L26" i="46"/>
  <c r="AF28" i="85"/>
  <c r="AF6" i="73"/>
  <c r="C26" i="25"/>
  <c r="D26" i="25"/>
  <c r="C25" i="24"/>
  <c r="C34" i="9"/>
  <c r="C31" i="9"/>
  <c r="C32" i="9"/>
  <c r="C39" i="25"/>
  <c r="C39" i="24"/>
  <c r="N26" i="46" l="1"/>
  <c r="N23" i="46" s="1"/>
  <c r="AH28" i="85"/>
  <c r="AH33" i="85" s="1"/>
  <c r="AH6" i="73"/>
  <c r="AH11" i="73" s="1"/>
  <c r="AF11" i="73"/>
  <c r="AF33" i="85"/>
  <c r="L23" i="46"/>
  <c r="P22" i="39"/>
  <c r="P24" i="39" s="1"/>
  <c r="O24" i="39"/>
  <c r="O28" i="39" s="1"/>
  <c r="C39" i="1"/>
  <c r="C27" i="24"/>
  <c r="C25" i="1"/>
  <c r="O8" i="71"/>
  <c r="C34" i="71"/>
  <c r="C34" i="8"/>
  <c r="C34" i="4" s="1"/>
  <c r="C32" i="8"/>
  <c r="C32" i="71"/>
  <c r="O6" i="71"/>
  <c r="O4" i="71"/>
  <c r="C37" i="8"/>
  <c r="C30" i="71"/>
  <c r="C30" i="8"/>
  <c r="C31" i="8"/>
  <c r="C31" i="4" s="1"/>
  <c r="C31" i="71"/>
  <c r="O5" i="71"/>
  <c r="D26" i="1"/>
  <c r="P5" i="1"/>
  <c r="R5" i="25"/>
  <c r="C62" i="9"/>
  <c r="C30" i="9"/>
  <c r="C26" i="1"/>
  <c r="C27" i="25"/>
  <c r="C38" i="9"/>
  <c r="C39" i="9"/>
  <c r="C37" i="9"/>
  <c r="C37" i="71"/>
  <c r="R22" i="39" l="1"/>
  <c r="O26" i="46"/>
  <c r="O23" i="46" s="1"/>
  <c r="AI6" i="73"/>
  <c r="AI11" i="73" s="1"/>
  <c r="AI28" i="85"/>
  <c r="P28" i="39"/>
  <c r="R24" i="39"/>
  <c r="C27" i="1"/>
  <c r="O7" i="71"/>
  <c r="C37" i="4"/>
  <c r="C32" i="4"/>
  <c r="C63" i="8"/>
  <c r="C38" i="71"/>
  <c r="C38" i="8"/>
  <c r="C38" i="4" s="1"/>
  <c r="O12" i="71"/>
  <c r="O11" i="71"/>
  <c r="C33" i="9"/>
  <c r="C61" i="9"/>
  <c r="C63" i="9" s="1"/>
  <c r="C33" i="8"/>
  <c r="C30" i="4"/>
  <c r="C62" i="8"/>
  <c r="C39" i="8"/>
  <c r="C39" i="4" s="1"/>
  <c r="C39" i="71"/>
  <c r="O13" i="71"/>
  <c r="R5" i="1"/>
  <c r="C33" i="71"/>
  <c r="P26" i="46" l="1"/>
  <c r="AJ6" i="73"/>
  <c r="AJ28" i="85"/>
  <c r="AJ33" i="85" s="1"/>
  <c r="R28" i="39"/>
  <c r="AI33" i="85"/>
  <c r="C64" i="8"/>
  <c r="C56" i="9"/>
  <c r="C35" i="9"/>
  <c r="C52" i="9"/>
  <c r="O9" i="71"/>
  <c r="C35" i="71"/>
  <c r="C33" i="4"/>
  <c r="C56" i="8"/>
  <c r="C35" i="8"/>
  <c r="C57" i="8"/>
  <c r="C52" i="8"/>
  <c r="AL33" i="85" l="1"/>
  <c r="AL28" i="85"/>
  <c r="AJ11" i="73"/>
  <c r="AL11" i="73" s="1"/>
  <c r="AL6" i="73"/>
  <c r="P23" i="46"/>
  <c r="S23" i="46" s="1"/>
  <c r="S26" i="46"/>
  <c r="C35" i="4"/>
  <c r="AO28" i="85" l="1"/>
  <c r="AO29" i="85"/>
  <c r="AO26" i="85"/>
  <c r="AO30" i="85"/>
  <c r="AO27" i="85"/>
  <c r="AO32" i="85"/>
  <c r="AO31" i="85"/>
  <c r="AO6" i="73"/>
  <c r="AO10" i="73"/>
  <c r="AO7" i="73"/>
  <c r="AO4" i="73"/>
  <c r="AO5" i="73"/>
  <c r="AO9" i="73"/>
  <c r="AO8" i="73"/>
  <c r="C31" i="25"/>
  <c r="C31" i="24"/>
  <c r="C31" i="1" l="1"/>
  <c r="C32" i="25"/>
  <c r="C33" i="25"/>
  <c r="C30" i="24"/>
  <c r="C33" i="24"/>
  <c r="C33" i="1" l="1"/>
  <c r="C29" i="24"/>
  <c r="C34" i="25"/>
  <c r="C38" i="25" s="1"/>
  <c r="C30" i="25" l="1"/>
  <c r="C29" i="25" l="1"/>
  <c r="C37" i="25" s="1"/>
  <c r="C40" i="25" s="1"/>
  <c r="C35" i="25"/>
  <c r="C29" i="1"/>
  <c r="C30" i="1" l="1"/>
  <c r="C37" i="1"/>
  <c r="C32" i="24" l="1"/>
  <c r="C32" i="1" s="1"/>
  <c r="C34" i="24" l="1"/>
  <c r="C37" i="24"/>
  <c r="C38" i="24" l="1"/>
  <c r="C40" i="24" s="1"/>
  <c r="C34" i="1"/>
  <c r="C35" i="24"/>
  <c r="C38" i="1" l="1"/>
  <c r="C40" i="1" s="1"/>
  <c r="C35" i="1"/>
  <c r="C23" i="27" l="1"/>
  <c r="C42" i="9"/>
  <c r="C40" i="9"/>
  <c r="C40" i="4" s="1"/>
  <c r="O15" i="71"/>
  <c r="O16" i="71" l="1"/>
  <c r="C42" i="71"/>
  <c r="C42" i="8"/>
  <c r="C41" i="9"/>
  <c r="C53" i="9"/>
  <c r="C25" i="27"/>
  <c r="C29" i="27" s="1"/>
  <c r="C24" i="27"/>
  <c r="C26" i="27" l="1"/>
  <c r="C22" i="27"/>
  <c r="C28" i="27"/>
  <c r="C30" i="27" s="1"/>
  <c r="C42" i="4"/>
  <c r="C53" i="8"/>
  <c r="O17" i="71" l="1"/>
  <c r="C43" i="8"/>
  <c r="C43" i="71"/>
  <c r="C48" i="9"/>
  <c r="C44" i="8" l="1"/>
  <c r="C49" i="8" s="1"/>
  <c r="C44" i="71"/>
  <c r="C49" i="71" s="1"/>
  <c r="O18" i="71"/>
  <c r="C54" i="8"/>
  <c r="O22" i="71"/>
  <c r="C48" i="71"/>
  <c r="C48" i="8"/>
  <c r="C48" i="4" s="1"/>
  <c r="O23" i="71" l="1"/>
  <c r="C45" i="71"/>
  <c r="C50" i="71" s="1"/>
  <c r="C45" i="8"/>
  <c r="C50" i="8" s="1"/>
  <c r="O19" i="71"/>
  <c r="C41" i="4"/>
  <c r="O24" i="71" l="1"/>
  <c r="C43" i="9" l="1"/>
  <c r="C54" i="9" l="1"/>
  <c r="C44" i="9"/>
  <c r="C49" i="9" s="1"/>
  <c r="C43" i="4"/>
  <c r="C44" i="4" s="1"/>
  <c r="C49" i="4" s="1"/>
  <c r="C45" i="9"/>
  <c r="C50" i="9" s="1"/>
  <c r="C45" i="4" l="1"/>
  <c r="C50" i="4" s="1"/>
  <c r="O18" i="75" l="1"/>
  <c r="N8" i="75"/>
  <c r="T8" i="75" l="1"/>
  <c r="O17" i="75"/>
  <c r="O6" i="75"/>
  <c r="N6" i="75"/>
  <c r="N18" i="75"/>
  <c r="T9" i="75" l="1"/>
  <c r="O7" i="75"/>
  <c r="N17" i="75"/>
  <c r="L31" i="75" l="1"/>
  <c r="J31" i="75"/>
  <c r="N31" i="75"/>
  <c r="K31" i="75"/>
  <c r="I31" i="75"/>
  <c r="P31" i="75"/>
  <c r="H31" i="75"/>
  <c r="O31" i="75"/>
  <c r="M31" i="75"/>
  <c r="G31" i="75"/>
  <c r="E31" i="75"/>
  <c r="F31" i="75"/>
  <c r="N7" i="75"/>
  <c r="E33" i="39" l="1"/>
  <c r="E30" i="40"/>
  <c r="E23" i="40" l="1"/>
  <c r="E24" i="40" s="1"/>
  <c r="E29" i="39"/>
  <c r="F30" i="40"/>
  <c r="F23" i="40" s="1"/>
  <c r="F33" i="39"/>
  <c r="F29" i="39" s="1"/>
  <c r="E40" i="42"/>
  <c r="Z15" i="73" l="1"/>
  <c r="Z24" i="73" s="1"/>
  <c r="Z37" i="85"/>
  <c r="Z46" i="85" s="1"/>
  <c r="F30" i="39"/>
  <c r="F25" i="39"/>
  <c r="F26" i="39" s="1"/>
  <c r="F19" i="40"/>
  <c r="Z38" i="85"/>
  <c r="Z47" i="85" s="1"/>
  <c r="Z16" i="73"/>
  <c r="Z25" i="73" s="1"/>
  <c r="F24" i="40"/>
  <c r="Z45" i="69" s="1"/>
  <c r="Y37" i="85"/>
  <c r="E25" i="39"/>
  <c r="E30" i="39"/>
  <c r="Y15" i="73"/>
  <c r="Y16" i="73"/>
  <c r="Y38" i="85"/>
  <c r="E19" i="40"/>
  <c r="E27" i="42"/>
  <c r="G30" i="40"/>
  <c r="G23" i="40" s="1"/>
  <c r="G33" i="39"/>
  <c r="G29" i="39" s="1"/>
  <c r="F40" i="42"/>
  <c r="F27" i="42" s="1"/>
  <c r="Z44" i="69" l="1"/>
  <c r="Z19" i="73"/>
  <c r="Z28" i="73" s="1"/>
  <c r="Z41" i="85"/>
  <c r="Z50" i="85" s="1"/>
  <c r="F28" i="42"/>
  <c r="E26" i="39"/>
  <c r="Y46" i="85"/>
  <c r="Y72" i="85" s="1"/>
  <c r="Y19" i="73"/>
  <c r="Y41" i="85"/>
  <c r="E28" i="42"/>
  <c r="Z73" i="85"/>
  <c r="Z51" i="73"/>
  <c r="Y47" i="85"/>
  <c r="Y73" i="85" s="1"/>
  <c r="AA15" i="73"/>
  <c r="AA24" i="73" s="1"/>
  <c r="G30" i="39"/>
  <c r="AA37" i="85"/>
  <c r="AA46" i="85" s="1"/>
  <c r="G25" i="39"/>
  <c r="G26" i="39" s="1"/>
  <c r="Z72" i="85"/>
  <c r="Z50" i="73"/>
  <c r="G19" i="40"/>
  <c r="AA16" i="73"/>
  <c r="AA25" i="73" s="1"/>
  <c r="G24" i="40"/>
  <c r="AA38" i="85"/>
  <c r="AA47" i="85" s="1"/>
  <c r="Y24" i="73"/>
  <c r="Y50" i="73" s="1"/>
  <c r="Y25" i="73"/>
  <c r="H30" i="40"/>
  <c r="H23" i="40" s="1"/>
  <c r="H33" i="39"/>
  <c r="H29" i="39" s="1"/>
  <c r="G40" i="42"/>
  <c r="G27" i="42" s="1"/>
  <c r="AA45" i="69" l="1"/>
  <c r="AA44" i="69"/>
  <c r="Y51" i="73"/>
  <c r="Y45" i="69"/>
  <c r="Z48" i="69"/>
  <c r="Y44" i="69"/>
  <c r="AA73" i="85"/>
  <c r="AA19" i="73"/>
  <c r="AA28" i="73" s="1"/>
  <c r="G28" i="42"/>
  <c r="AA41" i="85"/>
  <c r="AA50" i="85" s="1"/>
  <c r="Y50" i="85"/>
  <c r="Y76" i="85" s="1"/>
  <c r="Y28" i="73"/>
  <c r="Y54" i="73" s="1"/>
  <c r="AA72" i="85"/>
  <c r="AA50" i="73"/>
  <c r="AA51" i="73"/>
  <c r="H25" i="39"/>
  <c r="AB37" i="85"/>
  <c r="AB46" i="85" s="1"/>
  <c r="H30" i="39"/>
  <c r="AB15" i="73"/>
  <c r="H24" i="40"/>
  <c r="H19" i="40"/>
  <c r="AB16" i="73"/>
  <c r="AB38" i="85"/>
  <c r="AB47" i="85" s="1"/>
  <c r="Z54" i="73"/>
  <c r="Z76" i="85"/>
  <c r="I33" i="39"/>
  <c r="I29" i="39" s="1"/>
  <c r="H40" i="42"/>
  <c r="H27" i="42" s="1"/>
  <c r="AA48" i="69" l="1"/>
  <c r="Y48" i="69"/>
  <c r="AB73" i="85"/>
  <c r="AB24" i="73"/>
  <c r="AB50" i="73" s="1"/>
  <c r="AB19" i="73"/>
  <c r="AB41" i="85"/>
  <c r="H28" i="42"/>
  <c r="AB72" i="85"/>
  <c r="H26" i="39"/>
  <c r="AA54" i="73"/>
  <c r="AA76" i="85"/>
  <c r="J30" i="40"/>
  <c r="J23" i="40" s="1"/>
  <c r="I30" i="40"/>
  <c r="AB25" i="73"/>
  <c r="AB51" i="73" s="1"/>
  <c r="AC37" i="85"/>
  <c r="AC46" i="85" s="1"/>
  <c r="I25" i="39"/>
  <c r="I26" i="39" s="1"/>
  <c r="AC15" i="73"/>
  <c r="AC24" i="73" s="1"/>
  <c r="I30" i="39"/>
  <c r="AC44" i="69" s="1"/>
  <c r="J33" i="39"/>
  <c r="I40" i="42"/>
  <c r="I27" i="42" s="1"/>
  <c r="AB44" i="69" l="1"/>
  <c r="AB45" i="69"/>
  <c r="AC50" i="73"/>
  <c r="I23" i="40"/>
  <c r="J24" i="40"/>
  <c r="AD16" i="73"/>
  <c r="AD25" i="73" s="1"/>
  <c r="AD38" i="85"/>
  <c r="AD47" i="85" s="1"/>
  <c r="J19" i="40"/>
  <c r="J29" i="39"/>
  <c r="AB50" i="85"/>
  <c r="AB76" i="85" s="1"/>
  <c r="AB28" i="73"/>
  <c r="AB54" i="73" s="1"/>
  <c r="AC19" i="73"/>
  <c r="AC28" i="73" s="1"/>
  <c r="I28" i="42"/>
  <c r="AC41" i="85"/>
  <c r="AC50" i="85" s="1"/>
  <c r="K30" i="40"/>
  <c r="K23" i="40" s="1"/>
  <c r="AC72" i="85"/>
  <c r="K33" i="39"/>
  <c r="K29" i="39" s="1"/>
  <c r="J40" i="42"/>
  <c r="J27" i="42" s="1"/>
  <c r="AD45" i="69" l="1"/>
  <c r="AC48" i="69"/>
  <c r="AB48" i="69"/>
  <c r="AD73" i="85"/>
  <c r="AD51" i="73"/>
  <c r="AC76" i="85"/>
  <c r="AE37" i="85"/>
  <c r="AE46" i="85" s="1"/>
  <c r="K30" i="39"/>
  <c r="K25" i="39"/>
  <c r="K26" i="39" s="1"/>
  <c r="AE15" i="73"/>
  <c r="AE24" i="73" s="1"/>
  <c r="K24" i="40"/>
  <c r="AE16" i="73"/>
  <c r="AE25" i="73" s="1"/>
  <c r="AE38" i="85"/>
  <c r="AE47" i="85" s="1"/>
  <c r="K19" i="40"/>
  <c r="AC54" i="73"/>
  <c r="J30" i="39"/>
  <c r="J25" i="39"/>
  <c r="AD15" i="73"/>
  <c r="AD37" i="85"/>
  <c r="L30" i="40"/>
  <c r="L23" i="40" s="1"/>
  <c r="AD41" i="85"/>
  <c r="AD50" i="85" s="1"/>
  <c r="J28" i="42"/>
  <c r="AD48" i="69" s="1"/>
  <c r="AD19" i="73"/>
  <c r="AD28" i="73" s="1"/>
  <c r="AC38" i="85"/>
  <c r="AC47" i="85" s="1"/>
  <c r="I19" i="40"/>
  <c r="AC16" i="73"/>
  <c r="I24" i="40"/>
  <c r="L33" i="39"/>
  <c r="L29" i="39" s="1"/>
  <c r="M30" i="40"/>
  <c r="M23" i="40" s="1"/>
  <c r="K40" i="42"/>
  <c r="K27" i="42" s="1"/>
  <c r="AE45" i="69" l="1"/>
  <c r="AE44" i="69"/>
  <c r="M24" i="40"/>
  <c r="M19" i="40"/>
  <c r="AG38" i="85"/>
  <c r="AG47" i="85" s="1"/>
  <c r="AG16" i="73"/>
  <c r="AG25" i="73" s="1"/>
  <c r="AD76" i="85"/>
  <c r="AD54" i="73"/>
  <c r="AE51" i="73"/>
  <c r="AE73" i="85"/>
  <c r="L30" i="39"/>
  <c r="AF15" i="73"/>
  <c r="AF24" i="73" s="1"/>
  <c r="L25" i="39"/>
  <c r="L26" i="39" s="1"/>
  <c r="AF37" i="85"/>
  <c r="AF46" i="85" s="1"/>
  <c r="AD46" i="85"/>
  <c r="AD72" i="85" s="1"/>
  <c r="AC73" i="85"/>
  <c r="J26" i="39"/>
  <c r="K28" i="42"/>
  <c r="AE41" i="85"/>
  <c r="AE19" i="73"/>
  <c r="AF16" i="73"/>
  <c r="AF25" i="73" s="1"/>
  <c r="L24" i="40"/>
  <c r="AF45" i="69" s="1"/>
  <c r="L19" i="40"/>
  <c r="AF38" i="85"/>
  <c r="AF47" i="85" s="1"/>
  <c r="AE50" i="73"/>
  <c r="AE72" i="85"/>
  <c r="AC25" i="73"/>
  <c r="AC51" i="73" s="1"/>
  <c r="AD24" i="73"/>
  <c r="AD50" i="73" s="1"/>
  <c r="N30" i="40"/>
  <c r="N23" i="40" s="1"/>
  <c r="M33" i="39"/>
  <c r="M29" i="39" s="1"/>
  <c r="L40" i="42"/>
  <c r="L27" i="42" s="1"/>
  <c r="AF44" i="69" l="1"/>
  <c r="AG45" i="69"/>
  <c r="AC45" i="69"/>
  <c r="AD44" i="69"/>
  <c r="AE28" i="73"/>
  <c r="AE54" i="73" s="1"/>
  <c r="AF50" i="73"/>
  <c r="AF72" i="85"/>
  <c r="AE50" i="85"/>
  <c r="AE76" i="85" s="1"/>
  <c r="AG37" i="85"/>
  <c r="AG46" i="85" s="1"/>
  <c r="AG15" i="73"/>
  <c r="M30" i="39"/>
  <c r="M25" i="39"/>
  <c r="AF41" i="85"/>
  <c r="AF50" i="85" s="1"/>
  <c r="AF19" i="73"/>
  <c r="AF28" i="73" s="1"/>
  <c r="L28" i="42"/>
  <c r="AF48" i="69" s="1"/>
  <c r="AF51" i="73"/>
  <c r="AF73" i="85"/>
  <c r="AG51" i="73"/>
  <c r="AG73" i="85"/>
  <c r="AH38" i="85"/>
  <c r="AH47" i="85" s="1"/>
  <c r="N19" i="40"/>
  <c r="N24" i="40"/>
  <c r="AH16" i="73"/>
  <c r="AH25" i="73" s="1"/>
  <c r="N33" i="39"/>
  <c r="N29" i="39" s="1"/>
  <c r="O30" i="40"/>
  <c r="O23" i="40" s="1"/>
  <c r="M40" i="42"/>
  <c r="M27" i="42" s="1"/>
  <c r="AH45" i="69" l="1"/>
  <c r="AE48" i="69"/>
  <c r="AG72" i="85"/>
  <c r="AH51" i="73"/>
  <c r="O24" i="40"/>
  <c r="AI38" i="85"/>
  <c r="AI47" i="85" s="1"/>
  <c r="O19" i="40"/>
  <c r="AI16" i="73"/>
  <c r="N30" i="39"/>
  <c r="AH37" i="85"/>
  <c r="AH46" i="85" s="1"/>
  <c r="AH15" i="73"/>
  <c r="AH24" i="73" s="1"/>
  <c r="N25" i="39"/>
  <c r="N26" i="39" s="1"/>
  <c r="AF76" i="85"/>
  <c r="AF54" i="73"/>
  <c r="AG24" i="73"/>
  <c r="AG50" i="73" s="1"/>
  <c r="M26" i="39"/>
  <c r="AG41" i="85"/>
  <c r="AG19" i="73"/>
  <c r="AG28" i="73" s="1"/>
  <c r="M28" i="42"/>
  <c r="AH73" i="85"/>
  <c r="P30" i="40"/>
  <c r="O33" i="39"/>
  <c r="O29" i="39" s="1"/>
  <c r="N40" i="42"/>
  <c r="N27" i="42" s="1"/>
  <c r="AH44" i="69" l="1"/>
  <c r="AG44" i="69"/>
  <c r="AH41" i="85"/>
  <c r="AH50" i="85" s="1"/>
  <c r="N28" i="42"/>
  <c r="AH19" i="73"/>
  <c r="AH28" i="73" s="1"/>
  <c r="AG54" i="73"/>
  <c r="AG50" i="85"/>
  <c r="AG76" i="85" s="1"/>
  <c r="P23" i="40"/>
  <c r="R30" i="40"/>
  <c r="AI25" i="73"/>
  <c r="AI51" i="73" s="1"/>
  <c r="AI37" i="85"/>
  <c r="AI46" i="85" s="1"/>
  <c r="AI15" i="73"/>
  <c r="AI24" i="73" s="1"/>
  <c r="O30" i="39"/>
  <c r="O25" i="39"/>
  <c r="O26" i="39" s="1"/>
  <c r="AH50" i="73"/>
  <c r="AH72" i="85"/>
  <c r="AI73" i="85"/>
  <c r="P33" i="39"/>
  <c r="P40" i="42"/>
  <c r="O40" i="42"/>
  <c r="O27" i="42" s="1"/>
  <c r="AH48" i="69" l="1"/>
  <c r="AI44" i="69"/>
  <c r="AI45" i="69"/>
  <c r="AG48" i="69"/>
  <c r="P27" i="42"/>
  <c r="R40" i="42"/>
  <c r="P29" i="39"/>
  <c r="R33" i="39"/>
  <c r="AJ38" i="85"/>
  <c r="AJ47" i="85" s="1"/>
  <c r="P24" i="40"/>
  <c r="AJ16" i="73"/>
  <c r="P19" i="40"/>
  <c r="R35" i="40" s="1"/>
  <c r="R23" i="40"/>
  <c r="AI50" i="73"/>
  <c r="AI72" i="85"/>
  <c r="AH76" i="85"/>
  <c r="AH54" i="73"/>
  <c r="AI19" i="73"/>
  <c r="AI28" i="73" s="1"/>
  <c r="AI41" i="85"/>
  <c r="AI50" i="85" s="1"/>
  <c r="O28" i="42"/>
  <c r="AI48" i="69" s="1"/>
  <c r="R19" i="40" l="1"/>
  <c r="R24" i="40"/>
  <c r="AI54" i="73"/>
  <c r="AI76" i="85"/>
  <c r="AJ25" i="73"/>
  <c r="AL25" i="73" s="1"/>
  <c r="AL16" i="73"/>
  <c r="AL47" i="85"/>
  <c r="AL38" i="85"/>
  <c r="AJ37" i="85"/>
  <c r="P25" i="39"/>
  <c r="AJ15" i="73"/>
  <c r="P30" i="39"/>
  <c r="R29" i="39"/>
  <c r="R30" i="39" s="1"/>
  <c r="P28" i="42"/>
  <c r="AJ19" i="73"/>
  <c r="AJ41" i="85"/>
  <c r="R27" i="42"/>
  <c r="R28" i="42" s="1"/>
  <c r="AJ45" i="69" l="1"/>
  <c r="AJ51" i="73"/>
  <c r="AJ50" i="85"/>
  <c r="AL50" i="85" s="1"/>
  <c r="AL41" i="85"/>
  <c r="AJ28" i="73"/>
  <c r="AL28" i="73" s="1"/>
  <c r="AL19" i="73"/>
  <c r="AJ73" i="85"/>
  <c r="AJ24" i="73"/>
  <c r="AL24" i="73" s="1"/>
  <c r="AL15" i="73"/>
  <c r="P26" i="39"/>
  <c r="R26" i="39" s="1"/>
  <c r="R25" i="39"/>
  <c r="AJ46" i="85"/>
  <c r="AL46" i="85" s="1"/>
  <c r="AL37" i="85"/>
  <c r="AJ44" i="69" l="1"/>
  <c r="AJ48" i="69"/>
  <c r="AJ76" i="85"/>
  <c r="AJ54" i="73"/>
  <c r="AJ72" i="85"/>
  <c r="AJ50" i="73"/>
  <c r="R31" i="40"/>
  <c r="R34" i="39"/>
  <c r="R41" i="42" l="1"/>
  <c r="E44" i="41" l="1"/>
  <c r="E37" i="41" l="1"/>
  <c r="F44" i="41"/>
  <c r="F37" i="41" s="1"/>
  <c r="G44" i="41"/>
  <c r="G37" i="41" s="1"/>
  <c r="F30" i="41" l="1"/>
  <c r="F38" i="41"/>
  <c r="Z39" i="85"/>
  <c r="Z17" i="73"/>
  <c r="Y39" i="85"/>
  <c r="Y17" i="73"/>
  <c r="E38" i="41"/>
  <c r="E30" i="41"/>
  <c r="AA17" i="73"/>
  <c r="G38" i="41"/>
  <c r="G30" i="41"/>
  <c r="AA39" i="85"/>
  <c r="H44" i="41"/>
  <c r="H37" i="41" s="1"/>
  <c r="AA48" i="85" l="1"/>
  <c r="Z26" i="73"/>
  <c r="Z46" i="69" s="1"/>
  <c r="AA26" i="73"/>
  <c r="AA46" i="69" s="1"/>
  <c r="Z48" i="85"/>
  <c r="Y26" i="73"/>
  <c r="Y46" i="69" s="1"/>
  <c r="Y48" i="85"/>
  <c r="AB17" i="73"/>
  <c r="H30" i="41"/>
  <c r="H38" i="41"/>
  <c r="AB39" i="85"/>
  <c r="I44" i="41"/>
  <c r="Y74" i="85" l="1"/>
  <c r="AA52" i="73"/>
  <c r="Z52" i="73"/>
  <c r="Y52" i="73"/>
  <c r="AB48" i="85"/>
  <c r="Z74" i="85"/>
  <c r="AB26" i="73"/>
  <c r="AB46" i="69" s="1"/>
  <c r="I37" i="41"/>
  <c r="AA74" i="85"/>
  <c r="J44" i="41"/>
  <c r="J37" i="41" s="1"/>
  <c r="AC39" i="85" l="1"/>
  <c r="AC17" i="73"/>
  <c r="I30" i="41"/>
  <c r="I38" i="41"/>
  <c r="AB74" i="85"/>
  <c r="AB52" i="73"/>
  <c r="AD39" i="85"/>
  <c r="J30" i="41"/>
  <c r="AD17" i="73"/>
  <c r="J38" i="41"/>
  <c r="K44" i="41"/>
  <c r="AD26" i="73" l="1"/>
  <c r="AD46" i="69" s="1"/>
  <c r="AC26" i="73"/>
  <c r="AC46" i="69" s="1"/>
  <c r="K37" i="41"/>
  <c r="AD48" i="85"/>
  <c r="AC48" i="85"/>
  <c r="L44" i="41"/>
  <c r="L37" i="41" s="1"/>
  <c r="AC52" i="73" l="1"/>
  <c r="AD74" i="85"/>
  <c r="K38" i="41"/>
  <c r="AE39" i="85"/>
  <c r="AE17" i="73"/>
  <c r="K30" i="41"/>
  <c r="AF39" i="85"/>
  <c r="AF17" i="73"/>
  <c r="L30" i="41"/>
  <c r="L38" i="41"/>
  <c r="AD52" i="73"/>
  <c r="AC74" i="85"/>
  <c r="M44" i="41"/>
  <c r="AF48" i="85" l="1"/>
  <c r="M37" i="41"/>
  <c r="AE48" i="85"/>
  <c r="AE26" i="73"/>
  <c r="AE46" i="69" s="1"/>
  <c r="AF26" i="73"/>
  <c r="AF46" i="69" s="1"/>
  <c r="N44" i="41"/>
  <c r="N37" i="41" s="1"/>
  <c r="AE74" i="85" l="1"/>
  <c r="AE52" i="73"/>
  <c r="M38" i="41"/>
  <c r="M30" i="41"/>
  <c r="AG17" i="73"/>
  <c r="AG39" i="85"/>
  <c r="AF52" i="73"/>
  <c r="AF74" i="85"/>
  <c r="N38" i="41"/>
  <c r="AH39" i="85"/>
  <c r="AH17" i="73"/>
  <c r="N30" i="41"/>
  <c r="O44" i="41"/>
  <c r="O37" i="41" s="1"/>
  <c r="AG26" i="73" l="1"/>
  <c r="AG46" i="69" s="1"/>
  <c r="AI39" i="85"/>
  <c r="AI17" i="73"/>
  <c r="O30" i="41"/>
  <c r="O38" i="41"/>
  <c r="AH26" i="73"/>
  <c r="AH46" i="69" s="1"/>
  <c r="AH48" i="85"/>
  <c r="AG48" i="85"/>
  <c r="AI48" i="85" l="1"/>
  <c r="AH74" i="85"/>
  <c r="AG52" i="73"/>
  <c r="AI26" i="73"/>
  <c r="AI46" i="69" s="1"/>
  <c r="P44" i="41"/>
  <c r="AH52" i="73"/>
  <c r="AG74" i="85"/>
  <c r="P37" i="41" l="1"/>
  <c r="R44" i="41"/>
  <c r="R45" i="41" s="1"/>
  <c r="AI74" i="85"/>
  <c r="AI52" i="73"/>
  <c r="AJ17" i="73" l="1"/>
  <c r="P38" i="41"/>
  <c r="AJ39" i="85"/>
  <c r="P30" i="41"/>
  <c r="R37" i="41"/>
  <c r="R38" i="41" l="1"/>
  <c r="R30" i="41"/>
  <c r="AJ48" i="85"/>
  <c r="AL39" i="85"/>
  <c r="AJ26" i="73"/>
  <c r="AJ46" i="69" s="1"/>
  <c r="AL17" i="73"/>
  <c r="O8" i="77"/>
  <c r="O18" i="77" s="1"/>
  <c r="O17" i="77" s="1"/>
  <c r="O6" i="77"/>
  <c r="N8" i="77"/>
  <c r="N18" i="77" s="1"/>
  <c r="N8" i="80" l="1"/>
  <c r="N10" i="80" s="1"/>
  <c r="N6" i="77"/>
  <c r="T8" i="77"/>
  <c r="T9" i="77" s="1"/>
  <c r="L31" i="77" s="1"/>
  <c r="L31" i="80" s="1"/>
  <c r="N17" i="77"/>
  <c r="N7" i="77" s="1"/>
  <c r="AJ52" i="73"/>
  <c r="AL26" i="73"/>
  <c r="AJ74" i="85"/>
  <c r="AL48" i="85"/>
  <c r="O7" i="77"/>
  <c r="N6" i="80"/>
  <c r="N18" i="80"/>
  <c r="O8" i="80"/>
  <c r="M31" i="77" l="1"/>
  <c r="M31" i="80" s="1"/>
  <c r="E31" i="77"/>
  <c r="E31" i="80" s="1"/>
  <c r="H31" i="77"/>
  <c r="H31" i="80" s="1"/>
  <c r="I31" i="77"/>
  <c r="I31" i="80" s="1"/>
  <c r="N31" i="77"/>
  <c r="N31" i="80" s="1"/>
  <c r="K31" i="77"/>
  <c r="K31" i="80" s="1"/>
  <c r="J31" i="77"/>
  <c r="J31" i="80" s="1"/>
  <c r="F31" i="77"/>
  <c r="F31" i="80" s="1"/>
  <c r="G31" i="77"/>
  <c r="G31" i="80" s="1"/>
  <c r="P31" i="77"/>
  <c r="P31" i="80" s="1"/>
  <c r="O31" i="77"/>
  <c r="O31" i="80" s="1"/>
  <c r="N17" i="80"/>
  <c r="O10" i="80"/>
  <c r="O18" i="80"/>
  <c r="O17" i="80" s="1"/>
  <c r="O6" i="80"/>
  <c r="O7" i="80" l="1"/>
  <c r="N7" i="80"/>
  <c r="E47" i="38" l="1"/>
  <c r="E33" i="38" l="1"/>
  <c r="E44" i="81"/>
  <c r="E52" i="25"/>
  <c r="E48" i="75"/>
  <c r="E44" i="76"/>
  <c r="E67" i="8"/>
  <c r="E32" i="44"/>
  <c r="E48" i="37"/>
  <c r="E44" i="83"/>
  <c r="E48" i="77"/>
  <c r="E66" i="9"/>
  <c r="E48" i="78"/>
  <c r="E48" i="79"/>
  <c r="E32" i="45"/>
  <c r="E44" i="82"/>
  <c r="F47" i="38"/>
  <c r="E34" i="26"/>
  <c r="E46" i="24"/>
  <c r="E34" i="27"/>
  <c r="E18" i="6"/>
  <c r="E20" i="46"/>
  <c r="E25" i="45" l="1"/>
  <c r="E37" i="82"/>
  <c r="E29" i="26"/>
  <c r="E34" i="5"/>
  <c r="E30" i="37"/>
  <c r="E33" i="24"/>
  <c r="E53" i="1"/>
  <c r="E25" i="44"/>
  <c r="E35" i="43"/>
  <c r="E37" i="83"/>
  <c r="E33" i="25"/>
  <c r="E43" i="8"/>
  <c r="E86" i="4"/>
  <c r="E37" i="76"/>
  <c r="E53" i="84"/>
  <c r="E41" i="77"/>
  <c r="E41" i="75"/>
  <c r="E57" i="80"/>
  <c r="F33" i="38"/>
  <c r="E29" i="27"/>
  <c r="E37" i="81"/>
  <c r="Y30" i="73"/>
  <c r="E22" i="46"/>
  <c r="Y52" i="85"/>
  <c r="Y24" i="85"/>
  <c r="Y24" i="69"/>
  <c r="E43" i="9"/>
  <c r="E41" i="79"/>
  <c r="E41" i="78"/>
  <c r="F48" i="77"/>
  <c r="F41" i="77" s="1"/>
  <c r="G47" i="38"/>
  <c r="G44" i="83"/>
  <c r="G37" i="83" s="1"/>
  <c r="G44" i="82"/>
  <c r="G37" i="82" s="1"/>
  <c r="F48" i="78"/>
  <c r="F41" i="78" s="1"/>
  <c r="F18" i="6"/>
  <c r="F20" i="46"/>
  <c r="F66" i="9"/>
  <c r="F34" i="27"/>
  <c r="F29" i="27" s="1"/>
  <c r="F48" i="79"/>
  <c r="F41" i="79" s="1"/>
  <c r="Y49" i="69" l="1"/>
  <c r="Y55" i="73"/>
  <c r="G48" i="77"/>
  <c r="G41" i="77" s="1"/>
  <c r="G44" i="76"/>
  <c r="F34" i="26"/>
  <c r="F46" i="24"/>
  <c r="E54" i="8"/>
  <c r="E43" i="4"/>
  <c r="E26" i="44"/>
  <c r="E20" i="44"/>
  <c r="E25" i="43"/>
  <c r="G34" i="26"/>
  <c r="G52" i="25"/>
  <c r="F48" i="37"/>
  <c r="F32" i="45"/>
  <c r="E29" i="5"/>
  <c r="G32" i="44"/>
  <c r="G44" i="81"/>
  <c r="G37" i="81" s="1"/>
  <c r="F67" i="8"/>
  <c r="Y77" i="85"/>
  <c r="E30" i="26"/>
  <c r="E25" i="26"/>
  <c r="G32" i="45"/>
  <c r="G25" i="45" s="1"/>
  <c r="F52" i="25"/>
  <c r="F44" i="76"/>
  <c r="E25" i="27"/>
  <c r="E30" i="27"/>
  <c r="E37" i="84"/>
  <c r="G33" i="38"/>
  <c r="F44" i="81"/>
  <c r="F32" i="44"/>
  <c r="E33" i="1"/>
  <c r="F25" i="27"/>
  <c r="F30" i="27"/>
  <c r="Z24" i="85"/>
  <c r="Z24" i="69"/>
  <c r="G48" i="75"/>
  <c r="F44" i="82"/>
  <c r="G46" i="24"/>
  <c r="Z52" i="85"/>
  <c r="Z30" i="73"/>
  <c r="Z55" i="73" s="1"/>
  <c r="F22" i="46"/>
  <c r="G67" i="8"/>
  <c r="E54" i="9"/>
  <c r="E41" i="80"/>
  <c r="F43" i="9"/>
  <c r="G48" i="37"/>
  <c r="F48" i="75"/>
  <c r="F44" i="83"/>
  <c r="E20" i="45"/>
  <c r="E26" i="45"/>
  <c r="G20" i="46"/>
  <c r="G66" i="9"/>
  <c r="H44" i="83"/>
  <c r="H37" i="83" s="1"/>
  <c r="H32" i="44"/>
  <c r="H32" i="45"/>
  <c r="H25" i="45" s="1"/>
  <c r="H48" i="37"/>
  <c r="H44" i="76"/>
  <c r="H44" i="82"/>
  <c r="H37" i="82" s="1"/>
  <c r="H47" i="38"/>
  <c r="H48" i="77"/>
  <c r="H41" i="77" s="1"/>
  <c r="H67" i="8"/>
  <c r="H44" i="81"/>
  <c r="H37" i="81" s="1"/>
  <c r="G48" i="78"/>
  <c r="G41" i="78" s="1"/>
  <c r="G48" i="79"/>
  <c r="G41" i="79" s="1"/>
  <c r="G34" i="27"/>
  <c r="G29" i="27" s="1"/>
  <c r="H48" i="75"/>
  <c r="H52" i="25"/>
  <c r="H34" i="26"/>
  <c r="H29" i="26" s="1"/>
  <c r="G18" i="6"/>
  <c r="H46" i="24"/>
  <c r="Z49" i="69" l="1"/>
  <c r="Z77" i="85"/>
  <c r="H25" i="44"/>
  <c r="H35" i="43"/>
  <c r="Y14" i="85"/>
  <c r="Y14" i="69"/>
  <c r="E30" i="5"/>
  <c r="Y13" i="69"/>
  <c r="Y13" i="85"/>
  <c r="G29" i="26"/>
  <c r="G34" i="5"/>
  <c r="G29" i="5" s="1"/>
  <c r="H43" i="8"/>
  <c r="F37" i="83"/>
  <c r="F54" i="9"/>
  <c r="F26" i="27"/>
  <c r="F32" i="27"/>
  <c r="G43" i="9"/>
  <c r="F41" i="75"/>
  <c r="F57" i="80"/>
  <c r="G33" i="24"/>
  <c r="G53" i="1"/>
  <c r="E26" i="26"/>
  <c r="E32" i="26"/>
  <c r="E25" i="5"/>
  <c r="F34" i="5"/>
  <c r="F29" i="26"/>
  <c r="AA24" i="85"/>
  <c r="AA24" i="69"/>
  <c r="F37" i="82"/>
  <c r="F25" i="44"/>
  <c r="F35" i="43"/>
  <c r="E26" i="27"/>
  <c r="E32" i="27"/>
  <c r="G53" i="84"/>
  <c r="G37" i="84" s="1"/>
  <c r="G37" i="76"/>
  <c r="H33" i="38"/>
  <c r="G41" i="75"/>
  <c r="G57" i="80"/>
  <c r="G41" i="80" s="1"/>
  <c r="F37" i="76"/>
  <c r="F53" i="84"/>
  <c r="G25" i="44"/>
  <c r="G35" i="43"/>
  <c r="H25" i="26"/>
  <c r="H30" i="26"/>
  <c r="H33" i="25"/>
  <c r="AA30" i="73"/>
  <c r="AA55" i="73" s="1"/>
  <c r="G22" i="46"/>
  <c r="AA52" i="85"/>
  <c r="E54" i="4"/>
  <c r="F37" i="81"/>
  <c r="H53" i="1"/>
  <c r="H33" i="24"/>
  <c r="H53" i="84"/>
  <c r="H37" i="84" s="1"/>
  <c r="H37" i="76"/>
  <c r="F33" i="25"/>
  <c r="F30" i="37"/>
  <c r="Y18" i="73"/>
  <c r="Y40" i="85"/>
  <c r="E26" i="43"/>
  <c r="E20" i="43"/>
  <c r="G30" i="27"/>
  <c r="G25" i="27"/>
  <c r="H30" i="37"/>
  <c r="G43" i="8"/>
  <c r="G86" i="4"/>
  <c r="Y15" i="69"/>
  <c r="Y15" i="85"/>
  <c r="G20" i="45"/>
  <c r="G26" i="45"/>
  <c r="F33" i="24"/>
  <c r="F53" i="1"/>
  <c r="H41" i="75"/>
  <c r="H20" i="45"/>
  <c r="H26" i="45"/>
  <c r="G30" i="37"/>
  <c r="E43" i="1"/>
  <c r="F43" i="8"/>
  <c r="F86" i="4"/>
  <c r="F25" i="45"/>
  <c r="G33" i="25"/>
  <c r="H20" i="46"/>
  <c r="H66" i="9"/>
  <c r="H86" i="4" s="1"/>
  <c r="I44" i="76"/>
  <c r="I32" i="44"/>
  <c r="I44" i="81"/>
  <c r="I37" i="81" s="1"/>
  <c r="I48" i="77"/>
  <c r="I41" i="77" s="1"/>
  <c r="H34" i="27"/>
  <c r="I44" i="82"/>
  <c r="I37" i="82" s="1"/>
  <c r="I48" i="37"/>
  <c r="I67" i="8"/>
  <c r="I34" i="26"/>
  <c r="I48" i="75"/>
  <c r="H48" i="79"/>
  <c r="H41" i="79" s="1"/>
  <c r="I32" i="45"/>
  <c r="I25" i="45" s="1"/>
  <c r="I44" i="83"/>
  <c r="I37" i="83" s="1"/>
  <c r="I52" i="25"/>
  <c r="H48" i="78"/>
  <c r="H41" i="78" s="1"/>
  <c r="I47" i="38"/>
  <c r="I46" i="24"/>
  <c r="H18" i="6"/>
  <c r="AA49" i="69" l="1"/>
  <c r="G20" i="44"/>
  <c r="G26" i="44"/>
  <c r="G25" i="43"/>
  <c r="Y45" i="73"/>
  <c r="I20" i="45"/>
  <c r="I26" i="45"/>
  <c r="F54" i="8"/>
  <c r="F54" i="4" s="1"/>
  <c r="F43" i="4"/>
  <c r="H26" i="26"/>
  <c r="H32" i="26"/>
  <c r="F41" i="80"/>
  <c r="H54" i="8"/>
  <c r="H34" i="5"/>
  <c r="H29" i="5" s="1"/>
  <c r="H29" i="27"/>
  <c r="AB24" i="85"/>
  <c r="AB24" i="69"/>
  <c r="F33" i="1"/>
  <c r="G32" i="27"/>
  <c r="G26" i="27"/>
  <c r="AA15" i="69"/>
  <c r="AA15" i="85"/>
  <c r="F20" i="44"/>
  <c r="F26" i="44"/>
  <c r="F25" i="43"/>
  <c r="F25" i="26"/>
  <c r="F30" i="26"/>
  <c r="E32" i="5"/>
  <c r="E26" i="5"/>
  <c r="H20" i="44"/>
  <c r="H26" i="44"/>
  <c r="H25" i="43"/>
  <c r="I33" i="24"/>
  <c r="I53" i="1"/>
  <c r="I41" i="75"/>
  <c r="I25" i="44"/>
  <c r="I35" i="43"/>
  <c r="F37" i="84"/>
  <c r="F29" i="5"/>
  <c r="AA13" i="69"/>
  <c r="AA20" i="69" s="1"/>
  <c r="AA13" i="85"/>
  <c r="AA20" i="85" s="1"/>
  <c r="G30" i="5"/>
  <c r="I37" i="76"/>
  <c r="I53" i="84"/>
  <c r="I37" i="84" s="1"/>
  <c r="H57" i="80"/>
  <c r="H41" i="80" s="1"/>
  <c r="Y49" i="85"/>
  <c r="Y75" i="85" s="1"/>
  <c r="AB15" i="85"/>
  <c r="AB15" i="69"/>
  <c r="G54" i="9"/>
  <c r="G30" i="26"/>
  <c r="G25" i="26"/>
  <c r="I29" i="26"/>
  <c r="I33" i="38"/>
  <c r="I43" i="8"/>
  <c r="F20" i="45"/>
  <c r="F26" i="45"/>
  <c r="G54" i="8"/>
  <c r="G43" i="4"/>
  <c r="Y27" i="73"/>
  <c r="Y53" i="73" s="1"/>
  <c r="H33" i="1"/>
  <c r="AA14" i="69"/>
  <c r="AA14" i="85"/>
  <c r="H43" i="9"/>
  <c r="Y20" i="85"/>
  <c r="Y67" i="85" s="1"/>
  <c r="I30" i="37"/>
  <c r="I33" i="25"/>
  <c r="AB30" i="73"/>
  <c r="AB55" i="73" s="1"/>
  <c r="H22" i="46"/>
  <c r="AB52" i="85"/>
  <c r="AA77" i="85"/>
  <c r="G33" i="1"/>
  <c r="Y20" i="69"/>
  <c r="Y39" i="69" s="1"/>
  <c r="I20" i="46"/>
  <c r="I66" i="9"/>
  <c r="J44" i="81"/>
  <c r="J37" i="81" s="1"/>
  <c r="J44" i="76"/>
  <c r="J48" i="77"/>
  <c r="J32" i="44"/>
  <c r="I48" i="78"/>
  <c r="I41" i="78" s="1"/>
  <c r="J47" i="38"/>
  <c r="I48" i="79"/>
  <c r="I34" i="27"/>
  <c r="I29" i="27" s="1"/>
  <c r="J32" i="45"/>
  <c r="J25" i="45" s="1"/>
  <c r="J34" i="26"/>
  <c r="J48" i="37"/>
  <c r="J48" i="75"/>
  <c r="J44" i="83"/>
  <c r="J37" i="83" s="1"/>
  <c r="J67" i="8"/>
  <c r="J52" i="25"/>
  <c r="J44" i="82"/>
  <c r="J37" i="82" s="1"/>
  <c r="I18" i="6"/>
  <c r="J46" i="24"/>
  <c r="AB49" i="69" l="1"/>
  <c r="Y47" i="69"/>
  <c r="I30" i="27"/>
  <c r="I25" i="27"/>
  <c r="I43" i="9"/>
  <c r="I43" i="4" s="1"/>
  <c r="G43" i="1"/>
  <c r="I33" i="1"/>
  <c r="F43" i="1"/>
  <c r="G20" i="43"/>
  <c r="AA40" i="85"/>
  <c r="AA49" i="85" s="1"/>
  <c r="G26" i="43"/>
  <c r="AA18" i="73"/>
  <c r="AA27" i="73" s="1"/>
  <c r="AC30" i="73"/>
  <c r="AC55" i="73" s="1"/>
  <c r="I22" i="46"/>
  <c r="AC52" i="85"/>
  <c r="AA67" i="85"/>
  <c r="AA45" i="73"/>
  <c r="AA39" i="69"/>
  <c r="AB77" i="85"/>
  <c r="J43" i="8"/>
  <c r="J33" i="38"/>
  <c r="H43" i="1"/>
  <c r="I30" i="26"/>
  <c r="I25" i="26"/>
  <c r="AB40" i="85"/>
  <c r="AB49" i="85" s="1"/>
  <c r="H20" i="43"/>
  <c r="AB18" i="73"/>
  <c r="AB27" i="73" s="1"/>
  <c r="H26" i="43"/>
  <c r="F32" i="26"/>
  <c r="F25" i="5"/>
  <c r="F26" i="26"/>
  <c r="I20" i="44"/>
  <c r="I26" i="44"/>
  <c r="I25" i="43"/>
  <c r="J33" i="25"/>
  <c r="I34" i="5"/>
  <c r="Z15" i="85"/>
  <c r="Z15" i="69"/>
  <c r="J41" i="75"/>
  <c r="J25" i="44"/>
  <c r="J35" i="43"/>
  <c r="G54" i="4"/>
  <c r="I57" i="80"/>
  <c r="I41" i="80" s="1"/>
  <c r="F26" i="43"/>
  <c r="F20" i="43"/>
  <c r="Z40" i="85"/>
  <c r="Z18" i="73"/>
  <c r="H25" i="27"/>
  <c r="H30" i="27"/>
  <c r="I41" i="79"/>
  <c r="J33" i="24"/>
  <c r="J53" i="1"/>
  <c r="J30" i="37"/>
  <c r="J41" i="77"/>
  <c r="I86" i="4"/>
  <c r="G25" i="5"/>
  <c r="G32" i="26"/>
  <c r="G26" i="26"/>
  <c r="AB14" i="85"/>
  <c r="AB14" i="69"/>
  <c r="H30" i="5"/>
  <c r="AB13" i="85"/>
  <c r="AB20" i="85" s="1"/>
  <c r="AB13" i="69"/>
  <c r="AB20" i="69" s="1"/>
  <c r="J29" i="26"/>
  <c r="J37" i="76"/>
  <c r="J53" i="84"/>
  <c r="J37" i="84" s="1"/>
  <c r="I54" i="8"/>
  <c r="Z13" i="85"/>
  <c r="F30" i="5"/>
  <c r="Z13" i="69"/>
  <c r="Z14" i="69"/>
  <c r="Z14" i="85"/>
  <c r="AC24" i="69"/>
  <c r="AC24" i="85"/>
  <c r="J26" i="45"/>
  <c r="J20" i="45"/>
  <c r="H54" i="9"/>
  <c r="H54" i="4" s="1"/>
  <c r="AC15" i="69"/>
  <c r="AC15" i="85"/>
  <c r="H43" i="4"/>
  <c r="J20" i="46"/>
  <c r="J66" i="9"/>
  <c r="J86" i="4" s="1"/>
  <c r="J34" i="27"/>
  <c r="J29" i="27" s="1"/>
  <c r="K52" i="25"/>
  <c r="K47" i="38"/>
  <c r="K48" i="77"/>
  <c r="K41" i="77" s="1"/>
  <c r="K48" i="37"/>
  <c r="K34" i="26"/>
  <c r="J48" i="78"/>
  <c r="K44" i="82"/>
  <c r="K37" i="82" s="1"/>
  <c r="K44" i="76"/>
  <c r="J48" i="79"/>
  <c r="J41" i="79" s="1"/>
  <c r="K67" i="8"/>
  <c r="K44" i="83"/>
  <c r="K37" i="83" s="1"/>
  <c r="K48" i="75"/>
  <c r="K32" i="45"/>
  <c r="K25" i="45" s="1"/>
  <c r="K32" i="44"/>
  <c r="K44" i="81"/>
  <c r="K37" i="81" s="1"/>
  <c r="K46" i="24"/>
  <c r="J18" i="6"/>
  <c r="AB47" i="69" l="1"/>
  <c r="AA47" i="69"/>
  <c r="AC49" i="69"/>
  <c r="AC77" i="85"/>
  <c r="J57" i="80"/>
  <c r="J41" i="80" s="1"/>
  <c r="AD14" i="69" s="1"/>
  <c r="K30" i="37"/>
  <c r="Z20" i="69"/>
  <c r="Z39" i="69" s="1"/>
  <c r="AD15" i="85"/>
  <c r="AD15" i="69"/>
  <c r="Z27" i="73"/>
  <c r="Z53" i="73" s="1"/>
  <c r="J26" i="44"/>
  <c r="J20" i="44"/>
  <c r="J25" i="43"/>
  <c r="AB53" i="73"/>
  <c r="AB75" i="85"/>
  <c r="I43" i="1"/>
  <c r="K53" i="84"/>
  <c r="K37" i="84" s="1"/>
  <c r="K37" i="76"/>
  <c r="Z45" i="73"/>
  <c r="Z49" i="85"/>
  <c r="Z75" i="85" s="1"/>
  <c r="I29" i="5"/>
  <c r="J30" i="27"/>
  <c r="J25" i="27"/>
  <c r="K41" i="75"/>
  <c r="K43" i="8"/>
  <c r="K33" i="38"/>
  <c r="Z20" i="85"/>
  <c r="Z67" i="85" s="1"/>
  <c r="J34" i="5"/>
  <c r="J29" i="5" s="1"/>
  <c r="AD24" i="85"/>
  <c r="AD24" i="69"/>
  <c r="K33" i="25"/>
  <c r="J25" i="26"/>
  <c r="J30" i="26"/>
  <c r="I20" i="43"/>
  <c r="AC18" i="73"/>
  <c r="AC27" i="73" s="1"/>
  <c r="AC40" i="85"/>
  <c r="AC49" i="85" s="1"/>
  <c r="I26" i="43"/>
  <c r="J54" i="8"/>
  <c r="J43" i="9"/>
  <c r="J43" i="4" s="1"/>
  <c r="J33" i="1"/>
  <c r="AC14" i="69"/>
  <c r="AC14" i="85"/>
  <c r="I54" i="9"/>
  <c r="I54" i="4" s="1"/>
  <c r="AB67" i="85"/>
  <c r="AB45" i="73"/>
  <c r="AB39" i="69"/>
  <c r="K25" i="44"/>
  <c r="K35" i="43"/>
  <c r="J41" i="78"/>
  <c r="AD30" i="73"/>
  <c r="AD55" i="73" s="1"/>
  <c r="J22" i="46"/>
  <c r="AD52" i="85"/>
  <c r="H32" i="27"/>
  <c r="H26" i="27"/>
  <c r="H25" i="5"/>
  <c r="F32" i="5"/>
  <c r="F26" i="5"/>
  <c r="I25" i="5"/>
  <c r="I32" i="26"/>
  <c r="I26" i="26"/>
  <c r="AA75" i="85"/>
  <c r="AA53" i="73"/>
  <c r="I26" i="27"/>
  <c r="I32" i="27"/>
  <c r="K53" i="1"/>
  <c r="K33" i="24"/>
  <c r="K20" i="45"/>
  <c r="K26" i="45"/>
  <c r="K29" i="26"/>
  <c r="G26" i="5"/>
  <c r="G32" i="5"/>
  <c r="K20" i="46"/>
  <c r="K66" i="9"/>
  <c r="L32" i="44"/>
  <c r="L52" i="25"/>
  <c r="L47" i="38"/>
  <c r="L48" i="75"/>
  <c r="K48" i="79"/>
  <c r="K41" i="79" s="1"/>
  <c r="L32" i="45"/>
  <c r="L25" i="45" s="1"/>
  <c r="L44" i="83"/>
  <c r="L37" i="83" s="1"/>
  <c r="L44" i="81"/>
  <c r="L37" i="81" s="1"/>
  <c r="L44" i="82"/>
  <c r="L37" i="82" s="1"/>
  <c r="L67" i="8"/>
  <c r="L44" i="76"/>
  <c r="L34" i="26"/>
  <c r="K48" i="78"/>
  <c r="K41" i="78" s="1"/>
  <c r="L48" i="37"/>
  <c r="K34" i="27"/>
  <c r="K29" i="27" s="1"/>
  <c r="L48" i="77"/>
  <c r="L41" i="77" s="1"/>
  <c r="K18" i="6"/>
  <c r="L46" i="24"/>
  <c r="AD49" i="69" l="1"/>
  <c r="Z47" i="69"/>
  <c r="AC47" i="69"/>
  <c r="AD14" i="85"/>
  <c r="K43" i="9"/>
  <c r="K43" i="4" s="1"/>
  <c r="I26" i="5"/>
  <c r="I32" i="5"/>
  <c r="L25" i="44"/>
  <c r="L35" i="43"/>
  <c r="K22" i="46"/>
  <c r="AE52" i="85"/>
  <c r="AE30" i="73"/>
  <c r="AE55" i="73" s="1"/>
  <c r="K34" i="5"/>
  <c r="K20" i="44"/>
  <c r="K26" i="44"/>
  <c r="K25" i="43"/>
  <c r="J30" i="5"/>
  <c r="AD45" i="73" s="1"/>
  <c r="AD13" i="85"/>
  <c r="AD20" i="85" s="1"/>
  <c r="AD13" i="69"/>
  <c r="AD20" i="69" s="1"/>
  <c r="K86" i="4"/>
  <c r="J32" i="27"/>
  <c r="J26" i="27"/>
  <c r="AE15" i="69"/>
  <c r="AE15" i="85"/>
  <c r="AE24" i="85"/>
  <c r="AE24" i="69"/>
  <c r="L30" i="37"/>
  <c r="L26" i="45"/>
  <c r="L20" i="45"/>
  <c r="K25" i="26"/>
  <c r="K30" i="26"/>
  <c r="J43" i="1"/>
  <c r="K54" i="8"/>
  <c r="J20" i="43"/>
  <c r="AD18" i="73"/>
  <c r="AD27" i="73" s="1"/>
  <c r="J26" i="43"/>
  <c r="AD40" i="85"/>
  <c r="AD49" i="85" s="1"/>
  <c r="H26" i="5"/>
  <c r="H32" i="5"/>
  <c r="AD77" i="85"/>
  <c r="K57" i="80"/>
  <c r="L29" i="26"/>
  <c r="L41" i="75"/>
  <c r="J32" i="26"/>
  <c r="J26" i="26"/>
  <c r="J25" i="5"/>
  <c r="AC13" i="69"/>
  <c r="I30" i="5"/>
  <c r="AC13" i="85"/>
  <c r="K25" i="27"/>
  <c r="K30" i="27"/>
  <c r="L53" i="1"/>
  <c r="L33" i="24"/>
  <c r="L33" i="38"/>
  <c r="L37" i="76"/>
  <c r="L53" i="84"/>
  <c r="L43" i="8"/>
  <c r="L33" i="25"/>
  <c r="K33" i="1"/>
  <c r="J54" i="9"/>
  <c r="J54" i="4" s="1"/>
  <c r="AC53" i="73"/>
  <c r="AC75" i="85"/>
  <c r="L20" i="46"/>
  <c r="L66" i="9"/>
  <c r="M48" i="75"/>
  <c r="M48" i="77"/>
  <c r="M41" i="77" s="1"/>
  <c r="L48" i="78"/>
  <c r="L41" i="78" s="1"/>
  <c r="M34" i="26"/>
  <c r="M67" i="8"/>
  <c r="M32" i="45"/>
  <c r="M25" i="45" s="1"/>
  <c r="M32" i="44"/>
  <c r="L34" i="27"/>
  <c r="L29" i="27" s="1"/>
  <c r="M44" i="83"/>
  <c r="M37" i="83" s="1"/>
  <c r="M52" i="25"/>
  <c r="M44" i="76"/>
  <c r="M47" i="38"/>
  <c r="M44" i="81"/>
  <c r="M37" i="81" s="1"/>
  <c r="M48" i="37"/>
  <c r="M44" i="82"/>
  <c r="M37" i="82" s="1"/>
  <c r="L48" i="79"/>
  <c r="L41" i="79" s="1"/>
  <c r="L18" i="6"/>
  <c r="M46" i="24"/>
  <c r="AD47" i="69" l="1"/>
  <c r="AE49" i="69"/>
  <c r="AE77" i="85"/>
  <c r="AD53" i="73"/>
  <c r="L43" i="9"/>
  <c r="L43" i="4" s="1"/>
  <c r="AC20" i="69"/>
  <c r="AC39" i="69" s="1"/>
  <c r="M25" i="44"/>
  <c r="M35" i="43"/>
  <c r="AF30" i="73"/>
  <c r="AF55" i="73" s="1"/>
  <c r="AF52" i="85"/>
  <c r="L22" i="46"/>
  <c r="K43" i="1"/>
  <c r="J32" i="5"/>
  <c r="J26" i="5"/>
  <c r="L57" i="80"/>
  <c r="L41" i="80" s="1"/>
  <c r="K54" i="9"/>
  <c r="M26" i="45"/>
  <c r="M20" i="45"/>
  <c r="L37" i="84"/>
  <c r="K41" i="80"/>
  <c r="AF24" i="85"/>
  <c r="AF24" i="69"/>
  <c r="AF49" i="69" s="1"/>
  <c r="M30" i="37"/>
  <c r="M43" i="8"/>
  <c r="K32" i="27"/>
  <c r="K26" i="27"/>
  <c r="L34" i="5"/>
  <c r="L29" i="5" s="1"/>
  <c r="AD75" i="85"/>
  <c r="L30" i="27"/>
  <c r="L25" i="27"/>
  <c r="M29" i="26"/>
  <c r="L25" i="26"/>
  <c r="L30" i="26"/>
  <c r="K29" i="5"/>
  <c r="L26" i="44"/>
  <c r="L20" i="44"/>
  <c r="L25" i="43"/>
  <c r="M53" i="84"/>
  <c r="M37" i="84" s="1"/>
  <c r="M37" i="76"/>
  <c r="L86" i="4"/>
  <c r="K26" i="26"/>
  <c r="K25" i="5"/>
  <c r="K32" i="26"/>
  <c r="K26" i="43"/>
  <c r="AE18" i="73"/>
  <c r="AE40" i="85"/>
  <c r="K20" i="43"/>
  <c r="M33" i="38"/>
  <c r="M33" i="24"/>
  <c r="M53" i="1"/>
  <c r="M33" i="25"/>
  <c r="L54" i="8"/>
  <c r="AC20" i="85"/>
  <c r="AC67" i="85" s="1"/>
  <c r="AD39" i="69"/>
  <c r="M41" i="75"/>
  <c r="L33" i="1"/>
  <c r="AC45" i="73"/>
  <c r="AD67" i="85"/>
  <c r="M20" i="46"/>
  <c r="M66" i="9"/>
  <c r="M86" i="4" s="1"/>
  <c r="N44" i="76"/>
  <c r="N48" i="75"/>
  <c r="N44" i="83"/>
  <c r="N37" i="83" s="1"/>
  <c r="M48" i="79"/>
  <c r="M41" i="79" s="1"/>
  <c r="N44" i="81"/>
  <c r="N37" i="81" s="1"/>
  <c r="N32" i="45"/>
  <c r="N25" i="45" s="1"/>
  <c r="M48" i="78"/>
  <c r="M41" i="78" s="1"/>
  <c r="M34" i="27"/>
  <c r="M29" i="27" s="1"/>
  <c r="N67" i="8"/>
  <c r="N47" i="38"/>
  <c r="N44" i="82"/>
  <c r="N37" i="82" s="1"/>
  <c r="N48" i="37"/>
  <c r="N52" i="25"/>
  <c r="N32" i="44"/>
  <c r="N34" i="26"/>
  <c r="N48" i="77"/>
  <c r="N41" i="77" s="1"/>
  <c r="N46" i="24"/>
  <c r="M18" i="6"/>
  <c r="AF77" i="85" l="1"/>
  <c r="N53" i="84"/>
  <c r="N37" i="84" s="1"/>
  <c r="N37" i="76"/>
  <c r="M54" i="8"/>
  <c r="M33" i="1"/>
  <c r="M43" i="9"/>
  <c r="AE13" i="85"/>
  <c r="K30" i="5"/>
  <c r="AE13" i="69"/>
  <c r="M20" i="44"/>
  <c r="M26" i="44"/>
  <c r="M25" i="43"/>
  <c r="N33" i="38"/>
  <c r="N43" i="8"/>
  <c r="N29" i="26"/>
  <c r="AG52" i="85"/>
  <c r="M22" i="46"/>
  <c r="AG30" i="73"/>
  <c r="AG55" i="73" s="1"/>
  <c r="L43" i="1"/>
  <c r="M34" i="5"/>
  <c r="AF15" i="69"/>
  <c r="AF15" i="85"/>
  <c r="N41" i="75"/>
  <c r="N53" i="1"/>
  <c r="N33" i="24"/>
  <c r="N26" i="45"/>
  <c r="N20" i="45"/>
  <c r="AG15" i="69"/>
  <c r="AG15" i="85"/>
  <c r="L32" i="26"/>
  <c r="L25" i="5"/>
  <c r="L26" i="26"/>
  <c r="M30" i="26"/>
  <c r="M25" i="26"/>
  <c r="AG24" i="69"/>
  <c r="AG49" i="69" s="1"/>
  <c r="AG24" i="85"/>
  <c r="N25" i="44"/>
  <c r="N35" i="43"/>
  <c r="N33" i="25"/>
  <c r="L26" i="27"/>
  <c r="L32" i="27"/>
  <c r="K54" i="4"/>
  <c r="AF14" i="69"/>
  <c r="AF14" i="85"/>
  <c r="M25" i="27"/>
  <c r="M30" i="27"/>
  <c r="N30" i="37"/>
  <c r="M57" i="80"/>
  <c r="M41" i="80" s="1"/>
  <c r="AE49" i="85"/>
  <c r="AE75" i="85" s="1"/>
  <c r="K26" i="5"/>
  <c r="K32" i="5"/>
  <c r="L20" i="43"/>
  <c r="AF18" i="73"/>
  <c r="AF27" i="73" s="1"/>
  <c r="AF40" i="85"/>
  <c r="AF49" i="85" s="1"/>
  <c r="L26" i="43"/>
  <c r="AF47" i="69" s="1"/>
  <c r="L30" i="5"/>
  <c r="AF13" i="69"/>
  <c r="AF20" i="69" s="1"/>
  <c r="AF13" i="85"/>
  <c r="AF20" i="85" s="1"/>
  <c r="AE14" i="85"/>
  <c r="AE14" i="69"/>
  <c r="L54" i="9"/>
  <c r="L54" i="4" s="1"/>
  <c r="AE27" i="73"/>
  <c r="AE53" i="73" s="1"/>
  <c r="N20" i="46"/>
  <c r="N66" i="9"/>
  <c r="N86" i="4" s="1"/>
  <c r="O48" i="75"/>
  <c r="O34" i="26"/>
  <c r="O48" i="37"/>
  <c r="N48" i="78"/>
  <c r="N41" i="78" s="1"/>
  <c r="N48" i="79"/>
  <c r="N41" i="79" s="1"/>
  <c r="O44" i="81"/>
  <c r="O37" i="81" s="1"/>
  <c r="O32" i="44"/>
  <c r="O44" i="76"/>
  <c r="O67" i="8"/>
  <c r="O44" i="83"/>
  <c r="O37" i="83" s="1"/>
  <c r="O47" i="38"/>
  <c r="O44" i="82"/>
  <c r="O37" i="82" s="1"/>
  <c r="O32" i="45"/>
  <c r="O25" i="45" s="1"/>
  <c r="O48" i="77"/>
  <c r="O41" i="77" s="1"/>
  <c r="O52" i="25"/>
  <c r="N34" i="27"/>
  <c r="N29" i="27" s="1"/>
  <c r="N18" i="6"/>
  <c r="O46" i="24"/>
  <c r="AE47" i="69" l="1"/>
  <c r="AF75" i="85"/>
  <c r="O20" i="45"/>
  <c r="O26" i="45"/>
  <c r="M26" i="27"/>
  <c r="M32" i="27"/>
  <c r="M29" i="5"/>
  <c r="M54" i="9"/>
  <c r="M54" i="4" s="1"/>
  <c r="AG14" i="85"/>
  <c r="AG14" i="69"/>
  <c r="N33" i="1"/>
  <c r="M32" i="26"/>
  <c r="M25" i="5"/>
  <c r="M26" i="26"/>
  <c r="N54" i="8"/>
  <c r="M43" i="4"/>
  <c r="O33" i="38"/>
  <c r="O30" i="37"/>
  <c r="M43" i="1"/>
  <c r="AH15" i="69"/>
  <c r="AH15" i="85"/>
  <c r="N30" i="27"/>
  <c r="N25" i="27"/>
  <c r="O29" i="26"/>
  <c r="AE20" i="69"/>
  <c r="AE39" i="69" s="1"/>
  <c r="O33" i="24"/>
  <c r="O53" i="1"/>
  <c r="AH24" i="69"/>
  <c r="AH24" i="85"/>
  <c r="O43" i="8"/>
  <c r="O41" i="75"/>
  <c r="AF67" i="85"/>
  <c r="AF39" i="69"/>
  <c r="AF45" i="73"/>
  <c r="N20" i="44"/>
  <c r="N26" i="44"/>
  <c r="N25" i="43"/>
  <c r="M20" i="43"/>
  <c r="AG18" i="73"/>
  <c r="AG27" i="73" s="1"/>
  <c r="M26" i="43"/>
  <c r="AG40" i="85"/>
  <c r="AG49" i="85" s="1"/>
  <c r="AE45" i="73"/>
  <c r="N43" i="9"/>
  <c r="N43" i="4" s="1"/>
  <c r="L26" i="5"/>
  <c r="L32" i="5"/>
  <c r="N57" i="80"/>
  <c r="N41" i="80" s="1"/>
  <c r="N34" i="5"/>
  <c r="N29" i="5" s="1"/>
  <c r="AE20" i="85"/>
  <c r="AE67" i="85" s="1"/>
  <c r="O37" i="76"/>
  <c r="O53" i="84"/>
  <c r="O37" i="84" s="1"/>
  <c r="O33" i="25"/>
  <c r="O25" i="44"/>
  <c r="O35" i="43"/>
  <c r="AH52" i="85"/>
  <c r="AH30" i="73"/>
  <c r="AH55" i="73" s="1"/>
  <c r="N22" i="46"/>
  <c r="AF53" i="73"/>
  <c r="AG77" i="85"/>
  <c r="N25" i="26"/>
  <c r="N30" i="26"/>
  <c r="O20" i="46"/>
  <c r="O66" i="9"/>
  <c r="O86" i="4" s="1"/>
  <c r="P32" i="44"/>
  <c r="O48" i="78"/>
  <c r="O41" i="78" s="1"/>
  <c r="P47" i="38"/>
  <c r="P48" i="77"/>
  <c r="P44" i="76"/>
  <c r="P44" i="81"/>
  <c r="O34" i="27"/>
  <c r="O29" i="27" s="1"/>
  <c r="P44" i="83"/>
  <c r="P34" i="26"/>
  <c r="P32" i="45"/>
  <c r="O48" i="79"/>
  <c r="O41" i="79" s="1"/>
  <c r="P48" i="75"/>
  <c r="P48" i="37"/>
  <c r="P52" i="25"/>
  <c r="P44" i="82"/>
  <c r="P67" i="8"/>
  <c r="P46" i="24"/>
  <c r="O18" i="6"/>
  <c r="AH49" i="69" l="1"/>
  <c r="AG47" i="69"/>
  <c r="AG53" i="73"/>
  <c r="AG75" i="85"/>
  <c r="P30" i="37"/>
  <c r="R48" i="37"/>
  <c r="P53" i="84"/>
  <c r="P37" i="76"/>
  <c r="R44" i="76"/>
  <c r="AH13" i="85"/>
  <c r="AH20" i="85" s="1"/>
  <c r="N30" i="5"/>
  <c r="AH13" i="69"/>
  <c r="AH20" i="69" s="1"/>
  <c r="N20" i="43"/>
  <c r="AH18" i="73"/>
  <c r="AH27" i="73" s="1"/>
  <c r="N26" i="43"/>
  <c r="AH40" i="85"/>
  <c r="AH49" i="85" s="1"/>
  <c r="N32" i="27"/>
  <c r="N26" i="27"/>
  <c r="AG13" i="85"/>
  <c r="M30" i="5"/>
  <c r="AG13" i="69"/>
  <c r="P33" i="38"/>
  <c r="R47" i="38"/>
  <c r="AI15" i="85"/>
  <c r="AI15" i="69"/>
  <c r="O34" i="5"/>
  <c r="O29" i="5" s="1"/>
  <c r="P25" i="45"/>
  <c r="R32" i="45"/>
  <c r="O33" i="1"/>
  <c r="O30" i="26"/>
  <c r="O25" i="26"/>
  <c r="P41" i="75"/>
  <c r="R48" i="75"/>
  <c r="N26" i="26"/>
  <c r="N32" i="26"/>
  <c r="N25" i="5"/>
  <c r="O57" i="80"/>
  <c r="O41" i="80" s="1"/>
  <c r="AI24" i="85"/>
  <c r="AI24" i="69"/>
  <c r="P33" i="24"/>
  <c r="P53" i="1"/>
  <c r="R46" i="24"/>
  <c r="P29" i="26"/>
  <c r="R34" i="26"/>
  <c r="R35" i="26" s="1"/>
  <c r="P25" i="44"/>
  <c r="P35" i="43"/>
  <c r="R35" i="43" s="1"/>
  <c r="R32" i="44"/>
  <c r="O43" i="9"/>
  <c r="N54" i="9"/>
  <c r="N54" i="4" s="1"/>
  <c r="O54" i="8"/>
  <c r="P37" i="83"/>
  <c r="R44" i="83"/>
  <c r="O25" i="27"/>
  <c r="O30" i="27"/>
  <c r="AI30" i="73"/>
  <c r="AI55" i="73" s="1"/>
  <c r="AI52" i="85"/>
  <c r="O22" i="46"/>
  <c r="M26" i="5"/>
  <c r="M32" i="5"/>
  <c r="P41" i="77"/>
  <c r="R48" i="77"/>
  <c r="AH14" i="69"/>
  <c r="AH14" i="85"/>
  <c r="N43" i="1"/>
  <c r="P43" i="8"/>
  <c r="R67" i="8"/>
  <c r="P37" i="82"/>
  <c r="R44" i="82"/>
  <c r="R45" i="82" s="1"/>
  <c r="P33" i="25"/>
  <c r="R52" i="25"/>
  <c r="P37" i="81"/>
  <c r="R44" i="81"/>
  <c r="O26" i="44"/>
  <c r="O20" i="44"/>
  <c r="O25" i="43"/>
  <c r="AH77" i="85"/>
  <c r="P20" i="46"/>
  <c r="P66" i="9"/>
  <c r="P48" i="79"/>
  <c r="P34" i="27"/>
  <c r="P48" i="78"/>
  <c r="P18" i="6"/>
  <c r="AH47" i="69" l="1"/>
  <c r="AI49" i="69"/>
  <c r="AH39" i="69"/>
  <c r="P43" i="9"/>
  <c r="P43" i="4" s="1"/>
  <c r="R66" i="9"/>
  <c r="R33" i="38"/>
  <c r="AH45" i="73"/>
  <c r="AH67" i="85"/>
  <c r="P37" i="84"/>
  <c r="R53" i="84"/>
  <c r="AI40" i="85"/>
  <c r="AI49" i="85" s="1"/>
  <c r="O26" i="43"/>
  <c r="AI47" i="69" s="1"/>
  <c r="O20" i="43"/>
  <c r="AI18" i="73"/>
  <c r="AI27" i="73" s="1"/>
  <c r="N26" i="5"/>
  <c r="N32" i="5"/>
  <c r="AI13" i="69"/>
  <c r="AI20" i="69" s="1"/>
  <c r="AI13" i="85"/>
  <c r="AI20" i="85" s="1"/>
  <c r="O30" i="5"/>
  <c r="R37" i="76"/>
  <c r="R37" i="82"/>
  <c r="R33" i="44"/>
  <c r="AG20" i="85"/>
  <c r="AJ24" i="85"/>
  <c r="AJ24" i="69"/>
  <c r="S18" i="6"/>
  <c r="AJ52" i="85"/>
  <c r="AL52" i="85" s="1"/>
  <c r="AQ52" i="85" s="1"/>
  <c r="AJ30" i="73"/>
  <c r="P22" i="46"/>
  <c r="S20" i="46"/>
  <c r="S22" i="46" s="1"/>
  <c r="R45" i="81"/>
  <c r="O54" i="9"/>
  <c r="O54" i="4" s="1"/>
  <c r="R36" i="43"/>
  <c r="P33" i="1"/>
  <c r="R33" i="24"/>
  <c r="R49" i="75"/>
  <c r="R33" i="45"/>
  <c r="AH53" i="73"/>
  <c r="AH75" i="85"/>
  <c r="P41" i="78"/>
  <c r="R48" i="78"/>
  <c r="R37" i="81"/>
  <c r="P86" i="4"/>
  <c r="P26" i="44"/>
  <c r="P20" i="44"/>
  <c r="P25" i="43"/>
  <c r="R25" i="44"/>
  <c r="P57" i="80"/>
  <c r="P26" i="45"/>
  <c r="P20" i="45"/>
  <c r="R25" i="45"/>
  <c r="R30" i="37"/>
  <c r="P54" i="8"/>
  <c r="R43" i="8"/>
  <c r="R41" i="75"/>
  <c r="O25" i="5"/>
  <c r="O32" i="26"/>
  <c r="O26" i="26"/>
  <c r="P41" i="79"/>
  <c r="R48" i="79"/>
  <c r="R49" i="79" s="1"/>
  <c r="R37" i="83"/>
  <c r="O43" i="1"/>
  <c r="P29" i="27"/>
  <c r="R34" i="27"/>
  <c r="O32" i="27"/>
  <c r="O26" i="27"/>
  <c r="O43" i="4"/>
  <c r="P34" i="5"/>
  <c r="AI77" i="85"/>
  <c r="AG20" i="69"/>
  <c r="AG39" i="69" s="1"/>
  <c r="R41" i="77"/>
  <c r="R33" i="25"/>
  <c r="R49" i="77"/>
  <c r="R45" i="83"/>
  <c r="P30" i="26"/>
  <c r="R30" i="26" s="1"/>
  <c r="P25" i="26"/>
  <c r="R29" i="26"/>
  <c r="AI14" i="85"/>
  <c r="AI14" i="69"/>
  <c r="AG45" i="73"/>
  <c r="R45" i="76"/>
  <c r="AG67" i="85" l="1"/>
  <c r="AJ49" i="69"/>
  <c r="AI67" i="85"/>
  <c r="R35" i="27"/>
  <c r="AJ18" i="73"/>
  <c r="P20" i="43"/>
  <c r="P26" i="43"/>
  <c r="AJ40" i="85"/>
  <c r="R25" i="43"/>
  <c r="AI53" i="73"/>
  <c r="AI75" i="85"/>
  <c r="AJ55" i="73"/>
  <c r="AL30" i="73"/>
  <c r="AQ30" i="73" s="1"/>
  <c r="R49" i="78"/>
  <c r="AI39" i="69"/>
  <c r="AI45" i="73"/>
  <c r="P43" i="1"/>
  <c r="R43" i="1" s="1"/>
  <c r="R33" i="1"/>
  <c r="O32" i="5"/>
  <c r="O26" i="5"/>
  <c r="R41" i="78"/>
  <c r="P25" i="27"/>
  <c r="P30" i="27"/>
  <c r="R30" i="27" s="1"/>
  <c r="R29" i="27"/>
  <c r="P32" i="26"/>
  <c r="R32" i="26" s="1"/>
  <c r="P26" i="26"/>
  <c r="R26" i="26" s="1"/>
  <c r="R25" i="26"/>
  <c r="P29" i="5"/>
  <c r="R34" i="5"/>
  <c r="R36" i="5" s="1"/>
  <c r="R41" i="79"/>
  <c r="AL24" i="69"/>
  <c r="AJ15" i="85"/>
  <c r="AJ15" i="69"/>
  <c r="R37" i="84"/>
  <c r="R86" i="4"/>
  <c r="AJ77" i="85"/>
  <c r="AL24" i="85"/>
  <c r="P54" i="9"/>
  <c r="R54" i="9" s="1"/>
  <c r="R43" i="9"/>
  <c r="R43" i="4"/>
  <c r="P41" i="80"/>
  <c r="R57" i="80"/>
  <c r="R54" i="8"/>
  <c r="R26" i="45"/>
  <c r="R20" i="45"/>
  <c r="R26" i="44"/>
  <c r="R20" i="44"/>
  <c r="S36" i="46"/>
  <c r="AJ14" i="85" l="1"/>
  <c r="AJ14" i="69"/>
  <c r="R41" i="80"/>
  <c r="AJ49" i="85"/>
  <c r="AL49" i="85" s="1"/>
  <c r="AL40" i="85"/>
  <c r="P25" i="5"/>
  <c r="P32" i="27"/>
  <c r="R32" i="27" s="1"/>
  <c r="P26" i="27"/>
  <c r="R26" i="27" s="1"/>
  <c r="R25" i="27"/>
  <c r="R26" i="43"/>
  <c r="R20" i="43"/>
  <c r="P54" i="4"/>
  <c r="R54" i="4"/>
  <c r="AL15" i="69"/>
  <c r="AJ13" i="85"/>
  <c r="P30" i="5"/>
  <c r="AJ13" i="69"/>
  <c r="R29" i="5"/>
  <c r="AJ27" i="73"/>
  <c r="AL27" i="73" s="1"/>
  <c r="AL18" i="73"/>
  <c r="AL15" i="85"/>
  <c r="AJ47" i="69" l="1"/>
  <c r="P26" i="5"/>
  <c r="R26" i="5" s="1"/>
  <c r="P32" i="5"/>
  <c r="R32" i="5" s="1"/>
  <c r="R25" i="5"/>
  <c r="AL14" i="85"/>
  <c r="AJ75" i="85"/>
  <c r="AJ53" i="73"/>
  <c r="AJ45" i="73"/>
  <c r="R30" i="5"/>
  <c r="AL14" i="69"/>
  <c r="AJ20" i="85"/>
  <c r="AL13" i="85"/>
  <c r="AJ20" i="69"/>
  <c r="AL20" i="69" s="1"/>
  <c r="AL13" i="69"/>
  <c r="AL20" i="85" l="1"/>
  <c r="AJ67" i="85"/>
  <c r="AJ39" i="69"/>
  <c r="E38" i="4" l="1"/>
  <c r="R38" i="4" s="1"/>
  <c r="R38" i="8"/>
  <c r="E72" i="8" l="1"/>
  <c r="E39" i="8" s="1"/>
  <c r="E40" i="8" l="1"/>
  <c r="R39" i="8"/>
  <c r="E39" i="4"/>
  <c r="E40" i="4" l="1"/>
  <c r="R39" i="4"/>
  <c r="E48" i="8"/>
  <c r="R40" i="8"/>
  <c r="R48" i="8" l="1"/>
  <c r="R40" i="4"/>
  <c r="E48" i="4"/>
  <c r="Y5" i="85" l="1"/>
  <c r="E23" i="6" s="1"/>
  <c r="S23" i="6" s="1"/>
  <c r="R48" i="4"/>
  <c r="Y5" i="69"/>
  <c r="AL5" i="69" l="1"/>
  <c r="AL5" i="85"/>
  <c r="S24" i="6" l="1"/>
  <c r="P4" i="24" l="1"/>
  <c r="P6" i="24" s="1"/>
  <c r="P5" i="37" l="1"/>
  <c r="D24" i="37" l="1"/>
  <c r="R5" i="37"/>
  <c r="P7" i="82"/>
  <c r="P15" i="75" l="1"/>
  <c r="P4" i="37" l="1"/>
  <c r="P8" i="8"/>
  <c r="P13" i="78"/>
  <c r="P8" i="9"/>
  <c r="P6" i="9"/>
  <c r="P6" i="8"/>
  <c r="P4" i="25"/>
  <c r="P8" i="4" l="1"/>
  <c r="P12" i="8"/>
  <c r="P5" i="8"/>
  <c r="P12" i="9"/>
  <c r="P5" i="9"/>
  <c r="D23" i="37"/>
  <c r="P4" i="39"/>
  <c r="R4" i="37"/>
  <c r="P6" i="37"/>
  <c r="P4" i="8"/>
  <c r="P4" i="9"/>
  <c r="P6" i="4"/>
  <c r="P9" i="37"/>
  <c r="P4" i="6"/>
  <c r="P13" i="9"/>
  <c r="P5" i="4" l="1"/>
  <c r="D25" i="37"/>
  <c r="R6" i="37"/>
  <c r="D20" i="39"/>
  <c r="P12" i="39"/>
  <c r="P13" i="39"/>
  <c r="R4" i="39"/>
  <c r="P24" i="85"/>
  <c r="S24" i="85" s="1"/>
  <c r="D18" i="6"/>
  <c r="P24" i="69"/>
  <c r="S24" i="69" s="1"/>
  <c r="S4" i="6"/>
  <c r="D28" i="37"/>
  <c r="R9" i="37"/>
  <c r="D35" i="79"/>
  <c r="R13" i="79"/>
  <c r="P13" i="80"/>
  <c r="R13" i="78"/>
  <c r="P8" i="37"/>
  <c r="P11" i="37"/>
  <c r="P10" i="37"/>
  <c r="D29" i="37" l="1"/>
  <c r="R10" i="37"/>
  <c r="P12" i="37"/>
  <c r="D30" i="37"/>
  <c r="R11" i="37"/>
  <c r="P15" i="73"/>
  <c r="S15" i="73" s="1"/>
  <c r="R13" i="39"/>
  <c r="P37" i="85"/>
  <c r="D29" i="39"/>
  <c r="P15" i="37"/>
  <c r="D27" i="37"/>
  <c r="D34" i="37" s="1"/>
  <c r="R8" i="37"/>
  <c r="P13" i="37"/>
  <c r="P28" i="85"/>
  <c r="S28" i="85" s="1"/>
  <c r="D28" i="39"/>
  <c r="P10" i="46"/>
  <c r="P6" i="73"/>
  <c r="R12" i="39"/>
  <c r="P14" i="39"/>
  <c r="D35" i="80"/>
  <c r="R13" i="80"/>
  <c r="R6" i="9"/>
  <c r="R8" i="9"/>
  <c r="R5" i="9"/>
  <c r="P15" i="79"/>
  <c r="R14" i="39" l="1"/>
  <c r="D26" i="46"/>
  <c r="S10" i="46"/>
  <c r="P46" i="85"/>
  <c r="S46" i="85" s="1"/>
  <c r="S37" i="85"/>
  <c r="D30" i="39"/>
  <c r="D32" i="37"/>
  <c r="R13" i="37"/>
  <c r="D31" i="37"/>
  <c r="D35" i="37" s="1"/>
  <c r="D36" i="37" s="1"/>
  <c r="R12" i="37"/>
  <c r="P16" i="37"/>
  <c r="P17" i="37" s="1"/>
  <c r="P4" i="73"/>
  <c r="P26" i="85"/>
  <c r="R15" i="37"/>
  <c r="P8" i="46"/>
  <c r="P24" i="73"/>
  <c r="S6" i="73"/>
  <c r="R8" i="4"/>
  <c r="R8" i="8"/>
  <c r="R12" i="9"/>
  <c r="P4" i="4"/>
  <c r="R4" i="4" s="1"/>
  <c r="R4" i="8"/>
  <c r="P7" i="8"/>
  <c r="R6" i="8"/>
  <c r="P7" i="9"/>
  <c r="R4" i="9"/>
  <c r="R13" i="9"/>
  <c r="R6" i="24"/>
  <c r="P4" i="1"/>
  <c r="R4" i="24"/>
  <c r="R5" i="4"/>
  <c r="R5" i="8"/>
  <c r="R4" i="25"/>
  <c r="P6" i="25"/>
  <c r="R6" i="25" s="1"/>
  <c r="P7" i="4" l="1"/>
  <c r="D24" i="46"/>
  <c r="S8" i="46"/>
  <c r="P7" i="46"/>
  <c r="P33" i="85"/>
  <c r="S33" i="85" s="1"/>
  <c r="S26" i="85"/>
  <c r="S4" i="73"/>
  <c r="P11" i="73"/>
  <c r="S11" i="73" s="1"/>
  <c r="P13" i="73"/>
  <c r="P35" i="85"/>
  <c r="P44" i="85" s="1"/>
  <c r="R16" i="37"/>
  <c r="R17" i="37" s="1"/>
  <c r="S24" i="73"/>
  <c r="D23" i="46"/>
  <c r="D22" i="46" s="1"/>
  <c r="P9" i="9"/>
  <c r="R9" i="9" s="1"/>
  <c r="D20" i="27"/>
  <c r="P4" i="27"/>
  <c r="R7" i="9"/>
  <c r="R12" i="8"/>
  <c r="P12" i="4"/>
  <c r="R12" i="4" s="1"/>
  <c r="R4" i="1"/>
  <c r="P6" i="1"/>
  <c r="R6" i="1" s="1"/>
  <c r="R6" i="4"/>
  <c r="R7" i="8"/>
  <c r="P25" i="4"/>
  <c r="P9" i="8"/>
  <c r="R9" i="8" s="1"/>
  <c r="P4" i="26"/>
  <c r="P51" i="85" l="1"/>
  <c r="S51" i="85" s="1"/>
  <c r="S44" i="85"/>
  <c r="P6" i="46"/>
  <c r="S7" i="46"/>
  <c r="S6" i="46" s="1"/>
  <c r="P42" i="85"/>
  <c r="S42" i="85" s="1"/>
  <c r="S35" i="85"/>
  <c r="P22" i="73"/>
  <c r="P20" i="73"/>
  <c r="S20" i="73" s="1"/>
  <c r="S13" i="73"/>
  <c r="D20" i="26"/>
  <c r="R4" i="26"/>
  <c r="R4" i="27"/>
  <c r="R7" i="4"/>
  <c r="P4" i="5"/>
  <c r="P9" i="4"/>
  <c r="R9" i="4" s="1"/>
  <c r="P82" i="4"/>
  <c r="S22" i="73" l="1"/>
  <c r="P29" i="73"/>
  <c r="D20" i="5"/>
  <c r="R4" i="5"/>
  <c r="P31" i="73" l="1"/>
  <c r="P35" i="73" s="1"/>
  <c r="P36" i="73" s="1"/>
  <c r="S29" i="73"/>
  <c r="S31" i="73" s="1"/>
  <c r="D21" i="40"/>
  <c r="R8" i="40"/>
  <c r="R11" i="40" s="1"/>
  <c r="P11" i="40"/>
  <c r="P34" i="40"/>
  <c r="R34" i="40" s="1"/>
  <c r="D27" i="82" l="1"/>
  <c r="R7" i="82"/>
  <c r="P7" i="84"/>
  <c r="D27" i="84" l="1"/>
  <c r="R7" i="84"/>
  <c r="D37" i="79" l="1"/>
  <c r="R15" i="79"/>
  <c r="D37" i="75"/>
  <c r="R15" i="75"/>
  <c r="P7" i="26" l="1"/>
  <c r="P7" i="27" l="1"/>
  <c r="P15" i="78"/>
  <c r="P15" i="77"/>
  <c r="P10" i="25"/>
  <c r="R10" i="25" s="1"/>
  <c r="P21" i="9"/>
  <c r="R21" i="9" s="1"/>
  <c r="P11" i="9"/>
  <c r="R11" i="9" s="1"/>
  <c r="P21" i="8"/>
  <c r="P11" i="8"/>
  <c r="P13" i="8"/>
  <c r="P18" i="24"/>
  <c r="P10" i="24"/>
  <c r="R10" i="24" s="1"/>
  <c r="P18" i="25"/>
  <c r="R18" i="25" s="1"/>
  <c r="R18" i="24" l="1"/>
  <c r="P18" i="1"/>
  <c r="R18" i="1" s="1"/>
  <c r="D37" i="77"/>
  <c r="R15" i="77"/>
  <c r="P15" i="80"/>
  <c r="P13" i="4"/>
  <c r="R13" i="4" s="1"/>
  <c r="R13" i="8"/>
  <c r="D37" i="78"/>
  <c r="R15" i="78"/>
  <c r="R11" i="8"/>
  <c r="P11" i="4"/>
  <c r="R11" i="4" s="1"/>
  <c r="P21" i="4"/>
  <c r="R21" i="4" s="1"/>
  <c r="R21" i="8"/>
  <c r="P9" i="24"/>
  <c r="P11" i="24"/>
  <c r="P4" i="83"/>
  <c r="P4" i="82"/>
  <c r="P4" i="81"/>
  <c r="P4" i="76"/>
  <c r="P8" i="27"/>
  <c r="P8" i="26"/>
  <c r="P9" i="27"/>
  <c r="P9" i="26"/>
  <c r="P16" i="9"/>
  <c r="P17" i="9"/>
  <c r="P17" i="8"/>
  <c r="P16" i="8"/>
  <c r="P9" i="25"/>
  <c r="P11" i="25"/>
  <c r="R11" i="25" s="1"/>
  <c r="P12" i="25"/>
  <c r="R12" i="25" s="1"/>
  <c r="P12" i="24"/>
  <c r="D24" i="76" l="1"/>
  <c r="P4" i="84"/>
  <c r="P11" i="76"/>
  <c r="D31" i="76" s="1"/>
  <c r="R41" i="76"/>
  <c r="P41" i="76" s="1"/>
  <c r="R4" i="76"/>
  <c r="R12" i="24"/>
  <c r="P12" i="1"/>
  <c r="R12" i="1" s="1"/>
  <c r="P11" i="1"/>
  <c r="R11" i="1" s="1"/>
  <c r="R11" i="24"/>
  <c r="D37" i="80"/>
  <c r="R15" i="80"/>
  <c r="D24" i="81"/>
  <c r="P11" i="81"/>
  <c r="D31" i="81" s="1"/>
  <c r="R4" i="81"/>
  <c r="R41" i="81"/>
  <c r="P41" i="81" s="1"/>
  <c r="R41" i="83"/>
  <c r="P41" i="83" s="1"/>
  <c r="P29" i="45" s="1"/>
  <c r="R4" i="83"/>
  <c r="D24" i="83"/>
  <c r="P11" i="83"/>
  <c r="D31" i="83" s="1"/>
  <c r="P8" i="25"/>
  <c r="R9" i="25"/>
  <c r="P8" i="24"/>
  <c r="R8" i="24" s="1"/>
  <c r="R9" i="24"/>
  <c r="P8" i="1"/>
  <c r="D24" i="82"/>
  <c r="R4" i="82"/>
  <c r="R41" i="82"/>
  <c r="P41" i="82" s="1"/>
  <c r="P11" i="82"/>
  <c r="D31" i="82" s="1"/>
  <c r="P16" i="24"/>
  <c r="P6" i="82"/>
  <c r="P6" i="83"/>
  <c r="P6" i="81"/>
  <c r="P6" i="76"/>
  <c r="P4" i="79"/>
  <c r="P4" i="77"/>
  <c r="P4" i="78"/>
  <c r="P4" i="75"/>
  <c r="P14" i="9"/>
  <c r="P18" i="8"/>
  <c r="P23" i="8" s="1"/>
  <c r="P13" i="25"/>
  <c r="P14" i="25" s="1"/>
  <c r="R14" i="25" s="1"/>
  <c r="P13" i="24"/>
  <c r="R16" i="24" l="1"/>
  <c r="P16" i="1"/>
  <c r="R8" i="1"/>
  <c r="D26" i="83"/>
  <c r="R6" i="83"/>
  <c r="P5" i="83"/>
  <c r="P4" i="80"/>
  <c r="R45" i="75"/>
  <c r="P45" i="75" s="1"/>
  <c r="P27" i="40" s="1"/>
  <c r="R4" i="75"/>
  <c r="E46" i="80" s="1"/>
  <c r="D26" i="75"/>
  <c r="P12" i="75"/>
  <c r="P8" i="75"/>
  <c r="P14" i="8"/>
  <c r="P15" i="9"/>
  <c r="P15" i="8"/>
  <c r="P14" i="71"/>
  <c r="R14" i="71" s="1"/>
  <c r="R24" i="83"/>
  <c r="R11" i="83"/>
  <c r="R24" i="76"/>
  <c r="R11" i="76"/>
  <c r="P8" i="77"/>
  <c r="P6" i="77" s="1"/>
  <c r="R6" i="77" s="1"/>
  <c r="R28" i="77" s="1"/>
  <c r="P12" i="77"/>
  <c r="R12" i="77" s="1"/>
  <c r="D26" i="77"/>
  <c r="R4" i="77"/>
  <c r="E48" i="80" s="1"/>
  <c r="E49" i="80" s="1"/>
  <c r="R45" i="77"/>
  <c r="P45" i="77" s="1"/>
  <c r="P17" i="24"/>
  <c r="R17" i="24" s="1"/>
  <c r="R13" i="24"/>
  <c r="P13" i="1"/>
  <c r="P14" i="1" s="1"/>
  <c r="R14" i="1" s="1"/>
  <c r="P8" i="79"/>
  <c r="P6" i="79" s="1"/>
  <c r="R6" i="79" s="1"/>
  <c r="R28" i="79" s="1"/>
  <c r="D26" i="79"/>
  <c r="R45" i="79"/>
  <c r="R4" i="79"/>
  <c r="E52" i="80" s="1"/>
  <c r="E53" i="80" s="1"/>
  <c r="P12" i="79"/>
  <c r="D26" i="76"/>
  <c r="P5" i="76"/>
  <c r="R6" i="76"/>
  <c r="H41" i="83"/>
  <c r="H29" i="45" s="1"/>
  <c r="I41" i="83"/>
  <c r="I29" i="45" s="1"/>
  <c r="F41" i="83"/>
  <c r="F29" i="45" s="1"/>
  <c r="M41" i="83"/>
  <c r="M29" i="45" s="1"/>
  <c r="N41" i="83"/>
  <c r="N29" i="45" s="1"/>
  <c r="K41" i="83"/>
  <c r="K29" i="45" s="1"/>
  <c r="C41" i="83"/>
  <c r="C29" i="45" s="1"/>
  <c r="O41" i="83"/>
  <c r="O29" i="45" s="1"/>
  <c r="G41" i="83"/>
  <c r="G29" i="45" s="1"/>
  <c r="L41" i="83"/>
  <c r="L29" i="45" s="1"/>
  <c r="B41" i="83"/>
  <c r="B29" i="45" s="1"/>
  <c r="D41" i="83"/>
  <c r="D29" i="45" s="1"/>
  <c r="J41" i="83"/>
  <c r="J29" i="45" s="1"/>
  <c r="E41" i="83"/>
  <c r="E29" i="45" s="1"/>
  <c r="N41" i="76"/>
  <c r="L41" i="76"/>
  <c r="H41" i="76"/>
  <c r="K41" i="76"/>
  <c r="O41" i="76"/>
  <c r="I41" i="76"/>
  <c r="F41" i="76"/>
  <c r="M41" i="76"/>
  <c r="J41" i="76"/>
  <c r="E41" i="76"/>
  <c r="G41" i="76"/>
  <c r="C41" i="76"/>
  <c r="C29" i="44" s="1"/>
  <c r="B41" i="76"/>
  <c r="B29" i="44" s="1"/>
  <c r="D41" i="76"/>
  <c r="D29" i="44" s="1"/>
  <c r="D26" i="81"/>
  <c r="P5" i="81"/>
  <c r="R6" i="81"/>
  <c r="R26" i="81" s="1"/>
  <c r="R4" i="78"/>
  <c r="E50" i="80" s="1"/>
  <c r="E51" i="80" s="1"/>
  <c r="D26" i="78"/>
  <c r="P8" i="78"/>
  <c r="P6" i="78" s="1"/>
  <c r="R6" i="78" s="1"/>
  <c r="R28" i="78" s="1"/>
  <c r="R45" i="78"/>
  <c r="P12" i="78"/>
  <c r="R12" i="78" s="1"/>
  <c r="G41" i="82"/>
  <c r="I41" i="82"/>
  <c r="C41" i="82"/>
  <c r="E41" i="82"/>
  <c r="N41" i="82"/>
  <c r="F41" i="82"/>
  <c r="O41" i="82"/>
  <c r="B41" i="82"/>
  <c r="K41" i="82"/>
  <c r="D41" i="82"/>
  <c r="H41" i="82"/>
  <c r="M41" i="82"/>
  <c r="L41" i="82"/>
  <c r="J41" i="82"/>
  <c r="D24" i="84"/>
  <c r="R4" i="84"/>
  <c r="R11" i="84" s="1"/>
  <c r="P11" i="84"/>
  <c r="D31" i="84" s="1"/>
  <c r="R24" i="82"/>
  <c r="R11" i="82"/>
  <c r="P16" i="25"/>
  <c r="R8" i="25"/>
  <c r="F41" i="81"/>
  <c r="C41" i="81"/>
  <c r="K41" i="81"/>
  <c r="I41" i="81"/>
  <c r="D41" i="81"/>
  <c r="L41" i="81"/>
  <c r="E41" i="81"/>
  <c r="M41" i="81"/>
  <c r="O41" i="81"/>
  <c r="J41" i="81"/>
  <c r="N41" i="81"/>
  <c r="G41" i="81"/>
  <c r="H41" i="81"/>
  <c r="B41" i="81"/>
  <c r="R13" i="25"/>
  <c r="P17" i="25"/>
  <c r="R17" i="25" s="1"/>
  <c r="R6" i="82"/>
  <c r="P5" i="82"/>
  <c r="D26" i="82"/>
  <c r="R24" i="81"/>
  <c r="R11" i="81"/>
  <c r="P22" i="8"/>
  <c r="P19" i="8"/>
  <c r="P8" i="81"/>
  <c r="P8" i="82"/>
  <c r="P8" i="83"/>
  <c r="P8" i="76"/>
  <c r="P16" i="78"/>
  <c r="P16" i="77"/>
  <c r="P16" i="79"/>
  <c r="P16" i="75"/>
  <c r="P19" i="9"/>
  <c r="P22" i="9"/>
  <c r="P14" i="24"/>
  <c r="R14" i="24" s="1"/>
  <c r="P22" i="4" l="1"/>
  <c r="F28" i="79"/>
  <c r="K28" i="79"/>
  <c r="M28" i="79"/>
  <c r="I28" i="79"/>
  <c r="L28" i="79"/>
  <c r="G28" i="79"/>
  <c r="P28" i="79"/>
  <c r="H28" i="79"/>
  <c r="J28" i="79"/>
  <c r="O28" i="79"/>
  <c r="E28" i="79"/>
  <c r="N28" i="79"/>
  <c r="P19" i="25"/>
  <c r="R19" i="25" s="1"/>
  <c r="R16" i="25"/>
  <c r="P50" i="79"/>
  <c r="R50" i="79" s="1"/>
  <c r="P52" i="79"/>
  <c r="R52" i="79" s="1"/>
  <c r="R16" i="79"/>
  <c r="P5" i="79"/>
  <c r="D27" i="79" s="1"/>
  <c r="D38" i="79"/>
  <c r="R16" i="78"/>
  <c r="P5" i="78"/>
  <c r="D27" i="78" s="1"/>
  <c r="D33" i="78"/>
  <c r="P50" i="78"/>
  <c r="R50" i="78" s="1"/>
  <c r="D38" i="78"/>
  <c r="P52" i="78"/>
  <c r="R52" i="78" s="1"/>
  <c r="D28" i="81"/>
  <c r="P14" i="81"/>
  <c r="R26" i="76"/>
  <c r="E42" i="84"/>
  <c r="O45" i="79"/>
  <c r="M45" i="79"/>
  <c r="N45" i="79"/>
  <c r="G45" i="79"/>
  <c r="J45" i="79"/>
  <c r="I45" i="79"/>
  <c r="F45" i="79"/>
  <c r="L45" i="79"/>
  <c r="D45" i="79"/>
  <c r="H45" i="79"/>
  <c r="E45" i="79"/>
  <c r="C45" i="79"/>
  <c r="K45" i="79"/>
  <c r="B45" i="79"/>
  <c r="N28" i="77"/>
  <c r="O28" i="77"/>
  <c r="M28" i="77"/>
  <c r="K28" i="77"/>
  <c r="P28" i="77"/>
  <c r="I28" i="77"/>
  <c r="G28" i="77"/>
  <c r="J28" i="77"/>
  <c r="E28" i="77"/>
  <c r="H28" i="77"/>
  <c r="F28" i="77"/>
  <c r="L28" i="77"/>
  <c r="J24" i="76"/>
  <c r="P24" i="76"/>
  <c r="I24" i="76"/>
  <c r="M24" i="76"/>
  <c r="H24" i="76"/>
  <c r="F24" i="76"/>
  <c r="R31" i="76"/>
  <c r="K24" i="76"/>
  <c r="O24" i="76"/>
  <c r="E24" i="76"/>
  <c r="N24" i="76"/>
  <c r="L24" i="76"/>
  <c r="G24" i="76"/>
  <c r="T27" i="76"/>
  <c r="P6" i="75"/>
  <c r="R6" i="75" s="1"/>
  <c r="R28" i="75" s="1"/>
  <c r="P18" i="75"/>
  <c r="R18" i="75" s="1"/>
  <c r="R8" i="75"/>
  <c r="P8" i="80"/>
  <c r="P6" i="80" s="1"/>
  <c r="R6" i="80" s="1"/>
  <c r="R26" i="83"/>
  <c r="E46" i="84"/>
  <c r="E47" i="84" s="1"/>
  <c r="O45" i="78"/>
  <c r="E45" i="78"/>
  <c r="B45" i="78"/>
  <c r="N45" i="78"/>
  <c r="G45" i="78"/>
  <c r="I45" i="78"/>
  <c r="M45" i="78"/>
  <c r="C45" i="78"/>
  <c r="K45" i="78"/>
  <c r="H45" i="78"/>
  <c r="L45" i="78"/>
  <c r="J45" i="78"/>
  <c r="D45" i="78"/>
  <c r="F45" i="78"/>
  <c r="P5" i="75"/>
  <c r="D27" i="75" s="1"/>
  <c r="P16" i="80"/>
  <c r="R16" i="75"/>
  <c r="D38" i="75"/>
  <c r="P50" i="75"/>
  <c r="R50" i="75" s="1"/>
  <c r="P52" i="75"/>
  <c r="R52" i="75" s="1"/>
  <c r="D28" i="76"/>
  <c r="P14" i="76"/>
  <c r="D25" i="82"/>
  <c r="R5" i="82"/>
  <c r="J26" i="81"/>
  <c r="G26" i="81"/>
  <c r="L26" i="81"/>
  <c r="O26" i="81"/>
  <c r="M26" i="81"/>
  <c r="H26" i="81"/>
  <c r="F26" i="81"/>
  <c r="R25" i="81"/>
  <c r="E26" i="81"/>
  <c r="P26" i="81"/>
  <c r="N26" i="81"/>
  <c r="I26" i="81"/>
  <c r="K26" i="81"/>
  <c r="E48" i="84"/>
  <c r="E49" i="84" s="1"/>
  <c r="R30" i="81"/>
  <c r="D25" i="76"/>
  <c r="P5" i="84"/>
  <c r="R5" i="76"/>
  <c r="D34" i="75"/>
  <c r="R12" i="75"/>
  <c r="D28" i="82"/>
  <c r="P14" i="82"/>
  <c r="P5" i="77"/>
  <c r="D27" i="77" s="1"/>
  <c r="R16" i="77"/>
  <c r="D33" i="77"/>
  <c r="P52" i="77"/>
  <c r="R52" i="77" s="1"/>
  <c r="P50" i="77"/>
  <c r="R50" i="77" s="1"/>
  <c r="D38" i="77"/>
  <c r="D28" i="83"/>
  <c r="P14" i="83"/>
  <c r="R26" i="82"/>
  <c r="E44" i="84"/>
  <c r="E45" i="84" s="1"/>
  <c r="D25" i="81"/>
  <c r="R5" i="81"/>
  <c r="L45" i="77"/>
  <c r="K45" i="77"/>
  <c r="D45" i="77"/>
  <c r="E45" i="77"/>
  <c r="B45" i="77"/>
  <c r="C45" i="77"/>
  <c r="J45" i="77"/>
  <c r="H45" i="77"/>
  <c r="M45" i="77"/>
  <c r="O45" i="77"/>
  <c r="F45" i="77"/>
  <c r="N45" i="77"/>
  <c r="G45" i="77"/>
  <c r="I45" i="77"/>
  <c r="M24" i="83"/>
  <c r="J24" i="83"/>
  <c r="I24" i="83"/>
  <c r="F24" i="83"/>
  <c r="G24" i="83"/>
  <c r="P24" i="83"/>
  <c r="N24" i="83"/>
  <c r="H24" i="83"/>
  <c r="L24" i="83"/>
  <c r="K24" i="83"/>
  <c r="O24" i="83"/>
  <c r="E24" i="83"/>
  <c r="R31" i="83"/>
  <c r="P45" i="78"/>
  <c r="P18" i="79"/>
  <c r="R18" i="79" s="1"/>
  <c r="R8" i="79"/>
  <c r="P17" i="1"/>
  <c r="P19" i="1" s="1"/>
  <c r="R19" i="1" s="1"/>
  <c r="R13" i="1"/>
  <c r="E47" i="80"/>
  <c r="E54" i="80"/>
  <c r="E55" i="80" s="1"/>
  <c r="J28" i="78"/>
  <c r="M28" i="78"/>
  <c r="F28" i="78"/>
  <c r="O28" i="78"/>
  <c r="P28" i="78"/>
  <c r="I28" i="78"/>
  <c r="L28" i="78"/>
  <c r="N28" i="78"/>
  <c r="G28" i="78"/>
  <c r="E28" i="78"/>
  <c r="H28" i="78"/>
  <c r="K28" i="78"/>
  <c r="R12" i="79"/>
  <c r="D33" i="79"/>
  <c r="K45" i="75"/>
  <c r="K27" i="40" s="1"/>
  <c r="E45" i="75"/>
  <c r="E27" i="40" s="1"/>
  <c r="I45" i="75"/>
  <c r="I27" i="40" s="1"/>
  <c r="C45" i="75"/>
  <c r="C27" i="40" s="1"/>
  <c r="N45" i="75"/>
  <c r="N27" i="40" s="1"/>
  <c r="F45" i="75"/>
  <c r="F27" i="40" s="1"/>
  <c r="O45" i="75"/>
  <c r="O27" i="40" s="1"/>
  <c r="H45" i="75"/>
  <c r="H27" i="40" s="1"/>
  <c r="J45" i="75"/>
  <c r="J27" i="40" s="1"/>
  <c r="M45" i="75"/>
  <c r="M27" i="40" s="1"/>
  <c r="L45" i="75"/>
  <c r="L27" i="40" s="1"/>
  <c r="G45" i="75"/>
  <c r="G27" i="40" s="1"/>
  <c r="D45" i="75"/>
  <c r="D27" i="40" s="1"/>
  <c r="P4" i="69"/>
  <c r="R16" i="1"/>
  <c r="P4" i="85"/>
  <c r="M24" i="82"/>
  <c r="F24" i="82"/>
  <c r="K24" i="82"/>
  <c r="O24" i="82"/>
  <c r="L24" i="82"/>
  <c r="N24" i="82"/>
  <c r="P24" i="82"/>
  <c r="I24" i="82"/>
  <c r="J24" i="82"/>
  <c r="G24" i="82"/>
  <c r="E24" i="82"/>
  <c r="H24" i="82"/>
  <c r="R31" i="82"/>
  <c r="P18" i="78"/>
  <c r="R18" i="78" s="1"/>
  <c r="R8" i="78"/>
  <c r="P45" i="79"/>
  <c r="P18" i="77"/>
  <c r="R18" i="77" s="1"/>
  <c r="R8" i="77"/>
  <c r="P14" i="4"/>
  <c r="R14" i="8"/>
  <c r="D26" i="80"/>
  <c r="R4" i="80"/>
  <c r="P12" i="80"/>
  <c r="E24" i="81"/>
  <c r="K24" i="81"/>
  <c r="G24" i="81"/>
  <c r="P24" i="81"/>
  <c r="H24" i="81"/>
  <c r="L24" i="81"/>
  <c r="I24" i="81"/>
  <c r="O24" i="81"/>
  <c r="J24" i="81"/>
  <c r="M24" i="81"/>
  <c r="F24" i="81"/>
  <c r="N24" i="81"/>
  <c r="R31" i="81"/>
  <c r="D25" i="83"/>
  <c r="R5" i="83"/>
  <c r="P19" i="24"/>
  <c r="R19" i="24" s="1"/>
  <c r="P11" i="75"/>
  <c r="P11" i="79"/>
  <c r="P16" i="83"/>
  <c r="P10" i="81"/>
  <c r="P10" i="83"/>
  <c r="P10" i="82"/>
  <c r="P16" i="81"/>
  <c r="P16" i="82"/>
  <c r="P16" i="76"/>
  <c r="P10" i="76"/>
  <c r="P11" i="77"/>
  <c r="P11" i="78"/>
  <c r="R9" i="77" l="1"/>
  <c r="R9" i="75"/>
  <c r="R9" i="78"/>
  <c r="P17" i="75"/>
  <c r="J31" i="81"/>
  <c r="J34" i="81"/>
  <c r="E31" i="81"/>
  <c r="E34" i="81"/>
  <c r="J34" i="82"/>
  <c r="J31" i="82"/>
  <c r="M31" i="82"/>
  <c r="M34" i="82"/>
  <c r="F34" i="83"/>
  <c r="F31" i="83"/>
  <c r="P46" i="82"/>
  <c r="R46" i="82" s="1"/>
  <c r="R14" i="82"/>
  <c r="D34" i="82"/>
  <c r="P12" i="82"/>
  <c r="D32" i="82" s="1"/>
  <c r="D38" i="80"/>
  <c r="P59" i="80"/>
  <c r="R59" i="80" s="1"/>
  <c r="P5" i="80"/>
  <c r="D27" i="80" s="1"/>
  <c r="R16" i="80"/>
  <c r="R5" i="80" s="1"/>
  <c r="P7" i="85"/>
  <c r="P7" i="69"/>
  <c r="P61" i="80"/>
  <c r="R61" i="80" s="1"/>
  <c r="H34" i="76"/>
  <c r="H24" i="84"/>
  <c r="H31" i="84" s="1"/>
  <c r="H31" i="76"/>
  <c r="F26" i="76"/>
  <c r="H26" i="76"/>
  <c r="I26" i="76"/>
  <c r="I30" i="76" s="1"/>
  <c r="P26" i="76"/>
  <c r="G26" i="76"/>
  <c r="O26" i="76"/>
  <c r="J26" i="76"/>
  <c r="E26" i="76"/>
  <c r="E30" i="76" s="1"/>
  <c r="L26" i="76"/>
  <c r="K26" i="76"/>
  <c r="K30" i="76" s="1"/>
  <c r="M26" i="76"/>
  <c r="N26" i="76"/>
  <c r="R30" i="76"/>
  <c r="R25" i="76"/>
  <c r="D32" i="79"/>
  <c r="P19" i="79"/>
  <c r="O31" i="81"/>
  <c r="O34" i="81"/>
  <c r="D34" i="80"/>
  <c r="R12" i="80"/>
  <c r="I34" i="82"/>
  <c r="I31" i="82"/>
  <c r="O34" i="83"/>
  <c r="O31" i="83"/>
  <c r="I34" i="83"/>
  <c r="I31" i="83"/>
  <c r="H25" i="81"/>
  <c r="H35" i="81" s="1"/>
  <c r="H30" i="81"/>
  <c r="P46" i="76"/>
  <c r="R46" i="76" s="1"/>
  <c r="P14" i="84"/>
  <c r="D34" i="76"/>
  <c r="P12" i="76"/>
  <c r="D32" i="76" s="1"/>
  <c r="R14" i="76"/>
  <c r="L24" i="84"/>
  <c r="L31" i="84" s="1"/>
  <c r="L31" i="76"/>
  <c r="L34" i="76"/>
  <c r="M31" i="76"/>
  <c r="M34" i="76"/>
  <c r="M24" i="84"/>
  <c r="M31" i="84" s="1"/>
  <c r="P46" i="81"/>
  <c r="R46" i="81" s="1"/>
  <c r="D34" i="81"/>
  <c r="P12" i="81"/>
  <c r="D32" i="81" s="1"/>
  <c r="R14" i="81"/>
  <c r="R5" i="78"/>
  <c r="E31" i="83"/>
  <c r="E34" i="83"/>
  <c r="F25" i="81"/>
  <c r="F35" i="81" s="1"/>
  <c r="F30" i="81"/>
  <c r="G31" i="76"/>
  <c r="G34" i="76"/>
  <c r="G24" i="84"/>
  <c r="D32" i="77"/>
  <c r="P19" i="77"/>
  <c r="I31" i="81"/>
  <c r="I34" i="81"/>
  <c r="R30" i="78"/>
  <c r="R10" i="78"/>
  <c r="P34" i="82"/>
  <c r="P31" i="82"/>
  <c r="P8" i="6"/>
  <c r="S8" i="6" s="1"/>
  <c r="D22" i="6"/>
  <c r="S4" i="85"/>
  <c r="K34" i="83"/>
  <c r="K31" i="83"/>
  <c r="J34" i="83"/>
  <c r="J31" i="83"/>
  <c r="K25" i="81"/>
  <c r="K35" i="81" s="1"/>
  <c r="K30" i="81"/>
  <c r="M25" i="81"/>
  <c r="M35" i="81" s="1"/>
  <c r="M30" i="81"/>
  <c r="P7" i="75"/>
  <c r="R17" i="75"/>
  <c r="R7" i="75" s="1"/>
  <c r="F26" i="83"/>
  <c r="F30" i="83" s="1"/>
  <c r="L26" i="83"/>
  <c r="L30" i="83" s="1"/>
  <c r="N26" i="83"/>
  <c r="N30" i="83" s="1"/>
  <c r="K26" i="83"/>
  <c r="K30" i="83" s="1"/>
  <c r="J26" i="83"/>
  <c r="J30" i="83" s="1"/>
  <c r="M26" i="83"/>
  <c r="G26" i="83"/>
  <c r="O26" i="83"/>
  <c r="O30" i="83" s="1"/>
  <c r="H26" i="83"/>
  <c r="P26" i="83"/>
  <c r="I26" i="83"/>
  <c r="E26" i="83"/>
  <c r="R25" i="83"/>
  <c r="R30" i="83"/>
  <c r="N34" i="76"/>
  <c r="N24" i="84"/>
  <c r="N31" i="84" s="1"/>
  <c r="N31" i="76"/>
  <c r="I34" i="76"/>
  <c r="I24" i="84"/>
  <c r="I31" i="76"/>
  <c r="P17" i="78"/>
  <c r="I25" i="81"/>
  <c r="I35" i="81" s="1"/>
  <c r="I30" i="81"/>
  <c r="O25" i="81"/>
  <c r="O35" i="81" s="1"/>
  <c r="O30" i="81"/>
  <c r="P18" i="80"/>
  <c r="R18" i="80" s="1"/>
  <c r="P10" i="80"/>
  <c r="R8" i="80"/>
  <c r="R10" i="80" s="1"/>
  <c r="E34" i="76"/>
  <c r="E24" i="84"/>
  <c r="E31" i="76"/>
  <c r="P31" i="76"/>
  <c r="P24" i="84"/>
  <c r="P31" i="84" s="1"/>
  <c r="P34" i="76"/>
  <c r="D36" i="82"/>
  <c r="P15" i="82"/>
  <c r="R16" i="82"/>
  <c r="L34" i="83"/>
  <c r="L31" i="83"/>
  <c r="M34" i="83"/>
  <c r="M31" i="83"/>
  <c r="H31" i="81"/>
  <c r="H34" i="81"/>
  <c r="L34" i="82"/>
  <c r="L31" i="82"/>
  <c r="S4" i="69"/>
  <c r="R30" i="79"/>
  <c r="R10" i="79"/>
  <c r="H34" i="83"/>
  <c r="H31" i="83"/>
  <c r="N25" i="81"/>
  <c r="N35" i="81" s="1"/>
  <c r="N30" i="81"/>
  <c r="L25" i="81"/>
  <c r="L35" i="81" s="1"/>
  <c r="L30" i="81"/>
  <c r="R30" i="75"/>
  <c r="R10" i="75"/>
  <c r="O34" i="76"/>
  <c r="O31" i="76"/>
  <c r="O24" i="84"/>
  <c r="O31" i="84" s="1"/>
  <c r="J34" i="76"/>
  <c r="J31" i="76"/>
  <c r="J24" i="84"/>
  <c r="J31" i="84" s="1"/>
  <c r="P17" i="79"/>
  <c r="D32" i="78"/>
  <c r="P19" i="78"/>
  <c r="D30" i="76"/>
  <c r="P17" i="76"/>
  <c r="D33" i="75"/>
  <c r="P19" i="75"/>
  <c r="L31" i="81"/>
  <c r="L34" i="81"/>
  <c r="N34" i="82"/>
  <c r="N31" i="82"/>
  <c r="R17" i="1"/>
  <c r="P11" i="69"/>
  <c r="S11" i="69" s="1"/>
  <c r="P11" i="85"/>
  <c r="S11" i="85" s="1"/>
  <c r="P15" i="76"/>
  <c r="P18" i="76"/>
  <c r="R16" i="76"/>
  <c r="D36" i="76"/>
  <c r="P16" i="84"/>
  <c r="R16" i="83"/>
  <c r="D36" i="83"/>
  <c r="P15" i="83"/>
  <c r="N31" i="81"/>
  <c r="N34" i="81"/>
  <c r="P31" i="81"/>
  <c r="P34" i="81"/>
  <c r="H31" i="82"/>
  <c r="H34" i="82"/>
  <c r="O31" i="82"/>
  <c r="O34" i="82"/>
  <c r="R9" i="79"/>
  <c r="N34" i="83"/>
  <c r="N31" i="83"/>
  <c r="K26" i="82"/>
  <c r="K30" i="82" s="1"/>
  <c r="L26" i="82"/>
  <c r="F26" i="82"/>
  <c r="E26" i="82"/>
  <c r="N26" i="82"/>
  <c r="H26" i="82"/>
  <c r="G26" i="82"/>
  <c r="P26" i="82"/>
  <c r="O26" i="82"/>
  <c r="I26" i="82"/>
  <c r="J26" i="82"/>
  <c r="M26" i="82"/>
  <c r="R25" i="82"/>
  <c r="R30" i="82"/>
  <c r="P17" i="77"/>
  <c r="D25" i="84"/>
  <c r="R5" i="84"/>
  <c r="P6" i="84"/>
  <c r="P25" i="81"/>
  <c r="P35" i="81" s="1"/>
  <c r="P30" i="81"/>
  <c r="G25" i="81"/>
  <c r="G35" i="81" s="1"/>
  <c r="G30" i="81"/>
  <c r="K34" i="76"/>
  <c r="K24" i="84"/>
  <c r="K31" i="76"/>
  <c r="P15" i="81"/>
  <c r="D36" i="81"/>
  <c r="R16" i="81"/>
  <c r="F31" i="81"/>
  <c r="F34" i="81"/>
  <c r="G31" i="81"/>
  <c r="G34" i="81"/>
  <c r="E34" i="82"/>
  <c r="E31" i="82"/>
  <c r="K31" i="82"/>
  <c r="K34" i="82"/>
  <c r="P34" i="83"/>
  <c r="P31" i="83"/>
  <c r="P46" i="83"/>
  <c r="R46" i="83" s="1"/>
  <c r="R14" i="83"/>
  <c r="P12" i="83"/>
  <c r="D32" i="83" s="1"/>
  <c r="D34" i="83"/>
  <c r="R5" i="77"/>
  <c r="E25" i="81"/>
  <c r="E35" i="81" s="1"/>
  <c r="E30" i="81"/>
  <c r="J25" i="81"/>
  <c r="J35" i="81" s="1"/>
  <c r="J30" i="81"/>
  <c r="J28" i="75"/>
  <c r="O28" i="75"/>
  <c r="L28" i="75"/>
  <c r="G28" i="75"/>
  <c r="M28" i="75"/>
  <c r="K28" i="75"/>
  <c r="N28" i="75"/>
  <c r="E28" i="75"/>
  <c r="P28" i="75"/>
  <c r="H28" i="75"/>
  <c r="F28" i="75"/>
  <c r="I28" i="75"/>
  <c r="M31" i="81"/>
  <c r="M34" i="81"/>
  <c r="K31" i="81"/>
  <c r="K34" i="81"/>
  <c r="R30" i="77"/>
  <c r="R10" i="77"/>
  <c r="G34" i="82"/>
  <c r="G31" i="82"/>
  <c r="F34" i="82"/>
  <c r="F31" i="82"/>
  <c r="G31" i="83"/>
  <c r="G34" i="83"/>
  <c r="R5" i="75"/>
  <c r="F31" i="76"/>
  <c r="F24" i="84"/>
  <c r="F34" i="76"/>
  <c r="E43" i="84"/>
  <c r="E50" i="84"/>
  <c r="E51" i="84" s="1"/>
  <c r="R5" i="79"/>
  <c r="P15" i="4"/>
  <c r="K25" i="76" l="1"/>
  <c r="N25" i="83"/>
  <c r="N35" i="83" s="1"/>
  <c r="P18" i="69"/>
  <c r="S18" i="69" s="1"/>
  <c r="J25" i="83"/>
  <c r="J35" i="83" s="1"/>
  <c r="E25" i="76"/>
  <c r="K25" i="82"/>
  <c r="K35" i="82" s="1"/>
  <c r="K36" i="82" s="1"/>
  <c r="K38" i="82" s="1"/>
  <c r="J36" i="83"/>
  <c r="J38" i="83" s="1"/>
  <c r="L25" i="83"/>
  <c r="L35" i="83" s="1"/>
  <c r="L36" i="83" s="1"/>
  <c r="L38" i="83" s="1"/>
  <c r="P18" i="85"/>
  <c r="S18" i="85" s="1"/>
  <c r="R8" i="83"/>
  <c r="R12" i="83"/>
  <c r="K34" i="84"/>
  <c r="K32" i="76"/>
  <c r="K47" i="76"/>
  <c r="M47" i="83"/>
  <c r="M32" i="83"/>
  <c r="K35" i="76"/>
  <c r="N47" i="83"/>
  <c r="N32" i="83"/>
  <c r="R19" i="78"/>
  <c r="D41" i="78"/>
  <c r="D34" i="78"/>
  <c r="P20" i="78"/>
  <c r="J47" i="76"/>
  <c r="J32" i="76"/>
  <c r="J34" i="84"/>
  <c r="P7" i="78"/>
  <c r="R17" i="78"/>
  <c r="R7" i="78" s="1"/>
  <c r="N32" i="76"/>
  <c r="N34" i="84"/>
  <c r="N47" i="76"/>
  <c r="G25" i="83"/>
  <c r="G35" i="83" s="1"/>
  <c r="G36" i="83" s="1"/>
  <c r="G38" i="83" s="1"/>
  <c r="G30" i="83"/>
  <c r="G31" i="84"/>
  <c r="O47" i="83"/>
  <c r="O32" i="83"/>
  <c r="H30" i="76"/>
  <c r="H25" i="76"/>
  <c r="M25" i="83"/>
  <c r="M35" i="83" s="1"/>
  <c r="M36" i="83" s="1"/>
  <c r="M38" i="83" s="1"/>
  <c r="M30" i="83"/>
  <c r="K47" i="83"/>
  <c r="K32" i="83"/>
  <c r="P47" i="82"/>
  <c r="P32" i="82"/>
  <c r="G47" i="76"/>
  <c r="G34" i="84"/>
  <c r="G32" i="76"/>
  <c r="M32" i="76"/>
  <c r="M34" i="84"/>
  <c r="M47" i="76"/>
  <c r="P8" i="84"/>
  <c r="D28" i="84" s="1"/>
  <c r="D34" i="84"/>
  <c r="R14" i="84"/>
  <c r="P12" i="84"/>
  <c r="D32" i="84" s="1"/>
  <c r="O25" i="83"/>
  <c r="O35" i="83" s="1"/>
  <c r="O36" i="83" s="1"/>
  <c r="O38" i="83" s="1"/>
  <c r="D41" i="79"/>
  <c r="R19" i="79"/>
  <c r="P20" i="79"/>
  <c r="D42" i="79" s="1"/>
  <c r="L30" i="76"/>
  <c r="L25" i="76"/>
  <c r="F30" i="76"/>
  <c r="F25" i="76"/>
  <c r="S7" i="69"/>
  <c r="H47" i="82"/>
  <c r="H32" i="82"/>
  <c r="E35" i="76"/>
  <c r="E36" i="76" s="1"/>
  <c r="G25" i="82"/>
  <c r="G35" i="82" s="1"/>
  <c r="G36" i="82" s="1"/>
  <c r="G38" i="82" s="1"/>
  <c r="G30" i="82"/>
  <c r="E47" i="82"/>
  <c r="R34" i="82"/>
  <c r="E32" i="82"/>
  <c r="H25" i="82"/>
  <c r="H35" i="82" s="1"/>
  <c r="H36" i="82" s="1"/>
  <c r="H38" i="82" s="1"/>
  <c r="H30" i="82"/>
  <c r="P47" i="81"/>
  <c r="P32" i="81"/>
  <c r="P36" i="81"/>
  <c r="P38" i="81" s="1"/>
  <c r="N47" i="82"/>
  <c r="N32" i="82"/>
  <c r="F30" i="77"/>
  <c r="L30" i="77"/>
  <c r="O30" i="77"/>
  <c r="H30" i="77"/>
  <c r="M30" i="77"/>
  <c r="E30" i="77"/>
  <c r="N30" i="77"/>
  <c r="J30" i="77"/>
  <c r="G30" i="77"/>
  <c r="K30" i="77"/>
  <c r="P30" i="77"/>
  <c r="I30" i="77"/>
  <c r="R35" i="81"/>
  <c r="R29" i="81" s="1"/>
  <c r="P47" i="83"/>
  <c r="P32" i="83"/>
  <c r="G47" i="81"/>
  <c r="G36" i="81"/>
  <c r="G38" i="81" s="1"/>
  <c r="G32" i="81"/>
  <c r="N25" i="82"/>
  <c r="N35" i="82" s="1"/>
  <c r="N36" i="82" s="1"/>
  <c r="N38" i="82" s="1"/>
  <c r="N30" i="82"/>
  <c r="L47" i="81"/>
  <c r="L36" i="81"/>
  <c r="L38" i="81" s="1"/>
  <c r="L32" i="81"/>
  <c r="R9" i="80"/>
  <c r="K25" i="83"/>
  <c r="K35" i="83" s="1"/>
  <c r="K36" i="83" s="1"/>
  <c r="K38" i="83" s="1"/>
  <c r="D25" i="6"/>
  <c r="P11" i="6"/>
  <c r="S11" i="6" s="1"/>
  <c r="S7" i="85"/>
  <c r="R8" i="82"/>
  <c r="R12" i="82"/>
  <c r="J47" i="82"/>
  <c r="J32" i="82"/>
  <c r="P25" i="82"/>
  <c r="P35" i="82" s="1"/>
  <c r="P36" i="82" s="1"/>
  <c r="P38" i="82" s="1"/>
  <c r="P30" i="82"/>
  <c r="O47" i="81"/>
  <c r="O36" i="81"/>
  <c r="O38" i="81" s="1"/>
  <c r="O32" i="81"/>
  <c r="P7" i="77"/>
  <c r="R17" i="77"/>
  <c r="R7" i="77" s="1"/>
  <c r="G47" i="83"/>
  <c r="G32" i="83"/>
  <c r="N36" i="83"/>
  <c r="N38" i="83" s="1"/>
  <c r="L47" i="83"/>
  <c r="L32" i="83"/>
  <c r="P34" i="84"/>
  <c r="P32" i="76"/>
  <c r="P47" i="76"/>
  <c r="K47" i="81"/>
  <c r="K36" i="81"/>
  <c r="K38" i="81" s="1"/>
  <c r="K32" i="81"/>
  <c r="M25" i="82"/>
  <c r="M35" i="82" s="1"/>
  <c r="M36" i="82" s="1"/>
  <c r="M38" i="82" s="1"/>
  <c r="M30" i="82"/>
  <c r="E25" i="82"/>
  <c r="E35" i="82" s="1"/>
  <c r="E30" i="82"/>
  <c r="N47" i="81"/>
  <c r="N36" i="81"/>
  <c r="N38" i="81" s="1"/>
  <c r="N32" i="81"/>
  <c r="O32" i="76"/>
  <c r="O34" i="84"/>
  <c r="O47" i="76"/>
  <c r="H47" i="83"/>
  <c r="H32" i="83"/>
  <c r="L47" i="82"/>
  <c r="L32" i="82"/>
  <c r="I31" i="84"/>
  <c r="E25" i="83"/>
  <c r="E35" i="83" s="1"/>
  <c r="E36" i="83" s="1"/>
  <c r="E30" i="83"/>
  <c r="H30" i="78"/>
  <c r="K30" i="78"/>
  <c r="P30" i="78"/>
  <c r="M30" i="78"/>
  <c r="F30" i="78"/>
  <c r="E30" i="78"/>
  <c r="L30" i="78"/>
  <c r="I30" i="78"/>
  <c r="N30" i="78"/>
  <c r="J30" i="78"/>
  <c r="G30" i="78"/>
  <c r="O30" i="78"/>
  <c r="R8" i="81"/>
  <c r="R12" i="81"/>
  <c r="L34" i="84"/>
  <c r="L32" i="76"/>
  <c r="L47" i="76"/>
  <c r="J30" i="76"/>
  <c r="J25" i="76"/>
  <c r="E47" i="81"/>
  <c r="R34" i="81"/>
  <c r="E32" i="81"/>
  <c r="E36" i="81"/>
  <c r="R16" i="84"/>
  <c r="P8" i="69"/>
  <c r="S8" i="69" s="1"/>
  <c r="P15" i="84"/>
  <c r="P8" i="85"/>
  <c r="D36" i="84"/>
  <c r="P55" i="84"/>
  <c r="R55" i="84" s="1"/>
  <c r="F34" i="84"/>
  <c r="F32" i="76"/>
  <c r="F47" i="76"/>
  <c r="F32" i="81"/>
  <c r="F47" i="81"/>
  <c r="F36" i="81"/>
  <c r="F38" i="81" s="1"/>
  <c r="J25" i="82"/>
  <c r="J35" i="82" s="1"/>
  <c r="J36" i="82" s="1"/>
  <c r="J38" i="82" s="1"/>
  <c r="J30" i="82"/>
  <c r="F25" i="82"/>
  <c r="F35" i="82" s="1"/>
  <c r="F36" i="82" s="1"/>
  <c r="F38" i="82" s="1"/>
  <c r="F30" i="82"/>
  <c r="R15" i="76"/>
  <c r="R9" i="76" s="1"/>
  <c r="D35" i="76"/>
  <c r="P9" i="76"/>
  <c r="D29" i="76" s="1"/>
  <c r="P7" i="79"/>
  <c r="R17" i="79"/>
  <c r="R7" i="79" s="1"/>
  <c r="H47" i="81"/>
  <c r="H36" i="81"/>
  <c r="H38" i="81" s="1"/>
  <c r="H32" i="81"/>
  <c r="I47" i="76"/>
  <c r="I34" i="84"/>
  <c r="I32" i="76"/>
  <c r="I25" i="83"/>
  <c r="I35" i="83" s="1"/>
  <c r="I36" i="83" s="1"/>
  <c r="I38" i="83" s="1"/>
  <c r="I30" i="83"/>
  <c r="I47" i="81"/>
  <c r="I32" i="81"/>
  <c r="I36" i="81"/>
  <c r="I38" i="81" s="1"/>
  <c r="I47" i="82"/>
  <c r="I32" i="82"/>
  <c r="O30" i="76"/>
  <c r="O25" i="76"/>
  <c r="P17" i="80"/>
  <c r="M30" i="76"/>
  <c r="M25" i="76"/>
  <c r="G47" i="82"/>
  <c r="G32" i="82"/>
  <c r="P19" i="80"/>
  <c r="R19" i="75"/>
  <c r="D41" i="75"/>
  <c r="P20" i="75"/>
  <c r="D42" i="75" s="1"/>
  <c r="F31" i="84"/>
  <c r="M47" i="81"/>
  <c r="M32" i="81"/>
  <c r="M36" i="81"/>
  <c r="M38" i="81" s="1"/>
  <c r="K47" i="82"/>
  <c r="K32" i="82"/>
  <c r="D26" i="84"/>
  <c r="R6" i="84"/>
  <c r="I25" i="82"/>
  <c r="I35" i="82" s="1"/>
  <c r="I36" i="82" s="1"/>
  <c r="I38" i="82" s="1"/>
  <c r="I30" i="82"/>
  <c r="L25" i="82"/>
  <c r="L35" i="82" s="1"/>
  <c r="L36" i="82" s="1"/>
  <c r="L38" i="82" s="1"/>
  <c r="L30" i="82"/>
  <c r="O47" i="82"/>
  <c r="O32" i="82"/>
  <c r="D35" i="83"/>
  <c r="P9" i="83"/>
  <c r="D29" i="83" s="1"/>
  <c r="R15" i="83"/>
  <c r="R9" i="83" s="1"/>
  <c r="G30" i="75"/>
  <c r="H30" i="75"/>
  <c r="N30" i="75"/>
  <c r="P30" i="75"/>
  <c r="P26" i="75" s="1"/>
  <c r="I30" i="75"/>
  <c r="I26" i="75" s="1"/>
  <c r="K30" i="75"/>
  <c r="K26" i="75" s="1"/>
  <c r="O30" i="75"/>
  <c r="O26" i="75" s="1"/>
  <c r="L30" i="75"/>
  <c r="L26" i="75" s="1"/>
  <c r="E30" i="75"/>
  <c r="M30" i="75"/>
  <c r="F30" i="75"/>
  <c r="F26" i="75" s="1"/>
  <c r="J30" i="75"/>
  <c r="J26" i="75" s="1"/>
  <c r="J30" i="79"/>
  <c r="O30" i="79"/>
  <c r="I30" i="79"/>
  <c r="N30" i="79"/>
  <c r="K30" i="79"/>
  <c r="P30" i="79"/>
  <c r="L30" i="79"/>
  <c r="M30" i="79"/>
  <c r="H30" i="79"/>
  <c r="E30" i="79"/>
  <c r="G30" i="79"/>
  <c r="F30" i="79"/>
  <c r="D35" i="82"/>
  <c r="P9" i="82"/>
  <c r="D29" i="82" s="1"/>
  <c r="R15" i="82"/>
  <c r="R9" i="82" s="1"/>
  <c r="E31" i="84"/>
  <c r="R24" i="84"/>
  <c r="R31" i="84" s="1"/>
  <c r="I25" i="76"/>
  <c r="P25" i="83"/>
  <c r="P35" i="83" s="1"/>
  <c r="P36" i="83" s="1"/>
  <c r="P38" i="83" s="1"/>
  <c r="P30" i="83"/>
  <c r="E47" i="83"/>
  <c r="E32" i="83"/>
  <c r="R34" i="83"/>
  <c r="G30" i="76"/>
  <c r="G25" i="76"/>
  <c r="F47" i="83"/>
  <c r="F32" i="83"/>
  <c r="J32" i="81"/>
  <c r="J36" i="81"/>
  <c r="J38" i="81" s="1"/>
  <c r="J47" i="81"/>
  <c r="M47" i="82"/>
  <c r="M32" i="82"/>
  <c r="F47" i="82"/>
  <c r="F32" i="82"/>
  <c r="K31" i="84"/>
  <c r="O25" i="82"/>
  <c r="O35" i="82" s="1"/>
  <c r="O36" i="82" s="1"/>
  <c r="O38" i="82" s="1"/>
  <c r="O30" i="82"/>
  <c r="D37" i="76"/>
  <c r="D38" i="76" s="1"/>
  <c r="R17" i="76"/>
  <c r="R10" i="76" s="1"/>
  <c r="E32" i="76"/>
  <c r="E34" i="84"/>
  <c r="E47" i="76"/>
  <c r="R34" i="76"/>
  <c r="H25" i="83"/>
  <c r="H35" i="83" s="1"/>
  <c r="H36" i="83" s="1"/>
  <c r="H38" i="83" s="1"/>
  <c r="H30" i="83"/>
  <c r="J47" i="83"/>
  <c r="J32" i="83"/>
  <c r="D34" i="77"/>
  <c r="D41" i="77"/>
  <c r="R19" i="77"/>
  <c r="P20" i="77"/>
  <c r="R8" i="76"/>
  <c r="R12" i="76"/>
  <c r="I47" i="83"/>
  <c r="I32" i="83"/>
  <c r="N30" i="76"/>
  <c r="N25" i="76"/>
  <c r="P30" i="76"/>
  <c r="P25" i="76"/>
  <c r="H34" i="84"/>
  <c r="H47" i="76"/>
  <c r="H32" i="76"/>
  <c r="F25" i="83"/>
  <c r="F35" i="83" s="1"/>
  <c r="F36" i="83" s="1"/>
  <c r="F38" i="83" s="1"/>
  <c r="P19" i="4"/>
  <c r="R47" i="81" l="1"/>
  <c r="O32" i="75"/>
  <c r="O34" i="75"/>
  <c r="O38" i="75"/>
  <c r="O33" i="75"/>
  <c r="I32" i="75"/>
  <c r="I38" i="75"/>
  <c r="I34" i="75"/>
  <c r="I33" i="75"/>
  <c r="R36" i="83"/>
  <c r="R38" i="83" s="1"/>
  <c r="E38" i="83"/>
  <c r="G40" i="75"/>
  <c r="G30" i="80"/>
  <c r="O32" i="84"/>
  <c r="O28" i="84"/>
  <c r="P32" i="75"/>
  <c r="P34" i="75"/>
  <c r="P38" i="75"/>
  <c r="P33" i="75"/>
  <c r="R47" i="83"/>
  <c r="L40" i="79"/>
  <c r="L26" i="79"/>
  <c r="F40" i="75"/>
  <c r="F32" i="75"/>
  <c r="F30" i="80"/>
  <c r="N40" i="75"/>
  <c r="N30" i="80"/>
  <c r="N40" i="80" s="1"/>
  <c r="O25" i="84"/>
  <c r="O26" i="84" s="1"/>
  <c r="O35" i="76"/>
  <c r="F28" i="84"/>
  <c r="F32" i="84"/>
  <c r="L32" i="84"/>
  <c r="L28" i="84"/>
  <c r="I40" i="78"/>
  <c r="I26" i="78"/>
  <c r="E36" i="82"/>
  <c r="R35" i="82"/>
  <c r="R29" i="82" s="1"/>
  <c r="K32" i="75"/>
  <c r="K38" i="75"/>
  <c r="K34" i="75"/>
  <c r="K33" i="75"/>
  <c r="R18" i="76"/>
  <c r="N40" i="77"/>
  <c r="N26" i="77"/>
  <c r="R47" i="82"/>
  <c r="M32" i="84"/>
  <c r="M28" i="84"/>
  <c r="H40" i="75"/>
  <c r="H30" i="80"/>
  <c r="H40" i="80" s="1"/>
  <c r="R28" i="81"/>
  <c r="T33" i="81" s="1"/>
  <c r="R32" i="81"/>
  <c r="E40" i="77"/>
  <c r="E26" i="77"/>
  <c r="E32" i="77" s="1"/>
  <c r="K40" i="79"/>
  <c r="K26" i="79"/>
  <c r="I28" i="84"/>
  <c r="I32" i="84"/>
  <c r="E40" i="78"/>
  <c r="E26" i="78"/>
  <c r="E32" i="78" s="1"/>
  <c r="M40" i="77"/>
  <c r="M26" i="77"/>
  <c r="M32" i="77" s="1"/>
  <c r="H28" i="84"/>
  <c r="H32" i="84"/>
  <c r="F38" i="75"/>
  <c r="F34" i="75"/>
  <c r="F33" i="75"/>
  <c r="G25" i="84"/>
  <c r="G26" i="84" s="1"/>
  <c r="G35" i="76"/>
  <c r="I35" i="76"/>
  <c r="I25" i="84"/>
  <c r="F40" i="79"/>
  <c r="F26" i="79"/>
  <c r="F32" i="79" s="1"/>
  <c r="N40" i="79"/>
  <c r="N26" i="79"/>
  <c r="N32" i="79" s="1"/>
  <c r="L40" i="75"/>
  <c r="L32" i="75"/>
  <c r="L30" i="80"/>
  <c r="L40" i="80" s="1"/>
  <c r="D26" i="6"/>
  <c r="P12" i="6"/>
  <c r="S12" i="6" s="1"/>
  <c r="S8" i="85"/>
  <c r="J25" i="84"/>
  <c r="J26" i="84" s="1"/>
  <c r="J35" i="76"/>
  <c r="F40" i="78"/>
  <c r="F26" i="78"/>
  <c r="G26" i="75"/>
  <c r="G32" i="75" s="1"/>
  <c r="P28" i="84"/>
  <c r="P32" i="84"/>
  <c r="I40" i="77"/>
  <c r="I26" i="77"/>
  <c r="I32" i="77" s="1"/>
  <c r="H40" i="77"/>
  <c r="H26" i="77"/>
  <c r="H32" i="77" s="1"/>
  <c r="R8" i="84"/>
  <c r="R12" i="84"/>
  <c r="J28" i="84"/>
  <c r="J32" i="84"/>
  <c r="K28" i="84"/>
  <c r="K32" i="84"/>
  <c r="R11" i="75"/>
  <c r="R20" i="75"/>
  <c r="E40" i="75"/>
  <c r="E30" i="80"/>
  <c r="I40" i="79"/>
  <c r="I26" i="79"/>
  <c r="L34" i="75"/>
  <c r="L38" i="75"/>
  <c r="L33" i="75"/>
  <c r="R15" i="84"/>
  <c r="R9" i="84" s="1"/>
  <c r="P9" i="84"/>
  <c r="D29" i="84" s="1"/>
  <c r="D35" i="84"/>
  <c r="O40" i="78"/>
  <c r="O26" i="78"/>
  <c r="O32" i="78" s="1"/>
  <c r="M40" i="78"/>
  <c r="M26" i="78"/>
  <c r="M32" i="78" s="1"/>
  <c r="P40" i="77"/>
  <c r="P26" i="77"/>
  <c r="O40" i="77"/>
  <c r="O26" i="77"/>
  <c r="E25" i="84"/>
  <c r="L35" i="76"/>
  <c r="L25" i="84"/>
  <c r="L26" i="84" s="1"/>
  <c r="G32" i="84"/>
  <c r="G28" i="84"/>
  <c r="H35" i="76"/>
  <c r="H25" i="84"/>
  <c r="H26" i="84" s="1"/>
  <c r="K35" i="84"/>
  <c r="K36" i="84" s="1"/>
  <c r="K36" i="76"/>
  <c r="K38" i="76" s="1"/>
  <c r="M40" i="75"/>
  <c r="M30" i="80"/>
  <c r="M40" i="80" s="1"/>
  <c r="P14" i="85"/>
  <c r="P11" i="80"/>
  <c r="D33" i="80" s="1"/>
  <c r="D41" i="80"/>
  <c r="R19" i="80"/>
  <c r="P14" i="69"/>
  <c r="P20" i="80"/>
  <c r="P35" i="76"/>
  <c r="P25" i="84"/>
  <c r="P26" i="84" s="1"/>
  <c r="D35" i="77"/>
  <c r="D42" i="77"/>
  <c r="R28" i="76"/>
  <c r="T33" i="76" s="1"/>
  <c r="R32" i="76"/>
  <c r="G40" i="79"/>
  <c r="G26" i="79"/>
  <c r="O40" i="75"/>
  <c r="O30" i="80"/>
  <c r="R11" i="77"/>
  <c r="R20" i="77"/>
  <c r="R47" i="76"/>
  <c r="E40" i="79"/>
  <c r="E26" i="79"/>
  <c r="O40" i="79"/>
  <c r="O26" i="79"/>
  <c r="O32" i="79" s="1"/>
  <c r="K40" i="75"/>
  <c r="K30" i="80"/>
  <c r="K40" i="80" s="1"/>
  <c r="M25" i="84"/>
  <c r="M26" i="84" s="1"/>
  <c r="M35" i="76"/>
  <c r="G40" i="78"/>
  <c r="G26" i="78"/>
  <c r="P40" i="78"/>
  <c r="P26" i="78"/>
  <c r="K40" i="77"/>
  <c r="K26" i="77"/>
  <c r="K32" i="77" s="1"/>
  <c r="L40" i="77"/>
  <c r="L26" i="77"/>
  <c r="L32" i="77" s="1"/>
  <c r="E35" i="84"/>
  <c r="E36" i="84" s="1"/>
  <c r="K25" i="84"/>
  <c r="K26" i="84" s="1"/>
  <c r="H26" i="75"/>
  <c r="L40" i="78"/>
  <c r="L26" i="78"/>
  <c r="R35" i="83"/>
  <c r="R29" i="83" s="1"/>
  <c r="M26" i="75"/>
  <c r="R11" i="78"/>
  <c r="R20" i="78"/>
  <c r="F35" i="76"/>
  <c r="F25" i="84"/>
  <c r="F26" i="84" s="1"/>
  <c r="N35" i="76"/>
  <c r="N25" i="84"/>
  <c r="N26" i="84" s="1"/>
  <c r="E28" i="84"/>
  <c r="E32" i="84"/>
  <c r="R34" i="84"/>
  <c r="R28" i="83"/>
  <c r="T33" i="83" s="1"/>
  <c r="R32" i="83"/>
  <c r="H40" i="79"/>
  <c r="H26" i="79"/>
  <c r="H32" i="79" s="1"/>
  <c r="J40" i="79"/>
  <c r="J26" i="79"/>
  <c r="J32" i="79" s="1"/>
  <c r="I40" i="75"/>
  <c r="I30" i="80"/>
  <c r="J40" i="78"/>
  <c r="J26" i="78"/>
  <c r="K40" i="78"/>
  <c r="K26" i="78"/>
  <c r="K32" i="78" s="1"/>
  <c r="G40" i="77"/>
  <c r="G26" i="77"/>
  <c r="F40" i="77"/>
  <c r="F26" i="77"/>
  <c r="N32" i="84"/>
  <c r="N28" i="84"/>
  <c r="D35" i="78"/>
  <c r="D42" i="78"/>
  <c r="N26" i="75"/>
  <c r="P40" i="79"/>
  <c r="P26" i="79"/>
  <c r="P32" i="79" s="1"/>
  <c r="E38" i="76"/>
  <c r="J32" i="75"/>
  <c r="J34" i="75"/>
  <c r="J38" i="75"/>
  <c r="J33" i="75"/>
  <c r="M40" i="79"/>
  <c r="M26" i="79"/>
  <c r="J40" i="75"/>
  <c r="J30" i="80"/>
  <c r="J40" i="80" s="1"/>
  <c r="P40" i="75"/>
  <c r="P30" i="80"/>
  <c r="P7" i="80"/>
  <c r="R17" i="80"/>
  <c r="R7" i="80" s="1"/>
  <c r="R36" i="81"/>
  <c r="R38" i="81" s="1"/>
  <c r="E38" i="81"/>
  <c r="N40" i="78"/>
  <c r="N26" i="78"/>
  <c r="N32" i="78" s="1"/>
  <c r="H40" i="78"/>
  <c r="H26" i="78"/>
  <c r="J40" i="77"/>
  <c r="J26" i="77"/>
  <c r="R28" i="82"/>
  <c r="T33" i="82" s="1"/>
  <c r="R32" i="82"/>
  <c r="R11" i="79"/>
  <c r="R20" i="79"/>
  <c r="E26" i="75"/>
  <c r="E32" i="75" s="1"/>
  <c r="R35" i="76" l="1"/>
  <c r="R29" i="76" s="1"/>
  <c r="O26" i="80"/>
  <c r="AI56" i="69" s="1"/>
  <c r="L26" i="80"/>
  <c r="L33" i="80" s="1"/>
  <c r="AF56" i="69"/>
  <c r="L34" i="80"/>
  <c r="AI84" i="85"/>
  <c r="O34" i="80"/>
  <c r="O33" i="80"/>
  <c r="K51" i="75"/>
  <c r="K39" i="75"/>
  <c r="K29" i="75" s="1"/>
  <c r="K53" i="75"/>
  <c r="K42" i="75"/>
  <c r="J32" i="78"/>
  <c r="J34" i="78"/>
  <c r="J38" i="78"/>
  <c r="J33" i="78"/>
  <c r="G32" i="77"/>
  <c r="G38" i="77"/>
  <c r="G34" i="77"/>
  <c r="G33" i="77"/>
  <c r="J34" i="79"/>
  <c r="J38" i="79"/>
  <c r="J38" i="80" s="1"/>
  <c r="J33" i="79"/>
  <c r="R28" i="84"/>
  <c r="R32" i="84"/>
  <c r="P32" i="78"/>
  <c r="P38" i="78"/>
  <c r="P34" i="78"/>
  <c r="P33" i="78"/>
  <c r="O38" i="79"/>
  <c r="O34" i="79"/>
  <c r="O33" i="79"/>
  <c r="S14" i="85"/>
  <c r="P21" i="85"/>
  <c r="S21" i="85" s="1"/>
  <c r="P32" i="77"/>
  <c r="P34" i="77"/>
  <c r="P38" i="77"/>
  <c r="P33" i="77"/>
  <c r="F32" i="78"/>
  <c r="F38" i="78"/>
  <c r="F34" i="78"/>
  <c r="F33" i="78"/>
  <c r="I26" i="84"/>
  <c r="R40" i="78"/>
  <c r="R31" i="78" s="1"/>
  <c r="O40" i="80"/>
  <c r="O32" i="80"/>
  <c r="G40" i="80"/>
  <c r="J34" i="77"/>
  <c r="J38" i="77"/>
  <c r="J33" i="77"/>
  <c r="M34" i="75"/>
  <c r="M38" i="75"/>
  <c r="M26" i="80"/>
  <c r="M33" i="75"/>
  <c r="L34" i="77"/>
  <c r="L38" i="77"/>
  <c r="L33" i="77"/>
  <c r="G32" i="78"/>
  <c r="G38" i="78"/>
  <c r="G34" i="78"/>
  <c r="G33" i="78"/>
  <c r="P35" i="84"/>
  <c r="P36" i="76"/>
  <c r="P38" i="76" s="1"/>
  <c r="M32" i="75"/>
  <c r="M34" i="78"/>
  <c r="M38" i="78"/>
  <c r="M33" i="78"/>
  <c r="J35" i="84"/>
  <c r="J36" i="76"/>
  <c r="J38" i="76" s="1"/>
  <c r="N38" i="79"/>
  <c r="N34" i="79"/>
  <c r="N33" i="79"/>
  <c r="G35" i="84"/>
  <c r="G36" i="76"/>
  <c r="G38" i="76" s="1"/>
  <c r="N34" i="77"/>
  <c r="N38" i="77"/>
  <c r="N33" i="77"/>
  <c r="F40" i="80"/>
  <c r="P26" i="80"/>
  <c r="R30" i="80"/>
  <c r="E40" i="80"/>
  <c r="I34" i="77"/>
  <c r="I38" i="77"/>
  <c r="I33" i="77"/>
  <c r="I35" i="84"/>
  <c r="I36" i="84" s="1"/>
  <c r="I36" i="76"/>
  <c r="I38" i="76" s="1"/>
  <c r="J32" i="77"/>
  <c r="P34" i="79"/>
  <c r="P38" i="79"/>
  <c r="P33" i="79"/>
  <c r="H34" i="79"/>
  <c r="H38" i="79"/>
  <c r="H33" i="79"/>
  <c r="E34" i="79"/>
  <c r="E38" i="79"/>
  <c r="R26" i="79"/>
  <c r="E33" i="79"/>
  <c r="G32" i="79"/>
  <c r="G38" i="79"/>
  <c r="G34" i="79"/>
  <c r="G33" i="79"/>
  <c r="R20" i="80"/>
  <c r="D42" i="80"/>
  <c r="AF85" i="85"/>
  <c r="L30" i="84"/>
  <c r="AF57" i="69"/>
  <c r="AF61" i="69" s="1"/>
  <c r="R40" i="75"/>
  <c r="R31" i="75" s="1"/>
  <c r="AD85" i="85"/>
  <c r="AD57" i="69"/>
  <c r="J30" i="84"/>
  <c r="AA85" i="85"/>
  <c r="G30" i="84"/>
  <c r="AA57" i="69"/>
  <c r="M38" i="77"/>
  <c r="M34" i="77"/>
  <c r="M33" i="77"/>
  <c r="N32" i="77"/>
  <c r="P51" i="75"/>
  <c r="P39" i="75"/>
  <c r="P29" i="75" s="1"/>
  <c r="P53" i="75"/>
  <c r="P42" i="75"/>
  <c r="K38" i="78"/>
  <c r="K34" i="78"/>
  <c r="K33" i="78"/>
  <c r="M32" i="79"/>
  <c r="M38" i="79"/>
  <c r="M34" i="79"/>
  <c r="M33" i="79"/>
  <c r="F34" i="77"/>
  <c r="F38" i="77"/>
  <c r="F33" i="77"/>
  <c r="M35" i="84"/>
  <c r="M36" i="76"/>
  <c r="M38" i="76" s="1"/>
  <c r="R40" i="79"/>
  <c r="R31" i="79" s="1"/>
  <c r="S14" i="69"/>
  <c r="P21" i="69"/>
  <c r="S21" i="69" s="1"/>
  <c r="L35" i="84"/>
  <c r="L36" i="76"/>
  <c r="L38" i="76" s="1"/>
  <c r="K34" i="79"/>
  <c r="K38" i="79"/>
  <c r="K33" i="79"/>
  <c r="R36" i="82"/>
  <c r="R38" i="82" s="1"/>
  <c r="E38" i="82"/>
  <c r="Y8" i="85"/>
  <c r="E56" i="84"/>
  <c r="E38" i="84"/>
  <c r="Y8" i="69"/>
  <c r="P30" i="84"/>
  <c r="AJ85" i="85"/>
  <c r="AJ57" i="69"/>
  <c r="R40" i="77"/>
  <c r="R31" i="77" s="1"/>
  <c r="I39" i="75"/>
  <c r="I29" i="75" s="1"/>
  <c r="I51" i="75"/>
  <c r="I53" i="75"/>
  <c r="I42" i="75"/>
  <c r="N30" i="84"/>
  <c r="AH85" i="85"/>
  <c r="AH57" i="69"/>
  <c r="L32" i="78"/>
  <c r="L38" i="78"/>
  <c r="L34" i="78"/>
  <c r="L33" i="78"/>
  <c r="E34" i="75"/>
  <c r="E38" i="75"/>
  <c r="R26" i="75"/>
  <c r="E26" i="80"/>
  <c r="E33" i="75"/>
  <c r="H32" i="78"/>
  <c r="H34" i="78"/>
  <c r="H38" i="78"/>
  <c r="H33" i="78"/>
  <c r="J26" i="80"/>
  <c r="F32" i="77"/>
  <c r="N35" i="84"/>
  <c r="N36" i="76"/>
  <c r="N38" i="76" s="1"/>
  <c r="K34" i="77"/>
  <c r="K38" i="77"/>
  <c r="K33" i="77"/>
  <c r="M30" i="84"/>
  <c r="AG57" i="69"/>
  <c r="AG85" i="85"/>
  <c r="E32" i="79"/>
  <c r="R11" i="80"/>
  <c r="S41" i="80"/>
  <c r="K29" i="84"/>
  <c r="E29" i="84"/>
  <c r="R25" i="84"/>
  <c r="E26" i="84"/>
  <c r="O34" i="78"/>
  <c r="O38" i="78"/>
  <c r="O33" i="78"/>
  <c r="L53" i="75"/>
  <c r="L51" i="75"/>
  <c r="L39" i="75"/>
  <c r="L29" i="75" s="1"/>
  <c r="L42" i="75"/>
  <c r="F34" i="79"/>
  <c r="F38" i="79"/>
  <c r="F33" i="79"/>
  <c r="F26" i="80"/>
  <c r="K32" i="79"/>
  <c r="I38" i="78"/>
  <c r="I34" i="78"/>
  <c r="I33" i="78"/>
  <c r="L34" i="79"/>
  <c r="L38" i="79"/>
  <c r="L33" i="79"/>
  <c r="O53" i="75"/>
  <c r="O51" i="75"/>
  <c r="O39" i="75"/>
  <c r="O29" i="75" s="1"/>
  <c r="O42" i="75"/>
  <c r="P40" i="80"/>
  <c r="J51" i="75"/>
  <c r="J53" i="75"/>
  <c r="J39" i="75"/>
  <c r="J29" i="75" s="1"/>
  <c r="J42" i="75"/>
  <c r="N32" i="75"/>
  <c r="N34" i="75"/>
  <c r="N38" i="75"/>
  <c r="N26" i="80"/>
  <c r="N33" i="75"/>
  <c r="I40" i="80"/>
  <c r="Z57" i="69"/>
  <c r="Z85" i="85"/>
  <c r="F30" i="84"/>
  <c r="H32" i="75"/>
  <c r="H34" i="75"/>
  <c r="H38" i="75"/>
  <c r="H26" i="80"/>
  <c r="H33" i="75"/>
  <c r="AB85" i="85"/>
  <c r="AB57" i="69"/>
  <c r="H30" i="84"/>
  <c r="O32" i="77"/>
  <c r="O38" i="77"/>
  <c r="O34" i="77"/>
  <c r="O33" i="77"/>
  <c r="H34" i="77"/>
  <c r="H38" i="77"/>
  <c r="H33" i="77"/>
  <c r="E38" i="78"/>
  <c r="E34" i="78"/>
  <c r="R26" i="78"/>
  <c r="E33" i="78"/>
  <c r="I32" i="78"/>
  <c r="O35" i="84"/>
  <c r="O36" i="76"/>
  <c r="O38" i="76" s="1"/>
  <c r="L32" i="79"/>
  <c r="N34" i="78"/>
  <c r="N38" i="78"/>
  <c r="N33" i="78"/>
  <c r="F35" i="84"/>
  <c r="F36" i="76"/>
  <c r="K30" i="84"/>
  <c r="AE57" i="69"/>
  <c r="AE85" i="85"/>
  <c r="H35" i="84"/>
  <c r="H36" i="76"/>
  <c r="H38" i="76" s="1"/>
  <c r="I32" i="79"/>
  <c r="I38" i="79"/>
  <c r="I34" i="79"/>
  <c r="I33" i="79"/>
  <c r="AE8" i="69"/>
  <c r="AE22" i="69" s="1"/>
  <c r="AE8" i="85"/>
  <c r="K56" i="84"/>
  <c r="K38" i="84"/>
  <c r="G38" i="75"/>
  <c r="G34" i="75"/>
  <c r="G26" i="80"/>
  <c r="G32" i="80" s="1"/>
  <c r="G33" i="75"/>
  <c r="F39" i="75"/>
  <c r="F29" i="75" s="1"/>
  <c r="F51" i="75"/>
  <c r="F53" i="75"/>
  <c r="F42" i="75"/>
  <c r="R26" i="77"/>
  <c r="E38" i="77"/>
  <c r="E34" i="77"/>
  <c r="E33" i="77"/>
  <c r="K26" i="80"/>
  <c r="AI57" i="69"/>
  <c r="O30" i="84"/>
  <c r="AI85" i="85"/>
  <c r="I26" i="80"/>
  <c r="I32" i="80" s="1"/>
  <c r="L28" i="80" l="1"/>
  <c r="L32" i="80"/>
  <c r="AI90" i="85"/>
  <c r="AE41" i="69"/>
  <c r="AF84" i="85"/>
  <c r="AF90" i="85"/>
  <c r="O28" i="80"/>
  <c r="I29" i="84"/>
  <c r="I38" i="80"/>
  <c r="I62" i="80" s="1"/>
  <c r="K38" i="80"/>
  <c r="K62" i="80" s="1"/>
  <c r="R35" i="84"/>
  <c r="R29" i="84" s="1"/>
  <c r="H51" i="78"/>
  <c r="H53" i="78"/>
  <c r="H39" i="78"/>
  <c r="H29" i="78" s="1"/>
  <c r="H42" i="78"/>
  <c r="K53" i="79"/>
  <c r="K51" i="79"/>
  <c r="K39" i="79"/>
  <c r="K29" i="79" s="1"/>
  <c r="K42" i="79"/>
  <c r="M29" i="84"/>
  <c r="M36" i="84"/>
  <c r="G29" i="84"/>
  <c r="G36" i="84"/>
  <c r="J53" i="77"/>
  <c r="J39" i="77"/>
  <c r="J29" i="77" s="1"/>
  <c r="J51" i="77"/>
  <c r="J42" i="77"/>
  <c r="AC85" i="85"/>
  <c r="I30" i="84"/>
  <c r="AC57" i="69"/>
  <c r="O29" i="84"/>
  <c r="O36" i="84"/>
  <c r="F38" i="76"/>
  <c r="R36" i="76"/>
  <c r="R38" i="76" s="1"/>
  <c r="P28" i="80"/>
  <c r="P34" i="80"/>
  <c r="AJ84" i="85"/>
  <c r="AJ90" i="85" s="1"/>
  <c r="AJ56" i="69"/>
  <c r="AJ61" i="69" s="1"/>
  <c r="P33" i="80"/>
  <c r="P51" i="78"/>
  <c r="P39" i="78"/>
  <c r="P29" i="78" s="1"/>
  <c r="P53" i="78"/>
  <c r="P42" i="78"/>
  <c r="I51" i="79"/>
  <c r="I39" i="79"/>
  <c r="I29" i="79" s="1"/>
  <c r="I53" i="79"/>
  <c r="I42" i="79"/>
  <c r="Z56" i="69"/>
  <c r="Z61" i="69" s="1"/>
  <c r="Z84" i="85"/>
  <c r="Z90" i="85" s="1"/>
  <c r="F34" i="80"/>
  <c r="F28" i="80"/>
  <c r="F33" i="80"/>
  <c r="L39" i="78"/>
  <c r="L29" i="78" s="1"/>
  <c r="L53" i="78"/>
  <c r="L51" i="78"/>
  <c r="L42" i="78"/>
  <c r="F51" i="77"/>
  <c r="F53" i="77"/>
  <c r="F39" i="77"/>
  <c r="F29" i="77" s="1"/>
  <c r="F42" i="77"/>
  <c r="G51" i="79"/>
  <c r="G39" i="79"/>
  <c r="G29" i="79" s="1"/>
  <c r="G53" i="79"/>
  <c r="G42" i="79"/>
  <c r="G39" i="75"/>
  <c r="G29" i="75" s="1"/>
  <c r="G51" i="75"/>
  <c r="G53" i="75"/>
  <c r="G38" i="80"/>
  <c r="G42" i="75"/>
  <c r="P29" i="84"/>
  <c r="P36" i="84"/>
  <c r="F38" i="80"/>
  <c r="N51" i="78"/>
  <c r="N39" i="78"/>
  <c r="N29" i="78" s="1"/>
  <c r="N53" i="78"/>
  <c r="N42" i="78"/>
  <c r="N53" i="75"/>
  <c r="N51" i="75"/>
  <c r="N39" i="75"/>
  <c r="N29" i="75" s="1"/>
  <c r="N38" i="80"/>
  <c r="N42" i="75"/>
  <c r="P32" i="80"/>
  <c r="L51" i="79"/>
  <c r="L53" i="79"/>
  <c r="L39" i="79"/>
  <c r="L29" i="79" s="1"/>
  <c r="L42" i="79"/>
  <c r="F51" i="79"/>
  <c r="F53" i="79"/>
  <c r="F39" i="79"/>
  <c r="F29" i="79" s="1"/>
  <c r="F42" i="79"/>
  <c r="O53" i="78"/>
  <c r="O39" i="78"/>
  <c r="O29" i="78" s="1"/>
  <c r="O51" i="78"/>
  <c r="O42" i="78"/>
  <c r="N29" i="84"/>
  <c r="N36" i="84"/>
  <c r="E34" i="80"/>
  <c r="R26" i="80"/>
  <c r="Y84" i="85"/>
  <c r="Y56" i="69"/>
  <c r="E28" i="80"/>
  <c r="E33" i="80"/>
  <c r="E26" i="6"/>
  <c r="Y22" i="85"/>
  <c r="P38" i="80"/>
  <c r="P39" i="79"/>
  <c r="P29" i="79" s="1"/>
  <c r="P51" i="79"/>
  <c r="P53" i="79"/>
  <c r="P42" i="79"/>
  <c r="I51" i="77"/>
  <c r="I53" i="77"/>
  <c r="I39" i="77"/>
  <c r="I29" i="77" s="1"/>
  <c r="I42" i="77"/>
  <c r="M32" i="80"/>
  <c r="AG84" i="85"/>
  <c r="AG90" i="85" s="1"/>
  <c r="M34" i="80"/>
  <c r="M28" i="80"/>
  <c r="AG56" i="69"/>
  <c r="AG61" i="69" s="1"/>
  <c r="M33" i="80"/>
  <c r="F53" i="78"/>
  <c r="F51" i="78"/>
  <c r="F39" i="78"/>
  <c r="F29" i="78" s="1"/>
  <c r="F42" i="78"/>
  <c r="H32" i="80"/>
  <c r="AB84" i="85"/>
  <c r="AB90" i="85" s="1"/>
  <c r="AB56" i="69"/>
  <c r="AB61" i="69" s="1"/>
  <c r="H28" i="80"/>
  <c r="H34" i="80"/>
  <c r="H33" i="80"/>
  <c r="F32" i="80"/>
  <c r="G39" i="77"/>
  <c r="G29" i="77" s="1"/>
  <c r="G51" i="77"/>
  <c r="G53" i="77"/>
  <c r="G42" i="77"/>
  <c r="AI61" i="69"/>
  <c r="H29" i="84"/>
  <c r="H36" i="84"/>
  <c r="E39" i="78"/>
  <c r="E53" i="78"/>
  <c r="E51" i="78"/>
  <c r="R38" i="78"/>
  <c r="E42" i="78"/>
  <c r="R32" i="75"/>
  <c r="R34" i="75"/>
  <c r="R33" i="75"/>
  <c r="R34" i="79"/>
  <c r="R33" i="79"/>
  <c r="R32" i="79"/>
  <c r="N53" i="77"/>
  <c r="N51" i="77"/>
  <c r="N39" i="77"/>
  <c r="N29" i="77" s="1"/>
  <c r="N42" i="77"/>
  <c r="J29" i="84"/>
  <c r="J36" i="84"/>
  <c r="M51" i="75"/>
  <c r="M53" i="75"/>
  <c r="M39" i="75"/>
  <c r="M29" i="75" s="1"/>
  <c r="M38" i="80"/>
  <c r="M42" i="75"/>
  <c r="J51" i="78"/>
  <c r="J39" i="78"/>
  <c r="J29" i="78" s="1"/>
  <c r="J53" i="78"/>
  <c r="J42" i="78"/>
  <c r="J39" i="80"/>
  <c r="J60" i="80"/>
  <c r="J62" i="80"/>
  <c r="AD7" i="69"/>
  <c r="AD7" i="85"/>
  <c r="J27" i="80"/>
  <c r="J42" i="80"/>
  <c r="E51" i="77"/>
  <c r="E53" i="77"/>
  <c r="E39" i="77"/>
  <c r="R38" i="77"/>
  <c r="E42" i="77"/>
  <c r="Y22" i="69"/>
  <c r="Y41" i="69" s="1"/>
  <c r="H51" i="79"/>
  <c r="H53" i="79"/>
  <c r="H39" i="79"/>
  <c r="H29" i="79" s="1"/>
  <c r="H42" i="79"/>
  <c r="L51" i="77"/>
  <c r="L53" i="77"/>
  <c r="L39" i="77"/>
  <c r="L29" i="77" s="1"/>
  <c r="L42" i="77"/>
  <c r="AC56" i="69"/>
  <c r="I28" i="80"/>
  <c r="I34" i="80"/>
  <c r="AC84" i="85"/>
  <c r="I33" i="80"/>
  <c r="H39" i="75"/>
  <c r="H29" i="75" s="1"/>
  <c r="H51" i="75"/>
  <c r="H53" i="75"/>
  <c r="H38" i="80"/>
  <c r="H42" i="75"/>
  <c r="K51" i="78"/>
  <c r="K39" i="78"/>
  <c r="K29" i="78" s="1"/>
  <c r="K53" i="78"/>
  <c r="K42" i="78"/>
  <c r="AC8" i="69"/>
  <c r="AC22" i="69" s="1"/>
  <c r="AC8" i="85"/>
  <c r="I56" i="84"/>
  <c r="I38" i="84"/>
  <c r="R34" i="78"/>
  <c r="R33" i="78"/>
  <c r="R32" i="78"/>
  <c r="N32" i="80"/>
  <c r="N34" i="80"/>
  <c r="AH56" i="69"/>
  <c r="AH61" i="69" s="1"/>
  <c r="AH84" i="85"/>
  <c r="AH90" i="85" s="1"/>
  <c r="N28" i="80"/>
  <c r="N33" i="80"/>
  <c r="L29" i="84"/>
  <c r="L36" i="84"/>
  <c r="M53" i="77"/>
  <c r="M39" i="77"/>
  <c r="M29" i="77" s="1"/>
  <c r="M51" i="77"/>
  <c r="M42" i="77"/>
  <c r="N39" i="79"/>
  <c r="N29" i="79" s="1"/>
  <c r="N53" i="79"/>
  <c r="N51" i="79"/>
  <c r="N42" i="79"/>
  <c r="K32" i="80"/>
  <c r="K34" i="80"/>
  <c r="K28" i="80"/>
  <c r="AE84" i="85"/>
  <c r="AE90" i="85" s="1"/>
  <c r="AE56" i="69"/>
  <c r="AE61" i="69" s="1"/>
  <c r="K33" i="80"/>
  <c r="Y85" i="85"/>
  <c r="E30" i="84"/>
  <c r="R26" i="84"/>
  <c r="Y57" i="69"/>
  <c r="J32" i="80"/>
  <c r="AD84" i="85"/>
  <c r="AD90" i="85" s="1"/>
  <c r="J28" i="80"/>
  <c r="J34" i="80"/>
  <c r="AD56" i="69"/>
  <c r="AD61" i="69" s="1"/>
  <c r="J33" i="80"/>
  <c r="E51" i="75"/>
  <c r="E53" i="75"/>
  <c r="E39" i="75"/>
  <c r="R38" i="75"/>
  <c r="E38" i="80"/>
  <c r="E42" i="75"/>
  <c r="M51" i="79"/>
  <c r="M39" i="79"/>
  <c r="M29" i="79" s="1"/>
  <c r="M53" i="79"/>
  <c r="M42" i="79"/>
  <c r="E39" i="79"/>
  <c r="E53" i="79"/>
  <c r="E51" i="79"/>
  <c r="R38" i="79"/>
  <c r="E42" i="79"/>
  <c r="E32" i="80"/>
  <c r="G51" i="78"/>
  <c r="G39" i="78"/>
  <c r="G29" i="78" s="1"/>
  <c r="G53" i="78"/>
  <c r="G42" i="78"/>
  <c r="O53" i="79"/>
  <c r="O51" i="79"/>
  <c r="O39" i="79"/>
  <c r="O29" i="79" s="1"/>
  <c r="O42" i="79"/>
  <c r="J39" i="79"/>
  <c r="J29" i="79" s="1"/>
  <c r="J51" i="79"/>
  <c r="J53" i="79"/>
  <c r="J42" i="79"/>
  <c r="I53" i="78"/>
  <c r="I51" i="78"/>
  <c r="I39" i="78"/>
  <c r="I29" i="78" s="1"/>
  <c r="I42" i="78"/>
  <c r="G28" i="80"/>
  <c r="AA84" i="85"/>
  <c r="AA90" i="85" s="1"/>
  <c r="AA56" i="69"/>
  <c r="AA61" i="69" s="1"/>
  <c r="G34" i="80"/>
  <c r="G33" i="80"/>
  <c r="K53" i="77"/>
  <c r="K51" i="77"/>
  <c r="K39" i="77"/>
  <c r="K29" i="77" s="1"/>
  <c r="K42" i="77"/>
  <c r="R34" i="77"/>
  <c r="R33" i="77"/>
  <c r="R32" i="77"/>
  <c r="F29" i="84"/>
  <c r="F36" i="84"/>
  <c r="O39" i="77"/>
  <c r="O29" i="77" s="1"/>
  <c r="O53" i="77"/>
  <c r="O51" i="77"/>
  <c r="O42" i="77"/>
  <c r="K26" i="6"/>
  <c r="AE22" i="85"/>
  <c r="AE69" i="85" s="1"/>
  <c r="H51" i="77"/>
  <c r="H39" i="77"/>
  <c r="H29" i="77" s="1"/>
  <c r="H53" i="77"/>
  <c r="H42" i="77"/>
  <c r="O38" i="80"/>
  <c r="L38" i="80"/>
  <c r="R40" i="80"/>
  <c r="R31" i="80" s="1"/>
  <c r="M51" i="78"/>
  <c r="M39" i="78"/>
  <c r="M29" i="78" s="1"/>
  <c r="M53" i="78"/>
  <c r="M42" i="78"/>
  <c r="P51" i="77"/>
  <c r="P53" i="77"/>
  <c r="P39" i="77"/>
  <c r="P29" i="77" s="1"/>
  <c r="P42" i="77"/>
  <c r="AC41" i="69" l="1"/>
  <c r="I27" i="80"/>
  <c r="I60" i="80"/>
  <c r="I42" i="80"/>
  <c r="K39" i="80"/>
  <c r="AC7" i="69"/>
  <c r="I39" i="80"/>
  <c r="K42" i="80"/>
  <c r="AE7" i="85"/>
  <c r="AE21" i="85" s="1"/>
  <c r="AE68" i="85" s="1"/>
  <c r="K60" i="80"/>
  <c r="AL85" i="85"/>
  <c r="AC7" i="85"/>
  <c r="I25" i="6" s="1"/>
  <c r="AG91" i="85"/>
  <c r="AG62" i="69"/>
  <c r="K27" i="80"/>
  <c r="AE7" i="69"/>
  <c r="J29" i="80"/>
  <c r="AJ7" i="69"/>
  <c r="P62" i="80"/>
  <c r="P39" i="80"/>
  <c r="P29" i="80" s="1"/>
  <c r="P60" i="80"/>
  <c r="P27" i="80"/>
  <c r="AJ7" i="85"/>
  <c r="P42" i="80"/>
  <c r="AL84" i="85"/>
  <c r="Y90" i="85"/>
  <c r="AA91" i="85" s="1"/>
  <c r="M56" i="84"/>
  <c r="M38" i="84"/>
  <c r="AG8" i="85"/>
  <c r="AG8" i="69"/>
  <c r="AG22" i="69" s="1"/>
  <c r="S26" i="80"/>
  <c r="R34" i="80"/>
  <c r="R33" i="80"/>
  <c r="AF7" i="69"/>
  <c r="L39" i="80"/>
  <c r="L29" i="80" s="1"/>
  <c r="L60" i="80"/>
  <c r="AF7" i="85"/>
  <c r="L27" i="80"/>
  <c r="L62" i="80"/>
  <c r="L42" i="80"/>
  <c r="R53" i="75"/>
  <c r="R51" i="77"/>
  <c r="Y69" i="85"/>
  <c r="AI7" i="85"/>
  <c r="O39" i="80"/>
  <c r="O29" i="80" s="1"/>
  <c r="O62" i="80"/>
  <c r="O27" i="80"/>
  <c r="AI7" i="69"/>
  <c r="O60" i="80"/>
  <c r="O42" i="80"/>
  <c r="Y61" i="69"/>
  <c r="AA62" i="69" s="1"/>
  <c r="AL57" i="69"/>
  <c r="R53" i="78"/>
  <c r="AD8" i="69"/>
  <c r="AD22" i="69" s="1"/>
  <c r="AD8" i="85"/>
  <c r="AD9" i="85" s="1"/>
  <c r="J38" i="84"/>
  <c r="J56" i="84"/>
  <c r="R27" i="78"/>
  <c r="R42" i="78"/>
  <c r="S42" i="78" s="1"/>
  <c r="AH8" i="85"/>
  <c r="N38" i="84"/>
  <c r="N56" i="84"/>
  <c r="AH8" i="69"/>
  <c r="AH22" i="69" s="1"/>
  <c r="N39" i="80"/>
  <c r="N29" i="80" s="1"/>
  <c r="N60" i="80"/>
  <c r="N62" i="80"/>
  <c r="AH7" i="69"/>
  <c r="N27" i="80"/>
  <c r="AH7" i="85"/>
  <c r="N42" i="80"/>
  <c r="F39" i="80"/>
  <c r="F29" i="80" s="1"/>
  <c r="F62" i="80"/>
  <c r="Z7" i="85"/>
  <c r="F27" i="80"/>
  <c r="F60" i="80"/>
  <c r="Z7" i="69"/>
  <c r="F42" i="80"/>
  <c r="AI8" i="85"/>
  <c r="O38" i="84"/>
  <c r="AI8" i="69"/>
  <c r="AI22" i="69" s="1"/>
  <c r="O56" i="84"/>
  <c r="AC21" i="69"/>
  <c r="AC9" i="69"/>
  <c r="E29" i="75"/>
  <c r="R39" i="75"/>
  <c r="R29" i="75" s="1"/>
  <c r="R53" i="77"/>
  <c r="S26" i="84"/>
  <c r="R30" i="84"/>
  <c r="I26" i="6"/>
  <c r="AC22" i="85"/>
  <c r="AC69" i="85" s="1"/>
  <c r="AJ62" i="69"/>
  <c r="R51" i="78"/>
  <c r="P38" i="84"/>
  <c r="AJ8" i="85"/>
  <c r="P56" i="84"/>
  <c r="AJ8" i="69"/>
  <c r="AJ22" i="69" s="1"/>
  <c r="AA8" i="85"/>
  <c r="G38" i="84"/>
  <c r="G56" i="84"/>
  <c r="AA8" i="69"/>
  <c r="AA22" i="69" s="1"/>
  <c r="R27" i="75"/>
  <c r="R42" i="75"/>
  <c r="S42" i="75" s="1"/>
  <c r="E29" i="77"/>
  <c r="R39" i="77"/>
  <c r="R29" i="77" s="1"/>
  <c r="Z8" i="69"/>
  <c r="F56" i="84"/>
  <c r="Z8" i="85"/>
  <c r="F38" i="84"/>
  <c r="R36" i="84"/>
  <c r="R38" i="84" s="1"/>
  <c r="R40" i="84" s="1"/>
  <c r="R51" i="75"/>
  <c r="H27" i="80"/>
  <c r="H62" i="80"/>
  <c r="H60" i="80"/>
  <c r="H39" i="80"/>
  <c r="H29" i="80" s="1"/>
  <c r="AB7" i="69"/>
  <c r="AB7" i="85"/>
  <c r="H42" i="80"/>
  <c r="R27" i="79"/>
  <c r="R42" i="79"/>
  <c r="S42" i="79" s="1"/>
  <c r="R51" i="79"/>
  <c r="AJ91" i="85"/>
  <c r="J25" i="6"/>
  <c r="AD21" i="85"/>
  <c r="AC61" i="69"/>
  <c r="AD62" i="69" s="1"/>
  <c r="K29" i="80"/>
  <c r="AD21" i="69"/>
  <c r="AD40" i="69" s="1"/>
  <c r="R39" i="78"/>
  <c r="R29" i="78" s="1"/>
  <c r="E29" i="78"/>
  <c r="R28" i="80"/>
  <c r="R32" i="80"/>
  <c r="I29" i="80"/>
  <c r="R53" i="79"/>
  <c r="E29" i="79"/>
  <c r="R39" i="79"/>
  <c r="R29" i="79" s="1"/>
  <c r="E60" i="80"/>
  <c r="Y7" i="85"/>
  <c r="E39" i="80"/>
  <c r="Y7" i="69"/>
  <c r="E62" i="80"/>
  <c r="E27" i="80"/>
  <c r="R38" i="80"/>
  <c r="R27" i="80" s="1"/>
  <c r="E42" i="80"/>
  <c r="AF8" i="69"/>
  <c r="AF22" i="69" s="1"/>
  <c r="L56" i="84"/>
  <c r="AF8" i="85"/>
  <c r="L38" i="84"/>
  <c r="R27" i="77"/>
  <c r="R42" i="77"/>
  <c r="S42" i="77" s="1"/>
  <c r="M27" i="80"/>
  <c r="AG7" i="69"/>
  <c r="M39" i="80"/>
  <c r="M29" i="80" s="1"/>
  <c r="AG7" i="85"/>
  <c r="M62" i="80"/>
  <c r="M60" i="80"/>
  <c r="M42" i="80"/>
  <c r="H56" i="84"/>
  <c r="AB8" i="69"/>
  <c r="AB22" i="69" s="1"/>
  <c r="AB8" i="85"/>
  <c r="H38" i="84"/>
  <c r="AL56" i="69"/>
  <c r="G27" i="80"/>
  <c r="G60" i="80"/>
  <c r="G39" i="80"/>
  <c r="G29" i="80" s="1"/>
  <c r="G62" i="80"/>
  <c r="AA7" i="85"/>
  <c r="AA7" i="69"/>
  <c r="G42" i="80"/>
  <c r="AC90" i="85"/>
  <c r="AD91" i="85" s="1"/>
  <c r="AE21" i="69"/>
  <c r="AE9" i="69"/>
  <c r="AD68" i="85" l="1"/>
  <c r="AA41" i="69"/>
  <c r="AD41" i="69"/>
  <c r="AJ41" i="69"/>
  <c r="AG41" i="69"/>
  <c r="K25" i="6"/>
  <c r="K21" i="6" s="1"/>
  <c r="K20" i="6" s="1"/>
  <c r="AE40" i="69"/>
  <c r="AC9" i="85"/>
  <c r="AB41" i="69"/>
  <c r="AI41" i="69"/>
  <c r="AC21" i="85"/>
  <c r="AC68" i="85" s="1"/>
  <c r="AF41" i="69"/>
  <c r="AC40" i="69"/>
  <c r="AE9" i="85"/>
  <c r="AH41" i="69"/>
  <c r="AL90" i="85"/>
  <c r="R60" i="80"/>
  <c r="I21" i="6"/>
  <c r="I20" i="6" s="1"/>
  <c r="AD9" i="69"/>
  <c r="AL61" i="69"/>
  <c r="R39" i="80"/>
  <c r="R29" i="80" s="1"/>
  <c r="E29" i="80"/>
  <c r="AL7" i="69"/>
  <c r="Y21" i="69"/>
  <c r="Y40" i="69" s="1"/>
  <c r="Y9" i="69"/>
  <c r="AH21" i="69"/>
  <c r="AH40" i="69" s="1"/>
  <c r="AH9" i="69"/>
  <c r="R42" i="80"/>
  <c r="R44" i="80" s="1"/>
  <c r="O25" i="6"/>
  <c r="AI21" i="85"/>
  <c r="AI68" i="85" s="1"/>
  <c r="AI9" i="85"/>
  <c r="P25" i="6"/>
  <c r="AJ21" i="85"/>
  <c r="AJ9" i="85"/>
  <c r="M25" i="6"/>
  <c r="AG21" i="85"/>
  <c r="AG9" i="85"/>
  <c r="E25" i="6"/>
  <c r="AL7" i="85"/>
  <c r="Y21" i="85"/>
  <c r="Y68" i="85" s="1"/>
  <c r="Y9" i="85"/>
  <c r="P26" i="6"/>
  <c r="AJ22" i="85"/>
  <c r="AJ69" i="85" s="1"/>
  <c r="F25" i="6"/>
  <c r="Z21" i="85"/>
  <c r="Z68" i="85" s="1"/>
  <c r="Z9" i="85"/>
  <c r="L25" i="6"/>
  <c r="AF21" i="85"/>
  <c r="AF68" i="85" s="1"/>
  <c r="AF9" i="85"/>
  <c r="M26" i="6"/>
  <c r="AG22" i="85"/>
  <c r="AG69" i="85" s="1"/>
  <c r="H26" i="6"/>
  <c r="AB22" i="85"/>
  <c r="AB69" i="85" s="1"/>
  <c r="AB21" i="69"/>
  <c r="AB40" i="69" s="1"/>
  <c r="AB9" i="69"/>
  <c r="F26" i="6"/>
  <c r="Z22" i="85"/>
  <c r="AL8" i="85"/>
  <c r="H25" i="6"/>
  <c r="AB21" i="85"/>
  <c r="AB68" i="85" s="1"/>
  <c r="AB9" i="85"/>
  <c r="AA21" i="69"/>
  <c r="AA40" i="69" s="1"/>
  <c r="AA9" i="69"/>
  <c r="AG21" i="69"/>
  <c r="AG40" i="69" s="1"/>
  <c r="AG9" i="69"/>
  <c r="G25" i="6"/>
  <c r="AA21" i="85"/>
  <c r="AA9" i="85"/>
  <c r="R56" i="84"/>
  <c r="O26" i="6"/>
  <c r="AI22" i="85"/>
  <c r="AI69" i="85" s="1"/>
  <c r="J26" i="6"/>
  <c r="J21" i="6" s="1"/>
  <c r="J20" i="6" s="1"/>
  <c r="AD22" i="85"/>
  <c r="AD69" i="85" s="1"/>
  <c r="AI21" i="69"/>
  <c r="AI40" i="69" s="1"/>
  <c r="AI9" i="69"/>
  <c r="AF21" i="69"/>
  <c r="AF40" i="69" s="1"/>
  <c r="AF9" i="69"/>
  <c r="N25" i="6"/>
  <c r="AH21" i="85"/>
  <c r="AH68" i="85" s="1"/>
  <c r="AH9" i="85"/>
  <c r="AJ21" i="69"/>
  <c r="AJ40" i="69" s="1"/>
  <c r="AJ9" i="69"/>
  <c r="L26" i="6"/>
  <c r="AF22" i="85"/>
  <c r="AF69" i="85" s="1"/>
  <c r="Z22" i="69"/>
  <c r="Z41" i="69" s="1"/>
  <c r="AL8" i="69"/>
  <c r="R62" i="80"/>
  <c r="G26" i="6"/>
  <c r="AA22" i="85"/>
  <c r="AA69" i="85" s="1"/>
  <c r="Z21" i="69"/>
  <c r="Z40" i="69" s="1"/>
  <c r="Z9" i="69"/>
  <c r="N26" i="6"/>
  <c r="AH22" i="85"/>
  <c r="AH69" i="85" s="1"/>
  <c r="P9" i="5"/>
  <c r="AJ68" i="85" l="1"/>
  <c r="AG68" i="85"/>
  <c r="AA68" i="85"/>
  <c r="H21" i="6"/>
  <c r="H20" i="6" s="1"/>
  <c r="G21" i="6"/>
  <c r="G20" i="6" s="1"/>
  <c r="M21" i="6"/>
  <c r="M20" i="6" s="1"/>
  <c r="AL9" i="85"/>
  <c r="N21" i="6"/>
  <c r="N20" i="6" s="1"/>
  <c r="L21" i="6"/>
  <c r="L20" i="6" s="1"/>
  <c r="AL21" i="85"/>
  <c r="P21" i="6"/>
  <c r="P20" i="6" s="1"/>
  <c r="AL9" i="69"/>
  <c r="AO7" i="69" s="1"/>
  <c r="Z69" i="85"/>
  <c r="AL22" i="85"/>
  <c r="AL21" i="69"/>
  <c r="S26" i="6"/>
  <c r="S25" i="6"/>
  <c r="E21" i="6"/>
  <c r="E20" i="6" s="1"/>
  <c r="AL22" i="69"/>
  <c r="F21" i="6"/>
  <c r="F20" i="6" s="1"/>
  <c r="O21" i="6"/>
  <c r="O20" i="6" s="1"/>
  <c r="S21" i="6" l="1"/>
  <c r="Y38" i="6" s="1"/>
  <c r="Z38" i="6" s="1"/>
  <c r="AO8" i="69"/>
  <c r="AO8" i="85"/>
  <c r="AO4" i="85"/>
  <c r="AO6" i="85"/>
  <c r="AO5" i="85"/>
  <c r="AQ24" i="85"/>
  <c r="AO7" i="85"/>
  <c r="AQ24" i="69"/>
  <c r="AO5" i="69"/>
  <c r="AO4" i="69"/>
  <c r="AO6" i="69"/>
  <c r="Y33" i="6" l="1"/>
  <c r="Z33" i="6" s="1"/>
  <c r="Y30" i="6"/>
  <c r="Y37" i="6"/>
  <c r="Z37" i="6" s="1"/>
  <c r="S20" i="6"/>
  <c r="Y31" i="6"/>
  <c r="Z31" i="6" s="1"/>
  <c r="Y35" i="6"/>
  <c r="Z35" i="6" s="1"/>
  <c r="Y32" i="6"/>
  <c r="Z32" i="6" s="1"/>
  <c r="Y34" i="6"/>
  <c r="Z34" i="6" s="1"/>
  <c r="Y36" i="6"/>
  <c r="Z36" i="6" s="1"/>
  <c r="AO9" i="85"/>
  <c r="Z30" i="6"/>
  <c r="AO9" i="69"/>
  <c r="Y39" i="6" l="1"/>
  <c r="Z39" i="6" s="1"/>
  <c r="D30" i="82"/>
  <c r="P17" i="82"/>
  <c r="D30" i="81"/>
  <c r="P17" i="81"/>
  <c r="D30" i="83"/>
  <c r="P17" i="83"/>
  <c r="D37" i="81" l="1"/>
  <c r="D38" i="81" s="1"/>
  <c r="P18" i="81"/>
  <c r="R17" i="81"/>
  <c r="D37" i="83"/>
  <c r="D38" i="83" s="1"/>
  <c r="P18" i="83"/>
  <c r="R17" i="83"/>
  <c r="P18" i="82"/>
  <c r="R17" i="82"/>
  <c r="D37" i="82"/>
  <c r="D38" i="82" s="1"/>
  <c r="P17" i="84"/>
  <c r="R10" i="82" l="1"/>
  <c r="R18" i="82"/>
  <c r="R10" i="81"/>
  <c r="R18" i="81"/>
  <c r="P15" i="69"/>
  <c r="D37" i="84"/>
  <c r="P15" i="85"/>
  <c r="P10" i="84"/>
  <c r="D30" i="84" s="1"/>
  <c r="R17" i="84"/>
  <c r="P18" i="84"/>
  <c r="D38" i="84" s="1"/>
  <c r="R10" i="83"/>
  <c r="R18" i="83"/>
  <c r="S15" i="85" l="1"/>
  <c r="P22" i="85"/>
  <c r="S22" i="85" s="1"/>
  <c r="S15" i="69"/>
  <c r="P22" i="69"/>
  <c r="S22" i="69" s="1"/>
  <c r="R10" i="84"/>
  <c r="R18" i="84"/>
  <c r="R7" i="27" l="1"/>
  <c r="R15" i="8"/>
  <c r="R15" i="9"/>
  <c r="D25" i="26" l="1"/>
  <c r="R9" i="26"/>
  <c r="P13" i="26"/>
  <c r="R16" i="8"/>
  <c r="P16" i="4"/>
  <c r="P10" i="26"/>
  <c r="D24" i="26"/>
  <c r="R8" i="26"/>
  <c r="P6" i="26"/>
  <c r="P12" i="26"/>
  <c r="P8" i="5"/>
  <c r="D23" i="26"/>
  <c r="R7" i="26"/>
  <c r="R14" i="9"/>
  <c r="R14" i="4"/>
  <c r="R16" i="9"/>
  <c r="P12" i="5" l="1"/>
  <c r="P10" i="5"/>
  <c r="R8" i="5"/>
  <c r="D24" i="5"/>
  <c r="R16" i="4"/>
  <c r="P14" i="26"/>
  <c r="D28" i="26"/>
  <c r="R12" i="26"/>
  <c r="R9" i="27"/>
  <c r="P13" i="27"/>
  <c r="R13" i="27" s="1"/>
  <c r="D22" i="26"/>
  <c r="R6" i="26"/>
  <c r="D26" i="26"/>
  <c r="R10" i="26"/>
  <c r="P6" i="27"/>
  <c r="R6" i="27" s="1"/>
  <c r="P10" i="27"/>
  <c r="R10" i="27" s="1"/>
  <c r="R8" i="27"/>
  <c r="P12" i="27"/>
  <c r="D25" i="5"/>
  <c r="R9" i="5"/>
  <c r="P13" i="5"/>
  <c r="D29" i="26"/>
  <c r="R13" i="26"/>
  <c r="R22" i="9" l="1"/>
  <c r="P6" i="5"/>
  <c r="R17" i="8"/>
  <c r="P13" i="85"/>
  <c r="R13" i="5"/>
  <c r="D29" i="5"/>
  <c r="P13" i="69"/>
  <c r="P14" i="27"/>
  <c r="R14" i="27" s="1"/>
  <c r="R12" i="27"/>
  <c r="D26" i="5"/>
  <c r="R10" i="5"/>
  <c r="D30" i="26"/>
  <c r="R14" i="26"/>
  <c r="D28" i="5"/>
  <c r="P6" i="69"/>
  <c r="P6" i="85"/>
  <c r="P14" i="5"/>
  <c r="R12" i="5"/>
  <c r="S13" i="69" l="1"/>
  <c r="D30" i="5"/>
  <c r="R14" i="5"/>
  <c r="S13" i="85"/>
  <c r="P20" i="85"/>
  <c r="S20" i="85" s="1"/>
  <c r="P10" i="6"/>
  <c r="S10" i="6" s="1"/>
  <c r="D24" i="6"/>
  <c r="S6" i="85"/>
  <c r="P20" i="69"/>
  <c r="S20" i="69" s="1"/>
  <c r="S6" i="69"/>
  <c r="R18" i="8"/>
  <c r="R23" i="8"/>
  <c r="R22" i="8"/>
  <c r="D22" i="5"/>
  <c r="R6" i="5"/>
  <c r="P7" i="5"/>
  <c r="P5" i="85" l="1"/>
  <c r="P5" i="69"/>
  <c r="R22" i="4"/>
  <c r="R19" i="8"/>
  <c r="P24" i="8"/>
  <c r="R24" i="8" s="1"/>
  <c r="R15" i="4"/>
  <c r="D23" i="5"/>
  <c r="R7" i="5"/>
  <c r="S5" i="69" l="1"/>
  <c r="P9" i="69"/>
  <c r="S9" i="69" s="1"/>
  <c r="P9" i="6"/>
  <c r="S5" i="85"/>
  <c r="D23" i="6"/>
  <c r="D21" i="6" s="1"/>
  <c r="D20" i="6" s="1"/>
  <c r="P9" i="85"/>
  <c r="S9" i="85" s="1"/>
  <c r="S9" i="6" l="1"/>
  <c r="P7" i="6"/>
  <c r="P6" i="6" s="1"/>
  <c r="S7" i="6" l="1"/>
  <c r="S6" i="6" s="1"/>
  <c r="R17" i="9" l="1"/>
  <c r="P18" i="9"/>
  <c r="P17" i="4"/>
  <c r="P23" i="9" l="1"/>
  <c r="R23" i="9" s="1"/>
  <c r="R18" i="9"/>
  <c r="R17" i="4"/>
  <c r="P18" i="4"/>
  <c r="R19" i="4" l="1"/>
  <c r="P24" i="4"/>
  <c r="R24" i="4" s="1"/>
  <c r="R19" i="9"/>
  <c r="P24" i="9"/>
  <c r="R24" i="9" s="1"/>
  <c r="P23" i="4"/>
  <c r="R18" i="4"/>
  <c r="P12" i="85" l="1"/>
  <c r="R23" i="4"/>
  <c r="P12" i="69"/>
  <c r="S12" i="69" l="1"/>
  <c r="P16" i="69"/>
  <c r="S16" i="69" s="1"/>
  <c r="P19" i="69"/>
  <c r="P19" i="85"/>
  <c r="S12" i="85"/>
  <c r="P16" i="85"/>
  <c r="S16" i="85" s="1"/>
  <c r="S19" i="69" l="1"/>
  <c r="P23" i="69"/>
  <c r="S19" i="85"/>
  <c r="P23" i="85"/>
  <c r="P53" i="85" l="1"/>
  <c r="S23" i="85"/>
  <c r="P25" i="69"/>
  <c r="P29" i="69" s="1"/>
  <c r="P30" i="69" s="1"/>
  <c r="S23" i="69"/>
  <c r="S25" i="69" s="1"/>
  <c r="P57" i="85" l="1"/>
  <c r="P58" i="85" s="1"/>
  <c r="S53" i="85"/>
  <c r="R15" i="81" l="1"/>
  <c r="R9" i="81" s="1"/>
  <c r="D35" i="81"/>
  <c r="P9" i="81"/>
  <c r="D29" i="81" s="1"/>
  <c r="E45" i="24" l="1"/>
  <c r="H45" i="24"/>
  <c r="L45" i="24"/>
  <c r="P45" i="24"/>
  <c r="P47" i="24" l="1"/>
  <c r="P38" i="24" s="1"/>
  <c r="P32" i="24"/>
  <c r="L32" i="24"/>
  <c r="L47" i="24"/>
  <c r="L38" i="24" s="1"/>
  <c r="E32" i="24"/>
  <c r="E47" i="24"/>
  <c r="H32" i="24"/>
  <c r="H47" i="24"/>
  <c r="H38" i="24" s="1"/>
  <c r="P47" i="37"/>
  <c r="G46" i="38"/>
  <c r="E46" i="38"/>
  <c r="L46" i="38"/>
  <c r="P46" i="38"/>
  <c r="K46" i="38"/>
  <c r="H46" i="38"/>
  <c r="M46" i="38"/>
  <c r="L47" i="37"/>
  <c r="I47" i="37"/>
  <c r="H47" i="37"/>
  <c r="E51" i="25"/>
  <c r="J45" i="24"/>
  <c r="O51" i="25"/>
  <c r="N46" i="38"/>
  <c r="F46" i="38"/>
  <c r="J47" i="37"/>
  <c r="M51" i="25"/>
  <c r="O45" i="24"/>
  <c r="G45" i="24"/>
  <c r="L51" i="25"/>
  <c r="O47" i="37"/>
  <c r="G47" i="37"/>
  <c r="I45" i="24"/>
  <c r="N51" i="25"/>
  <c r="F51" i="25"/>
  <c r="E47" i="37"/>
  <c r="N45" i="24"/>
  <c r="K51" i="25"/>
  <c r="J46" i="38"/>
  <c r="N47" i="37"/>
  <c r="F47" i="37"/>
  <c r="M45" i="24"/>
  <c r="J51" i="25"/>
  <c r="I46" i="38"/>
  <c r="M47" i="37"/>
  <c r="I51" i="25"/>
  <c r="K45" i="24"/>
  <c r="P51" i="25"/>
  <c r="H51" i="25"/>
  <c r="H52" i="1" s="1"/>
  <c r="H54" i="1" s="1"/>
  <c r="O46" i="38"/>
  <c r="K47" i="37"/>
  <c r="P29" i="37" l="1"/>
  <c r="P31" i="37" s="1"/>
  <c r="P32" i="37" s="1"/>
  <c r="P49" i="37"/>
  <c r="P35" i="37" s="1"/>
  <c r="O32" i="38"/>
  <c r="O48" i="38"/>
  <c r="K32" i="25"/>
  <c r="K34" i="25" s="1"/>
  <c r="K35" i="25" s="1"/>
  <c r="K53" i="25"/>
  <c r="K38" i="25" s="1"/>
  <c r="K40" i="25" s="1"/>
  <c r="E52" i="1"/>
  <c r="E54" i="1" s="1"/>
  <c r="E32" i="25"/>
  <c r="E53" i="25"/>
  <c r="H34" i="24"/>
  <c r="H35" i="24" s="1"/>
  <c r="H32" i="1"/>
  <c r="H53" i="25"/>
  <c r="H38" i="25" s="1"/>
  <c r="H40" i="25" s="1"/>
  <c r="H32" i="25"/>
  <c r="H34" i="25" s="1"/>
  <c r="H35" i="25" s="1"/>
  <c r="I29" i="37"/>
  <c r="I31" i="37" s="1"/>
  <c r="I32" i="37" s="1"/>
  <c r="I49" i="37"/>
  <c r="I35" i="37" s="1"/>
  <c r="L49" i="37"/>
  <c r="L35" i="37" s="1"/>
  <c r="L29" i="37"/>
  <c r="L31" i="37" s="1"/>
  <c r="L32" i="37" s="1"/>
  <c r="E34" i="24"/>
  <c r="I53" i="25"/>
  <c r="I38" i="25" s="1"/>
  <c r="I40" i="25" s="1"/>
  <c r="I32" i="25"/>
  <c r="I34" i="25" s="1"/>
  <c r="I35" i="25" s="1"/>
  <c r="F53" i="25"/>
  <c r="F38" i="25" s="1"/>
  <c r="F40" i="25" s="1"/>
  <c r="F32" i="25"/>
  <c r="F34" i="25" s="1"/>
  <c r="F35" i="25" s="1"/>
  <c r="M49" i="37"/>
  <c r="M35" i="37" s="1"/>
  <c r="M29" i="37"/>
  <c r="M31" i="37" s="1"/>
  <c r="M32" i="37" s="1"/>
  <c r="N53" i="25"/>
  <c r="N38" i="25" s="1"/>
  <c r="N40" i="25" s="1"/>
  <c r="N32" i="25"/>
  <c r="N34" i="25" s="1"/>
  <c r="N35" i="25" s="1"/>
  <c r="O53" i="25"/>
  <c r="O38" i="25" s="1"/>
  <c r="O40" i="25" s="1"/>
  <c r="O32" i="25"/>
  <c r="O34" i="25" s="1"/>
  <c r="O35" i="25" s="1"/>
  <c r="H32" i="38"/>
  <c r="H48" i="38"/>
  <c r="L40" i="24"/>
  <c r="F29" i="37"/>
  <c r="F31" i="37" s="1"/>
  <c r="F32" i="37" s="1"/>
  <c r="F49" i="37"/>
  <c r="F35" i="37" s="1"/>
  <c r="L32" i="25"/>
  <c r="L34" i="25" s="1"/>
  <c r="L35" i="25" s="1"/>
  <c r="L53" i="25"/>
  <c r="L38" i="25" s="1"/>
  <c r="L40" i="25" s="1"/>
  <c r="J48" i="38"/>
  <c r="J32" i="38"/>
  <c r="H49" i="37"/>
  <c r="H35" i="37" s="1"/>
  <c r="H29" i="37"/>
  <c r="H31" i="37" s="1"/>
  <c r="H32" i="37" s="1"/>
  <c r="N47" i="24"/>
  <c r="N38" i="24" s="1"/>
  <c r="N32" i="24"/>
  <c r="N52" i="1"/>
  <c r="N54" i="1" s="1"/>
  <c r="N32" i="38"/>
  <c r="N48" i="38"/>
  <c r="I32" i="38"/>
  <c r="I48" i="38"/>
  <c r="I52" i="1"/>
  <c r="I54" i="1" s="1"/>
  <c r="I47" i="24"/>
  <c r="I38" i="24" s="1"/>
  <c r="I32" i="24"/>
  <c r="J52" i="1"/>
  <c r="J54" i="1" s="1"/>
  <c r="J47" i="24"/>
  <c r="J38" i="24" s="1"/>
  <c r="J32" i="24"/>
  <c r="K48" i="38"/>
  <c r="K32" i="38"/>
  <c r="L34" i="24"/>
  <c r="L35" i="24" s="1"/>
  <c r="E48" i="38"/>
  <c r="E32" i="38"/>
  <c r="R46" i="38"/>
  <c r="K49" i="37"/>
  <c r="K35" i="37" s="1"/>
  <c r="K29" i="37"/>
  <c r="K31" i="37" s="1"/>
  <c r="K32" i="37" s="1"/>
  <c r="H40" i="24"/>
  <c r="M53" i="25"/>
  <c r="M38" i="25" s="1"/>
  <c r="M40" i="25" s="1"/>
  <c r="M32" i="25"/>
  <c r="M34" i="25" s="1"/>
  <c r="M35" i="25" s="1"/>
  <c r="F48" i="38"/>
  <c r="F32" i="38"/>
  <c r="E38" i="24"/>
  <c r="K47" i="24"/>
  <c r="K38" i="24" s="1"/>
  <c r="K32" i="24"/>
  <c r="K52" i="1"/>
  <c r="K54" i="1" s="1"/>
  <c r="M32" i="38"/>
  <c r="M48" i="38"/>
  <c r="L52" i="1"/>
  <c r="L54" i="1" s="1"/>
  <c r="J32" i="25"/>
  <c r="J34" i="25" s="1"/>
  <c r="J35" i="25" s="1"/>
  <c r="J53" i="25"/>
  <c r="J38" i="25" s="1"/>
  <c r="J40" i="25" s="1"/>
  <c r="G49" i="37"/>
  <c r="G35" i="37" s="1"/>
  <c r="G29" i="37"/>
  <c r="G31" i="37" s="1"/>
  <c r="G32" i="37" s="1"/>
  <c r="P32" i="38"/>
  <c r="P48" i="38"/>
  <c r="P34" i="24"/>
  <c r="P35" i="24" s="1"/>
  <c r="N29" i="37"/>
  <c r="N31" i="37" s="1"/>
  <c r="N32" i="37" s="1"/>
  <c r="N49" i="37"/>
  <c r="N35" i="37" s="1"/>
  <c r="G47" i="24"/>
  <c r="G38" i="24" s="1"/>
  <c r="G32" i="24"/>
  <c r="O47" i="24"/>
  <c r="O38" i="24" s="1"/>
  <c r="O32" i="24"/>
  <c r="O52" i="1"/>
  <c r="O54" i="1" s="1"/>
  <c r="J29" i="37"/>
  <c r="J31" i="37" s="1"/>
  <c r="J32" i="37" s="1"/>
  <c r="J49" i="37"/>
  <c r="J35" i="37" s="1"/>
  <c r="P52" i="1"/>
  <c r="P54" i="1" s="1"/>
  <c r="P32" i="25"/>
  <c r="P34" i="25" s="1"/>
  <c r="P35" i="25" s="1"/>
  <c r="P53" i="25"/>
  <c r="P38" i="25" s="1"/>
  <c r="P40" i="25" s="1"/>
  <c r="E29" i="37"/>
  <c r="E49" i="37"/>
  <c r="R47" i="37"/>
  <c r="M47" i="24"/>
  <c r="M38" i="24" s="1"/>
  <c r="M32" i="24"/>
  <c r="M52" i="1"/>
  <c r="M54" i="1" s="1"/>
  <c r="O49" i="37"/>
  <c r="O35" i="37" s="1"/>
  <c r="O29" i="37"/>
  <c r="O31" i="37" s="1"/>
  <c r="O32" i="37" s="1"/>
  <c r="L32" i="38"/>
  <c r="L48" i="38"/>
  <c r="G48" i="38"/>
  <c r="G32" i="38"/>
  <c r="P38" i="1"/>
  <c r="P40" i="24"/>
  <c r="G51" i="25"/>
  <c r="G52" i="1" s="1"/>
  <c r="G54" i="1" s="1"/>
  <c r="F45" i="24"/>
  <c r="H38" i="1" l="1"/>
  <c r="L32" i="1"/>
  <c r="R51" i="25"/>
  <c r="L38" i="1"/>
  <c r="R48" i="38"/>
  <c r="R49" i="38" s="1"/>
  <c r="E39" i="38"/>
  <c r="Z13" i="73"/>
  <c r="F36" i="37"/>
  <c r="Z35" i="85"/>
  <c r="E40" i="24"/>
  <c r="N34" i="38"/>
  <c r="N35" i="38" s="1"/>
  <c r="N39" i="38"/>
  <c r="AI13" i="73"/>
  <c r="AI35" i="85"/>
  <c r="O36" i="37"/>
  <c r="O34" i="24"/>
  <c r="O35" i="24" s="1"/>
  <c r="O32" i="1"/>
  <c r="E38" i="25"/>
  <c r="E38" i="1" s="1"/>
  <c r="E32" i="1"/>
  <c r="E34" i="25"/>
  <c r="N40" i="24"/>
  <c r="N38" i="1"/>
  <c r="AJ11" i="69"/>
  <c r="P40" i="1"/>
  <c r="AJ43" i="73" s="1"/>
  <c r="AJ11" i="85"/>
  <c r="E31" i="37"/>
  <c r="R29" i="37"/>
  <c r="N36" i="37"/>
  <c r="AH35" i="85"/>
  <c r="AH13" i="73"/>
  <c r="I34" i="24"/>
  <c r="I35" i="24" s="1"/>
  <c r="I32" i="1"/>
  <c r="AC35" i="85"/>
  <c r="AC13" i="73"/>
  <c r="I36" i="37"/>
  <c r="O39" i="38"/>
  <c r="O34" i="38"/>
  <c r="O35" i="38" s="1"/>
  <c r="P34" i="38"/>
  <c r="P35" i="38" s="1"/>
  <c r="P39" i="38"/>
  <c r="H42" i="1"/>
  <c r="H34" i="1"/>
  <c r="H35" i="1" s="1"/>
  <c r="L42" i="1"/>
  <c r="L34" i="1"/>
  <c r="L35" i="1" s="1"/>
  <c r="AA13" i="73"/>
  <c r="G36" i="37"/>
  <c r="AA35" i="85"/>
  <c r="H39" i="38"/>
  <c r="H34" i="38"/>
  <c r="H35" i="38" s="1"/>
  <c r="J34" i="24"/>
  <c r="J35" i="24" s="1"/>
  <c r="J32" i="1"/>
  <c r="G32" i="25"/>
  <c r="G34" i="25" s="1"/>
  <c r="G35" i="25" s="1"/>
  <c r="G53" i="25"/>
  <c r="G38" i="25" s="1"/>
  <c r="G40" i="25" s="1"/>
  <c r="R49" i="37"/>
  <c r="E35" i="37"/>
  <c r="K36" i="37"/>
  <c r="AE13" i="73"/>
  <c r="AE35" i="85"/>
  <c r="I40" i="24"/>
  <c r="I38" i="1"/>
  <c r="J34" i="38"/>
  <c r="J35" i="38" s="1"/>
  <c r="J39" i="38"/>
  <c r="AF11" i="69"/>
  <c r="L40" i="1"/>
  <c r="AF43" i="73" s="1"/>
  <c r="AF11" i="85"/>
  <c r="O38" i="1"/>
  <c r="O40" i="24"/>
  <c r="G34" i="24"/>
  <c r="G35" i="24" s="1"/>
  <c r="G32" i="1"/>
  <c r="J40" i="24"/>
  <c r="J38" i="1"/>
  <c r="M34" i="38"/>
  <c r="M35" i="38" s="1"/>
  <c r="M39" i="38"/>
  <c r="H40" i="1"/>
  <c r="AB43" i="73" s="1"/>
  <c r="AB11" i="69"/>
  <c r="AB11" i="85"/>
  <c r="AB35" i="85"/>
  <c r="AB13" i="73"/>
  <c r="H36" i="37"/>
  <c r="G34" i="38"/>
  <c r="G35" i="38" s="1"/>
  <c r="G39" i="38"/>
  <c r="P32" i="1"/>
  <c r="K34" i="24"/>
  <c r="K35" i="24" s="1"/>
  <c r="K32" i="1"/>
  <c r="P36" i="37"/>
  <c r="AJ35" i="85"/>
  <c r="AJ13" i="73"/>
  <c r="AD35" i="85"/>
  <c r="AD13" i="73"/>
  <c r="J36" i="37"/>
  <c r="F34" i="38"/>
  <c r="F35" i="38" s="1"/>
  <c r="F39" i="38"/>
  <c r="F52" i="1"/>
  <c r="F54" i="1" s="1"/>
  <c r="F47" i="24"/>
  <c r="F32" i="24"/>
  <c r="R45" i="24"/>
  <c r="M32" i="1"/>
  <c r="M34" i="24"/>
  <c r="M35" i="24" s="1"/>
  <c r="K39" i="38"/>
  <c r="K34" i="38"/>
  <c r="K35" i="38" s="1"/>
  <c r="N34" i="24"/>
  <c r="N35" i="24" s="1"/>
  <c r="N32" i="1"/>
  <c r="M40" i="24"/>
  <c r="M38" i="1"/>
  <c r="E35" i="24"/>
  <c r="G40" i="24"/>
  <c r="G38" i="1"/>
  <c r="L36" i="37"/>
  <c r="AF13" i="73"/>
  <c r="AF35" i="85"/>
  <c r="L34" i="38"/>
  <c r="L35" i="38" s="1"/>
  <c r="L39" i="38"/>
  <c r="K40" i="24"/>
  <c r="K38" i="1"/>
  <c r="E34" i="38"/>
  <c r="R32" i="38"/>
  <c r="I39" i="38"/>
  <c r="I34" i="38"/>
  <c r="I35" i="38" s="1"/>
  <c r="AG35" i="85"/>
  <c r="M36" i="37"/>
  <c r="AG13" i="73"/>
  <c r="R32" i="25" l="1"/>
  <c r="M42" i="1"/>
  <c r="M34" i="1"/>
  <c r="M35" i="1" s="1"/>
  <c r="O40" i="38"/>
  <c r="AI14" i="73"/>
  <c r="AI23" i="73" s="1"/>
  <c r="AI36" i="85"/>
  <c r="AI45" i="85" s="1"/>
  <c r="AB14" i="73"/>
  <c r="AB23" i="73" s="1"/>
  <c r="H40" i="38"/>
  <c r="AB43" i="69" s="1"/>
  <c r="AB36" i="85"/>
  <c r="AB45" i="85" s="1"/>
  <c r="AH14" i="73"/>
  <c r="AH23" i="73" s="1"/>
  <c r="AH36" i="85"/>
  <c r="AH45" i="85" s="1"/>
  <c r="N40" i="38"/>
  <c r="G42" i="1"/>
  <c r="G34" i="1"/>
  <c r="G35" i="1" s="1"/>
  <c r="AE22" i="73"/>
  <c r="AE42" i="69" s="1"/>
  <c r="AA22" i="73"/>
  <c r="AA48" i="73" s="1"/>
  <c r="E35" i="25"/>
  <c r="R35" i="25" s="1"/>
  <c r="R34" i="25"/>
  <c r="E34" i="1"/>
  <c r="E42" i="1"/>
  <c r="AH44" i="85"/>
  <c r="AF14" i="73"/>
  <c r="AF23" i="73" s="1"/>
  <c r="L40" i="38"/>
  <c r="AF43" i="69" s="1"/>
  <c r="AF36" i="85"/>
  <c r="AF45" i="85" s="1"/>
  <c r="AD22" i="73"/>
  <c r="AD42" i="69" s="1"/>
  <c r="AB44" i="85"/>
  <c r="AF18" i="85"/>
  <c r="AF65" i="85" s="1"/>
  <c r="R53" i="25"/>
  <c r="AI44" i="85"/>
  <c r="AI70" i="85" s="1"/>
  <c r="AG44" i="85"/>
  <c r="AC11" i="85"/>
  <c r="I40" i="1"/>
  <c r="AC43" i="73" s="1"/>
  <c r="AC11" i="69"/>
  <c r="AJ18" i="69"/>
  <c r="AJ37" i="69" s="1"/>
  <c r="AD11" i="85"/>
  <c r="J40" i="1"/>
  <c r="AD43" i="73" s="1"/>
  <c r="AD11" i="69"/>
  <c r="AC22" i="73"/>
  <c r="AC42" i="69" s="1"/>
  <c r="AE44" i="85"/>
  <c r="M40" i="1"/>
  <c r="AG43" i="73" s="1"/>
  <c r="AG11" i="69"/>
  <c r="AG11" i="85"/>
  <c r="AE70" i="85"/>
  <c r="AE11" i="69"/>
  <c r="K40" i="1"/>
  <c r="AE43" i="73" s="1"/>
  <c r="AE11" i="85"/>
  <c r="Y13" i="73"/>
  <c r="Y35" i="85"/>
  <c r="E36" i="37"/>
  <c r="R35" i="37"/>
  <c r="R36" i="37" s="1"/>
  <c r="R43" i="37" s="1"/>
  <c r="R44" i="37" s="1"/>
  <c r="R45" i="37" s="1"/>
  <c r="N34" i="1"/>
  <c r="N35" i="1" s="1"/>
  <c r="N42" i="1"/>
  <c r="AB22" i="73"/>
  <c r="AB42" i="69" s="1"/>
  <c r="AI11" i="85"/>
  <c r="O40" i="1"/>
  <c r="AI43" i="73" s="1"/>
  <c r="AI11" i="69"/>
  <c r="Z44" i="85"/>
  <c r="AD44" i="85"/>
  <c r="AB18" i="85"/>
  <c r="AB65" i="85" s="1"/>
  <c r="AJ36" i="85"/>
  <c r="AJ45" i="85" s="1"/>
  <c r="AJ14" i="73"/>
  <c r="AJ23" i="73" s="1"/>
  <c r="P40" i="38"/>
  <c r="O34" i="1"/>
  <c r="O35" i="1" s="1"/>
  <c r="O42" i="1"/>
  <c r="Z22" i="73"/>
  <c r="Z48" i="73" s="1"/>
  <c r="AI22" i="73"/>
  <c r="AI29" i="73" s="1"/>
  <c r="AI31" i="73" s="1"/>
  <c r="AI20" i="73"/>
  <c r="F34" i="24"/>
  <c r="F32" i="1"/>
  <c r="R32" i="1" s="1"/>
  <c r="R32" i="24"/>
  <c r="AA44" i="85"/>
  <c r="AA70" i="85" s="1"/>
  <c r="AC14" i="73"/>
  <c r="AC23" i="73" s="1"/>
  <c r="I40" i="38"/>
  <c r="AC36" i="85"/>
  <c r="AC45" i="85" s="1"/>
  <c r="AC44" i="85"/>
  <c r="F40" i="38"/>
  <c r="Z36" i="85"/>
  <c r="Z45" i="85" s="1"/>
  <c r="Z14" i="73"/>
  <c r="Z23" i="73" s="1"/>
  <c r="R38" i="25"/>
  <c r="E40" i="25"/>
  <c r="R40" i="25" s="1"/>
  <c r="AF44" i="85"/>
  <c r="AF70" i="85" s="1"/>
  <c r="AE14" i="73"/>
  <c r="AE23" i="73" s="1"/>
  <c r="AE36" i="85"/>
  <c r="AE45" i="85" s="1"/>
  <c r="K40" i="38"/>
  <c r="AE43" i="69" s="1"/>
  <c r="AJ22" i="73"/>
  <c r="AJ29" i="73" s="1"/>
  <c r="AJ31" i="73" s="1"/>
  <c r="AB18" i="69"/>
  <c r="AB37" i="69" s="1"/>
  <c r="AF18" i="69"/>
  <c r="AF37" i="69" s="1"/>
  <c r="J42" i="1"/>
  <c r="J34" i="1"/>
  <c r="J35" i="1" s="1"/>
  <c r="E32" i="37"/>
  <c r="R32" i="37" s="1"/>
  <c r="R31" i="37"/>
  <c r="E40" i="38"/>
  <c r="Y14" i="73"/>
  <c r="R39" i="38"/>
  <c r="R40" i="38" s="1"/>
  <c r="Y36" i="85"/>
  <c r="M40" i="38"/>
  <c r="AG14" i="73"/>
  <c r="AG23" i="73" s="1"/>
  <c r="AG36" i="85"/>
  <c r="AG45" i="85" s="1"/>
  <c r="AA11" i="85"/>
  <c r="AA11" i="69"/>
  <c r="G40" i="1"/>
  <c r="AA43" i="73" s="1"/>
  <c r="K34" i="1"/>
  <c r="K35" i="1" s="1"/>
  <c r="K42" i="1"/>
  <c r="AC70" i="85"/>
  <c r="AC48" i="73"/>
  <c r="N40" i="1"/>
  <c r="AH43" i="73" s="1"/>
  <c r="AH11" i="69"/>
  <c r="AH11" i="85"/>
  <c r="F38" i="24"/>
  <c r="R47" i="24"/>
  <c r="P34" i="1"/>
  <c r="P35" i="1" s="1"/>
  <c r="P42" i="1"/>
  <c r="G40" i="38"/>
  <c r="AA36" i="85"/>
  <c r="AA45" i="85" s="1"/>
  <c r="AA14" i="73"/>
  <c r="AA23" i="73" s="1"/>
  <c r="I34" i="1"/>
  <c r="I35" i="1" s="1"/>
  <c r="I42" i="1"/>
  <c r="E35" i="38"/>
  <c r="R35" i="38" s="1"/>
  <c r="R34" i="38"/>
  <c r="E40" i="1"/>
  <c r="Y11" i="69"/>
  <c r="Y11" i="85"/>
  <c r="AH22" i="73"/>
  <c r="AH42" i="69" s="1"/>
  <c r="AG22" i="73"/>
  <c r="AG42" i="69" s="1"/>
  <c r="AF22" i="73"/>
  <c r="AJ44" i="85"/>
  <c r="AD36" i="85"/>
  <c r="AD45" i="85" s="1"/>
  <c r="J40" i="38"/>
  <c r="AD14" i="73"/>
  <c r="AD23" i="73" s="1"/>
  <c r="AJ18" i="85"/>
  <c r="AH43" i="69" l="1"/>
  <c r="AJ65" i="85"/>
  <c r="AJ51" i="85"/>
  <c r="AF20" i="73"/>
  <c r="AJ42" i="85"/>
  <c r="AF29" i="73"/>
  <c r="AF31" i="73" s="1"/>
  <c r="Z43" i="69"/>
  <c r="AI43" i="69"/>
  <c r="AD43" i="69"/>
  <c r="AJ42" i="69"/>
  <c r="AH42" i="85"/>
  <c r="AA42" i="69"/>
  <c r="AH51" i="85"/>
  <c r="AI42" i="69"/>
  <c r="AA43" i="69"/>
  <c r="AD48" i="73"/>
  <c r="AG43" i="69"/>
  <c r="Z42" i="69"/>
  <c r="AF48" i="73"/>
  <c r="AJ20" i="73"/>
  <c r="AJ43" i="69"/>
  <c r="AH70" i="85"/>
  <c r="AC43" i="69"/>
  <c r="AF42" i="69"/>
  <c r="AB51" i="85"/>
  <c r="AC42" i="85"/>
  <c r="AC51" i="85"/>
  <c r="AA49" i="73"/>
  <c r="AG42" i="85"/>
  <c r="AD20" i="73"/>
  <c r="AD29" i="73"/>
  <c r="AD31" i="73" s="1"/>
  <c r="AE29" i="73"/>
  <c r="AE31" i="73" s="1"/>
  <c r="AE20" i="73"/>
  <c r="AG20" i="73"/>
  <c r="AI48" i="73"/>
  <c r="AD42" i="85"/>
  <c r="AD51" i="85"/>
  <c r="AJ48" i="73"/>
  <c r="AG29" i="73"/>
  <c r="AG31" i="73" s="1"/>
  <c r="AH18" i="69"/>
  <c r="AH37" i="69" s="1"/>
  <c r="AJ70" i="85"/>
  <c r="F35" i="24"/>
  <c r="R35" i="24" s="1"/>
  <c r="R34" i="24"/>
  <c r="Y45" i="85"/>
  <c r="AL45" i="85" s="1"/>
  <c r="AL36" i="85"/>
  <c r="AF71" i="85"/>
  <c r="AF49" i="73"/>
  <c r="Z20" i="73"/>
  <c r="AH20" i="73"/>
  <c r="Y23" i="73"/>
  <c r="AL23" i="73" s="1"/>
  <c r="AL14" i="73"/>
  <c r="Y44" i="85"/>
  <c r="Y42" i="85"/>
  <c r="AL35" i="85"/>
  <c r="AH29" i="73"/>
  <c r="AH31" i="73" s="1"/>
  <c r="AJ57" i="73" s="1"/>
  <c r="AJ58" i="73" s="1"/>
  <c r="Y18" i="85"/>
  <c r="Y65" i="85" s="1"/>
  <c r="AA18" i="69"/>
  <c r="AA37" i="69" s="1"/>
  <c r="AC71" i="85"/>
  <c r="AI18" i="85"/>
  <c r="AI65" i="85" s="1"/>
  <c r="AE18" i="85"/>
  <c r="AE65" i="85" s="1"/>
  <c r="AE42" i="85"/>
  <c r="AG49" i="73"/>
  <c r="AG71" i="85"/>
  <c r="AG18" i="85"/>
  <c r="AA20" i="73"/>
  <c r="AE49" i="73"/>
  <c r="AE71" i="85"/>
  <c r="AI49" i="73"/>
  <c r="AI71" i="85"/>
  <c r="AH48" i="73"/>
  <c r="Y18" i="69"/>
  <c r="Y37" i="69" s="1"/>
  <c r="AA18" i="85"/>
  <c r="AF42" i="85"/>
  <c r="AC49" i="73"/>
  <c r="AJ49" i="73"/>
  <c r="AJ71" i="85"/>
  <c r="AB20" i="73"/>
  <c r="AE51" i="85"/>
  <c r="AG51" i="85"/>
  <c r="AG70" i="85"/>
  <c r="F42" i="1"/>
  <c r="R42" i="1" s="1"/>
  <c r="F34" i="1"/>
  <c r="F35" i="1" s="1"/>
  <c r="AB71" i="85"/>
  <c r="AB49" i="73"/>
  <c r="AG18" i="69"/>
  <c r="AG37" i="69" s="1"/>
  <c r="Z49" i="73"/>
  <c r="Z71" i="85"/>
  <c r="Z42" i="85"/>
  <c r="Z70" i="85"/>
  <c r="Z51" i="85"/>
  <c r="AC18" i="69"/>
  <c r="AC37" i="69" s="1"/>
  <c r="AA29" i="73"/>
  <c r="AA31" i="73" s="1"/>
  <c r="AD71" i="85"/>
  <c r="AD49" i="73"/>
  <c r="Y43" i="73"/>
  <c r="F38" i="1"/>
  <c r="F40" i="24"/>
  <c r="R40" i="24" s="1"/>
  <c r="R38" i="24"/>
  <c r="AF51" i="85"/>
  <c r="AA42" i="85"/>
  <c r="AB29" i="73"/>
  <c r="AB31" i="73" s="1"/>
  <c r="AE18" i="69"/>
  <c r="AE37" i="69" s="1"/>
  <c r="AC20" i="73"/>
  <c r="AI42" i="85"/>
  <c r="E35" i="1"/>
  <c r="AH49" i="73"/>
  <c r="AH71" i="85"/>
  <c r="AD18" i="69"/>
  <c r="AD37" i="69" s="1"/>
  <c r="AB70" i="85"/>
  <c r="AD18" i="85"/>
  <c r="AA71" i="85"/>
  <c r="Z29" i="73"/>
  <c r="Z31" i="73" s="1"/>
  <c r="AI18" i="69"/>
  <c r="AI37" i="69" s="1"/>
  <c r="Y20" i="73"/>
  <c r="AL13" i="73"/>
  <c r="Y22" i="73"/>
  <c r="Y42" i="69" s="1"/>
  <c r="AC18" i="85"/>
  <c r="AC65" i="85" s="1"/>
  <c r="AH18" i="85"/>
  <c r="AH65" i="85" s="1"/>
  <c r="AA51" i="85"/>
  <c r="AD70" i="85"/>
  <c r="AE48" i="73"/>
  <c r="AC29" i="73"/>
  <c r="AC31" i="73" s="1"/>
  <c r="AI51" i="85"/>
  <c r="AB42" i="85"/>
  <c r="AB48" i="73"/>
  <c r="AG48" i="73"/>
  <c r="AG65" i="85" l="1"/>
  <c r="AD65" i="85"/>
  <c r="AA65" i="85"/>
  <c r="Y71" i="85"/>
  <c r="AG57" i="73"/>
  <c r="AG58" i="73" s="1"/>
  <c r="Y49" i="73"/>
  <c r="AD57" i="73"/>
  <c r="AD58" i="73" s="1"/>
  <c r="Y43" i="69"/>
  <c r="R35" i="1"/>
  <c r="AL22" i="73"/>
  <c r="Y29" i="73"/>
  <c r="AL20" i="73"/>
  <c r="Y70" i="85"/>
  <c r="Y51" i="85"/>
  <c r="AL44" i="85"/>
  <c r="R34" i="1"/>
  <c r="Y48" i="73"/>
  <c r="AL42" i="85"/>
  <c r="F40" i="1"/>
  <c r="Z11" i="69"/>
  <c r="Z11" i="85"/>
  <c r="R38" i="1"/>
  <c r="AL51" i="85" l="1"/>
  <c r="Z18" i="85"/>
  <c r="AL18" i="85" s="1"/>
  <c r="AL11" i="85"/>
  <c r="Z43" i="73"/>
  <c r="Z65" i="85"/>
  <c r="R40" i="1"/>
  <c r="Z18" i="69"/>
  <c r="AL18" i="69" s="1"/>
  <c r="AL11" i="69"/>
  <c r="Y31" i="73"/>
  <c r="AA57" i="73" s="1"/>
  <c r="AL29" i="73"/>
  <c r="AL31" i="73" s="1"/>
  <c r="AP31" i="73" s="1"/>
  <c r="AA58" i="73" l="1"/>
  <c r="AL57" i="73"/>
  <c r="AL58" i="73" s="1"/>
  <c r="Z37" i="69"/>
  <c r="R48" i="24" l="1"/>
  <c r="R50" i="37"/>
  <c r="R54" i="25"/>
  <c r="K65" i="9" l="1"/>
  <c r="K42" i="9" l="1"/>
  <c r="K67" i="9"/>
  <c r="O66" i="8"/>
  <c r="F66" i="8"/>
  <c r="N66" i="8"/>
  <c r="I66" i="8"/>
  <c r="L65" i="9"/>
  <c r="L66" i="8"/>
  <c r="H66" i="8"/>
  <c r="K66" i="8"/>
  <c r="H65" i="9"/>
  <c r="O65" i="9"/>
  <c r="K68" i="8" l="1"/>
  <c r="K42" i="8"/>
  <c r="K85" i="4"/>
  <c r="K87" i="4" s="1"/>
  <c r="I42" i="8"/>
  <c r="I68" i="8"/>
  <c r="O42" i="9"/>
  <c r="O67" i="9"/>
  <c r="H42" i="8"/>
  <c r="H85" i="4"/>
  <c r="H87" i="4" s="1"/>
  <c r="H68" i="8"/>
  <c r="L68" i="8"/>
  <c r="L42" i="8"/>
  <c r="L85" i="4"/>
  <c r="L87" i="4" s="1"/>
  <c r="N42" i="8"/>
  <c r="N68" i="8"/>
  <c r="H42" i="9"/>
  <c r="H67" i="9"/>
  <c r="O85" i="4"/>
  <c r="O87" i="4" s="1"/>
  <c r="O68" i="8"/>
  <c r="O42" i="8"/>
  <c r="L42" i="9"/>
  <c r="L67" i="9"/>
  <c r="F42" i="8"/>
  <c r="F68" i="8"/>
  <c r="K53" i="9"/>
  <c r="K44" i="9"/>
  <c r="G65" i="9"/>
  <c r="J65" i="9"/>
  <c r="J66" i="8"/>
  <c r="N65" i="9"/>
  <c r="N85" i="4" s="1"/>
  <c r="N87" i="4" s="1"/>
  <c r="F65" i="9"/>
  <c r="F85" i="4" s="1"/>
  <c r="F87" i="4" s="1"/>
  <c r="I65" i="9"/>
  <c r="I85" i="4" s="1"/>
  <c r="I87" i="4" s="1"/>
  <c r="J67" i="9" l="1"/>
  <c r="J42" i="9"/>
  <c r="O53" i="9"/>
  <c r="O44" i="9"/>
  <c r="K45" i="9"/>
  <c r="K50" i="9" s="1"/>
  <c r="K49" i="9"/>
  <c r="I53" i="8"/>
  <c r="I44" i="8"/>
  <c r="G42" i="9"/>
  <c r="G67" i="9"/>
  <c r="H44" i="9"/>
  <c r="H53" i="9"/>
  <c r="N44" i="8"/>
  <c r="N53" i="8"/>
  <c r="N67" i="9"/>
  <c r="N42" i="9"/>
  <c r="L44" i="9"/>
  <c r="L53" i="9"/>
  <c r="J42" i="8"/>
  <c r="J68" i="8"/>
  <c r="J85" i="4"/>
  <c r="J87" i="4" s="1"/>
  <c r="O42" i="4"/>
  <c r="O44" i="4" s="1"/>
  <c r="O45" i="4" s="1"/>
  <c r="O44" i="8"/>
  <c r="O53" i="8"/>
  <c r="O53" i="4" s="1"/>
  <c r="H53" i="8"/>
  <c r="H42" i="4"/>
  <c r="H44" i="4" s="1"/>
  <c r="H45" i="4" s="1"/>
  <c r="H44" i="8"/>
  <c r="K44" i="8"/>
  <c r="K53" i="8"/>
  <c r="K53" i="4" s="1"/>
  <c r="K42" i="4"/>
  <c r="K44" i="4" s="1"/>
  <c r="K45" i="4" s="1"/>
  <c r="F42" i="9"/>
  <c r="F42" i="4" s="1"/>
  <c r="F44" i="4" s="1"/>
  <c r="F45" i="4" s="1"/>
  <c r="F67" i="9"/>
  <c r="I67" i="9"/>
  <c r="I42" i="9"/>
  <c r="I42" i="4" s="1"/>
  <c r="I44" i="4" s="1"/>
  <c r="I45" i="4" s="1"/>
  <c r="F53" i="8"/>
  <c r="F44" i="8"/>
  <c r="L44" i="8"/>
  <c r="L42" i="4"/>
  <c r="L44" i="4" s="1"/>
  <c r="L45" i="4" s="1"/>
  <c r="L53" i="8"/>
  <c r="E65" i="9"/>
  <c r="E66" i="8"/>
  <c r="H53" i="4" l="1"/>
  <c r="J42" i="4"/>
  <c r="J44" i="4" s="1"/>
  <c r="J45" i="4" s="1"/>
  <c r="J53" i="8"/>
  <c r="J44" i="8"/>
  <c r="E42" i="8"/>
  <c r="E85" i="4"/>
  <c r="E68" i="8"/>
  <c r="L49" i="9"/>
  <c r="L45" i="9"/>
  <c r="L50" i="9" s="1"/>
  <c r="L53" i="4"/>
  <c r="N42" i="4"/>
  <c r="N44" i="4" s="1"/>
  <c r="N45" i="4" s="1"/>
  <c r="N44" i="9"/>
  <c r="N53" i="9"/>
  <c r="N53" i="4" s="1"/>
  <c r="E42" i="9"/>
  <c r="E67" i="9"/>
  <c r="H45" i="8"/>
  <c r="H49" i="8"/>
  <c r="L45" i="8"/>
  <c r="L49" i="8"/>
  <c r="N45" i="8"/>
  <c r="N49" i="8"/>
  <c r="N50" i="8" s="1"/>
  <c r="J53" i="9"/>
  <c r="J44" i="9"/>
  <c r="O49" i="8"/>
  <c r="O50" i="8" s="1"/>
  <c r="O45" i="8"/>
  <c r="H45" i="9"/>
  <c r="H50" i="9" s="1"/>
  <c r="H49" i="9"/>
  <c r="I44" i="9"/>
  <c r="I53" i="9"/>
  <c r="I53" i="4" s="1"/>
  <c r="G44" i="9"/>
  <c r="G53" i="9"/>
  <c r="I49" i="8"/>
  <c r="I50" i="8" s="1"/>
  <c r="I45" i="8"/>
  <c r="F53" i="9"/>
  <c r="F53" i="4" s="1"/>
  <c r="F44" i="9"/>
  <c r="K49" i="8"/>
  <c r="K45" i="8"/>
  <c r="O45" i="9"/>
  <c r="O50" i="9" s="1"/>
  <c r="O49" i="9"/>
  <c r="F45" i="8"/>
  <c r="F49" i="8"/>
  <c r="F50" i="8" s="1"/>
  <c r="M66" i="8"/>
  <c r="O49" i="4" l="1"/>
  <c r="L50" i="8"/>
  <c r="L49" i="4"/>
  <c r="I45" i="9"/>
  <c r="I50" i="9" s="1"/>
  <c r="I49" i="9"/>
  <c r="I49" i="4" s="1"/>
  <c r="N49" i="9"/>
  <c r="N49" i="4" s="1"/>
  <c r="N45" i="9"/>
  <c r="N50" i="9" s="1"/>
  <c r="G49" i="9"/>
  <c r="G45" i="9"/>
  <c r="G50" i="9" s="1"/>
  <c r="O50" i="4"/>
  <c r="AI44" i="73" s="1"/>
  <c r="AI12" i="85"/>
  <c r="AI12" i="69"/>
  <c r="J45" i="8"/>
  <c r="J49" i="8"/>
  <c r="F45" i="9"/>
  <c r="F50" i="9" s="1"/>
  <c r="F49" i="9"/>
  <c r="F49" i="4" s="1"/>
  <c r="J45" i="9"/>
  <c r="J50" i="9" s="1"/>
  <c r="J49" i="9"/>
  <c r="M42" i="8"/>
  <c r="M68" i="8"/>
  <c r="H50" i="8"/>
  <c r="H49" i="4"/>
  <c r="E42" i="4"/>
  <c r="E44" i="8"/>
  <c r="E53" i="8"/>
  <c r="E44" i="9"/>
  <c r="E53" i="9"/>
  <c r="J53" i="4"/>
  <c r="E87" i="4"/>
  <c r="K50" i="8"/>
  <c r="K49" i="4"/>
  <c r="G66" i="8"/>
  <c r="G68" i="8" l="1"/>
  <c r="G85" i="4"/>
  <c r="G42" i="8"/>
  <c r="AI19" i="69"/>
  <c r="AI38" i="69" s="1"/>
  <c r="AI16" i="69"/>
  <c r="AI23" i="69" s="1"/>
  <c r="AI25" i="69" s="1"/>
  <c r="AH12" i="85"/>
  <c r="N50" i="4"/>
  <c r="AH44" i="73" s="1"/>
  <c r="AH12" i="69"/>
  <c r="E45" i="9"/>
  <c r="E49" i="9"/>
  <c r="F50" i="4"/>
  <c r="Z44" i="73" s="1"/>
  <c r="Z12" i="69"/>
  <c r="Z12" i="85"/>
  <c r="K50" i="4"/>
  <c r="AE44" i="73" s="1"/>
  <c r="AE12" i="85"/>
  <c r="AE12" i="69"/>
  <c r="AI19" i="85"/>
  <c r="AI66" i="85" s="1"/>
  <c r="AI16" i="85"/>
  <c r="AI23" i="85" s="1"/>
  <c r="AI53" i="85" s="1"/>
  <c r="AI56" i="85" s="1"/>
  <c r="AC12" i="69"/>
  <c r="AC12" i="85"/>
  <c r="I50" i="4"/>
  <c r="AC44" i="73" s="1"/>
  <c r="AF12" i="85"/>
  <c r="L50" i="4"/>
  <c r="AF44" i="73" s="1"/>
  <c r="AF12" i="69"/>
  <c r="E49" i="8"/>
  <c r="E45" i="8"/>
  <c r="E44" i="4"/>
  <c r="AB12" i="85"/>
  <c r="H50" i="4"/>
  <c r="AB44" i="73" s="1"/>
  <c r="AB12" i="69"/>
  <c r="M44" i="8"/>
  <c r="M53" i="8"/>
  <c r="E53" i="4"/>
  <c r="J50" i="8"/>
  <c r="J49" i="4"/>
  <c r="M65" i="9"/>
  <c r="AB19" i="69" l="1"/>
  <c r="AB38" i="69" s="1"/>
  <c r="AB16" i="69"/>
  <c r="AB23" i="69" s="1"/>
  <c r="AB25" i="69" s="1"/>
  <c r="AC19" i="85"/>
  <c r="AC66" i="85" s="1"/>
  <c r="AC16" i="85"/>
  <c r="AC23" i="85" s="1"/>
  <c r="AC53" i="85" s="1"/>
  <c r="AC56" i="85" s="1"/>
  <c r="AH19" i="69"/>
  <c r="AH38" i="69" s="1"/>
  <c r="AH16" i="69"/>
  <c r="AH23" i="69" s="1"/>
  <c r="AH25" i="69" s="1"/>
  <c r="AH19" i="85"/>
  <c r="AH66" i="85" s="1"/>
  <c r="AH16" i="85"/>
  <c r="AH23" i="85" s="1"/>
  <c r="AH53" i="85" s="1"/>
  <c r="AF19" i="85"/>
  <c r="AF66" i="85" s="1"/>
  <c r="AF16" i="85"/>
  <c r="AF23" i="85" s="1"/>
  <c r="AF53" i="85" s="1"/>
  <c r="AF56" i="85" s="1"/>
  <c r="M49" i="8"/>
  <c r="M50" i="8" s="1"/>
  <c r="M45" i="8"/>
  <c r="E50" i="9"/>
  <c r="AE19" i="69"/>
  <c r="AE38" i="69" s="1"/>
  <c r="AE16" i="69"/>
  <c r="AE23" i="69" s="1"/>
  <c r="AE25" i="69" s="1"/>
  <c r="AD12" i="85"/>
  <c r="J50" i="4"/>
  <c r="AD44" i="73" s="1"/>
  <c r="AD12" i="69"/>
  <c r="E50" i="8"/>
  <c r="E49" i="4"/>
  <c r="Z19" i="85"/>
  <c r="Z66" i="85" s="1"/>
  <c r="Z16" i="85"/>
  <c r="Z23" i="85" s="1"/>
  <c r="Z53" i="85" s="1"/>
  <c r="Z56" i="85" s="1"/>
  <c r="G44" i="8"/>
  <c r="G42" i="4"/>
  <c r="G53" i="8"/>
  <c r="M67" i="9"/>
  <c r="M42" i="9"/>
  <c r="M85" i="4"/>
  <c r="M87" i="4" s="1"/>
  <c r="AC19" i="69"/>
  <c r="AC38" i="69" s="1"/>
  <c r="AC16" i="69"/>
  <c r="AC23" i="69" s="1"/>
  <c r="AC25" i="69" s="1"/>
  <c r="AB19" i="85"/>
  <c r="AB66" i="85" s="1"/>
  <c r="AB16" i="85"/>
  <c r="AB23" i="85" s="1"/>
  <c r="AB53" i="85" s="1"/>
  <c r="E45" i="4"/>
  <c r="AE19" i="85"/>
  <c r="AE66" i="85" s="1"/>
  <c r="AE16" i="85"/>
  <c r="AE23" i="85" s="1"/>
  <c r="AE53" i="85" s="1"/>
  <c r="AF19" i="69"/>
  <c r="AF38" i="69" s="1"/>
  <c r="AF16" i="69"/>
  <c r="AF23" i="69" s="1"/>
  <c r="AF25" i="69" s="1"/>
  <c r="Z19" i="69"/>
  <c r="Z38" i="69" s="1"/>
  <c r="Z16" i="69"/>
  <c r="Z23" i="69" s="1"/>
  <c r="Z25" i="69" s="1"/>
  <c r="G87" i="4"/>
  <c r="AH56" i="85" l="1"/>
  <c r="Y12" i="69"/>
  <c r="Y12" i="85"/>
  <c r="E50" i="4"/>
  <c r="AD19" i="85"/>
  <c r="AD16" i="85"/>
  <c r="AD23" i="85" s="1"/>
  <c r="AD53" i="85" s="1"/>
  <c r="AD56" i="85" s="1"/>
  <c r="G44" i="4"/>
  <c r="AD19" i="69"/>
  <c r="AD38" i="69" s="1"/>
  <c r="AD16" i="69"/>
  <c r="AD23" i="69" s="1"/>
  <c r="AD25" i="69" s="1"/>
  <c r="AD51" i="69" s="1"/>
  <c r="AD52" i="69" s="1"/>
  <c r="M53" i="9"/>
  <c r="M53" i="4" s="1"/>
  <c r="M44" i="9"/>
  <c r="M42" i="4"/>
  <c r="M44" i="4" s="1"/>
  <c r="M45" i="4" s="1"/>
  <c r="AE56" i="85"/>
  <c r="G49" i="8"/>
  <c r="G45" i="8"/>
  <c r="G53" i="4"/>
  <c r="AB56" i="85"/>
  <c r="P66" i="8"/>
  <c r="P65" i="9"/>
  <c r="AD66" i="85" l="1"/>
  <c r="G45" i="4"/>
  <c r="G49" i="4"/>
  <c r="G50" i="8"/>
  <c r="Y44" i="73"/>
  <c r="Y19" i="85"/>
  <c r="Y66" i="85" s="1"/>
  <c r="Y16" i="85"/>
  <c r="P42" i="9"/>
  <c r="P67" i="9"/>
  <c r="R67" i="9" s="1"/>
  <c r="R68" i="9" s="1"/>
  <c r="R65" i="9"/>
  <c r="P42" i="8"/>
  <c r="P85" i="4"/>
  <c r="P68" i="8"/>
  <c r="R68" i="8" s="1"/>
  <c r="R69" i="8" s="1"/>
  <c r="R66" i="8"/>
  <c r="M49" i="9"/>
  <c r="M49" i="4" s="1"/>
  <c r="M45" i="9"/>
  <c r="Y19" i="69"/>
  <c r="Y38" i="69" s="1"/>
  <c r="Y16" i="69"/>
  <c r="AD79" i="85"/>
  <c r="AD80" i="85" s="1"/>
  <c r="M50" i="9" l="1"/>
  <c r="P87" i="4"/>
  <c r="R87" i="4" s="1"/>
  <c r="R88" i="4" s="1"/>
  <c r="R85" i="4"/>
  <c r="Y23" i="69"/>
  <c r="AA12" i="85"/>
  <c r="AA12" i="69"/>
  <c r="G50" i="4"/>
  <c r="AG12" i="85"/>
  <c r="AG12" i="69"/>
  <c r="M50" i="4"/>
  <c r="AG44" i="73" s="1"/>
  <c r="P53" i="8"/>
  <c r="P42" i="4"/>
  <c r="P44" i="8"/>
  <c r="R42" i="8"/>
  <c r="P53" i="9"/>
  <c r="R53" i="9" s="1"/>
  <c r="P44" i="9"/>
  <c r="R42" i="9"/>
  <c r="Y23" i="85"/>
  <c r="AG19" i="85" l="1"/>
  <c r="AG16" i="85"/>
  <c r="AG23" i="85" s="1"/>
  <c r="AG53" i="85" s="1"/>
  <c r="AA19" i="85"/>
  <c r="AA16" i="85"/>
  <c r="AG19" i="69"/>
  <c r="AG38" i="69" s="1"/>
  <c r="AG16" i="69"/>
  <c r="AG23" i="69" s="1"/>
  <c r="AG25" i="69" s="1"/>
  <c r="AG51" i="69" s="1"/>
  <c r="AG52" i="69" s="1"/>
  <c r="P45" i="8"/>
  <c r="R45" i="8" s="1"/>
  <c r="P49" i="8"/>
  <c r="R44" i="8"/>
  <c r="Y53" i="85"/>
  <c r="AA19" i="69"/>
  <c r="AA38" i="69" s="1"/>
  <c r="AA16" i="69"/>
  <c r="Y25" i="69"/>
  <c r="P53" i="4"/>
  <c r="R53" i="8"/>
  <c r="R53" i="4" s="1"/>
  <c r="AA44" i="73"/>
  <c r="AA66" i="85"/>
  <c r="P49" i="9"/>
  <c r="R49" i="9" s="1"/>
  <c r="P45" i="9"/>
  <c r="R44" i="9"/>
  <c r="P44" i="4"/>
  <c r="R42" i="4"/>
  <c r="AG66" i="85" l="1"/>
  <c r="P50" i="8"/>
  <c r="R50" i="8" s="1"/>
  <c r="P49" i="4"/>
  <c r="R49" i="8"/>
  <c r="AA23" i="69"/>
  <c r="AG56" i="85"/>
  <c r="AG79" i="85"/>
  <c r="AG80" i="85" s="1"/>
  <c r="Y56" i="85"/>
  <c r="AA23" i="85"/>
  <c r="P45" i="4"/>
  <c r="R45" i="4" s="1"/>
  <c r="R44" i="4"/>
  <c r="P50" i="9"/>
  <c r="R50" i="9" s="1"/>
  <c r="R45" i="9"/>
  <c r="AA53" i="85" l="1"/>
  <c r="AA25" i="69"/>
  <c r="AA51" i="69" s="1"/>
  <c r="AA52" i="69" s="1"/>
  <c r="AJ12" i="85"/>
  <c r="P50" i="4"/>
  <c r="AJ12" i="69"/>
  <c r="R49" i="4"/>
  <c r="AJ19" i="85" l="1"/>
  <c r="AJ16" i="85"/>
  <c r="AL12" i="85"/>
  <c r="AJ19" i="69"/>
  <c r="AL19" i="69" s="1"/>
  <c r="AJ16" i="69"/>
  <c r="AL12" i="69"/>
  <c r="AJ44" i="73"/>
  <c r="AJ66" i="85"/>
  <c r="AJ38" i="69"/>
  <c r="R50" i="4"/>
  <c r="AA56" i="85"/>
  <c r="AA79" i="85"/>
  <c r="AL19" i="85" l="1"/>
  <c r="AJ23" i="85"/>
  <c r="AL16" i="85"/>
  <c r="AJ23" i="69"/>
  <c r="AL16" i="69"/>
  <c r="AA80" i="85"/>
  <c r="AJ25" i="69" l="1"/>
  <c r="AJ51" i="69" s="1"/>
  <c r="AJ52" i="69" s="1"/>
  <c r="AL23" i="69"/>
  <c r="AL25" i="69" s="1"/>
  <c r="AJ53" i="85"/>
  <c r="AL23" i="85"/>
  <c r="AJ56" i="85" l="1"/>
  <c r="AJ79" i="85"/>
  <c r="AL53" i="85"/>
  <c r="AL51" i="69"/>
  <c r="AL52" i="69" s="1"/>
  <c r="AP25" i="69"/>
  <c r="AL64" i="85" l="1"/>
  <c r="AP53" i="85"/>
  <c r="AL56" i="85"/>
  <c r="AL58" i="85" s="1"/>
  <c r="AJ57" i="85" s="1"/>
  <c r="AJ80" i="85"/>
  <c r="AL79" i="85"/>
  <c r="AL80" i="85" s="1"/>
  <c r="AN78" i="85" s="1"/>
  <c r="AN64" i="85" s="1"/>
  <c r="AI57" i="85" l="1"/>
  <c r="Z57" i="85"/>
  <c r="AC57" i="85"/>
  <c r="AF57" i="85"/>
  <c r="AB57" i="85"/>
  <c r="AD57" i="85"/>
  <c r="AE57" i="85"/>
  <c r="AH57" i="85"/>
  <c r="AG57" i="85"/>
  <c r="Y57" i="85"/>
  <c r="AA57" i="85"/>
  <c r="D25" i="24" l="1"/>
  <c r="D34" i="9"/>
  <c r="D31" i="9"/>
  <c r="D32" i="9"/>
  <c r="D39" i="25"/>
  <c r="D25" i="25"/>
  <c r="D27" i="25" s="1"/>
  <c r="D39" i="24"/>
  <c r="D39" i="1" s="1"/>
  <c r="D30" i="9" l="1"/>
  <c r="D31" i="71"/>
  <c r="D31" i="8"/>
  <c r="D31" i="4" s="1"/>
  <c r="P5" i="71"/>
  <c r="R5" i="71" s="1"/>
  <c r="D62" i="9"/>
  <c r="D27" i="24"/>
  <c r="D25" i="1"/>
  <c r="D34" i="71"/>
  <c r="P8" i="71"/>
  <c r="R8" i="71" s="1"/>
  <c r="D34" i="8"/>
  <c r="D34" i="4" s="1"/>
  <c r="P6" i="71"/>
  <c r="R6" i="71" s="1"/>
  <c r="D32" i="71"/>
  <c r="D32" i="8"/>
  <c r="P4" i="71"/>
  <c r="D37" i="8"/>
  <c r="D30" i="8"/>
  <c r="D30" i="71"/>
  <c r="D38" i="9"/>
  <c r="D39" i="9"/>
  <c r="D37" i="9"/>
  <c r="P11" i="71"/>
  <c r="R11" i="71" s="1"/>
  <c r="D61" i="9" l="1"/>
  <c r="D63" i="9" s="1"/>
  <c r="D33" i="9"/>
  <c r="P7" i="71"/>
  <c r="R4" i="71"/>
  <c r="D32" i="4"/>
  <c r="D63" i="8"/>
  <c r="D33" i="8"/>
  <c r="D30" i="4"/>
  <c r="D62" i="8"/>
  <c r="D38" i="8"/>
  <c r="D38" i="4" s="1"/>
  <c r="D38" i="71"/>
  <c r="P12" i="71"/>
  <c r="R12" i="71" s="1"/>
  <c r="D37" i="4"/>
  <c r="D37" i="71"/>
  <c r="P13" i="71"/>
  <c r="R13" i="71" s="1"/>
  <c r="D39" i="8"/>
  <c r="D39" i="4" s="1"/>
  <c r="D39" i="71"/>
  <c r="D33" i="71"/>
  <c r="D35" i="71" s="1"/>
  <c r="D27" i="1"/>
  <c r="D56" i="8" l="1"/>
  <c r="D57" i="8"/>
  <c r="D35" i="8"/>
  <c r="D33" i="4"/>
  <c r="D35" i="4" s="1"/>
  <c r="D52" i="8"/>
  <c r="P9" i="71"/>
  <c r="R9" i="71" s="1"/>
  <c r="R7" i="71"/>
  <c r="D64" i="8"/>
  <c r="D56" i="9"/>
  <c r="D35" i="9"/>
  <c r="D52" i="9"/>
  <c r="D31" i="25" l="1"/>
  <c r="D31" i="24"/>
  <c r="D32" i="25" l="1"/>
  <c r="D33" i="25"/>
  <c r="D30" i="24"/>
  <c r="D33" i="24"/>
  <c r="D31" i="1" l="1"/>
  <c r="P10" i="1"/>
  <c r="D33" i="1"/>
  <c r="D29" i="24"/>
  <c r="D34" i="25"/>
  <c r="D38" i="25" s="1"/>
  <c r="R10" i="1" l="1"/>
  <c r="P9" i="1"/>
  <c r="R9" i="1" s="1"/>
  <c r="D30" i="25" l="1"/>
  <c r="D29" i="25" l="1"/>
  <c r="D37" i="25" s="1"/>
  <c r="D40" i="25" s="1"/>
  <c r="D35" i="25"/>
  <c r="D29" i="1"/>
  <c r="D30" i="1" l="1"/>
  <c r="D37" i="1"/>
  <c r="D32" i="24" l="1"/>
  <c r="D32" i="1" s="1"/>
  <c r="D34" i="24" l="1"/>
  <c r="D37" i="24"/>
  <c r="D38" i="24" l="1"/>
  <c r="D40" i="24" s="1"/>
  <c r="D34" i="1"/>
  <c r="D35" i="24"/>
  <c r="D38" i="1" l="1"/>
  <c r="D40" i="1" s="1"/>
  <c r="D35" i="1"/>
  <c r="D23" i="27" l="1"/>
  <c r="D42" i="9"/>
  <c r="D40" i="9"/>
  <c r="D40" i="4" s="1"/>
  <c r="P15" i="71"/>
  <c r="R15" i="71" s="1"/>
  <c r="P16" i="71" l="1"/>
  <c r="R16" i="71" s="1"/>
  <c r="D42" i="71"/>
  <c r="D42" i="8"/>
  <c r="D41" i="9"/>
  <c r="D53" i="9"/>
  <c r="D25" i="27"/>
  <c r="D29" i="27" s="1"/>
  <c r="D24" i="27"/>
  <c r="D28" i="27" l="1"/>
  <c r="D30" i="27" s="1"/>
  <c r="D26" i="27"/>
  <c r="D22" i="27"/>
  <c r="D53" i="8"/>
  <c r="D42" i="4"/>
  <c r="D43" i="71" l="1"/>
  <c r="P17" i="71"/>
  <c r="R17" i="71" s="1"/>
  <c r="D43" i="8"/>
  <c r="D48" i="9"/>
  <c r="D48" i="71" l="1"/>
  <c r="D48" i="8"/>
  <c r="D48" i="4" s="1"/>
  <c r="P22" i="71"/>
  <c r="R22" i="71" s="1"/>
  <c r="D54" i="8"/>
  <c r="P18" i="71"/>
  <c r="D44" i="8"/>
  <c r="D49" i="8" s="1"/>
  <c r="D44" i="71"/>
  <c r="D49" i="71" s="1"/>
  <c r="R18" i="71" l="1"/>
  <c r="P23" i="71"/>
  <c r="R23" i="71" s="1"/>
  <c r="D45" i="71"/>
  <c r="D50" i="71" s="1"/>
  <c r="P19" i="71"/>
  <c r="D45" i="8"/>
  <c r="D50" i="8" s="1"/>
  <c r="D41" i="4"/>
  <c r="R19" i="71" l="1"/>
  <c r="P24" i="71"/>
  <c r="R24" i="71" s="1"/>
  <c r="D43" i="9" l="1"/>
  <c r="D54" i="9" l="1"/>
  <c r="D44" i="9"/>
  <c r="D49" i="9" s="1"/>
  <c r="D43" i="4"/>
  <c r="D44" i="4" s="1"/>
  <c r="D49" i="4" s="1"/>
  <c r="D45" i="9" l="1"/>
  <c r="D50" i="9" s="1"/>
  <c r="D45" i="4"/>
  <c r="D50"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Sun</author>
  </authors>
  <commentList>
    <comment ref="E34" authorId="0" shapeId="0" xr:uid="{43979AB1-280C-4E93-8610-590A88E3E22F}">
      <text>
        <r>
          <rPr>
            <b/>
            <sz val="9"/>
            <color indexed="81"/>
            <rFont val="Tahoma"/>
            <family val="2"/>
          </rPr>
          <t>Peter Sun:</t>
        </r>
        <r>
          <rPr>
            <sz val="9"/>
            <color indexed="81"/>
            <rFont val="Tahoma"/>
            <family val="2"/>
          </rPr>
          <t xml:space="preserve">
Jim's annual leave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5A9511-51D3-4668-97DA-335A1E22ED46}" keepAlive="1" name="GrossProfitsexample" type="5" refreshedVersion="8" background="1">
    <dbPr connection="Provider=MSOLAP.8;Integrated Security=ClaimsToken;Persist Security Info=True;Initial Catalog=sobe_wowvirtualserver-d3366d8d-e0ac-4341-ad96-e613f622f53d;Data Source=pbiazure://api.powerbi.com;MDX Compatibility=1;Safety Options=2;MDX Missing Member Mode=Error;Identity Provider=https://login.microsoftonline.com/common, https://analysis.windows.net/powerbi/api, 929d0ec0-7a41-4b1e-bc7c-b754a28bddcc;Update Isolation Level=2" command="Model" commandType="1"/>
    <olapPr rowDrillCount="1000"/>
  </connection>
  <connection id="2" xr16:uid="{53AF235B-DFE9-45A6-8615-289BBC6CA97D}" keepAlive="1" name="GrossProfitsexample1" type="5" refreshedVersion="8" background="1">
    <dbPr connection="Provider=MSOLAP.8;Integrated Security=ClaimsToken;Persist Security Info=True;Initial Catalog=sobe_wowvirtualserver-d3366d8d-e0ac-4341-ad96-e613f622f53d;Data Source=pbiazure://api.powerbi.com;MDX Compatibility=1;Safety Options=2;MDX Missing Member Mode=Error;Identity Provider=https://login.microsoftonline.com/common, https://analysis.windows.net/powerbi/api, 929d0ec0-7a41-4b1e-bc7c-b754a28bddcc;Update Isolation Level=2" command="Model" commandType="1"/>
    <olapPr rowDrillCount="1000"/>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<sst xmlns="http://schemas.openxmlformats.org/spreadsheetml/2006/main" count="6717" uniqueCount="1542">
  <si>
    <t>Northern Bays Motors Limited (5102)</t>
  </si>
  <si>
    <t>From 01/Apr/2023 To 31/Mar/2024</t>
  </si>
  <si>
    <t>Employee Details + Annual Salary</t>
  </si>
  <si>
    <t>Employee Code</t>
  </si>
  <si>
    <t>Last Name</t>
  </si>
  <si>
    <t>First Name</t>
  </si>
  <si>
    <t>Occupation</t>
  </si>
  <si>
    <t>Start Date</t>
  </si>
  <si>
    <t>Termination Date</t>
  </si>
  <si>
    <t>Email Address</t>
  </si>
  <si>
    <t>Pay Rate</t>
  </si>
  <si>
    <t>Annual Salary</t>
  </si>
  <si>
    <t>Commissions</t>
  </si>
  <si>
    <t>Home Cost Box - Division Code</t>
  </si>
  <si>
    <t>Home Cost Box - Division</t>
  </si>
  <si>
    <t>Home Cost Box - Cost Centre Code</t>
  </si>
  <si>
    <t>Home Cost Box - Cost Centre</t>
  </si>
  <si>
    <t>Home Cost Box - Department Code</t>
  </si>
  <si>
    <t>Home Cost Box - Department</t>
  </si>
  <si>
    <t>CHAND</t>
  </si>
  <si>
    <t>Prem</t>
  </si>
  <si>
    <t>New Sales Consultant</t>
  </si>
  <si>
    <t>prem.chand@nst.co.nz</t>
  </si>
  <si>
    <t>TKP_S</t>
  </si>
  <si>
    <t>North Shore Sales</t>
  </si>
  <si>
    <t>New Toyota</t>
  </si>
  <si>
    <t>110_Sales</t>
  </si>
  <si>
    <t>Chow</t>
  </si>
  <si>
    <t>Kevin</t>
  </si>
  <si>
    <t>Sales Consultant (New Vehicles)</t>
  </si>
  <si>
    <t>kegela2012@hotmail.com</t>
  </si>
  <si>
    <t>LEE</t>
  </si>
  <si>
    <t>Adrian Nicholas</t>
  </si>
  <si>
    <t>adrianlee@nst.co.nz</t>
  </si>
  <si>
    <t>LI</t>
  </si>
  <si>
    <t>Yue</t>
  </si>
  <si>
    <t>New Vehicle Co-Ordinator</t>
  </si>
  <si>
    <t>aklvictor@outlook.com</t>
  </si>
  <si>
    <t>110_Other</t>
  </si>
  <si>
    <t>PATERIYA</t>
  </si>
  <si>
    <t>Ashish</t>
  </si>
  <si>
    <t>Sales Leader - North Shore</t>
  </si>
  <si>
    <t>reachash10@gmail.com</t>
  </si>
  <si>
    <t>110_Manager</t>
  </si>
  <si>
    <t>WATKINS</t>
  </si>
  <si>
    <t>Donovan</t>
  </si>
  <si>
    <t>Group Stock Controller</t>
  </si>
  <si>
    <t>donovan@nst.co.nz</t>
  </si>
  <si>
    <t>WEI</t>
  </si>
  <si>
    <t>Zhuobin</t>
  </si>
  <si>
    <t>Sales Consultant</t>
  </si>
  <si>
    <t>kingwei@nst.co.nz</t>
  </si>
  <si>
    <t>Wei</t>
  </si>
  <si>
    <t>Xin</t>
  </si>
  <si>
    <t>Sales Consultant NST</t>
  </si>
  <si>
    <t>weixin0919@gmail.com</t>
  </si>
  <si>
    <t>WILLMERS</t>
  </si>
  <si>
    <t>Gavin Charles</t>
  </si>
  <si>
    <t>North Shore Sales Manager</t>
  </si>
  <si>
    <t>willmersfamily@xtra.co.nz</t>
  </si>
  <si>
    <t>GRGICEVICH</t>
  </si>
  <si>
    <t>Julie Gaylene</t>
  </si>
  <si>
    <t>Lexus Sales Consultant</t>
  </si>
  <si>
    <t>julie@lexusofnorthshore.co.nz</t>
  </si>
  <si>
    <t>Lexus</t>
  </si>
  <si>
    <t>112_Sales</t>
  </si>
  <si>
    <t>LIU</t>
  </si>
  <si>
    <t>Jiayan</t>
  </si>
  <si>
    <t>djlobber@hotmail.com</t>
  </si>
  <si>
    <t>WANG</t>
  </si>
  <si>
    <t>Yuanyuan</t>
  </si>
  <si>
    <t>helenwang@lexusofnorthshore.co.nz</t>
  </si>
  <si>
    <t>Watts / Filipchich</t>
  </si>
  <si>
    <t>Michelle Karen</t>
  </si>
  <si>
    <t>Sales Consultant - Lexus</t>
  </si>
  <si>
    <t>michelle.watts0102@gmail.com</t>
  </si>
  <si>
    <t>ASTON-EBERT</t>
  </si>
  <si>
    <t>Jesse</t>
  </si>
  <si>
    <t>Used Sales Consultant</t>
  </si>
  <si>
    <t>jessenz1@hotmail.com</t>
  </si>
  <si>
    <t>Used Toyota</t>
  </si>
  <si>
    <t>120_Sales</t>
  </si>
  <si>
    <t>Du Toit</t>
  </si>
  <si>
    <t>Samuel</t>
  </si>
  <si>
    <t>Yard Hand</t>
  </si>
  <si>
    <t>samueldutoit@icloud.com</t>
  </si>
  <si>
    <t>120_Other</t>
  </si>
  <si>
    <t>Li</t>
  </si>
  <si>
    <t>Hin Wai William</t>
  </si>
  <si>
    <t>Sales Consultant (Used Vehicles)</t>
  </si>
  <si>
    <t>wb88ws@gmail.com</t>
  </si>
  <si>
    <t>McTernan</t>
  </si>
  <si>
    <t>Paul</t>
  </si>
  <si>
    <t>Used Vehicle Sales Consultant</t>
  </si>
  <si>
    <t>paul.mcternan99@gmail.com</t>
  </si>
  <si>
    <t>Zhu</t>
  </si>
  <si>
    <t>Bo</t>
  </si>
  <si>
    <t>goodbye_fantasy@hotmail.com</t>
  </si>
  <si>
    <t>CHEN</t>
  </si>
  <si>
    <t>Sida</t>
  </si>
  <si>
    <t>sidachennz@gmail.com</t>
  </si>
  <si>
    <t>Signature</t>
  </si>
  <si>
    <t>121_Sales</t>
  </si>
  <si>
    <t>VANNIASINGHAM</t>
  </si>
  <si>
    <t>James Selvadurai</t>
  </si>
  <si>
    <t>Senior Sales Consultant</t>
  </si>
  <si>
    <t>vannjam@gmail.com</t>
  </si>
  <si>
    <t>ANNAN</t>
  </si>
  <si>
    <t>Krysten Paige</t>
  </si>
  <si>
    <t>Internal Parts Interpreter</t>
  </si>
  <si>
    <t>krystenkassie@hotmail.com</t>
  </si>
  <si>
    <t>TKP_AS</t>
  </si>
  <si>
    <t>North Shore Aftersales</t>
  </si>
  <si>
    <t>Parts</t>
  </si>
  <si>
    <t>130_Other</t>
  </si>
  <si>
    <t>CUNNINGHAM</t>
  </si>
  <si>
    <t>Fraser Peter</t>
  </si>
  <si>
    <t>After Sales Leader - North Shore</t>
  </si>
  <si>
    <t>fraser@nst.co.nz</t>
  </si>
  <si>
    <t>130_Manager</t>
  </si>
  <si>
    <t>DARBY</t>
  </si>
  <si>
    <t>Donna Caroline</t>
  </si>
  <si>
    <t>Parts Driver</t>
  </si>
  <si>
    <t>donnaz4848@gmail.com</t>
  </si>
  <si>
    <t>GOODALL</t>
  </si>
  <si>
    <t>Keegan</t>
  </si>
  <si>
    <t>Parts Manager</t>
  </si>
  <si>
    <t>goodall.keegan@gmail.com</t>
  </si>
  <si>
    <t>HARRIS</t>
  </si>
  <si>
    <t>Paul Leon William</t>
  </si>
  <si>
    <t>Internal Parts Controller</t>
  </si>
  <si>
    <t>photofond@gmail.com</t>
  </si>
  <si>
    <t>LAM</t>
  </si>
  <si>
    <t>Wai Hung</t>
  </si>
  <si>
    <t>Parts Interpreter</t>
  </si>
  <si>
    <t>johnny-lam@hotmail.com</t>
  </si>
  <si>
    <t>McNamara</t>
  </si>
  <si>
    <t>Glen John</t>
  </si>
  <si>
    <t>Online Parts Coordinator</t>
  </si>
  <si>
    <t>omegah43@gmail.com</t>
  </si>
  <si>
    <t>Oxley</t>
  </si>
  <si>
    <t>Madison Kay</t>
  </si>
  <si>
    <t>Warehouse Assistant</t>
  </si>
  <si>
    <t>madison.oxley@xtra.co.nz</t>
  </si>
  <si>
    <t>Paik</t>
  </si>
  <si>
    <t>Grant</t>
  </si>
  <si>
    <t>Part Interpreter</t>
  </si>
  <si>
    <t>grant0011@gmail.com</t>
  </si>
  <si>
    <t>Townshend</t>
  </si>
  <si>
    <t>Samuel William</t>
  </si>
  <si>
    <t>Parts Interpreter NST</t>
  </si>
  <si>
    <t>samuel.w.townshend@gmail.com</t>
  </si>
  <si>
    <t>TROUGHTON</t>
  </si>
  <si>
    <t>Mark</t>
  </si>
  <si>
    <t>Parts Rep</t>
  </si>
  <si>
    <t>mark@nst.co.nz</t>
  </si>
  <si>
    <t>VERMEER</t>
  </si>
  <si>
    <t>Rene</t>
  </si>
  <si>
    <t>Performance Parts Manager</t>
  </si>
  <si>
    <t>rene.vermeer03@gmail.com</t>
  </si>
  <si>
    <t>BHARDWAJ</t>
  </si>
  <si>
    <t>Mehul</t>
  </si>
  <si>
    <t>Senior Service Advisor and Internal Parts Controller</t>
  </si>
  <si>
    <t>bhardwaj.mehul@gmail.com</t>
  </si>
  <si>
    <t>Service Toyota</t>
  </si>
  <si>
    <t>140_Other</t>
  </si>
  <si>
    <t>Cheng</t>
  </si>
  <si>
    <t>Jiaxi</t>
  </si>
  <si>
    <t>North Shore Service Concierge</t>
  </si>
  <si>
    <t>jc02251997@gmail.com</t>
  </si>
  <si>
    <t>Chin</t>
  </si>
  <si>
    <t>Soo Liam</t>
  </si>
  <si>
    <t>Service Advisor</t>
  </si>
  <si>
    <t>chris_chinr35@yahoo.co.nz</t>
  </si>
  <si>
    <t>Clark</t>
  </si>
  <si>
    <t>Benjamin Stephen</t>
  </si>
  <si>
    <t>benjaminstephenclark@gmail.com</t>
  </si>
  <si>
    <t>CLIFFORD</t>
  </si>
  <si>
    <t>Jason</t>
  </si>
  <si>
    <t>Workshop Controller</t>
  </si>
  <si>
    <t>clifford.jason@hotmail.com</t>
  </si>
  <si>
    <t>Crombie</t>
  </si>
  <si>
    <t>Angela</t>
  </si>
  <si>
    <t>angelacrombie6@gmail.com</t>
  </si>
  <si>
    <t>Cuevas</t>
  </si>
  <si>
    <t>Kyle Benjamin</t>
  </si>
  <si>
    <t>Concierge</t>
  </si>
  <si>
    <t>kylecuevas@gmail.com</t>
  </si>
  <si>
    <t>DAVIS</t>
  </si>
  <si>
    <t>Blair</t>
  </si>
  <si>
    <t>blairdaviddavis@gmail.com</t>
  </si>
  <si>
    <t>DUDDY</t>
  </si>
  <si>
    <t>Patrick</t>
  </si>
  <si>
    <t>Service Advisor and ExtraCare Warranty</t>
  </si>
  <si>
    <t>patrick.julie@xtra.co.nz</t>
  </si>
  <si>
    <t>FLETCHER</t>
  </si>
  <si>
    <t>Aaron Elvis</t>
  </si>
  <si>
    <t>Service Manager</t>
  </si>
  <si>
    <t>gabaaronf@gmail.com</t>
  </si>
  <si>
    <t>140_Manager</t>
  </si>
  <si>
    <t>HARISUDAN</t>
  </si>
  <si>
    <t>Sandeep</t>
  </si>
  <si>
    <t>Assistant Service Manager</t>
  </si>
  <si>
    <t>sandeep.harisudan@gmail.com</t>
  </si>
  <si>
    <t>O'DONOGHUE</t>
  </si>
  <si>
    <t>Ryan</t>
  </si>
  <si>
    <t>Senior Service Advisor</t>
  </si>
  <si>
    <t>ryan.odonoghue@live.com</t>
  </si>
  <si>
    <t>Stark</t>
  </si>
  <si>
    <t>Tiago</t>
  </si>
  <si>
    <t>Service Concierge</t>
  </si>
  <si>
    <t>Tiagostark.ts12@gmail.com</t>
  </si>
  <si>
    <t>JOHNSTON</t>
  </si>
  <si>
    <t>Connor Aaron</t>
  </si>
  <si>
    <t>Senior Technician &amp; Technical Advisor</t>
  </si>
  <si>
    <t>cawnnor@gmail.com</t>
  </si>
  <si>
    <t>Service Lexus</t>
  </si>
  <si>
    <t>142_Other</t>
  </si>
  <si>
    <t>SHANNON</t>
  </si>
  <si>
    <t>Stephen Charles</t>
  </si>
  <si>
    <t>Lexus Senior Service Advisor</t>
  </si>
  <si>
    <t>shannfamm@gmail.com</t>
  </si>
  <si>
    <t>Sim</t>
  </si>
  <si>
    <t>Nathan</t>
  </si>
  <si>
    <t>Lexus Groomer NST</t>
  </si>
  <si>
    <t>nathansim20@gmail.com</t>
  </si>
  <si>
    <t>VAZ</t>
  </si>
  <si>
    <t>Linet Joyce</t>
  </si>
  <si>
    <t>Lexus Service Advisor</t>
  </si>
  <si>
    <t>vazlinet@gmail.com</t>
  </si>
  <si>
    <t>Ferguson</t>
  </si>
  <si>
    <t>Brooklyn</t>
  </si>
  <si>
    <t>Groomer/ Detailer</t>
  </si>
  <si>
    <t>bferguson672@gmail.com</t>
  </si>
  <si>
    <t xml:space="preserve">Retail Detailing </t>
  </si>
  <si>
    <t>150_Other</t>
  </si>
  <si>
    <t>FISHER</t>
  </si>
  <si>
    <t>Graham</t>
  </si>
  <si>
    <t>Groomer</t>
  </si>
  <si>
    <t>glef@xtra.co.nz</t>
  </si>
  <si>
    <t>MacRae</t>
  </si>
  <si>
    <t>Christopher</t>
  </si>
  <si>
    <t>cmacrae53@gmail.com</t>
  </si>
  <si>
    <t>Mitchell</t>
  </si>
  <si>
    <t>Connor</t>
  </si>
  <si>
    <t>cjcphotonz@outlook.com</t>
  </si>
  <si>
    <t>Pratap</t>
  </si>
  <si>
    <t>Yasheel</t>
  </si>
  <si>
    <t>Service Groomer</t>
  </si>
  <si>
    <t>yasheelpratap61@gmail.com</t>
  </si>
  <si>
    <t>SAYER</t>
  </si>
  <si>
    <t>Daniel Guy</t>
  </si>
  <si>
    <t>Detailing Manager</t>
  </si>
  <si>
    <t>dan.sayer86@gmail.com</t>
  </si>
  <si>
    <t>150_Manager</t>
  </si>
  <si>
    <t>TAMAYO</t>
  </si>
  <si>
    <t>Allan</t>
  </si>
  <si>
    <t>allantamayo.design@yahoo.com</t>
  </si>
  <si>
    <t>URBIZTONDO</t>
  </si>
  <si>
    <t>Justin Quinto</t>
  </si>
  <si>
    <t>Justin.urbiz14@gmail.com</t>
  </si>
  <si>
    <t>Urbiztondo</t>
  </si>
  <si>
    <t>Jeunne</t>
  </si>
  <si>
    <t>june.urbiz@yahoo.com</t>
  </si>
  <si>
    <t>WHISKEN</t>
  </si>
  <si>
    <t>Shane Dominic</t>
  </si>
  <si>
    <t>Senior Groomer</t>
  </si>
  <si>
    <t>shanewhisken@gmail.com</t>
  </si>
  <si>
    <t>CHAN</t>
  </si>
  <si>
    <t>Ka Yau</t>
  </si>
  <si>
    <t>Business Manager</t>
  </si>
  <si>
    <t>bobbychankayau@gmail.com</t>
  </si>
  <si>
    <t>Finance &amp; Insurance</t>
  </si>
  <si>
    <t>160_Other</t>
  </si>
  <si>
    <t>DILKS</t>
  </si>
  <si>
    <t>Matthew</t>
  </si>
  <si>
    <t>matdilks@gmail.com</t>
  </si>
  <si>
    <t>Di</t>
  </si>
  <si>
    <t>Business Manager Support</t>
  </si>
  <si>
    <t>di2017wang@gmail.com</t>
  </si>
  <si>
    <t>Chen</t>
  </si>
  <si>
    <t>Ming</t>
  </si>
  <si>
    <t>andicm@gmail.com</t>
  </si>
  <si>
    <t>HDN_S</t>
  </si>
  <si>
    <t>Henderson Sales</t>
  </si>
  <si>
    <t>210_Sales</t>
  </si>
  <si>
    <t>Howie</t>
  </si>
  <si>
    <t>Dayton</t>
  </si>
  <si>
    <t>Sales Leader (NWT)</t>
  </si>
  <si>
    <t>dayton.howie@nwt.co.nz</t>
  </si>
  <si>
    <t>QIU</t>
  </si>
  <si>
    <t>Hong Cheng</t>
  </si>
  <si>
    <t>Wash Bay Supervisor</t>
  </si>
  <si>
    <t>qiukid@hotmail.com</t>
  </si>
  <si>
    <t>210_Other</t>
  </si>
  <si>
    <t>Wang</t>
  </si>
  <si>
    <t>Joseph Yi-Feng</t>
  </si>
  <si>
    <t>Yard Hand/ Groomer</t>
  </si>
  <si>
    <t>josephwang09@gmail.com</t>
  </si>
  <si>
    <t>ZHANG</t>
  </si>
  <si>
    <t>zd1818@gmail.com</t>
  </si>
  <si>
    <t>Zhang</t>
  </si>
  <si>
    <t>Sheng</t>
  </si>
  <si>
    <t>Sales Leader</t>
  </si>
  <si>
    <t>ericzhang688@gmail.com</t>
  </si>
  <si>
    <t>210_Manager</t>
  </si>
  <si>
    <t>Aroa</t>
  </si>
  <si>
    <t>Angus</t>
  </si>
  <si>
    <t>Sales Cadet (NWT)</t>
  </si>
  <si>
    <t>anguskookoo@gmail.com</t>
  </si>
  <si>
    <t>220_Sales</t>
  </si>
  <si>
    <t>ASSUNCAO</t>
  </si>
  <si>
    <t>Daniel</t>
  </si>
  <si>
    <t>daniel_nz08@yahoo.co.nz</t>
  </si>
  <si>
    <t>Fribrant Katz</t>
  </si>
  <si>
    <t>Sam</t>
  </si>
  <si>
    <t>Yard hand / Groomer</t>
  </si>
  <si>
    <t>samkatz31@gmail.com</t>
  </si>
  <si>
    <t>220_Other</t>
  </si>
  <si>
    <t>Godward</t>
  </si>
  <si>
    <t>Oliver</t>
  </si>
  <si>
    <t>oligodward123@gmail.com</t>
  </si>
  <si>
    <t>JU</t>
  </si>
  <si>
    <t>Kai</t>
  </si>
  <si>
    <t>jukai888@hotmail.com</t>
  </si>
  <si>
    <t>Jung</t>
  </si>
  <si>
    <t>Joonhyuk</t>
  </si>
  <si>
    <t>joonhyuk@kakao.com</t>
  </si>
  <si>
    <t>HDN_AS</t>
  </si>
  <si>
    <t>Henderson Aftersales</t>
  </si>
  <si>
    <t>Raphael</t>
  </si>
  <si>
    <t>Sophia</t>
  </si>
  <si>
    <t>sophiaraphael1224@gmail.com</t>
  </si>
  <si>
    <t>240_Other</t>
  </si>
  <si>
    <t>Silva</t>
  </si>
  <si>
    <t>William</t>
  </si>
  <si>
    <t>will.silva.nz@gmail.com</t>
  </si>
  <si>
    <t>STEWART</t>
  </si>
  <si>
    <t>Colleen Marie</t>
  </si>
  <si>
    <t>kura.smith@gmail.com</t>
  </si>
  <si>
    <t>Heywood</t>
  </si>
  <si>
    <t>James</t>
  </si>
  <si>
    <t>Parts Warehouse Assistant</t>
  </si>
  <si>
    <t>jkheywood01@gmail.com</t>
  </si>
  <si>
    <t>230_Other</t>
  </si>
  <si>
    <t>Povey</t>
  </si>
  <si>
    <t>Keith</t>
  </si>
  <si>
    <t>Parts Interpreter HND</t>
  </si>
  <si>
    <t>ke-fee@hotmail.com</t>
  </si>
  <si>
    <t>SOUTHGATE</t>
  </si>
  <si>
    <t>Kane Allen</t>
  </si>
  <si>
    <t>kane.southgate@hotmail.com</t>
  </si>
  <si>
    <t>230_Manager</t>
  </si>
  <si>
    <t>Smuts</t>
  </si>
  <si>
    <t>Kyle Steven</t>
  </si>
  <si>
    <t>kssmuts@outlook.com</t>
  </si>
  <si>
    <t>Backhouse-Smith</t>
  </si>
  <si>
    <t>Aaron</t>
  </si>
  <si>
    <t>Aaronbhs@icloud.com</t>
  </si>
  <si>
    <t>BAMBURY</t>
  </si>
  <si>
    <t>Steven David</t>
  </si>
  <si>
    <t>After Sales Leader - North Western</t>
  </si>
  <si>
    <t>ssbambury@gmail.com</t>
  </si>
  <si>
    <t>240_Manager</t>
  </si>
  <si>
    <t>Benedito</t>
  </si>
  <si>
    <t>Chloe</t>
  </si>
  <si>
    <t>chloeteresabenedito@gmail.com</t>
  </si>
  <si>
    <t>GRP_CS</t>
  </si>
  <si>
    <t>Customer Support</t>
  </si>
  <si>
    <t>McCORMACK</t>
  </si>
  <si>
    <t>Merissa Elizabeth Shack</t>
  </si>
  <si>
    <t>merissagilmour@hotmail.com</t>
  </si>
  <si>
    <t>Naik</t>
  </si>
  <si>
    <t>Megh</t>
  </si>
  <si>
    <t>naikmegh1999@gmail.com</t>
  </si>
  <si>
    <t>NEHEMIA</t>
  </si>
  <si>
    <t>Peter</t>
  </si>
  <si>
    <t>Senior Groomer NWT</t>
  </si>
  <si>
    <t>melissangahere1@outlook.com</t>
  </si>
  <si>
    <t>YELAVICH</t>
  </si>
  <si>
    <t>Brooke Angela</t>
  </si>
  <si>
    <t>Workshop Controller / Senior Service Advisor</t>
  </si>
  <si>
    <t>yelavichbrooke@gmail.com</t>
  </si>
  <si>
    <t>PURNOMO</t>
  </si>
  <si>
    <t>Andreas</t>
  </si>
  <si>
    <t>andreas@nwt.co.nz</t>
  </si>
  <si>
    <t>260_Other</t>
  </si>
  <si>
    <t>Schmidlin</t>
  </si>
  <si>
    <t>Francesca</t>
  </si>
  <si>
    <t>Francesca.Schmidlin@gmail.com</t>
  </si>
  <si>
    <t>MOHAMMED</t>
  </si>
  <si>
    <t>Zuber</t>
  </si>
  <si>
    <t>zuberm84@yahoo.com</t>
  </si>
  <si>
    <t>NLN_AS</t>
  </si>
  <si>
    <t>New Lynn Aftersales</t>
  </si>
  <si>
    <t>330_Other</t>
  </si>
  <si>
    <t>BHAN</t>
  </si>
  <si>
    <t>Hamish</t>
  </si>
  <si>
    <t>After Sales Manager</t>
  </si>
  <si>
    <t>youknowhamish@hotmail.com</t>
  </si>
  <si>
    <t>340_Manager</t>
  </si>
  <si>
    <t>Nieuwoudt</t>
  </si>
  <si>
    <t>Michael</t>
  </si>
  <si>
    <t>micink@gmail.com</t>
  </si>
  <si>
    <t>340_Other</t>
  </si>
  <si>
    <t>RHODES</t>
  </si>
  <si>
    <t>Daniel Alexander</t>
  </si>
  <si>
    <t>dannyrhodes0021@gmail.com</t>
  </si>
  <si>
    <t>TOEVAI</t>
  </si>
  <si>
    <t>Chris</t>
  </si>
  <si>
    <t>chris_toevai@hotmail.com</t>
  </si>
  <si>
    <t>MODINA</t>
  </si>
  <si>
    <t>Matthew Bryan</t>
  </si>
  <si>
    <t>Warehouse Supervisor</t>
  </si>
  <si>
    <t>sith_3901@yahoo.com</t>
  </si>
  <si>
    <t>HOB_AS</t>
  </si>
  <si>
    <t>Hobsonville Aftersales</t>
  </si>
  <si>
    <t>430_Other</t>
  </si>
  <si>
    <t>BROWN</t>
  </si>
  <si>
    <t>Scott</t>
  </si>
  <si>
    <t>Driver / Groomer HBN</t>
  </si>
  <si>
    <t>scotbrown846@gmail.com</t>
  </si>
  <si>
    <t>440_Other</t>
  </si>
  <si>
    <t>HUYNH</t>
  </si>
  <si>
    <t>Kacey</t>
  </si>
  <si>
    <t>Warranty Administrator</t>
  </si>
  <si>
    <t>kacey.irwin@hotmail.com</t>
  </si>
  <si>
    <t>Jeffs</t>
  </si>
  <si>
    <t>Tony</t>
  </si>
  <si>
    <t>After Sales Manager HBN</t>
  </si>
  <si>
    <t>tonyjeffs76@gmail.com</t>
  </si>
  <si>
    <t>440_Manager</t>
  </si>
  <si>
    <t>Mens</t>
  </si>
  <si>
    <t>Karen</t>
  </si>
  <si>
    <t>karen.mens@gmail.com</t>
  </si>
  <si>
    <t>Stewart</t>
  </si>
  <si>
    <t>Trisha Liane</t>
  </si>
  <si>
    <t>New Vehicle Logistics Lead</t>
  </si>
  <si>
    <t>t.stewart@outlook.co.nz</t>
  </si>
  <si>
    <t>VELTMAN</t>
  </si>
  <si>
    <t>Niclaus</t>
  </si>
  <si>
    <t>Workshop Supervisor</t>
  </si>
  <si>
    <t>nicklausveltman@gmail.com</t>
  </si>
  <si>
    <t>ABBASPOUR-MOJDEHI</t>
  </si>
  <si>
    <t>Ali</t>
  </si>
  <si>
    <t>Apprentice Service Technician NLN</t>
  </si>
  <si>
    <t>alimojdehi46@gmail.com</t>
  </si>
  <si>
    <t>Service Labour</t>
  </si>
  <si>
    <t>1570N</t>
  </si>
  <si>
    <t>340_Labour</t>
  </si>
  <si>
    <t>Anauli</t>
  </si>
  <si>
    <t>Tom</t>
  </si>
  <si>
    <t>Customer Support Centre Representative</t>
  </si>
  <si>
    <t>taylavaiouga@gmail.com</t>
  </si>
  <si>
    <t>GRP_OP</t>
  </si>
  <si>
    <t>Operations</t>
  </si>
  <si>
    <t>Business Support</t>
  </si>
  <si>
    <t>190_Other</t>
  </si>
  <si>
    <t>Bailey</t>
  </si>
  <si>
    <t>Apprentice Technician</t>
  </si>
  <si>
    <t>Ryanbailey0369@gmail.com</t>
  </si>
  <si>
    <t>1570B</t>
  </si>
  <si>
    <t>440_Labour</t>
  </si>
  <si>
    <t>Bambury</t>
  </si>
  <si>
    <t>Alexander</t>
  </si>
  <si>
    <t>Lexus Apprentice Technician</t>
  </si>
  <si>
    <t>a.bambury96@gmail.com</t>
  </si>
  <si>
    <t>142_Labour</t>
  </si>
  <si>
    <t>BARTLETT</t>
  </si>
  <si>
    <t>Carl</t>
  </si>
  <si>
    <t>Workshop Foreman</t>
  </si>
  <si>
    <t>carlandbar@gmail.com</t>
  </si>
  <si>
    <t>1570H</t>
  </si>
  <si>
    <t>240_Labour</t>
  </si>
  <si>
    <t>BROOKS</t>
  </si>
  <si>
    <t>Corey Matthew Roy</t>
  </si>
  <si>
    <t>Apprentice Service Technician</t>
  </si>
  <si>
    <t>corey.b1@live.com</t>
  </si>
  <si>
    <t>140_Labour</t>
  </si>
  <si>
    <t>Jalen Judaline</t>
  </si>
  <si>
    <t>Sales and Retention Specialist - Customer Support Centre</t>
  </si>
  <si>
    <t>jalenbrooks@live.com</t>
  </si>
  <si>
    <t>BROWN - HAWKE</t>
  </si>
  <si>
    <t>Stephen Anthony</t>
  </si>
  <si>
    <t>Project Delivery Coordinator</t>
  </si>
  <si>
    <t>stevebrownhawke@gmail.com</t>
  </si>
  <si>
    <t>BURKE</t>
  </si>
  <si>
    <t>Marc Ronald</t>
  </si>
  <si>
    <t>Service Technician</t>
  </si>
  <si>
    <t>mibearz@xtra.co.nz</t>
  </si>
  <si>
    <t>Carter</t>
  </si>
  <si>
    <t>Nicholas</t>
  </si>
  <si>
    <t>Service Technician HND</t>
  </si>
  <si>
    <t>nicko75.nc@gmail.com</t>
  </si>
  <si>
    <t>Chiari</t>
  </si>
  <si>
    <t>Luke</t>
  </si>
  <si>
    <t>Technician</t>
  </si>
  <si>
    <t>rotor-reaper@hotmail.com</t>
  </si>
  <si>
    <t>CHIN</t>
  </si>
  <si>
    <t>Soo Fook</t>
  </si>
  <si>
    <t>Lexus Senior Technician</t>
  </si>
  <si>
    <t>samchin7@yahoo.com.sg</t>
  </si>
  <si>
    <t>CONN</t>
  </si>
  <si>
    <t>Jennifer Louise</t>
  </si>
  <si>
    <t>Vehicle Administration</t>
  </si>
  <si>
    <t>Dawson</t>
  </si>
  <si>
    <t>Liam</t>
  </si>
  <si>
    <t>liamjamesdawson1@gmail.com</t>
  </si>
  <si>
    <t>Du</t>
  </si>
  <si>
    <t>Yu Tong</t>
  </si>
  <si>
    <t>Apprentice</t>
  </si>
  <si>
    <t>dyttt237@gmail.com</t>
  </si>
  <si>
    <t>EDWARDS</t>
  </si>
  <si>
    <t>Damon Thomas</t>
  </si>
  <si>
    <t>damon771@hotmail.com</t>
  </si>
  <si>
    <t>Firth</t>
  </si>
  <si>
    <t>Temp Workshop Hand</t>
  </si>
  <si>
    <t>matthewfirth6009@gmail.com</t>
  </si>
  <si>
    <t>Leighanne Pelham</t>
  </si>
  <si>
    <t>Accounts Administrator - Debtors &amp; Bank Reconciliation</t>
  </si>
  <si>
    <t>Fraser</t>
  </si>
  <si>
    <t>samuelfraser2005@gmail.com</t>
  </si>
  <si>
    <t>GOLDBLATT</t>
  </si>
  <si>
    <t>Kerry</t>
  </si>
  <si>
    <t>NWT Administrator</t>
  </si>
  <si>
    <t>kerrygoldblatt10@yahoo.com</t>
  </si>
  <si>
    <t>Gregan</t>
  </si>
  <si>
    <t>Eleanor</t>
  </si>
  <si>
    <t>People &amp; Culture Manager</t>
  </si>
  <si>
    <t>eleanorgregan@gmail.com</t>
  </si>
  <si>
    <t>Hakai</t>
  </si>
  <si>
    <t>June</t>
  </si>
  <si>
    <t>june28hakai@yahoo.co.nz</t>
  </si>
  <si>
    <t>HAN</t>
  </si>
  <si>
    <t>Gyung Seob</t>
  </si>
  <si>
    <t>Lexus Foreman / Workshop Controller</t>
  </si>
  <si>
    <t>visionautocarenz@gmail.com</t>
  </si>
  <si>
    <t>HATCH</t>
  </si>
  <si>
    <t>Melanie</t>
  </si>
  <si>
    <t>Accounts Administrator - Vehicle Accounts</t>
  </si>
  <si>
    <t>mel.hatch@hotmail.com</t>
  </si>
  <si>
    <t>HEWITT</t>
  </si>
  <si>
    <t>Carmen</t>
  </si>
  <si>
    <t>Vehicle Administrator</t>
  </si>
  <si>
    <t>carmenrose.ch@gmail.com</t>
  </si>
  <si>
    <t>HONG</t>
  </si>
  <si>
    <t>Hyunho</t>
  </si>
  <si>
    <t>Apprentice Service Technician NWT</t>
  </si>
  <si>
    <t>aucklandremnant@gmail.com</t>
  </si>
  <si>
    <t>HUNTER</t>
  </si>
  <si>
    <t>Jeffrey Keith</t>
  </si>
  <si>
    <t>jeff.hunter5@icloud.com</t>
  </si>
  <si>
    <t>Ishihara</t>
  </si>
  <si>
    <t>Nobuyasu</t>
  </si>
  <si>
    <t>Service Technician NST</t>
  </si>
  <si>
    <t>ray060819@gmail.com</t>
  </si>
  <si>
    <t>JAGO</t>
  </si>
  <si>
    <t>Mark Robert</t>
  </si>
  <si>
    <t>Chief Executive Officer</t>
  </si>
  <si>
    <t>markjago@nst.co.nz</t>
  </si>
  <si>
    <t>Robert</t>
  </si>
  <si>
    <t>Director</t>
  </si>
  <si>
    <t>JOHNSON</t>
  </si>
  <si>
    <t>Max</t>
  </si>
  <si>
    <t>max.g.johnson2222@gmail.com</t>
  </si>
  <si>
    <t>JONES</t>
  </si>
  <si>
    <t>Samantha</t>
  </si>
  <si>
    <t>Customer Experience Manager</t>
  </si>
  <si>
    <t>s.kitchenman@gmail.com</t>
  </si>
  <si>
    <t>Jordaan</t>
  </si>
  <si>
    <t>Susanna Elizabeth Adriana</t>
  </si>
  <si>
    <t>Accounts Administrator - Payable and Receivable</t>
  </si>
  <si>
    <t>lizajordaan01@gmail.com</t>
  </si>
  <si>
    <t>KAMRUZZAMAN</t>
  </si>
  <si>
    <t>Mohammed</t>
  </si>
  <si>
    <t>Service Technician NLN</t>
  </si>
  <si>
    <t>protivasurerakash@yahoo.com</t>
  </si>
  <si>
    <t>Keenan</t>
  </si>
  <si>
    <t>deejkay@gmail.com</t>
  </si>
  <si>
    <t>KING</t>
  </si>
  <si>
    <t>Mason John</t>
  </si>
  <si>
    <t>mking@windowslive.com</t>
  </si>
  <si>
    <t>LAMBERT</t>
  </si>
  <si>
    <t>Malcolm Derek</t>
  </si>
  <si>
    <t>Diagnostic Master Technician / Learning Facilitator</t>
  </si>
  <si>
    <t>malmattella@gmail.com</t>
  </si>
  <si>
    <t>Qiang</t>
  </si>
  <si>
    <t>qiangli882@gmail.com</t>
  </si>
  <si>
    <t>LIMOS</t>
  </si>
  <si>
    <t>Jon Erhl Maverick Cruz</t>
  </si>
  <si>
    <t>jonerhl747s@gmail.com</t>
  </si>
  <si>
    <t>Madhawa</t>
  </si>
  <si>
    <t>Alahendra acharige don chaminda</t>
  </si>
  <si>
    <t>Chaminda1431@gmail.com</t>
  </si>
  <si>
    <t>Manaton</t>
  </si>
  <si>
    <t>George</t>
  </si>
  <si>
    <t>Employee Experience &amp; Marketing Officer</t>
  </si>
  <si>
    <t>georgemanaton44@gmail.com</t>
  </si>
  <si>
    <t>McKenzie</t>
  </si>
  <si>
    <t>Lisa</t>
  </si>
  <si>
    <t>lisamckenzie@hotmail.co.nz</t>
  </si>
  <si>
    <t>Gail</t>
  </si>
  <si>
    <t>Marketing Manager</t>
  </si>
  <si>
    <t>gail_mcnamara@outlook.com</t>
  </si>
  <si>
    <t>MILLS</t>
  </si>
  <si>
    <t>Linda Louise</t>
  </si>
  <si>
    <t>Administration Co-Ordinator</t>
  </si>
  <si>
    <t>lindamills17@gmail.com</t>
  </si>
  <si>
    <t>MITCHELL</t>
  </si>
  <si>
    <t>Brent</t>
  </si>
  <si>
    <t>bm658939@gmail.com</t>
  </si>
  <si>
    <t>MOLERA</t>
  </si>
  <si>
    <t>moleraraphael25@gmail.com</t>
  </si>
  <si>
    <t>Moodley</t>
  </si>
  <si>
    <t>Daena</t>
  </si>
  <si>
    <t>Receptionist</t>
  </si>
  <si>
    <t>daena.moodley@hotmail.com</t>
  </si>
  <si>
    <t>MURRAY</t>
  </si>
  <si>
    <t>Dale Murray</t>
  </si>
  <si>
    <t>dale.murray@xtra.co.nz</t>
  </si>
  <si>
    <t>Newcombe</t>
  </si>
  <si>
    <t>Bronwen</t>
  </si>
  <si>
    <t>Chief Operating Officer and General Counsel</t>
  </si>
  <si>
    <t>bron_aotearoa@yahoo.co.nz</t>
  </si>
  <si>
    <t>OXNAM</t>
  </si>
  <si>
    <t>Matthew Simon</t>
  </si>
  <si>
    <t>Chief Customer Officer</t>
  </si>
  <si>
    <t>matt.oxnam@gmail.com</t>
  </si>
  <si>
    <t>Patel</t>
  </si>
  <si>
    <t>Pradeepkumar Narendra</t>
  </si>
  <si>
    <t>puddy65202@gmail.com</t>
  </si>
  <si>
    <t>PETROVSKI</t>
  </si>
  <si>
    <t>Kiril</t>
  </si>
  <si>
    <t>kiril.petrovski@gmail.com</t>
  </si>
  <si>
    <t>PRASAD</t>
  </si>
  <si>
    <t>Maheshwar</t>
  </si>
  <si>
    <t>Service Technician NWT</t>
  </si>
  <si>
    <t>koroviri@gmail.com</t>
  </si>
  <si>
    <t>Pullitan</t>
  </si>
  <si>
    <t>Mark Joseph</t>
  </si>
  <si>
    <t>mpullitan@gmail.com</t>
  </si>
  <si>
    <t>Puri</t>
  </si>
  <si>
    <t>Anish</t>
  </si>
  <si>
    <t>Assistant Accountant</t>
  </si>
  <si>
    <t>anish.puri15@gmail.com</t>
  </si>
  <si>
    <t>Readings</t>
  </si>
  <si>
    <t>Lexus Sales Support</t>
  </si>
  <si>
    <t>kereadings@hotmail.com</t>
  </si>
  <si>
    <t>REYNOLDS</t>
  </si>
  <si>
    <t>Michelle Donna</t>
  </si>
  <si>
    <t>Pre-Delivery Co-ordinator</t>
  </si>
  <si>
    <t>michelle_tdm@msn.com</t>
  </si>
  <si>
    <t>Robinson</t>
  </si>
  <si>
    <t>Leesa Moira</t>
  </si>
  <si>
    <t>77leesa@gmail.com</t>
  </si>
  <si>
    <t>ROSHAN</t>
  </si>
  <si>
    <t>Aaron Abhishek</t>
  </si>
  <si>
    <t>wrx_sti03@yahoo.co.nz</t>
  </si>
  <si>
    <t>Roxas</t>
  </si>
  <si>
    <t>Phil Wilburt Esguerra</t>
  </si>
  <si>
    <t>Service Technician HBN</t>
  </si>
  <si>
    <t>philroxas3103@gmail.com</t>
  </si>
  <si>
    <t>Sanele</t>
  </si>
  <si>
    <t>Cerah</t>
  </si>
  <si>
    <t>cerah_sanele@xtra.co.nz</t>
  </si>
  <si>
    <t>SANTOS</t>
  </si>
  <si>
    <t>Joshua William</t>
  </si>
  <si>
    <t>santos.jw@hotmail.com</t>
  </si>
  <si>
    <t>SEWAK</t>
  </si>
  <si>
    <t>Avinesh Ram</t>
  </si>
  <si>
    <t>avi92@hotmail.co.nz</t>
  </si>
  <si>
    <t>Sewell-Dyson</t>
  </si>
  <si>
    <t>Andrew</t>
  </si>
  <si>
    <t>andrew_sd@msn.com</t>
  </si>
  <si>
    <t>SHAFIK</t>
  </si>
  <si>
    <t>Zoyeb Zabeed Ali</t>
  </si>
  <si>
    <t>zoyeb_786@hotmail.com</t>
  </si>
  <si>
    <t>Shin</t>
  </si>
  <si>
    <t>Sang Gon</t>
  </si>
  <si>
    <t>strongtoyota@gmail.com</t>
  </si>
  <si>
    <t>Singh</t>
  </si>
  <si>
    <t>Gurpreet</t>
  </si>
  <si>
    <t>mangisingh8@gmail.com</t>
  </si>
  <si>
    <t>Smith</t>
  </si>
  <si>
    <t>Timothy</t>
  </si>
  <si>
    <t>WOF Technician</t>
  </si>
  <si>
    <t>ts8ball@gmail.com</t>
  </si>
  <si>
    <t>Sou</t>
  </si>
  <si>
    <t>Nathan Foon Wai</t>
  </si>
  <si>
    <t>nathan-sou@hotmail.com</t>
  </si>
  <si>
    <t>Stevens</t>
  </si>
  <si>
    <t>Lisa - Maree</t>
  </si>
  <si>
    <t>Service Technician - HBN</t>
  </si>
  <si>
    <t>themarshallwhanau@gmail.com</t>
  </si>
  <si>
    <t>Sun</t>
  </si>
  <si>
    <t>Libin</t>
  </si>
  <si>
    <t>Finance Manager</t>
  </si>
  <si>
    <t>petersun1995@hotmail.com</t>
  </si>
  <si>
    <t>SUTER</t>
  </si>
  <si>
    <t>Dominik</t>
  </si>
  <si>
    <t>dominiksuter60@gmail.com</t>
  </si>
  <si>
    <t>TERRY - STEWART</t>
  </si>
  <si>
    <t>Kristian</t>
  </si>
  <si>
    <t>kristianterrystewart@gmail.com</t>
  </si>
  <si>
    <t>TEUBOH</t>
  </si>
  <si>
    <t>Erson Bn Effendi</t>
  </si>
  <si>
    <t>erson_effendi@yahoo.com</t>
  </si>
  <si>
    <t>Tiatia</t>
  </si>
  <si>
    <t>Isla Ioane</t>
  </si>
  <si>
    <t>sladeisla@gmail.com</t>
  </si>
  <si>
    <t>TORREY</t>
  </si>
  <si>
    <t>Jesse Edward Daniel</t>
  </si>
  <si>
    <t>jessetorrey1@gmail.com</t>
  </si>
  <si>
    <t>Turner</t>
  </si>
  <si>
    <t>Jonathan</t>
  </si>
  <si>
    <t>Service / WOF Technician</t>
  </si>
  <si>
    <t>quadster@xtra.co.nz</t>
  </si>
  <si>
    <t>UJDUR</t>
  </si>
  <si>
    <t>Alexis Sydney Murray</t>
  </si>
  <si>
    <t>lima_echo_xray@hotmail.com</t>
  </si>
  <si>
    <t>Jon Paolo</t>
  </si>
  <si>
    <t>Accessory Fitter</t>
  </si>
  <si>
    <t>paolourbiztondo@gmail.com</t>
  </si>
  <si>
    <t>Villon</t>
  </si>
  <si>
    <t>John</t>
  </si>
  <si>
    <t>johnvillon@Yahoo.com</t>
  </si>
  <si>
    <t>Walker</t>
  </si>
  <si>
    <t>93trueno@hotmail.co.nz</t>
  </si>
  <si>
    <t>WALLIS</t>
  </si>
  <si>
    <t>swallis1466147@gmail.com</t>
  </si>
  <si>
    <t>Wong</t>
  </si>
  <si>
    <t>Derwin</t>
  </si>
  <si>
    <t>wtc1994@hotmail.com</t>
  </si>
  <si>
    <t>ZHONG</t>
  </si>
  <si>
    <t>Huiqiang</t>
  </si>
  <si>
    <t>zhong_zhq@hotmail.com</t>
  </si>
  <si>
    <t>ZIGON</t>
  </si>
  <si>
    <t>Edit</t>
  </si>
  <si>
    <t>excellent3113@gmail.com</t>
  </si>
  <si>
    <t>BIDDULPH</t>
  </si>
  <si>
    <t>Craig Roger</t>
  </si>
  <si>
    <t>Tyre Manager North Shore</t>
  </si>
  <si>
    <t>craig.bidd@gmail.com</t>
  </si>
  <si>
    <t>Tyres</t>
  </si>
  <si>
    <t>935_Manager</t>
  </si>
  <si>
    <t>Holloway</t>
  </si>
  <si>
    <t>Logan</t>
  </si>
  <si>
    <t>Tyre Technician</t>
  </si>
  <si>
    <t>loganholloway123@gmail.com</t>
  </si>
  <si>
    <t>935_Other</t>
  </si>
  <si>
    <t>HUGHES</t>
  </si>
  <si>
    <t>Jonathan Howard</t>
  </si>
  <si>
    <t>Assistant Tyre Manager</t>
  </si>
  <si>
    <t>jonohughes86@gmail.com</t>
  </si>
  <si>
    <t>Milham</t>
  </si>
  <si>
    <t>Garry Paul</t>
  </si>
  <si>
    <t>Senior Tyre Technician</t>
  </si>
  <si>
    <t>milhams@xtra.co.nz</t>
  </si>
  <si>
    <t>Wigg</t>
  </si>
  <si>
    <t>David James</t>
  </si>
  <si>
    <t>Tyre Bay Technician</t>
  </si>
  <si>
    <t>davewigg00@gmail.com</t>
  </si>
  <si>
    <t>AKHTAR</t>
  </si>
  <si>
    <t>Mohammed Jameel</t>
  </si>
  <si>
    <t>Assistant Manager - Tyre Bay</t>
  </si>
  <si>
    <t>akhtar22@hotmail.co.nz</t>
  </si>
  <si>
    <t>936_Other</t>
  </si>
  <si>
    <t>Khan</t>
  </si>
  <si>
    <t>Ziauddin</t>
  </si>
  <si>
    <t>khanzia2002@gmail.com</t>
  </si>
  <si>
    <t>From 01/Apr/2022 To 31/Mar/2023</t>
  </si>
  <si>
    <t>ADRIANO</t>
  </si>
  <si>
    <t>Dino</t>
  </si>
  <si>
    <t>dino.adriano@nwt.co.nz</t>
  </si>
  <si>
    <t>Andrades</t>
  </si>
  <si>
    <t>Jessica</t>
  </si>
  <si>
    <t>HR Advisor</t>
  </si>
  <si>
    <t>j_b_andrades@hotmail.com</t>
  </si>
  <si>
    <t>BENNETT</t>
  </si>
  <si>
    <t>Tayla-Rose</t>
  </si>
  <si>
    <t>tayla-rosebennett@hotmail.com</t>
  </si>
  <si>
    <t>BERRY</t>
  </si>
  <si>
    <t>Alex William</t>
  </si>
  <si>
    <t>alexwilliamberry@hotmail.com</t>
  </si>
  <si>
    <t>147_Labour</t>
  </si>
  <si>
    <t>Service Advisor - Customer Liaison</t>
  </si>
  <si>
    <t>Brun</t>
  </si>
  <si>
    <t>Lexus Technician</t>
  </si>
  <si>
    <t>sam.brun@yahoo.co.nz</t>
  </si>
  <si>
    <t>Lexus Service Technician</t>
  </si>
  <si>
    <t>CHOY</t>
  </si>
  <si>
    <t>Dylan</t>
  </si>
  <si>
    <t>GR Garage Technician GR</t>
  </si>
  <si>
    <t>dylanchoy23@gmail.com</t>
  </si>
  <si>
    <t>Concessio</t>
  </si>
  <si>
    <t>Daylyn</t>
  </si>
  <si>
    <t>daylyn@hotmail.co.nz</t>
  </si>
  <si>
    <t>116OLD</t>
  </si>
  <si>
    <t>jennyconn@nst.co.nz</t>
  </si>
  <si>
    <t>DOE</t>
  </si>
  <si>
    <t>Amrita</t>
  </si>
  <si>
    <t>doe.amrita@gmail.com</t>
  </si>
  <si>
    <t>DUNCAN</t>
  </si>
  <si>
    <t>Alexander David George</t>
  </si>
  <si>
    <t>GR Garage Technician</t>
  </si>
  <si>
    <t>helixdaunting@gmail.com</t>
  </si>
  <si>
    <t>ELLIOTT</t>
  </si>
  <si>
    <t>Kayla Jane</t>
  </si>
  <si>
    <t>kayla.elliott96@gmail.com</t>
  </si>
  <si>
    <t>Fan</t>
  </si>
  <si>
    <t>Zheng</t>
  </si>
  <si>
    <t>After Sales Concierge</t>
  </si>
  <si>
    <t>johnfan@foxmail.com</t>
  </si>
  <si>
    <t>GURON</t>
  </si>
  <si>
    <t>Sher</t>
  </si>
  <si>
    <t>guron@xtra.co.nz</t>
  </si>
  <si>
    <t>Parts Warehouse Assistant NWT</t>
  </si>
  <si>
    <t>HOLMES</t>
  </si>
  <si>
    <t>Brigetta Jean</t>
  </si>
  <si>
    <t>Culture &amp; Development Co-ordinator</t>
  </si>
  <si>
    <t>brigetta.holmes@gmail.com</t>
  </si>
  <si>
    <t>ISLA</t>
  </si>
  <si>
    <t>Emilio Ramon Dizon</t>
  </si>
  <si>
    <t>Sales Manager - North Western</t>
  </si>
  <si>
    <t>leonisla@ymail.com</t>
  </si>
  <si>
    <t>220_Manager</t>
  </si>
  <si>
    <t>Joe</t>
  </si>
  <si>
    <t>Gregory</t>
  </si>
  <si>
    <t>marcus.joee@hotmail.com</t>
  </si>
  <si>
    <t>Josephs</t>
  </si>
  <si>
    <t>Nicolas</t>
  </si>
  <si>
    <t>nickjosephs341@yahoo.co.uk</t>
  </si>
  <si>
    <t>KHAN</t>
  </si>
  <si>
    <t>Neesha Amie</t>
  </si>
  <si>
    <t>After Sales Manager NLN</t>
  </si>
  <si>
    <t>Chevygurl454@hotmail.com</t>
  </si>
  <si>
    <t>Kupu</t>
  </si>
  <si>
    <t>Iris Ana Luluwai</t>
  </si>
  <si>
    <t>irisanaluluwaikupu@gmail.com</t>
  </si>
  <si>
    <t>Lax</t>
  </si>
  <si>
    <t>Jeffrey</t>
  </si>
  <si>
    <t>junitlax086@gmail.com</t>
  </si>
  <si>
    <t>Chia-Wei</t>
  </si>
  <si>
    <t>showcooldidi@hotmail.co.nz</t>
  </si>
  <si>
    <t>Lee</t>
  </si>
  <si>
    <t>Ho</t>
  </si>
  <si>
    <t>kaine27@gmail.com</t>
  </si>
  <si>
    <t>Lemalu</t>
  </si>
  <si>
    <t>Lawrence</t>
  </si>
  <si>
    <t>lawrencelemalu432@gmail.com</t>
  </si>
  <si>
    <t>LEWIS</t>
  </si>
  <si>
    <t>Bronwyn Inger</t>
  </si>
  <si>
    <t>bronwyninger@hotmail.com</t>
  </si>
  <si>
    <t>Ma</t>
  </si>
  <si>
    <t>Mingyuan</t>
  </si>
  <si>
    <t>1029563071ma@gmail.com</t>
  </si>
  <si>
    <t>MAY</t>
  </si>
  <si>
    <t>Jeanie</t>
  </si>
  <si>
    <t>Sales Support - Lexus &amp; Toyota</t>
  </si>
  <si>
    <t>jeanie.may@hotmail.co.nz</t>
  </si>
  <si>
    <t>112_Other</t>
  </si>
  <si>
    <t>Mays</t>
  </si>
  <si>
    <t>Lara-Marie</t>
  </si>
  <si>
    <t>Junior Service Advisor</t>
  </si>
  <si>
    <t>laramariemays99@icloud.com</t>
  </si>
  <si>
    <t>Meredith</t>
  </si>
  <si>
    <t>michaelmeredith31@gmail.com</t>
  </si>
  <si>
    <t>MIHAERE</t>
  </si>
  <si>
    <t>Troy</t>
  </si>
  <si>
    <t>troymihaere@gmail.com</t>
  </si>
  <si>
    <t>Morrison</t>
  </si>
  <si>
    <t>Jack Cole</t>
  </si>
  <si>
    <t>Service Groomer NST</t>
  </si>
  <si>
    <t>mrmorrisonnz@gmail.com</t>
  </si>
  <si>
    <t>NADAKANDAGE</t>
  </si>
  <si>
    <t>Manel Ratnayake</t>
  </si>
  <si>
    <t>ratnayake.manel@gmail.com</t>
  </si>
  <si>
    <t>Nelson Munro</t>
  </si>
  <si>
    <t>Ocean Xavier Dean</t>
  </si>
  <si>
    <t>oceanboym@gmail.com</t>
  </si>
  <si>
    <t>NEROJ</t>
  </si>
  <si>
    <t>Mark Roman</t>
  </si>
  <si>
    <t>grenjevic@hotmail.com</t>
  </si>
  <si>
    <t>Nightingale</t>
  </si>
  <si>
    <t>Mana</t>
  </si>
  <si>
    <t>mana.nightingale@gmail.com</t>
  </si>
  <si>
    <t>O'Grady</t>
  </si>
  <si>
    <t>Mary-Anne</t>
  </si>
  <si>
    <t>Health &amp; Safety and Facilities Coordinator</t>
  </si>
  <si>
    <t>edmarthealth2@gmail.com</t>
  </si>
  <si>
    <t>PANG</t>
  </si>
  <si>
    <t>Yo Him</t>
  </si>
  <si>
    <t>alexpang@nst.co.nz</t>
  </si>
  <si>
    <t>PATEL</t>
  </si>
  <si>
    <t>hamishpatel18@gmail.com</t>
  </si>
  <si>
    <t>Phillips</t>
  </si>
  <si>
    <t>Kraig</t>
  </si>
  <si>
    <t>Digital Content Manager</t>
  </si>
  <si>
    <t>kraig@nst.co.nz</t>
  </si>
  <si>
    <t>SAMADI</t>
  </si>
  <si>
    <t>Bellal</t>
  </si>
  <si>
    <t>bellal_samadi@hotmail.com</t>
  </si>
  <si>
    <t>SANDOVAL</t>
  </si>
  <si>
    <t>Stephanie Rose</t>
  </si>
  <si>
    <t>hii_@windowslive.com</t>
  </si>
  <si>
    <t>SHAKES - BERRY</t>
  </si>
  <si>
    <t>Tracy</t>
  </si>
  <si>
    <t>Business Manager &amp; Sales Support</t>
  </si>
  <si>
    <t>tracysb09@gmail.com</t>
  </si>
  <si>
    <t>SMUTS</t>
  </si>
  <si>
    <t>Damian</t>
  </si>
  <si>
    <t>Senior Parts Interpreter</t>
  </si>
  <si>
    <t>damo_rsa@hotmail.com</t>
  </si>
  <si>
    <t>Groomer / Apprentice</t>
  </si>
  <si>
    <t>STRAND</t>
  </si>
  <si>
    <t>Fleet Manager</t>
  </si>
  <si>
    <t>globelvision@yahoo.co.nz</t>
  </si>
  <si>
    <t>STUART</t>
  </si>
  <si>
    <t>Bruce Deane</t>
  </si>
  <si>
    <t>Sales Leader - North Western</t>
  </si>
  <si>
    <t>brucestuart@nst.co.nz</t>
  </si>
  <si>
    <t>THOMSON</t>
  </si>
  <si>
    <t>Samuel John</t>
  </si>
  <si>
    <t>Apprentice Service Technician NST</t>
  </si>
  <si>
    <t>sam@liveracetiming.co.nz</t>
  </si>
  <si>
    <t>TURRALL</t>
  </si>
  <si>
    <t>Natasha</t>
  </si>
  <si>
    <t>Chief Operating Officer</t>
  </si>
  <si>
    <t>tasha.turrall@nst.co.nz</t>
  </si>
  <si>
    <t>Senior Service Groomer</t>
  </si>
  <si>
    <t>Uttley</t>
  </si>
  <si>
    <t>Lewis</t>
  </si>
  <si>
    <t>lewisuttley50@gmail.com</t>
  </si>
  <si>
    <t>Van Amsterdam</t>
  </si>
  <si>
    <t>Rolanda Maria</t>
  </si>
  <si>
    <t>rolanda.vanamsterdam@gmail.com</t>
  </si>
  <si>
    <t>VAN DER MERWE</t>
  </si>
  <si>
    <t>Jeanette</t>
  </si>
  <si>
    <t>Company Accountant</t>
  </si>
  <si>
    <t>jeanette.vandermerwe@nst.co.nz</t>
  </si>
  <si>
    <t>Viraj</t>
  </si>
  <si>
    <t>Samitha</t>
  </si>
  <si>
    <t>samitha.viraj@yahoo.com</t>
  </si>
  <si>
    <t>VOLWERK</t>
  </si>
  <si>
    <t>Willem Mathew Johan</t>
  </si>
  <si>
    <t>willem@nst.co.nz</t>
  </si>
  <si>
    <t>WILSON</t>
  </si>
  <si>
    <t>Shayne Lee</t>
  </si>
  <si>
    <t>shayne.wilson123@hotmail.com</t>
  </si>
  <si>
    <t>Fleet Coordinator</t>
  </si>
  <si>
    <t>TOTAL COMPANY</t>
  </si>
  <si>
    <t>2024 Year</t>
  </si>
  <si>
    <t>% of Gross Profit Orientation Benchmark</t>
  </si>
  <si>
    <t>2024 Calendar Year</t>
  </si>
  <si>
    <t>Overhead expesnes Benchmark</t>
  </si>
  <si>
    <t>2025 Year</t>
  </si>
  <si>
    <t>2025 Financial Year</t>
  </si>
  <si>
    <t>Net Profit Growth Rates</t>
  </si>
  <si>
    <t>Actual</t>
  </si>
  <si>
    <t>Projected</t>
  </si>
  <si>
    <t>Calendar</t>
  </si>
  <si>
    <t>Financial</t>
  </si>
  <si>
    <t>% of Gross Profit Orientation</t>
  </si>
  <si>
    <t>Toyota Gross Profits</t>
  </si>
  <si>
    <t>New Vehicles</t>
  </si>
  <si>
    <t>Used Vehicles</t>
  </si>
  <si>
    <t>F&amp;I</t>
  </si>
  <si>
    <t>Service</t>
  </si>
  <si>
    <t>Total Toyota Gross Profits</t>
  </si>
  <si>
    <t>Toyota Selling Expenses</t>
  </si>
  <si>
    <t>Total Toyota Selling Expenses</t>
  </si>
  <si>
    <t>Toyota Selling Gross</t>
  </si>
  <si>
    <t>Total Toyota Selling Gross</t>
  </si>
  <si>
    <t>Toyota Overheads</t>
  </si>
  <si>
    <t>Lexus &amp; Other Gross Profits</t>
  </si>
  <si>
    <t>Bridgestone</t>
  </si>
  <si>
    <t>Retail Detailing</t>
  </si>
  <si>
    <t>Total Lexus &amp; Other Gross Profits</t>
  </si>
  <si>
    <t>Lexus &amp; Other Selling Expenses</t>
  </si>
  <si>
    <t>Total Lexus &amp; Other Selling Expenses</t>
  </si>
  <si>
    <t>Lexus &amp; Other Selling Gross</t>
  </si>
  <si>
    <t>Total Lexus &amp; Other Selling Gross</t>
  </si>
  <si>
    <t>Lexus &amp; Other Overheads</t>
  </si>
  <si>
    <t>Net Profits</t>
  </si>
  <si>
    <t>Original FY2024 Budgets</t>
  </si>
  <si>
    <t>Var</t>
  </si>
  <si>
    <t>% of Var</t>
  </si>
  <si>
    <t>Net Profits in TUNZ</t>
  </si>
  <si>
    <t>Check</t>
  </si>
  <si>
    <t>NV</t>
  </si>
  <si>
    <t>UV</t>
  </si>
  <si>
    <t>LNV</t>
  </si>
  <si>
    <t>LUV</t>
  </si>
  <si>
    <t>LF&amp;I</t>
  </si>
  <si>
    <t>LParts</t>
  </si>
  <si>
    <t>LService</t>
  </si>
  <si>
    <t>Overhead</t>
  </si>
  <si>
    <t>Quarterly Profit:</t>
  </si>
  <si>
    <t>Quarterly NTS:</t>
  </si>
  <si>
    <t>AKL SG1 Benchmark</t>
  </si>
  <si>
    <t>F&amp;I - Toyota Care sales</t>
  </si>
  <si>
    <t>F&amp;I - P&amp;F sales</t>
  </si>
  <si>
    <t>Other (Lexus, Bridgestone,Retail Detailing)</t>
  </si>
  <si>
    <t>TOTAL</t>
  </si>
  <si>
    <t>Quarterly Revenue:</t>
  </si>
  <si>
    <t>OV</t>
  </si>
  <si>
    <t>Q124</t>
  </si>
  <si>
    <t>Q224 (April - Jun)</t>
  </si>
  <si>
    <t>Q324 (July - Sep)</t>
  </si>
  <si>
    <t>Q424 (Oct - Dec)</t>
  </si>
  <si>
    <t>Q125 (Jan - Mar)</t>
  </si>
  <si>
    <t>NV Delivery</t>
  </si>
  <si>
    <t>Points Achieved</t>
  </si>
  <si>
    <t>Payments Rates</t>
  </si>
  <si>
    <t>FEF SPLIT</t>
  </si>
  <si>
    <t>Points Available</t>
  </si>
  <si>
    <t>Funds Achieved</t>
  </si>
  <si>
    <t>TFS Strike Rate</t>
  </si>
  <si>
    <t>TVI Strike Rate</t>
  </si>
  <si>
    <t>Toyota Care Purchases</t>
  </si>
  <si>
    <t>Delivery Velocity</t>
  </si>
  <si>
    <t>Net Orders</t>
  </si>
  <si>
    <t>Build Order Bank</t>
  </si>
  <si>
    <t>Landed Cancellations</t>
  </si>
  <si>
    <t>NV NPS</t>
  </si>
  <si>
    <t>UV Retail Target</t>
  </si>
  <si>
    <t>FRO Retail Volume</t>
  </si>
  <si>
    <t>Jan-Import</t>
  </si>
  <si>
    <t>UV NPS</t>
  </si>
  <si>
    <t>Parts &amp; Service</t>
  </si>
  <si>
    <t>Accessory Purchases</t>
  </si>
  <si>
    <t>x</t>
  </si>
  <si>
    <t>Technical Training Support</t>
  </si>
  <si>
    <t>Service NPS</t>
  </si>
  <si>
    <t>Demo</t>
  </si>
  <si>
    <t>NV Delivered - OLD</t>
  </si>
  <si>
    <t>Units Delivered</t>
  </si>
  <si>
    <t>NV Delivered - NEW</t>
  </si>
  <si>
    <t>Based Rate Commission</t>
  </si>
  <si>
    <t>Based Rate  Commission</t>
  </si>
  <si>
    <t>Volume Incentive / units</t>
  </si>
  <si>
    <t>NPS Achievement</t>
  </si>
  <si>
    <t>Assume above target</t>
  </si>
  <si>
    <t>Accessory Target</t>
  </si>
  <si>
    <t>Assume 100% of aggregated target</t>
  </si>
  <si>
    <t>110%+</t>
  </si>
  <si>
    <t>Assume above 110% of aggregated target</t>
  </si>
  <si>
    <t>Velocity Target (&lt; 12 days)</t>
  </si>
  <si>
    <t>Finance and Extra Care</t>
  </si>
  <si>
    <t>Paint Fabric</t>
  </si>
  <si>
    <t>Assume 100% achievement</t>
  </si>
  <si>
    <t>Tinted Windows</t>
  </si>
  <si>
    <t>Total Commission Earnt</t>
  </si>
  <si>
    <t>Total Commission PU</t>
  </si>
  <si>
    <t>Fixed Salary</t>
  </si>
  <si>
    <t>Total</t>
  </si>
  <si>
    <t>Difference</t>
  </si>
  <si>
    <t>UV Delivered - OLD</t>
  </si>
  <si>
    <t>UV Delivered - NEW</t>
  </si>
  <si>
    <t>Gross Profits</t>
  </si>
  <si>
    <t>Based Rates</t>
  </si>
  <si>
    <t>Based Rate - $250 PU or 10% of GP</t>
  </si>
  <si>
    <t>Volume Incentive</t>
  </si>
  <si>
    <t>16+</t>
  </si>
  <si>
    <t>NEW VEHICLES</t>
  </si>
  <si>
    <t>New Vehicles Sold</t>
  </si>
  <si>
    <t>Sales People</t>
  </si>
  <si>
    <t>Monthly NV / SP</t>
  </si>
  <si>
    <t>Total Gross Profit / Unit</t>
  </si>
  <si>
    <t>Gross Profit / Unit</t>
  </si>
  <si>
    <t>Incentive / Unit</t>
  </si>
  <si>
    <t>Total Variable Costs / Unit</t>
  </si>
  <si>
    <t>Semi Fixed Expenses / Unit</t>
  </si>
  <si>
    <t>Total Expenses / Unit</t>
  </si>
  <si>
    <t>Selling Gross / Unit</t>
  </si>
  <si>
    <t>Total NV Gross profit</t>
  </si>
  <si>
    <t>Total Selling Expenses</t>
  </si>
  <si>
    <t>Direct Delivery Fees (net)</t>
  </si>
  <si>
    <t>Total Selling Gross</t>
  </si>
  <si>
    <t>Our break Even Points are about 100 units per month given the current expenses level.</t>
  </si>
  <si>
    <t>2023 Network Average $2,122</t>
  </si>
  <si>
    <t>Variable Costs</t>
  </si>
  <si>
    <t>2023 CYTD Network Average $564 - 74k per months</t>
  </si>
  <si>
    <t>Semi Fixed Expenses</t>
  </si>
  <si>
    <t>2023 CYTD Network Average $1011 - 132k per months</t>
  </si>
  <si>
    <t>av. revenue p.u</t>
  </si>
  <si>
    <t>Total NV Revenue</t>
  </si>
  <si>
    <t>Note</t>
  </si>
  <si>
    <t>Increase unit from Oct 24 to Mar 25, TNZ target should be our bear minimum, seasonalities in Dec 24 / Jan 25 and Feb 25</t>
  </si>
  <si>
    <t>NW only could deliver 23 units / sp, there is a risk area here if someone aways, Eric to come back</t>
  </si>
  <si>
    <t>Variable Expenses</t>
  </si>
  <si>
    <t xml:space="preserve">Semi Fixed Expenses </t>
  </si>
  <si>
    <t>Total Expenses</t>
  </si>
  <si>
    <t>check</t>
  </si>
  <si>
    <t>Based on Q1 TNZ Targets and Q125 expected to align with Q424 subject to change, Remaining portion from NW</t>
  </si>
  <si>
    <t>$1,500 Base Fees + $950 Median of all Model Fee - $400 Funds Holdback</t>
  </si>
  <si>
    <t>See Incentive Forecast Tab</t>
  </si>
  <si>
    <t>Ash comments:</t>
  </si>
  <si>
    <t>NV deliveries not enough to retain 5 sales people but we don't want to reduce any staff due to backing up / leave. And management expectation will be 5 of this NV sales will need to contribute 2 UV units months</t>
  </si>
  <si>
    <t>As per Eric - 23 more foreseeable if no addition team member join</t>
  </si>
  <si>
    <t>Hybrid Sales</t>
  </si>
  <si>
    <t>50% split between NV &amp; UV</t>
  </si>
  <si>
    <t>Building order start from July and Start delivery on Dec</t>
  </si>
  <si>
    <t>USED VEHICLES</t>
  </si>
  <si>
    <t>TNZ Sourced Sold</t>
  </si>
  <si>
    <t>Ex Demo Sold</t>
  </si>
  <si>
    <t>Other UV Sold</t>
  </si>
  <si>
    <t>Total Used Vehicles Sold</t>
  </si>
  <si>
    <t>Monthly UV / SP</t>
  </si>
  <si>
    <t>TNZ Sourced GP / Unit</t>
  </si>
  <si>
    <t>Ex Demo GP / Unit</t>
  </si>
  <si>
    <t>Other UV GP / Unit</t>
  </si>
  <si>
    <t>Gross Profit/ Unit</t>
  </si>
  <si>
    <t>Gross profit for wholesale</t>
  </si>
  <si>
    <t>Total UV Gross profit</t>
  </si>
  <si>
    <t>Selling Gross on NV retails</t>
  </si>
  <si>
    <t> </t>
  </si>
  <si>
    <t>Owned Sourced</t>
  </si>
  <si>
    <t>2023 CYTD Network Average $578 - 88k per months</t>
  </si>
  <si>
    <t>Semi-Fixed Expenses</t>
  </si>
  <si>
    <t>2023 CYTD Network Average $1011 - 181k per months</t>
  </si>
  <si>
    <t>av. revenue p.u - OT/Sig</t>
  </si>
  <si>
    <t>av. revenue p.u - ex DM</t>
  </si>
  <si>
    <t>av. revenue p.u - Other retails</t>
  </si>
  <si>
    <t>av. revenue p.u. Wholesales</t>
  </si>
  <si>
    <t>Total UV Revenue</t>
  </si>
  <si>
    <t>Sweat Spots of Inventory Level if have 5 staffs</t>
  </si>
  <si>
    <t>TNZ</t>
  </si>
  <si>
    <t>Own</t>
  </si>
  <si>
    <t>Sweat Spots of Inventory Level if have 6 staffs</t>
  </si>
  <si>
    <t>Cash required</t>
  </si>
  <si>
    <t>2024 Other : Total Used Vehicle Sold</t>
  </si>
  <si>
    <t>2025 Other : Total Used Vehicle Sold</t>
  </si>
  <si>
    <t>Based on Q1 TNZ Targets and Q125 expected to align with Q424 subject to change, split 2/2 between NS and NW</t>
  </si>
  <si>
    <t>12 Month Average</t>
  </si>
  <si>
    <t>Total less TNZ Sources and Demo</t>
  </si>
  <si>
    <t>Need to increase, not enough</t>
  </si>
  <si>
    <t>Minimum 16 per units per sales persons</t>
  </si>
  <si>
    <t>2023 CYTD Network Average - $1,111 per units</t>
  </si>
  <si>
    <t>2023 CYTD Network Average - $3,514 per units, our 2023 CYTD showing $1,200 per units way behind our average group, we need to have $300 per quarter improvement inplace to regain back around $3,000 per units.</t>
  </si>
  <si>
    <t>2023 CYTD Network Average - $2,957 per units</t>
  </si>
  <si>
    <t>2023 CYTD Network Average - $578 per units</t>
  </si>
  <si>
    <t>2023 CYTD Network Average - $988 per units</t>
  </si>
  <si>
    <t>2023 CYTD Network Average - 1043/1837 = 57%</t>
  </si>
  <si>
    <t>Nevile Salaries</t>
  </si>
  <si>
    <t>Can we plus 1 more sales person? To growth revenue</t>
  </si>
  <si>
    <t>Luc's Salaries</t>
  </si>
  <si>
    <t>Selling expenses factor to add on</t>
  </si>
  <si>
    <t>Sweat Spots of Inventory Level</t>
  </si>
  <si>
    <t>4-5 weeks</t>
  </si>
  <si>
    <t>Lead Time in month</t>
  </si>
  <si>
    <t>10 days</t>
  </si>
  <si>
    <t>Z-Score on 95% service level</t>
  </si>
  <si>
    <t>Sales Salaries</t>
  </si>
  <si>
    <t>Z-Score</t>
  </si>
  <si>
    <t>Nope too aggressive for this year market, planning would be utilise the 2 units for NV sales</t>
  </si>
  <si>
    <t>Rather to have assistance manager to help the team become more effiencient 50:50 productive</t>
  </si>
  <si>
    <t>Wholesaled Gross profit</t>
  </si>
  <si>
    <t>Selling Gross on UV retails</t>
  </si>
  <si>
    <t>Start on July with 10 delivery targets</t>
  </si>
  <si>
    <t>FINANCE AND INSURANCE</t>
  </si>
  <si>
    <t>Total Vehicles Sold</t>
  </si>
  <si>
    <t>F&amp;I Income / Unit</t>
  </si>
  <si>
    <t>Total Gross / Unit</t>
  </si>
  <si>
    <t>Total F&amp;I Costs / Unit</t>
  </si>
  <si>
    <t>Total F&amp;I Gross profit</t>
  </si>
  <si>
    <t>Expected NV deliveries decline compaire to prior year due to tough economic condition and high interest rate enviroment will remain in short term</t>
  </si>
  <si>
    <t>2023 CYTD Network Average - $713 per units</t>
  </si>
  <si>
    <t>2023 CYTD Network Average - $234 per units</t>
  </si>
  <si>
    <t>F&amp;I Costs</t>
  </si>
  <si>
    <t>2023 CYTD Network Average - $72k per months</t>
  </si>
  <si>
    <t>What we could do to increase GP/Units to flight for the volume down</t>
  </si>
  <si>
    <t>Calculated based on 9 months actual average of LY</t>
  </si>
  <si>
    <t>Eric to comfirm P&amp;F Fitting and Material costs</t>
  </si>
  <si>
    <t>PARTS</t>
  </si>
  <si>
    <t>Total Parts Sales</t>
  </si>
  <si>
    <t>GP %</t>
  </si>
  <si>
    <t>Total Genuine Parts Sales</t>
  </si>
  <si>
    <t>Genuine GP%</t>
  </si>
  <si>
    <t>Total Non-Genuine Parts Sales</t>
  </si>
  <si>
    <t>Non-Genuine GP%</t>
  </si>
  <si>
    <t>Non-Genuine : Total Parts Sales</t>
  </si>
  <si>
    <t>Total Expenses % of Sales</t>
  </si>
  <si>
    <t>Sales / SP</t>
  </si>
  <si>
    <t>Parts Employees</t>
  </si>
  <si>
    <t>Incentives</t>
  </si>
  <si>
    <t>Total Parts Gross profit</t>
  </si>
  <si>
    <t>Total Genuine Parts Gross profit</t>
  </si>
  <si>
    <t>Total Non Genuine Parts Gross profit</t>
  </si>
  <si>
    <t>Total Parts Sales Growth</t>
  </si>
  <si>
    <t>130 / 132</t>
  </si>
  <si>
    <t>Sep in to G / NG</t>
  </si>
  <si>
    <t>Forecast Parts sales methods re-look at?</t>
  </si>
  <si>
    <t>Group</t>
  </si>
  <si>
    <t>average sales per month calander year</t>
  </si>
  <si>
    <t>Total Parts Sales-Total Non-Genuine Parts Sales</t>
  </si>
  <si>
    <t>Total Parts Gross profit-Total Non Genuine Parts Gross profit</t>
  </si>
  <si>
    <t>Total Non-Genuine Parts Sales*GP%</t>
  </si>
  <si>
    <t>G+NG</t>
  </si>
  <si>
    <t>LY Average</t>
  </si>
  <si>
    <t>1% reduction of LY Average of 19%</t>
  </si>
  <si>
    <t>NG Contribution</t>
  </si>
  <si>
    <t>Network benchmarks is 7%</t>
  </si>
  <si>
    <t>LY Average $96,830 / SG1 Average $108,840 and to maintain it at 5% growth and 6 people this will increase to $137k</t>
  </si>
  <si>
    <t>Need to look at staff numbers</t>
  </si>
  <si>
    <t>12 months Services sales average</t>
  </si>
  <si>
    <t>Seasonalities</t>
  </si>
  <si>
    <t>1% reduction of LY Average of 20%</t>
  </si>
  <si>
    <t>LY Average $87,830 / SG1 Average $108,840 and to maintain it at 5% growth and 3 people this will increase to $137k</t>
  </si>
  <si>
    <t>2% Annualised Growth</t>
  </si>
  <si>
    <t>1% reduction of LY Average of 24%</t>
  </si>
  <si>
    <t>LY Average $138757.44</t>
  </si>
  <si>
    <t>LY Average $213599.78</t>
  </si>
  <si>
    <t>SERVICE</t>
  </si>
  <si>
    <t>Total Labour Sales</t>
  </si>
  <si>
    <t>Other Revenue</t>
  </si>
  <si>
    <t>Total Service Revenue</t>
  </si>
  <si>
    <t>Technicians</t>
  </si>
  <si>
    <t>Labour GP%</t>
  </si>
  <si>
    <t>Total Service GP%</t>
  </si>
  <si>
    <t>Total Expenses %</t>
  </si>
  <si>
    <t>Labour Sales / Tech</t>
  </si>
  <si>
    <t>Labour GP / Tech</t>
  </si>
  <si>
    <t>Total Labour GP</t>
  </si>
  <si>
    <t>Other GP</t>
  </si>
  <si>
    <t>Total GP</t>
  </si>
  <si>
    <t>Selling Expenses</t>
  </si>
  <si>
    <t>We achieve $6,8m last year and SG1 achieve $9.3</t>
  </si>
  <si>
    <t>SG1 2023 Average 69% but note AKL generally will have larger unsold labour</t>
  </si>
  <si>
    <t>SG1 2023 Average 30.4% when sales increase this will reduce</t>
  </si>
  <si>
    <t>SG1 2023 Average $20,667 and we are at $18,235, need to further improve above $19k</t>
  </si>
  <si>
    <t>Tools checks with Fraser &amp; Steve</t>
  </si>
  <si>
    <t>Growth Factor</t>
  </si>
  <si>
    <t>140/142/150</t>
  </si>
  <si>
    <t>Labour Sales</t>
  </si>
  <si>
    <t>Othersales</t>
  </si>
  <si>
    <t>A</t>
  </si>
  <si>
    <t>B-A</t>
  </si>
  <si>
    <t>B</t>
  </si>
  <si>
    <t>LY Average $17,998 need to improve to $20,000 or closer</t>
  </si>
  <si>
    <t xml:space="preserve">Key would be Labour Sales per Tech </t>
  </si>
  <si>
    <t>2% Growth * seasonalities</t>
  </si>
  <si>
    <t>LY Average $20,102, maintain at $20k would be ideal</t>
  </si>
  <si>
    <t>LY Average $17,648 need to improve to $19,000</t>
  </si>
  <si>
    <t>10% Growth * seasonalities</t>
  </si>
  <si>
    <t>LY Average $19,261, if improve to $20k would be ideal</t>
  </si>
  <si>
    <t>ADMIN COSTS</t>
  </si>
  <si>
    <t>9 Months</t>
  </si>
  <si>
    <t>Total Overheads</t>
  </si>
  <si>
    <t>% of GP (incl FEF)</t>
  </si>
  <si>
    <t>Total Other Income GP</t>
  </si>
  <si>
    <t>New Vehicle GP</t>
  </si>
  <si>
    <t>Used Vehicle GP</t>
  </si>
  <si>
    <t>F&amp;I GP</t>
  </si>
  <si>
    <t>Parts GP</t>
  </si>
  <si>
    <t>Service GP</t>
  </si>
  <si>
    <t>2024 Year CYTD Average</t>
  </si>
  <si>
    <t>CYTD Average</t>
  </si>
  <si>
    <t>12 Months</t>
  </si>
  <si>
    <t>Per months</t>
  </si>
  <si>
    <t>Financial Year</t>
  </si>
  <si>
    <t>Staff Remuneration &amp; Benefits</t>
  </si>
  <si>
    <t>Rent &amp; Rates</t>
  </si>
  <si>
    <t>Depreciation</t>
  </si>
  <si>
    <t>Interest &amp; Bank Charges</t>
  </si>
  <si>
    <t>Insurance</t>
  </si>
  <si>
    <t>Data Processing</t>
  </si>
  <si>
    <t>R&amp;M and Cleaning</t>
  </si>
  <si>
    <t>Professional Fees</t>
  </si>
  <si>
    <t>Other Overheads</t>
  </si>
  <si>
    <t>LFS Strike Rate</t>
  </si>
  <si>
    <t>LVI Strike Rate</t>
  </si>
  <si>
    <t>Aged Stock &lt; 60 Days</t>
  </si>
  <si>
    <t>Key Target Area</t>
  </si>
  <si>
    <t>Demo Duilution Factor</t>
  </si>
  <si>
    <t>Gross / Unit</t>
  </si>
  <si>
    <t>2024 Proposed Target</t>
  </si>
  <si>
    <t>Reduce to $8500 per units from $10,000</t>
  </si>
  <si>
    <t>Need to discuss monthly rental demo fees to LEX service departments</t>
  </si>
  <si>
    <t>Wholesale Gross Profit</t>
  </si>
  <si>
    <t>Selling Gross on UV</t>
  </si>
  <si>
    <t>LY average 10 per month need to aim for 12 ~ 13 per months</t>
  </si>
  <si>
    <t>Keep at $5,000</t>
  </si>
  <si>
    <t>Average for Q423</t>
  </si>
  <si>
    <t>C</t>
  </si>
  <si>
    <t>5% Growth * seasonalities</t>
  </si>
  <si>
    <t>LY Average $26,537 need to improve to $28,000</t>
  </si>
  <si>
    <t>Types</t>
  </si>
  <si>
    <t>Total Types Sales</t>
  </si>
  <si>
    <t>Labours</t>
  </si>
  <si>
    <t>Monthly Labour Sales per Labour</t>
  </si>
  <si>
    <t>Total Types Gross profit</t>
  </si>
  <si>
    <t>3% Growth * seasonalities</t>
  </si>
  <si>
    <t>Anticipate to drop 1%</t>
  </si>
  <si>
    <t>LY Average $31,721 need to improve to $33,000</t>
  </si>
  <si>
    <t>140 Seasonalities</t>
  </si>
  <si>
    <t>LY Average $35,275 need to improve to $37k</t>
  </si>
  <si>
    <t>340 Seasonalities</t>
  </si>
  <si>
    <t>Monthly Internal Sub-charges</t>
  </si>
  <si>
    <t>Retails Detailing income</t>
  </si>
  <si>
    <t>Monthly Labour Sales per Groomer</t>
  </si>
  <si>
    <t>GP%</t>
  </si>
  <si>
    <t>Total Service Gross Profit</t>
  </si>
  <si>
    <t>LY Average 25k per months need to improve base on business plan. Still put through as 10k improvement from pervious Quarter</t>
  </si>
  <si>
    <t>Average Hourly rates for groomers</t>
  </si>
  <si>
    <t>Increase from $25 to $27</t>
  </si>
  <si>
    <t>4/6 groomers doing free grooms</t>
  </si>
  <si>
    <t>Materials</t>
  </si>
  <si>
    <t>Fixed sub-charge to service departments</t>
  </si>
  <si>
    <t>75% - 140</t>
  </si>
  <si>
    <t>25% - 142</t>
  </si>
  <si>
    <t>OTHER ADMIN COSTS</t>
  </si>
  <si>
    <t>Retail Detailing GP</t>
  </si>
  <si>
    <t>Bridgestone GP</t>
  </si>
  <si>
    <t>Rounded</t>
  </si>
  <si>
    <t>Income/units should be the same as FY 2024</t>
  </si>
  <si>
    <t>Seasonality</t>
  </si>
  <si>
    <t>11 month average</t>
  </si>
  <si>
    <t>Q223 + Q323 + Q423 Calander Year Average</t>
  </si>
  <si>
    <t>Total GP Excl FEF FY24</t>
  </si>
  <si>
    <t>Total GP Excl FEF FY25</t>
  </si>
  <si>
    <t>Total GP Incl FEF FY24</t>
  </si>
  <si>
    <t>Total GP Incl FEF FY25</t>
  </si>
  <si>
    <t>A*B</t>
  </si>
  <si>
    <t>Total GP FY24</t>
  </si>
  <si>
    <t>Total GP FY25</t>
  </si>
  <si>
    <t>1.5% Annualised Growth</t>
  </si>
  <si>
    <t>1% Growth * seasonalities</t>
  </si>
  <si>
    <t>5% Annualised Growth</t>
  </si>
  <si>
    <t>30 additional units per month splits 2:1 between NS/NW - 3 units per months</t>
  </si>
  <si>
    <t>Prior Owned Sources GP</t>
  </si>
  <si>
    <t>Post Owned Sources GP</t>
  </si>
  <si>
    <t>Additional GP 90k across the group for aftersales</t>
  </si>
  <si>
    <t>EACH</t>
  </si>
  <si>
    <t>additional GP</t>
  </si>
  <si>
    <t>FEF</t>
  </si>
  <si>
    <t>AS</t>
  </si>
  <si>
    <t>30 UNITS @ $2,500</t>
  </si>
  <si>
    <t>40 UNITS @ $2,050</t>
  </si>
  <si>
    <t>95k Labour GP</t>
  </si>
  <si>
    <t>40 Units @ $1,125</t>
  </si>
  <si>
    <t>30 additional units at $2,500 ownsources, 50:50 btw NS and NW 2.5 UNITS Per months</t>
  </si>
  <si>
    <t>Additional Profits - 1.25 units @ $2k</t>
  </si>
  <si>
    <t>70 Units more</t>
  </si>
  <si>
    <t>Additional Profits - 1.25 units @ $2.5k</t>
  </si>
  <si>
    <t>Seasonality based on working day</t>
  </si>
  <si>
    <t>LY Rev actual</t>
  </si>
  <si>
    <t>LY Labour charge hours</t>
  </si>
  <si>
    <t>Working date</t>
  </si>
  <si>
    <t>Month</t>
  </si>
  <si>
    <t>Week</t>
  </si>
  <si>
    <t>Date Range</t>
  </si>
  <si>
    <t>Days</t>
  </si>
  <si>
    <t>Public Holidays</t>
  </si>
  <si>
    <t>PH-Days</t>
  </si>
  <si>
    <t>April-24</t>
  </si>
  <si>
    <t>Week 1</t>
  </si>
  <si>
    <t>2-6</t>
  </si>
  <si>
    <t>Easter Monday</t>
  </si>
  <si>
    <t>Week 2</t>
  </si>
  <si>
    <t>8-13</t>
  </si>
  <si>
    <t>Week 3</t>
  </si>
  <si>
    <t>15-20</t>
  </si>
  <si>
    <t>Week 4</t>
  </si>
  <si>
    <t>22-24, 26-27</t>
  </si>
  <si>
    <t>Anzac Day</t>
  </si>
  <si>
    <t>Week 5</t>
  </si>
  <si>
    <t>29-30</t>
  </si>
  <si>
    <t>May-24</t>
  </si>
  <si>
    <t>1-4</t>
  </si>
  <si>
    <t>6-11</t>
  </si>
  <si>
    <t>13-18</t>
  </si>
  <si>
    <t>20-25</t>
  </si>
  <si>
    <t>27-31</t>
  </si>
  <si>
    <t>June-24</t>
  </si>
  <si>
    <t>1</t>
  </si>
  <si>
    <t>4-8</t>
  </si>
  <si>
    <t>King's Birthday</t>
  </si>
  <si>
    <t>10-15</t>
  </si>
  <si>
    <t>17-22</t>
  </si>
  <si>
    <t>24-27, 29</t>
  </si>
  <si>
    <t>Matariki</t>
  </si>
  <si>
    <t>July-24</t>
  </si>
  <si>
    <t>1-6</t>
  </si>
  <si>
    <t>22-27</t>
  </si>
  <si>
    <t>29-31</t>
  </si>
  <si>
    <t>August-24</t>
  </si>
  <si>
    <t>1-3</t>
  </si>
  <si>
    <t>5-10</t>
  </si>
  <si>
    <t>12-17</t>
  </si>
  <si>
    <t>19-24</t>
  </si>
  <si>
    <t>26-31</t>
  </si>
  <si>
    <t>September-24</t>
  </si>
  <si>
    <t>2-7</t>
  </si>
  <si>
    <t>9-14</t>
  </si>
  <si>
    <t>16-21</t>
  </si>
  <si>
    <t>23-28</t>
  </si>
  <si>
    <t>30</t>
  </si>
  <si>
    <t>October-24</t>
  </si>
  <si>
    <t>1-5</t>
  </si>
  <si>
    <t>7-12</t>
  </si>
  <si>
    <t>14-19</t>
  </si>
  <si>
    <t>21-26</t>
  </si>
  <si>
    <t>Labour Day</t>
  </si>
  <si>
    <t>November-24</t>
  </si>
  <si>
    <t>1-2</t>
  </si>
  <si>
    <t>4-9</t>
  </si>
  <si>
    <t>11-16</t>
  </si>
  <si>
    <t>18-23</t>
  </si>
  <si>
    <t>25-30</t>
  </si>
  <si>
    <t>December-24</t>
  </si>
  <si>
    <t>23-24, 27-28</t>
  </si>
  <si>
    <t>Christmas Day, Boxing Day</t>
  </si>
  <si>
    <t>30-31</t>
  </si>
  <si>
    <t>January-25</t>
  </si>
  <si>
    <t>3-4</t>
  </si>
  <si>
    <t>New Year's Day, Day after New Year's Day</t>
  </si>
  <si>
    <t>28-31</t>
  </si>
  <si>
    <t>Auckland Anniversary</t>
  </si>
  <si>
    <t>February-25</t>
  </si>
  <si>
    <t>3-5, 7-8</t>
  </si>
  <si>
    <t>Waitangi Day</t>
  </si>
  <si>
    <t>24-28</t>
  </si>
  <si>
    <t>March-25</t>
  </si>
  <si>
    <t>3-8</t>
  </si>
  <si>
    <t>24-29</t>
  </si>
  <si>
    <t>Week 6</t>
  </si>
  <si>
    <t>31</t>
  </si>
  <si>
    <t>Easter Monday 01/04/2024</t>
  </si>
  <si>
    <t>Anzac Day 25/04/2024</t>
  </si>
  <si>
    <t>King's Birthday 03/06/2024</t>
  </si>
  <si>
    <t>Matariki 28/06/2024</t>
  </si>
  <si>
    <t>Labour Day 28/10/2024</t>
  </si>
  <si>
    <t>Christmas Day 25/12/2024</t>
  </si>
  <si>
    <t>Boxing Day 26/12/2024</t>
  </si>
  <si>
    <t>New Year's Day 01/01/2025</t>
  </si>
  <si>
    <t>Day after New Year's Day 02/01/2025</t>
  </si>
  <si>
    <t>Auckland Anniversary 27/01/2025</t>
  </si>
  <si>
    <t>Waitangi Day 06/02/2025</t>
  </si>
  <si>
    <t>Business Days for the whole Financial year EXCLUDING  11 PH and all Sundays.</t>
  </si>
  <si>
    <t>Services</t>
  </si>
  <si>
    <t>Key Metrix</t>
  </si>
  <si>
    <t>Assumption</t>
  </si>
  <si>
    <t>Based on TNZ targets and additional 3 units more per months</t>
  </si>
  <si>
    <t>We see a drop from last year target and understand tough economic enviorments and will reflect down trend on NV sold this year.</t>
  </si>
  <si>
    <t>Agency fees based on model mix, calculation as follow</t>
  </si>
  <si>
    <t>Refer to FEF Forecast</t>
  </si>
  <si>
    <t>Commnets</t>
  </si>
  <si>
    <t>Selling expenses</t>
  </si>
  <si>
    <t>Massively drop due to marketing expenses shift to overhead expenses</t>
  </si>
  <si>
    <t>Cut free services account across the board</t>
  </si>
  <si>
    <t>Used Vehicle</t>
  </si>
  <si>
    <t xml:space="preserve">New Vehicle </t>
  </si>
  <si>
    <t>NS - 5 &amp; NW - 2~2.5</t>
  </si>
  <si>
    <t>Remain unchange from NS at 5, planning to add 0.5 hybrid sales NW covering both New and Used as to diversify risk on super star away or move on and building order book and start delivery on Dec 2024.</t>
  </si>
  <si>
    <t>NS - 5 &amp; NW - 4.5</t>
  </si>
  <si>
    <t>New Vehicle Units</t>
  </si>
  <si>
    <t>Owned sources Units</t>
  </si>
  <si>
    <t>Increase to 100 units vs FY2024 with better stock management and performance manage and with additional 0.5 hybre role at NW</t>
  </si>
  <si>
    <t>Last year, the average units per sales person is 16, and this year they have to do more. The biggest opportunity remain at NW our goal is to marry up with NS performance to 16 units per sales person effectivelly</t>
  </si>
  <si>
    <t>GP/Units</t>
  </si>
  <si>
    <t>range between $2,200 ~ $2,500</t>
  </si>
  <si>
    <t>Expecting soften market condition and aiming for $2,500, still room to improve as SG1 are at range around $2,750 ~ $3,000</t>
  </si>
  <si>
    <t>Massively reduce see above NV sections</t>
  </si>
  <si>
    <t>We change our approach to better monitoring marketing spend. We will switch all vehicle and general marketing expenses to a centrelise OV code. Key: above $1m selling expenses move to OV</t>
  </si>
  <si>
    <t>Flow through effect from NV &amp; UV volumn</t>
  </si>
  <si>
    <t>1.5% growth from FY2024</t>
  </si>
  <si>
    <t>Business manger</t>
  </si>
  <si>
    <t>No change remain 3 at NS / 2 NW</t>
  </si>
  <si>
    <t>New Sales commission structure introduce</t>
  </si>
  <si>
    <t>Shift focus on volumn target to order build and accessary sales targets</t>
  </si>
  <si>
    <t>Headcounts</t>
  </si>
  <si>
    <t>Reduction from 13 to 11</t>
  </si>
  <si>
    <t>Comments</t>
  </si>
  <si>
    <t>Given market soften condition and better headcounts utilisations</t>
  </si>
  <si>
    <t>Aiming for group 1.5% growth from previsous years with better maxismasing website and manage on our phone systems</t>
  </si>
  <si>
    <t>Massively reduce</t>
  </si>
  <si>
    <t>Due to remove 1 part manager and reduction of 1 parts headcounts. NS parts team resturcture and by end of the year goal is to combine Parts &amp; Service departments as a whole which mean combine service advisor and parts interptere</t>
  </si>
  <si>
    <t>Based on available working day</t>
  </si>
  <si>
    <t>Reduction from 20% - 18%</t>
  </si>
  <si>
    <t>Due to focus on more accessory sales and reduction on aged stock</t>
  </si>
  <si>
    <t>Remain on 32.25</t>
  </si>
  <si>
    <t xml:space="preserve">Labours sales </t>
  </si>
  <si>
    <t>4.4% growth</t>
  </si>
  <si>
    <t>Mon - Fri: 1 and Sat: 0.5. Main drop off will be at June and Dec / Jan due to holiday</t>
  </si>
  <si>
    <t>4.4% growth vs FY 2024 with aiming $19k sales / per tech (improvement from 18k to 19k)</t>
  </si>
  <si>
    <t xml:space="preserve">Remain at 67% </t>
  </si>
  <si>
    <t>Maintain at $3.5m level - 34% of sales</t>
  </si>
  <si>
    <t>Reflecting a small increase of 50k due to wage increase</t>
  </si>
  <si>
    <t>est. 150k</t>
  </si>
  <si>
    <t>Headcount</t>
  </si>
  <si>
    <t>Remain unchange at 4</t>
  </si>
  <si>
    <t>Aiming at 335 units sold for the year</t>
  </si>
  <si>
    <t>Based on LNZ target and averaging 28 units per month</t>
  </si>
  <si>
    <t>Drop to $9,500</t>
  </si>
  <si>
    <t>Expecting soften market condition and model mix toward more low price model such as LBX and UX</t>
  </si>
  <si>
    <t>Due to marketing expenses swtich to OV see above NV - Toyota</t>
  </si>
  <si>
    <t>Volumn</t>
  </si>
  <si>
    <t>Aiming at 156 units sold for the year</t>
  </si>
  <si>
    <t>About 30 units more for the year and averaging 13 units per months</t>
  </si>
  <si>
    <t>Keep at $5,000 / units</t>
  </si>
  <si>
    <t>F&amp;I Income / units</t>
  </si>
  <si>
    <t>Remain at $850 per units</t>
  </si>
  <si>
    <t>Flow on effect on increase volumn from NV &amp; UV</t>
  </si>
  <si>
    <t>Parts Sales</t>
  </si>
  <si>
    <t>5% growth</t>
  </si>
  <si>
    <t>Reflecting NV &amp; UV and Service growth</t>
  </si>
  <si>
    <t>Increase from 2.5 to 3</t>
  </si>
  <si>
    <t>Reflecting NV &amp; UV Volumn growth</t>
  </si>
  <si>
    <t>Labours sales</t>
  </si>
  <si>
    <t>Reflecting NV &amp; UV Volumn growth and improvement for labour sales per tech from 26.5k to 27.5k</t>
  </si>
  <si>
    <t>Reduction from 7 to 6.7</t>
  </si>
  <si>
    <t>NS reduction from 5 - 4 for Q1 and replacement start July. NW reduction from 2 - 1 for Q1 and replacement start July and another 0.5 start Nov 24</t>
  </si>
  <si>
    <t>Sales</t>
  </si>
  <si>
    <t>1.5% growth</t>
  </si>
  <si>
    <t>Reflecting swtich more focus and help toward accessary targets</t>
  </si>
  <si>
    <t>Keep it 40%</t>
  </si>
  <si>
    <t>Bridgestone &amp; Retail Detailing</t>
  </si>
  <si>
    <t>25% growth from LY</t>
  </si>
  <si>
    <t>Reflecting growth on retails detailing income and our goals is to reduce the leakage of 116k loss to only 36k losses</t>
  </si>
  <si>
    <t>Central marketing expenses</t>
  </si>
  <si>
    <t>Switch from SE to OV</t>
  </si>
  <si>
    <t>Annual marketing budget est 1.1m now swtich to OV line to better governance and control &amp; monitor</t>
  </si>
  <si>
    <t>Staffing related costs</t>
  </si>
  <si>
    <t>Increase by 1%</t>
  </si>
  <si>
    <t>Reflecting wage increase</t>
  </si>
  <si>
    <t>Overall</t>
  </si>
  <si>
    <t xml:space="preserve">Mainly due to the swtich of marketing </t>
  </si>
  <si>
    <t>Increase from 6.9m to 8m and remain around 26% of GP</t>
  </si>
  <si>
    <t>FEF &amp; LEF</t>
  </si>
  <si>
    <t>Overall pool</t>
  </si>
  <si>
    <t>Massively reduce by 30%</t>
  </si>
  <si>
    <t>Reflecting NV volumn drop from 1,458 to 1,357</t>
  </si>
  <si>
    <t>Point achievement</t>
  </si>
  <si>
    <t>FEF - 90 &amp; LEF - 100</t>
  </si>
  <si>
    <t>Reflecting risk on accessory targets on FEF and still aiming for 100 for LEF</t>
  </si>
  <si>
    <t>LEF Demo Duilution Factor</t>
  </si>
  <si>
    <t>0.85 (3/10)</t>
  </si>
  <si>
    <t>Reflecting reduction on payments rates from 2k to 1k if demo sold and NV:Demo (7:3)</t>
  </si>
  <si>
    <t>Volume flow through from NV &amp; UV and F&amp;I income / units remain at $600 per unit</t>
  </si>
  <si>
    <t>NV Volume</t>
  </si>
  <si>
    <t>Wholesale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</si>
</sst>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5" formatCode="&quot;$&quot;#,##0;\-&quot;$&quot;#,##0"/>
    <numFmt numFmtId="6" formatCode="&quot;$&quot;#,##0;[Red]\-&quot;$&quot;#,##0"/>
    <numFmt numFmtId="8" formatCode="&quot;$&quot;#,##0.00;[Red]\-&quot;$&quot;#,##0.00"/>
    <numFmt numFmtId="44" formatCode="_-&quot;$&quot;* #,##0.00_-;\-&quot;$&quot;* #,##0.00_-;_-&quot;$&quot;* &quot;-&quot;??_-;_-@_-"/>
    <numFmt numFmtId="43" formatCode="_-* #,##0.00_-;\-* #,##0.00_-;_-* &quot;-&quot;??_-;_-@_-"/>
    <numFmt numFmtId="164" formatCode="_-* #,##0_-;\-* #,##0_-;_-* &quot;-&quot;??_-;_-@_-"/>
    <numFmt numFmtId="165" formatCode="#,##0_ ;[Red]\-#,##0\ "/>
    <numFmt numFmtId="166" formatCode="_-&quot;$&quot;* #,##0_-;\-&quot;$&quot;* #,##0_-;_-&quot;$&quot;* &quot;-&quot;??_-;_-@_-"/>
    <numFmt numFmtId="167" formatCode="dd/mmm/yyyy"/>
    <numFmt numFmtId="168" formatCode="#,##0.00000"/>
    <numFmt numFmtId="169" formatCode="0_ ;[Red]\-0\ "/>
    <numFmt numFmtId="170" formatCode="&quot;$&quot;#,##0"/>
    <numFmt numFmtId="171" formatCode="#,##0;\(#,##0\)"/>
    <numFmt numFmtId="172" formatCode="_(* #,##0_);_(* \(#,##0\);_(* &quot;-&quot;??_);_(@_)"/>
    <numFmt numFmtId="173" formatCode="#,##0.00;\(#,##0.00\)"/>
    <numFmt numFmtId="174" formatCode="0.0%"/>
    <numFmt numFmtId="175" formatCode="0.0"/>
    <numFmt numFmtId="176" formatCode="_([$$-409]* #,##0.00_);_([$$-409]* \(#,##0.00\);_([$$-409]* &quot;-&quot;??_);_(@_)"/>
    <numFmt numFmtId="177" formatCode="#,##0.00_ ;[Red]\-#,##0.00\ "/>
    <numFmt numFmtId="178" formatCode="0.0_ ;[Red]\-0.0\ "/>
    <numFmt numFmtId="179" formatCode="#,##0.0_ ;[Red]\-#,##0.0\ "/>
    <numFmt numFmtId="180" formatCode="&quot;$&quot;#,##0.00"/>
  </numFmts>
  <fonts count="44" x14ac:knownFonts="1">
    <font>
      <sz val="11"/>
      <color theme="1"/>
      <name val="Calibri"/>
      <family val="2"/>
      <scheme val="minor"/>
    </font>
    <font>
      <b/>
      <sz val="11"/>
      <color theme="1"/>
      <name val="Calibri"/>
      <family val="2"/>
      <scheme val="minor"/>
    </font>
    <font>
      <b/>
      <sz val="12"/>
      <color theme="4" tint="-0.49995422223578601"/>
      <name val="Calibri"/>
      <family val="2"/>
      <scheme val="minor"/>
    </font>
    <font>
      <b/>
      <sz val="12"/>
      <color rgb="FF002060"/>
      <name val="Calibri"/>
      <family val="2"/>
      <scheme val="minor"/>
    </font>
    <font>
      <sz val="11"/>
      <color rgb="FFFF0000"/>
      <name val="Calibri"/>
      <family val="2"/>
      <scheme val="minor"/>
    </font>
    <font>
      <sz val="11"/>
      <color rgb="FF0000FF"/>
      <name val="Calibri"/>
      <family val="2"/>
      <scheme val="minor"/>
    </font>
    <font>
      <sz val="11"/>
      <color theme="1"/>
      <name val="Calibri"/>
      <family val="2"/>
      <scheme val="minor"/>
    </font>
    <font>
      <sz val="8"/>
      <name val="Calibri"/>
      <family val="2"/>
      <scheme val="minor"/>
    </font>
    <font>
      <sz val="11"/>
      <color rgb="FF000000"/>
      <name val="Calibri"/>
      <family val="2"/>
    </font>
    <font>
      <sz val="8"/>
      <color rgb="FF000000"/>
      <name val="Calibri"/>
      <family val="2"/>
    </font>
    <font>
      <b/>
      <sz val="8"/>
      <color rgb="FFFFFFFF"/>
      <name val="Calibri"/>
      <family val="2"/>
    </font>
    <font>
      <b/>
      <sz val="8"/>
      <color rgb="FF000000"/>
      <name val="Calibri"/>
      <family val="2"/>
    </font>
    <font>
      <b/>
      <sz val="18"/>
      <color rgb="FF00008B"/>
      <name val="Calibri"/>
      <family val="2"/>
    </font>
    <font>
      <b/>
      <i/>
      <sz val="11"/>
      <color theme="1"/>
      <name val="Calibri"/>
      <family val="2"/>
      <scheme val="minor"/>
    </font>
    <font>
      <sz val="11"/>
      <color rgb="FF444444"/>
      <name val="Aptos Narrow"/>
      <family val="2"/>
    </font>
    <font>
      <sz val="11"/>
      <name val="Calibri"/>
      <family val="2"/>
    </font>
    <font>
      <b/>
      <sz val="12"/>
      <color rgb="FF002060"/>
      <name val="Calibri"/>
      <family val="2"/>
    </font>
    <font>
      <b/>
      <sz val="11"/>
      <color rgb="FF000000"/>
      <name val="Calibri"/>
      <family val="2"/>
    </font>
    <font>
      <sz val="11"/>
      <color rgb="FF000000"/>
      <name val="Calibri"/>
      <family val="2"/>
      <scheme val="minor"/>
    </font>
    <font>
      <sz val="11"/>
      <color rgb="FFFF0000"/>
      <name val="Calibri"/>
      <family val="2"/>
    </font>
    <font>
      <i/>
      <sz val="11"/>
      <color theme="1"/>
      <name val="Calibri"/>
      <family val="2"/>
      <scheme val="minor"/>
    </font>
    <font>
      <sz val="11"/>
      <color theme="1"/>
      <name val="Calibri"/>
      <family val="2"/>
    </font>
    <font>
      <b/>
      <sz val="11"/>
      <name val="Calibri"/>
      <family val="2"/>
      <scheme val="minor"/>
    </font>
    <font>
      <sz val="11"/>
      <name val="Calibri"/>
      <family val="2"/>
      <scheme val="minor"/>
    </font>
    <font>
      <i/>
      <sz val="11"/>
      <color rgb="FFFF0000"/>
      <name val="Calibri"/>
      <family val="2"/>
      <scheme val="minor"/>
    </font>
    <font>
      <b/>
      <sz val="11"/>
      <color rgb="FFFF0000"/>
      <name val="Calibri"/>
      <family val="2"/>
      <scheme val="minor"/>
    </font>
    <font>
      <sz val="11"/>
      <color rgb="FF0000CC"/>
      <name val="Calibri"/>
      <family val="2"/>
      <scheme val="minor"/>
    </font>
    <font>
      <b/>
      <sz val="11"/>
      <color rgb="FF0000CC"/>
      <name val="Calibri"/>
      <family val="2"/>
      <scheme val="minor"/>
    </font>
    <font>
      <sz val="10"/>
      <color rgb="FF0000CC"/>
      <name val="Calibri"/>
      <family val="2"/>
      <scheme val="minor"/>
    </font>
    <font>
      <sz val="11"/>
      <color theme="8"/>
      <name val="Calibri"/>
      <family val="2"/>
      <scheme val="minor"/>
    </font>
    <font>
      <sz val="11"/>
      <color theme="8"/>
      <name val="Calibri"/>
      <family val="2"/>
    </font>
    <font>
      <sz val="8"/>
      <color theme="1"/>
      <name val="Aptos"/>
      <family val="2"/>
    </font>
    <font>
      <sz val="8"/>
      <color rgb="FFFF0000"/>
      <name val="Aptos"/>
      <family val="2"/>
    </font>
    <font>
      <b/>
      <sz val="8"/>
      <name val="Aptos"/>
      <family val="2"/>
    </font>
    <font>
      <b/>
      <sz val="8"/>
      <color theme="1"/>
      <name val="Aptos"/>
      <family val="2"/>
    </font>
    <font>
      <sz val="8"/>
      <name val="Aptos"/>
      <family val="2"/>
    </font>
    <font>
      <b/>
      <sz val="8"/>
      <color rgb="FFFF0000"/>
      <name val="Aptos"/>
      <family val="2"/>
    </font>
    <font>
      <b/>
      <sz val="8"/>
      <color rgb="FF0070C0"/>
      <name val="Aptos"/>
      <family val="2"/>
    </font>
    <font>
      <sz val="9"/>
      <color indexed="81"/>
      <name val="Tahoma"/>
      <family val="2"/>
    </font>
    <font>
      <b/>
      <sz val="9"/>
      <color indexed="81"/>
      <name val="Tahoma"/>
      <family val="2"/>
    </font>
    <font>
      <sz val="8"/>
      <color theme="1"/>
      <name val="Calibri"/>
      <family val="2"/>
      <scheme val="minor"/>
    </font>
    <font>
      <sz val="8"/>
      <color rgb="FFFF0000"/>
      <name val="Calibri"/>
      <family val="2"/>
      <scheme val="minor"/>
    </font>
    <font>
      <sz val="10"/>
      <color theme="1"/>
      <name val="Calibri"/>
      <family val="2"/>
      <scheme val="minor"/>
    </font>
    <font>
      <sz val="8.5"/>
      <color theme="1"/>
      <name val="Calibri"/>
      <family val="2"/>
      <scheme val="minor"/>
    </font>
  </fonts>
  <fills count="18">
    <fill>
      <patternFill patternType="none"/>
    </fill>
    <fill>
      <patternFill patternType="gray125"/>
    </fill>
    <fill>
      <patternFill patternType="solid">
        <fgColor rgb="FFFFFFFF"/>
        <bgColor rgb="FFFFFFFF"/>
      </patternFill>
    </fill>
    <fill>
      <patternFill patternType="solid">
        <fgColor rgb="FF00008B"/>
        <bgColor rgb="FF00008B"/>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8" tint="0.59999389629810485"/>
        <bgColor indexed="64"/>
      </patternFill>
    </fill>
    <fill>
      <patternFill patternType="solid">
        <fgColor rgb="FFFFC000"/>
        <bgColor indexed="64"/>
      </patternFill>
    </fill>
    <fill>
      <patternFill patternType="solid">
        <fgColor rgb="FFD26FF9"/>
        <bgColor indexed="64"/>
      </patternFill>
    </fill>
    <fill>
      <patternFill patternType="solid">
        <fgColor theme="0" tint="-0.249977111117893"/>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theme="3" tint="0.79998168889431442"/>
        <bgColor indexed="64"/>
      </patternFill>
    </fill>
  </fills>
  <borders count="23">
    <border>
      <left/>
      <right/>
      <top/>
      <bottom/>
      <diagonal/>
    </border>
    <border>
      <left/>
      <right/>
      <top style="thin">
        <color auto="1"/>
      </top>
      <bottom style="double">
        <color auto="1"/>
      </bottom>
      <diagonal/>
    </border>
    <border>
      <left/>
      <right/>
      <top/>
      <bottom style="thick">
        <color rgb="FF000000"/>
      </bottom>
      <diagonal/>
    </border>
    <border>
      <left style="thin">
        <color rgb="FF808080"/>
      </left>
      <right style="thin">
        <color rgb="FF808080"/>
      </right>
      <top style="thin">
        <color rgb="FF808080"/>
      </top>
      <bottom style="thin">
        <color rgb="FF808080"/>
      </bottom>
      <diagonal/>
    </border>
    <border>
      <left/>
      <right/>
      <top/>
      <bottom style="thin">
        <color rgb="FF000000"/>
      </bottom>
      <diagonal/>
    </border>
    <border>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style="thin">
        <color indexed="64"/>
      </top>
      <bottom style="double">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double">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double">
        <color indexed="64"/>
      </bottom>
      <diagonal/>
    </border>
    <border>
      <left style="medium">
        <color indexed="64"/>
      </left>
      <right style="medium">
        <color indexed="64"/>
      </right>
      <top style="medium">
        <color indexed="64"/>
      </top>
      <bottom/>
      <diagonal/>
    </border>
    <border>
      <left/>
      <right/>
      <top style="medium">
        <color indexed="64"/>
      </top>
      <bottom/>
      <diagonal/>
    </border>
    <border>
      <left style="thin">
        <color auto="1"/>
      </left>
      <right style="thin">
        <color auto="1"/>
      </right>
      <top style="thin">
        <color auto="1"/>
      </top>
      <bottom style="thin">
        <color auto="1"/>
      </bottom>
      <diagonal/>
    </border>
  </borders>
  <cellStyleXfs count="6">
    <xf numFmtId="0" fontId="0" fillId="0" borderId="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8" fillId="0" borderId="0" applyNumberFormat="0" applyBorder="0" applyAlignment="0"/>
    <xf numFmtId="0" fontId="8" fillId="0" borderId="0" applyNumberFormat="0" applyBorder="0" applyAlignment="0"/>
  </cellStyleXfs>
  <cellXfs count="317">
    <xf numFmtId="0" fontId="0" fillId="0" borderId="0" xfId="0"/>
    <xf numFmtId="164" fontId="0" fillId="0" borderId="0" xfId="3" applyNumberFormat="1" applyFont="1"/>
    <xf numFmtId="165" fontId="0" fillId="0" borderId="0" xfId="3" applyNumberFormat="1" applyFont="1"/>
    <xf numFmtId="9" fontId="0" fillId="0" borderId="0" xfId="1" applyFont="1"/>
    <xf numFmtId="0" fontId="1" fillId="0" borderId="0" xfId="0" applyFont="1" applyAlignment="1">
      <alignment horizontal="center"/>
    </xf>
    <xf numFmtId="17" fontId="1" fillId="0" borderId="0" xfId="0" applyNumberFormat="1" applyFont="1" applyAlignment="1">
      <alignment horizontal="center"/>
    </xf>
    <xf numFmtId="6" fontId="0" fillId="0" borderId="0" xfId="3" applyNumberFormat="1" applyFont="1"/>
    <xf numFmtId="6" fontId="0" fillId="0" borderId="0" xfId="0" applyNumberFormat="1"/>
    <xf numFmtId="6" fontId="1" fillId="0" borderId="0" xfId="3" applyNumberFormat="1" applyFont="1"/>
    <xf numFmtId="6" fontId="1" fillId="0" borderId="0" xfId="0" applyNumberFormat="1" applyFont="1"/>
    <xf numFmtId="6" fontId="1" fillId="0" borderId="1" xfId="3" applyNumberFormat="1" applyFont="1" applyBorder="1"/>
    <xf numFmtId="0" fontId="3" fillId="0" borderId="0" xfId="0" applyFont="1" applyAlignment="1">
      <alignment horizontal="center"/>
    </xf>
    <xf numFmtId="6" fontId="0" fillId="0" borderId="0" xfId="3" applyNumberFormat="1" applyFont="1" applyFill="1"/>
    <xf numFmtId="6" fontId="1" fillId="0" borderId="1" xfId="3" applyNumberFormat="1" applyFont="1" applyFill="1" applyBorder="1"/>
    <xf numFmtId="164" fontId="0" fillId="0" borderId="0" xfId="0" applyNumberFormat="1"/>
    <xf numFmtId="8" fontId="0" fillId="0" borderId="0" xfId="0" applyNumberFormat="1"/>
    <xf numFmtId="43" fontId="0" fillId="0" borderId="0" xfId="3" applyFont="1"/>
    <xf numFmtId="0" fontId="0" fillId="0" borderId="0" xfId="0" quotePrefix="1"/>
    <xf numFmtId="166" fontId="0" fillId="0" borderId="0" xfId="2" applyNumberFormat="1" applyFont="1"/>
    <xf numFmtId="6" fontId="0" fillId="0" borderId="0" xfId="0" applyNumberFormat="1" applyAlignment="1">
      <alignment horizontal="right"/>
    </xf>
    <xf numFmtId="6" fontId="1" fillId="0" borderId="0" xfId="3" applyNumberFormat="1" applyFont="1" applyFill="1"/>
    <xf numFmtId="0" fontId="0" fillId="0" borderId="0" xfId="0" applyAlignment="1">
      <alignment horizontal="left"/>
    </xf>
    <xf numFmtId="0" fontId="8" fillId="2" borderId="0" xfId="4" applyFill="1"/>
    <xf numFmtId="0" fontId="8" fillId="2" borderId="2" xfId="4" applyFill="1" applyBorder="1"/>
    <xf numFmtId="4" fontId="9" fillId="2" borderId="3" xfId="4" applyNumberFormat="1" applyFont="1" applyFill="1" applyBorder="1" applyAlignment="1">
      <alignment horizontal="left"/>
    </xf>
    <xf numFmtId="0" fontId="9" fillId="2" borderId="3" xfId="4" applyFont="1" applyFill="1" applyBorder="1" applyAlignment="1">
      <alignment horizontal="left"/>
    </xf>
    <xf numFmtId="0" fontId="10" fillId="3" borderId="3" xfId="4" applyFont="1" applyFill="1" applyBorder="1" applyAlignment="1">
      <alignment horizontal="left"/>
    </xf>
    <xf numFmtId="0" fontId="11" fillId="2" borderId="0" xfId="4" applyFont="1" applyFill="1" applyAlignment="1">
      <alignment horizontal="left"/>
    </xf>
    <xf numFmtId="49" fontId="12" fillId="2" borderId="2" xfId="4" applyNumberFormat="1" applyFont="1" applyFill="1" applyBorder="1" applyAlignment="1">
      <alignment horizontal="left"/>
    </xf>
    <xf numFmtId="0" fontId="8" fillId="2" borderId="4" xfId="4" applyFill="1" applyBorder="1"/>
    <xf numFmtId="0" fontId="11" fillId="2" borderId="4" xfId="4" applyFont="1" applyFill="1" applyBorder="1" applyAlignment="1">
      <alignment horizontal="left"/>
    </xf>
    <xf numFmtId="167" fontId="9" fillId="2" borderId="3" xfId="4" applyNumberFormat="1" applyFont="1" applyFill="1" applyBorder="1" applyAlignment="1">
      <alignment horizontal="left"/>
    </xf>
    <xf numFmtId="168" fontId="9" fillId="2" borderId="3" xfId="4" applyNumberFormat="1" applyFont="1" applyFill="1" applyBorder="1" applyAlignment="1">
      <alignment horizontal="left"/>
    </xf>
    <xf numFmtId="10" fontId="0" fillId="0" borderId="0" xfId="0" applyNumberFormat="1"/>
    <xf numFmtId="0" fontId="4" fillId="0" borderId="0" xfId="0" applyFont="1"/>
    <xf numFmtId="164" fontId="0" fillId="0" borderId="0" xfId="3" applyNumberFormat="1" applyFont="1" applyFill="1"/>
    <xf numFmtId="0" fontId="0" fillId="0" borderId="0" xfId="0" applyAlignment="1">
      <alignment horizontal="right"/>
    </xf>
    <xf numFmtId="6" fontId="5" fillId="0" borderId="0" xfId="3" applyNumberFormat="1" applyFont="1" applyFill="1"/>
    <xf numFmtId="6" fontId="0" fillId="0" borderId="0" xfId="0" applyNumberFormat="1" applyAlignment="1">
      <alignment horizontal="left"/>
    </xf>
    <xf numFmtId="165" fontId="0" fillId="0" borderId="0" xfId="0" applyNumberFormat="1"/>
    <xf numFmtId="0" fontId="8" fillId="0" borderId="0" xfId="0" applyFont="1"/>
    <xf numFmtId="1" fontId="8" fillId="0" borderId="0" xfId="0" applyNumberFormat="1" applyFont="1"/>
    <xf numFmtId="0" fontId="14" fillId="0" borderId="0" xfId="0" applyFont="1"/>
    <xf numFmtId="1" fontId="0" fillId="0" borderId="0" xfId="0" applyNumberFormat="1"/>
    <xf numFmtId="9" fontId="0" fillId="0" borderId="0" xfId="0" applyNumberFormat="1"/>
    <xf numFmtId="6" fontId="0" fillId="0" borderId="0" xfId="1" applyNumberFormat="1" applyFont="1"/>
    <xf numFmtId="0" fontId="17" fillId="0" borderId="0" xfId="0" applyFont="1"/>
    <xf numFmtId="0" fontId="18" fillId="0" borderId="0" xfId="0" applyFont="1"/>
    <xf numFmtId="0" fontId="19" fillId="0" borderId="0" xfId="0" applyFont="1"/>
    <xf numFmtId="169" fontId="17" fillId="0" borderId="0" xfId="0" applyNumberFormat="1" applyFont="1"/>
    <xf numFmtId="169" fontId="8" fillId="0" borderId="0" xfId="0" applyNumberFormat="1" applyFont="1"/>
    <xf numFmtId="169" fontId="17" fillId="0" borderId="1" xfId="0" applyNumberFormat="1" applyFont="1" applyBorder="1"/>
    <xf numFmtId="170" fontId="8" fillId="0" borderId="0" xfId="0" applyNumberFormat="1" applyFont="1"/>
    <xf numFmtId="6" fontId="8" fillId="0" borderId="0" xfId="0" applyNumberFormat="1" applyFont="1"/>
    <xf numFmtId="6" fontId="19" fillId="0" borderId="0" xfId="0" applyNumberFormat="1" applyFont="1"/>
    <xf numFmtId="169" fontId="16" fillId="0" borderId="0" xfId="0" applyNumberFormat="1" applyFont="1" applyAlignment="1">
      <alignment horizontal="left"/>
    </xf>
    <xf numFmtId="0" fontId="16" fillId="0" borderId="0" xfId="0" applyFont="1" applyAlignment="1">
      <alignment horizontal="left"/>
    </xf>
    <xf numFmtId="6" fontId="15" fillId="0" borderId="0" xfId="0" applyNumberFormat="1" applyFont="1"/>
    <xf numFmtId="170" fontId="17" fillId="0" borderId="1" xfId="0" applyNumberFormat="1" applyFont="1" applyBorder="1"/>
    <xf numFmtId="6" fontId="6" fillId="0" borderId="1" xfId="3" applyNumberFormat="1" applyFont="1" applyBorder="1"/>
    <xf numFmtId="2" fontId="0" fillId="0" borderId="0" xfId="1" applyNumberFormat="1" applyFont="1"/>
    <xf numFmtId="6" fontId="6" fillId="0" borderId="0" xfId="3" applyNumberFormat="1" applyFont="1"/>
    <xf numFmtId="9" fontId="0" fillId="0" borderId="5" xfId="1" applyFont="1" applyBorder="1"/>
    <xf numFmtId="6" fontId="6" fillId="0" borderId="0" xfId="3" applyNumberFormat="1" applyFont="1" applyFill="1"/>
    <xf numFmtId="170" fontId="18" fillId="0" borderId="0" xfId="0" applyNumberFormat="1" applyFont="1"/>
    <xf numFmtId="170" fontId="0" fillId="0" borderId="0" xfId="3" applyNumberFormat="1" applyFont="1"/>
    <xf numFmtId="171" fontId="0" fillId="0" borderId="0" xfId="0" applyNumberFormat="1"/>
    <xf numFmtId="171" fontId="0" fillId="0" borderId="0" xfId="3" applyNumberFormat="1" applyFont="1" applyBorder="1"/>
    <xf numFmtId="171" fontId="1" fillId="0" borderId="0" xfId="3" applyNumberFormat="1" applyFont="1" applyBorder="1"/>
    <xf numFmtId="171" fontId="6" fillId="0" borderId="0" xfId="3" applyNumberFormat="1" applyFont="1" applyBorder="1"/>
    <xf numFmtId="171" fontId="0" fillId="0" borderId="0" xfId="1" applyNumberFormat="1" applyFont="1"/>
    <xf numFmtId="171" fontId="0" fillId="0" borderId="0" xfId="3" applyNumberFormat="1" applyFont="1"/>
    <xf numFmtId="171" fontId="1" fillId="0" borderId="0" xfId="3" applyNumberFormat="1" applyFont="1"/>
    <xf numFmtId="171" fontId="0" fillId="0" borderId="0" xfId="1" applyNumberFormat="1" applyFont="1" applyBorder="1"/>
    <xf numFmtId="171" fontId="1" fillId="0" borderId="0" xfId="0" applyNumberFormat="1" applyFont="1"/>
    <xf numFmtId="1" fontId="0" fillId="0" borderId="0" xfId="1" applyNumberFormat="1" applyFont="1"/>
    <xf numFmtId="169" fontId="17" fillId="0" borderId="0" xfId="0" applyNumberFormat="1" applyFont="1" applyAlignment="1">
      <alignment horizontal="center"/>
    </xf>
    <xf numFmtId="17" fontId="1" fillId="4" borderId="0" xfId="0" applyNumberFormat="1" applyFont="1" applyFill="1" applyAlignment="1">
      <alignment horizontal="center"/>
    </xf>
    <xf numFmtId="0" fontId="0" fillId="4" borderId="0" xfId="0" applyFill="1"/>
    <xf numFmtId="9" fontId="0" fillId="5" borderId="0" xfId="1" applyFont="1" applyFill="1"/>
    <xf numFmtId="9" fontId="0" fillId="5" borderId="0" xfId="1" applyFont="1" applyFill="1" applyAlignment="1">
      <alignment horizontal="center"/>
    </xf>
    <xf numFmtId="9" fontId="0" fillId="0" borderId="0" xfId="1" applyFont="1" applyFill="1" applyAlignment="1">
      <alignment horizontal="center"/>
    </xf>
    <xf numFmtId="6" fontId="21" fillId="0" borderId="0" xfId="0" applyNumberFormat="1" applyFont="1"/>
    <xf numFmtId="172" fontId="0" fillId="0" borderId="0" xfId="1" applyNumberFormat="1" applyFont="1"/>
    <xf numFmtId="171" fontId="0" fillId="0" borderId="1" xfId="0" applyNumberFormat="1" applyBorder="1"/>
    <xf numFmtId="171" fontId="1" fillId="0" borderId="1" xfId="3" applyNumberFormat="1" applyFont="1" applyBorder="1"/>
    <xf numFmtId="17" fontId="1" fillId="7" borderId="0" xfId="0" applyNumberFormat="1" applyFont="1" applyFill="1" applyAlignment="1">
      <alignment horizontal="center" wrapText="1"/>
    </xf>
    <xf numFmtId="9" fontId="0" fillId="7" borderId="0" xfId="1" applyFont="1" applyFill="1"/>
    <xf numFmtId="9" fontId="0" fillId="7" borderId="0" xfId="1" applyFont="1" applyFill="1" applyAlignment="1">
      <alignment horizontal="center"/>
    </xf>
    <xf numFmtId="9" fontId="1" fillId="8" borderId="0" xfId="1" applyFont="1" applyFill="1" applyAlignment="1">
      <alignment horizontal="center" wrapText="1"/>
    </xf>
    <xf numFmtId="9" fontId="0" fillId="8" borderId="0" xfId="1" applyFont="1" applyFill="1" applyAlignment="1">
      <alignment horizontal="center" wrapText="1"/>
    </xf>
    <xf numFmtId="9" fontId="0" fillId="8" borderId="0" xfId="1" applyFont="1" applyFill="1"/>
    <xf numFmtId="9" fontId="0" fillId="8" borderId="0" xfId="1" applyFont="1" applyFill="1" applyAlignment="1">
      <alignment horizontal="center"/>
    </xf>
    <xf numFmtId="173" fontId="0" fillId="0" borderId="0" xfId="3" applyNumberFormat="1" applyFont="1"/>
    <xf numFmtId="171" fontId="0" fillId="0" borderId="0" xfId="0" applyNumberFormat="1" applyAlignment="1">
      <alignment horizontal="right" wrapText="1"/>
    </xf>
    <xf numFmtId="9" fontId="1" fillId="9" borderId="0" xfId="1" applyFont="1" applyFill="1" applyAlignment="1">
      <alignment horizontal="center" wrapText="1"/>
    </xf>
    <xf numFmtId="9" fontId="0" fillId="9" borderId="0" xfId="1" applyFont="1" applyFill="1" applyAlignment="1">
      <alignment horizontal="center" wrapText="1"/>
    </xf>
    <xf numFmtId="9" fontId="0" fillId="9" borderId="0" xfId="1" applyFont="1" applyFill="1"/>
    <xf numFmtId="9" fontId="0" fillId="9" borderId="0" xfId="1" applyFont="1" applyFill="1" applyAlignment="1">
      <alignment horizontal="center"/>
    </xf>
    <xf numFmtId="165" fontId="6" fillId="0" borderId="0" xfId="3" applyNumberFormat="1" applyFont="1"/>
    <xf numFmtId="0" fontId="22" fillId="0" borderId="6" xfId="0" applyFont="1" applyBorder="1" applyAlignment="1">
      <alignment vertical="center"/>
    </xf>
    <xf numFmtId="0" fontId="22" fillId="0" borderId="7" xfId="0" quotePrefix="1" applyFont="1" applyBorder="1" applyAlignment="1">
      <alignment horizontal="center" wrapText="1"/>
    </xf>
    <xf numFmtId="0" fontId="22" fillId="0" borderId="8" xfId="0" applyFont="1" applyBorder="1" applyAlignment="1">
      <alignment vertical="center"/>
    </xf>
    <xf numFmtId="0" fontId="22" fillId="0" borderId="9" xfId="0" quotePrefix="1" applyFont="1" applyBorder="1" applyAlignment="1">
      <alignment horizontal="center" wrapText="1"/>
    </xf>
    <xf numFmtId="0" fontId="23" fillId="0" borderId="8" xfId="0" applyFont="1" applyBorder="1" applyAlignment="1">
      <alignment vertical="center"/>
    </xf>
    <xf numFmtId="43" fontId="23" fillId="0" borderId="9" xfId="3" applyFont="1" applyBorder="1"/>
    <xf numFmtId="0" fontId="23" fillId="0" borderId="8" xfId="0" applyFont="1" applyBorder="1"/>
    <xf numFmtId="43" fontId="23" fillId="0" borderId="10" xfId="3" applyFont="1" applyBorder="1"/>
    <xf numFmtId="0" fontId="22" fillId="0" borderId="8" xfId="0" applyFont="1" applyBorder="1"/>
    <xf numFmtId="0" fontId="23" fillId="0" borderId="8" xfId="0" applyFont="1" applyBorder="1" applyAlignment="1">
      <alignment horizontal="left" indent="1"/>
    </xf>
    <xf numFmtId="0" fontId="22" fillId="0" borderId="11" xfId="0" applyFont="1" applyBorder="1"/>
    <xf numFmtId="43" fontId="22" fillId="0" borderId="12" xfId="3" applyFont="1" applyBorder="1"/>
    <xf numFmtId="0" fontId="23" fillId="0" borderId="9" xfId="0" quotePrefix="1" applyFont="1" applyBorder="1" applyAlignment="1">
      <alignment horizontal="center" wrapText="1"/>
    </xf>
    <xf numFmtId="0" fontId="23" fillId="0" borderId="9" xfId="0" applyFont="1" applyBorder="1" applyAlignment="1">
      <alignment horizontal="center"/>
    </xf>
    <xf numFmtId="0" fontId="22" fillId="0" borderId="12" xfId="0" applyFont="1" applyBorder="1" applyAlignment="1">
      <alignment horizontal="center"/>
    </xf>
    <xf numFmtId="0" fontId="0" fillId="0" borderId="13" xfId="0" applyBorder="1"/>
    <xf numFmtId="6" fontId="4" fillId="0" borderId="0" xfId="3" applyNumberFormat="1" applyFont="1"/>
    <xf numFmtId="0" fontId="4" fillId="0" borderId="0" xfId="0" applyFont="1" applyAlignment="1">
      <alignment horizontal="left"/>
    </xf>
    <xf numFmtId="169" fontId="0" fillId="0" borderId="0" xfId="0" applyNumberFormat="1"/>
    <xf numFmtId="170" fontId="19" fillId="0" borderId="0" xfId="0" applyNumberFormat="1" applyFont="1"/>
    <xf numFmtId="6" fontId="4" fillId="0" borderId="0" xfId="0" applyNumberFormat="1" applyFont="1"/>
    <xf numFmtId="2" fontId="0" fillId="0" borderId="0" xfId="0" applyNumberFormat="1"/>
    <xf numFmtId="9" fontId="4" fillId="0" borderId="0" xfId="1" applyFont="1"/>
    <xf numFmtId="43" fontId="0" fillId="0" borderId="0" xfId="1" applyNumberFormat="1" applyFont="1"/>
    <xf numFmtId="6" fontId="0" fillId="0" borderId="0" xfId="0" quotePrefix="1" applyNumberFormat="1"/>
    <xf numFmtId="6" fontId="0" fillId="0" borderId="5" xfId="3" applyNumberFormat="1" applyFont="1" applyBorder="1"/>
    <xf numFmtId="9" fontId="0" fillId="0" borderId="0" xfId="3" applyNumberFormat="1" applyFont="1"/>
    <xf numFmtId="0" fontId="24" fillId="0" borderId="0" xfId="0" applyFont="1"/>
    <xf numFmtId="43" fontId="4" fillId="0" borderId="0" xfId="0" applyNumberFormat="1" applyFont="1"/>
    <xf numFmtId="17" fontId="25" fillId="0" borderId="0" xfId="0" applyNumberFormat="1" applyFont="1" applyAlignment="1">
      <alignment horizontal="center"/>
    </xf>
    <xf numFmtId="6" fontId="25" fillId="0" borderId="0" xfId="3" applyNumberFormat="1" applyFont="1"/>
    <xf numFmtId="164" fontId="4" fillId="0" borderId="0" xfId="3" applyNumberFormat="1" applyFont="1"/>
    <xf numFmtId="165" fontId="4" fillId="0" borderId="0" xfId="3" applyNumberFormat="1" applyFont="1"/>
    <xf numFmtId="0" fontId="4" fillId="0" borderId="0" xfId="0" quotePrefix="1" applyFont="1"/>
    <xf numFmtId="43" fontId="0" fillId="0" borderId="0" xfId="0" applyNumberFormat="1"/>
    <xf numFmtId="9" fontId="25" fillId="0" borderId="0" xfId="1" applyFont="1"/>
    <xf numFmtId="0" fontId="25" fillId="0" borderId="0" xfId="0" applyFont="1"/>
    <xf numFmtId="0" fontId="0" fillId="6" borderId="0" xfId="0" applyFill="1"/>
    <xf numFmtId="171" fontId="6" fillId="0" borderId="0" xfId="3" applyNumberFormat="1" applyFont="1"/>
    <xf numFmtId="0" fontId="26" fillId="0" borderId="0" xfId="0" applyFont="1" applyAlignment="1">
      <alignment horizontal="right"/>
    </xf>
    <xf numFmtId="165" fontId="26" fillId="0" borderId="0" xfId="3" applyNumberFormat="1" applyFont="1"/>
    <xf numFmtId="6" fontId="27" fillId="0" borderId="0" xfId="0" applyNumberFormat="1" applyFont="1"/>
    <xf numFmtId="164" fontId="26" fillId="0" borderId="0" xfId="3" applyNumberFormat="1" applyFont="1"/>
    <xf numFmtId="174" fontId="27" fillId="0" borderId="0" xfId="1" applyNumberFormat="1" applyFont="1" applyAlignment="1">
      <alignment horizontal="center"/>
    </xf>
    <xf numFmtId="0" fontId="26" fillId="0" borderId="0" xfId="0" applyFont="1"/>
    <xf numFmtId="165" fontId="26" fillId="0" borderId="0" xfId="0" applyNumberFormat="1" applyFont="1"/>
    <xf numFmtId="6" fontId="26" fillId="0" borderId="0" xfId="0" applyNumberFormat="1" applyFont="1"/>
    <xf numFmtId="6" fontId="28" fillId="0" borderId="1" xfId="0" applyNumberFormat="1" applyFont="1" applyBorder="1"/>
    <xf numFmtId="6" fontId="28" fillId="0" borderId="0" xfId="0" applyNumberFormat="1" applyFont="1"/>
    <xf numFmtId="164" fontId="26" fillId="0" borderId="0" xfId="1" applyNumberFormat="1" applyFont="1"/>
    <xf numFmtId="164" fontId="28" fillId="0" borderId="0" xfId="0" applyNumberFormat="1" applyFont="1" applyAlignment="1">
      <alignment horizontal="right"/>
    </xf>
    <xf numFmtId="164" fontId="26" fillId="0" borderId="0" xfId="0" applyNumberFormat="1" applyFont="1"/>
    <xf numFmtId="164" fontId="26" fillId="0" borderId="0" xfId="1" applyNumberFormat="1" applyFont="1" applyAlignment="1">
      <alignment horizontal="right"/>
    </xf>
    <xf numFmtId="10" fontId="26" fillId="0" borderId="0" xfId="1" applyNumberFormat="1" applyFont="1"/>
    <xf numFmtId="10" fontId="26" fillId="0" borderId="0" xfId="3" applyNumberFormat="1" applyFont="1"/>
    <xf numFmtId="0" fontId="2" fillId="0" borderId="0" xfId="0" applyFont="1" applyAlignment="1">
      <alignment horizontal="center"/>
    </xf>
    <xf numFmtId="0" fontId="13" fillId="0" borderId="0" xfId="0" applyFont="1"/>
    <xf numFmtId="0" fontId="20" fillId="0" borderId="0" xfId="0" applyFont="1"/>
    <xf numFmtId="0" fontId="1" fillId="0" borderId="0" xfId="0" applyFont="1"/>
    <xf numFmtId="6" fontId="8" fillId="6" borderId="0" xfId="0" applyNumberFormat="1" applyFont="1" applyFill="1"/>
    <xf numFmtId="8" fontId="8" fillId="0" borderId="0" xfId="0" applyNumberFormat="1" applyFont="1"/>
    <xf numFmtId="165" fontId="4" fillId="0" borderId="0" xfId="0" applyNumberFormat="1" applyFont="1"/>
    <xf numFmtId="164" fontId="8" fillId="0" borderId="0" xfId="3" applyNumberFormat="1" applyFont="1"/>
    <xf numFmtId="0" fontId="29" fillId="0" borderId="0" xfId="0" applyFont="1"/>
    <xf numFmtId="8" fontId="4" fillId="0" borderId="0" xfId="0" applyNumberFormat="1" applyFont="1"/>
    <xf numFmtId="0" fontId="22" fillId="0" borderId="9" xfId="0" applyFont="1" applyBorder="1" applyAlignment="1">
      <alignment horizontal="center" wrapText="1"/>
    </xf>
    <xf numFmtId="169" fontId="8" fillId="6" borderId="0" xfId="0" applyNumberFormat="1" applyFont="1" applyFill="1"/>
    <xf numFmtId="170" fontId="0" fillId="0" borderId="0" xfId="0" applyNumberFormat="1"/>
    <xf numFmtId="16" fontId="0" fillId="0" borderId="0" xfId="0" applyNumberFormat="1"/>
    <xf numFmtId="0" fontId="23" fillId="0" borderId="9" xfId="0" applyFont="1" applyBorder="1" applyAlignment="1">
      <alignment horizontal="center" wrapText="1"/>
    </xf>
    <xf numFmtId="43" fontId="23" fillId="0" borderId="14" xfId="3" applyFont="1" applyBorder="1"/>
    <xf numFmtId="0" fontId="23" fillId="0" borderId="15" xfId="0" applyFont="1" applyBorder="1" applyAlignment="1">
      <alignment vertical="center"/>
    </xf>
    <xf numFmtId="0" fontId="23" fillId="0" borderId="16" xfId="0" applyFont="1" applyBorder="1" applyAlignment="1">
      <alignment horizontal="center" wrapText="1"/>
    </xf>
    <xf numFmtId="43" fontId="23" fillId="0" borderId="16" xfId="3" applyFont="1" applyBorder="1"/>
    <xf numFmtId="0" fontId="23" fillId="0" borderId="16" xfId="0" quotePrefix="1" applyFont="1" applyBorder="1" applyAlignment="1">
      <alignment horizontal="center" wrapText="1"/>
    </xf>
    <xf numFmtId="0" fontId="23" fillId="0" borderId="16" xfId="0" applyFont="1" applyBorder="1" applyAlignment="1">
      <alignment horizontal="center"/>
    </xf>
    <xf numFmtId="9" fontId="0" fillId="6" borderId="0" xfId="1" applyFont="1" applyFill="1"/>
    <xf numFmtId="0" fontId="4" fillId="6" borderId="0" xfId="0" applyFont="1" applyFill="1"/>
    <xf numFmtId="6" fontId="0" fillId="6" borderId="0" xfId="0" applyNumberFormat="1" applyFill="1"/>
    <xf numFmtId="6" fontId="0" fillId="6" borderId="0" xfId="3" applyNumberFormat="1" applyFont="1" applyFill="1"/>
    <xf numFmtId="6" fontId="1" fillId="6" borderId="0" xfId="3" applyNumberFormat="1" applyFont="1" applyFill="1"/>
    <xf numFmtId="172" fontId="0" fillId="6" borderId="0" xfId="1" applyNumberFormat="1" applyFont="1" applyFill="1"/>
    <xf numFmtId="6" fontId="4" fillId="6" borderId="0" xfId="0" applyNumberFormat="1" applyFont="1" applyFill="1"/>
    <xf numFmtId="10" fontId="0" fillId="6" borderId="0" xfId="0" applyNumberFormat="1" applyFill="1"/>
    <xf numFmtId="14" fontId="0" fillId="0" borderId="0" xfId="0" applyNumberFormat="1"/>
    <xf numFmtId="0" fontId="18" fillId="6" borderId="0" xfId="0" applyFont="1" applyFill="1"/>
    <xf numFmtId="9" fontId="8" fillId="0" borderId="0" xfId="1" applyFont="1"/>
    <xf numFmtId="175" fontId="0" fillId="0" borderId="0" xfId="0" applyNumberFormat="1"/>
    <xf numFmtId="175" fontId="0" fillId="0" borderId="0" xfId="3" applyNumberFormat="1" applyFont="1"/>
    <xf numFmtId="175" fontId="4" fillId="0" borderId="0" xfId="3" applyNumberFormat="1" applyFont="1"/>
    <xf numFmtId="175" fontId="1" fillId="0" borderId="0" xfId="0" applyNumberFormat="1" applyFont="1" applyAlignment="1">
      <alignment horizontal="center"/>
    </xf>
    <xf numFmtId="10" fontId="0" fillId="0" borderId="0" xfId="1" applyNumberFormat="1" applyFont="1"/>
    <xf numFmtId="0" fontId="31" fillId="0" borderId="0" xfId="0" applyFont="1"/>
    <xf numFmtId="0" fontId="32" fillId="0" borderId="0" xfId="0" applyFont="1"/>
    <xf numFmtId="5" fontId="31" fillId="0" borderId="0" xfId="0" applyNumberFormat="1" applyFont="1"/>
    <xf numFmtId="0" fontId="31" fillId="0" borderId="0" xfId="0" applyFont="1" applyAlignment="1">
      <alignment horizontal="right"/>
    </xf>
    <xf numFmtId="5" fontId="32" fillId="0" borderId="0" xfId="0" applyNumberFormat="1" applyFont="1"/>
    <xf numFmtId="5" fontId="33" fillId="0" borderId="17" xfId="3" applyNumberFormat="1" applyFont="1" applyBorder="1"/>
    <xf numFmtId="5" fontId="33" fillId="0" borderId="18" xfId="0" applyNumberFormat="1" applyFont="1" applyBorder="1" applyAlignment="1">
      <alignment horizontal="center"/>
    </xf>
    <xf numFmtId="0" fontId="33" fillId="0" borderId="11" xfId="0" applyFont="1" applyBorder="1"/>
    <xf numFmtId="5" fontId="33" fillId="0" borderId="18" xfId="0" applyNumberFormat="1" applyFont="1" applyBorder="1" applyAlignment="1">
      <alignment horizontal="right"/>
    </xf>
    <xf numFmtId="0" fontId="34" fillId="0" borderId="0" xfId="0" applyFont="1"/>
    <xf numFmtId="5" fontId="35" fillId="0" borderId="13" xfId="3" applyNumberFormat="1" applyFont="1" applyBorder="1"/>
    <xf numFmtId="5" fontId="35" fillId="0" borderId="0" xfId="0" applyNumberFormat="1" applyFont="1" applyAlignment="1">
      <alignment horizontal="center"/>
    </xf>
    <xf numFmtId="0" fontId="35" fillId="0" borderId="8" xfId="0" applyFont="1" applyBorder="1" applyAlignment="1">
      <alignment vertical="center"/>
    </xf>
    <xf numFmtId="0" fontId="36" fillId="0" borderId="0" xfId="0" applyFont="1"/>
    <xf numFmtId="5" fontId="35" fillId="0" borderId="0" xfId="0" applyNumberFormat="1" applyFont="1" applyAlignment="1">
      <alignment horizontal="right"/>
    </xf>
    <xf numFmtId="5" fontId="36" fillId="0" borderId="0" xfId="0" applyNumberFormat="1" applyFont="1"/>
    <xf numFmtId="5" fontId="33" fillId="0" borderId="19" xfId="3" applyNumberFormat="1" applyFont="1" applyBorder="1"/>
    <xf numFmtId="5" fontId="33" fillId="0" borderId="0" xfId="0" applyNumberFormat="1" applyFont="1" applyAlignment="1">
      <alignment horizontal="center"/>
    </xf>
    <xf numFmtId="0" fontId="33" fillId="0" borderId="8" xfId="0" applyFont="1" applyBorder="1" applyAlignment="1">
      <alignment vertical="center"/>
    </xf>
    <xf numFmtId="5" fontId="33" fillId="0" borderId="0" xfId="0" applyNumberFormat="1" applyFont="1" applyAlignment="1">
      <alignment horizontal="right"/>
    </xf>
    <xf numFmtId="5" fontId="35" fillId="0" borderId="0" xfId="0" quotePrefix="1" applyNumberFormat="1" applyFont="1" applyAlignment="1">
      <alignment horizontal="center" wrapText="1"/>
    </xf>
    <xf numFmtId="5" fontId="35" fillId="0" borderId="0" xfId="0" quotePrefix="1" applyNumberFormat="1" applyFont="1" applyAlignment="1">
      <alignment horizontal="right" wrapText="1"/>
    </xf>
    <xf numFmtId="0" fontId="35" fillId="0" borderId="8" xfId="0" applyFont="1" applyBorder="1" applyAlignment="1">
      <alignment horizontal="left" vertical="center"/>
    </xf>
    <xf numFmtId="0" fontId="35" fillId="0" borderId="8" xfId="0" applyFont="1" applyBorder="1"/>
    <xf numFmtId="5" fontId="35" fillId="0" borderId="13" xfId="0" quotePrefix="1" applyNumberFormat="1" applyFont="1" applyBorder="1" applyAlignment="1">
      <alignment horizontal="right" wrapText="1"/>
    </xf>
    <xf numFmtId="5" fontId="35" fillId="0" borderId="13" xfId="0" quotePrefix="1" applyNumberFormat="1" applyFont="1" applyBorder="1" applyAlignment="1">
      <alignment horizontal="center" wrapText="1"/>
    </xf>
    <xf numFmtId="0" fontId="37" fillId="0" borderId="8" xfId="0" applyFont="1" applyBorder="1" applyAlignment="1">
      <alignment vertical="center"/>
    </xf>
    <xf numFmtId="0" fontId="35" fillId="0" borderId="13" xfId="0" quotePrefix="1" applyFont="1" applyBorder="1" applyAlignment="1">
      <alignment horizontal="center" wrapText="1"/>
    </xf>
    <xf numFmtId="0" fontId="35" fillId="0" borderId="0" xfId="0" quotePrefix="1" applyFont="1" applyAlignment="1">
      <alignment horizontal="center" wrapText="1"/>
    </xf>
    <xf numFmtId="0" fontId="35" fillId="0" borderId="20" xfId="0" applyFont="1" applyBorder="1" applyAlignment="1">
      <alignment horizontal="center" wrapText="1"/>
    </xf>
    <xf numFmtId="0" fontId="35" fillId="0" borderId="21" xfId="0" quotePrefix="1" applyFont="1" applyBorder="1" applyAlignment="1">
      <alignment horizontal="center" wrapText="1"/>
    </xf>
    <xf numFmtId="0" fontId="37" fillId="0" borderId="6" xfId="0" applyFont="1" applyBorder="1" applyAlignment="1">
      <alignment vertical="center"/>
    </xf>
    <xf numFmtId="0" fontId="35" fillId="0" borderId="20" xfId="0" quotePrefix="1" applyFont="1" applyBorder="1" applyAlignment="1">
      <alignment horizontal="center" wrapText="1"/>
    </xf>
    <xf numFmtId="0" fontId="33" fillId="0" borderId="18" xfId="0" applyFont="1" applyBorder="1" applyAlignment="1">
      <alignment horizontal="center"/>
    </xf>
    <xf numFmtId="43" fontId="33" fillId="0" borderId="17" xfId="3" applyFont="1" applyBorder="1"/>
    <xf numFmtId="0" fontId="35" fillId="0" borderId="0" xfId="0" applyFont="1" applyAlignment="1">
      <alignment horizontal="right"/>
    </xf>
    <xf numFmtId="43" fontId="35" fillId="0" borderId="13" xfId="3" applyFont="1" applyBorder="1"/>
    <xf numFmtId="0" fontId="35" fillId="0" borderId="8" xfId="0" applyFont="1" applyBorder="1" applyAlignment="1">
      <alignment horizontal="left" indent="1"/>
    </xf>
    <xf numFmtId="9" fontId="35" fillId="0" borderId="8" xfId="0" applyNumberFormat="1" applyFont="1" applyBorder="1" applyAlignment="1">
      <alignment horizontal="left" vertical="center"/>
    </xf>
    <xf numFmtId="176" fontId="35" fillId="0" borderId="0" xfId="0" quotePrefix="1" applyNumberFormat="1" applyFont="1" applyAlignment="1">
      <alignment horizontal="center" wrapText="1"/>
    </xf>
    <xf numFmtId="44" fontId="0" fillId="0" borderId="0" xfId="2" applyFont="1"/>
    <xf numFmtId="44" fontId="0" fillId="0" borderId="0" xfId="0" applyNumberFormat="1"/>
    <xf numFmtId="6" fontId="4" fillId="0" borderId="0" xfId="0" applyNumberFormat="1" applyFont="1" applyAlignment="1">
      <alignment horizontal="right"/>
    </xf>
    <xf numFmtId="6" fontId="4" fillId="0" borderId="0" xfId="0" applyNumberFormat="1" applyFont="1" applyAlignment="1">
      <alignment horizontal="left"/>
    </xf>
    <xf numFmtId="6" fontId="0" fillId="0" borderId="0" xfId="1" applyNumberFormat="1" applyFont="1" applyFill="1"/>
    <xf numFmtId="177" fontId="0" fillId="0" borderId="0" xfId="3" applyNumberFormat="1" applyFont="1"/>
    <xf numFmtId="9" fontId="24" fillId="0" borderId="0" xfId="1" applyFont="1"/>
    <xf numFmtId="178" fontId="8" fillId="0" borderId="0" xfId="0" applyNumberFormat="1" applyFont="1"/>
    <xf numFmtId="178" fontId="0" fillId="0" borderId="0" xfId="1" applyNumberFormat="1" applyFont="1"/>
    <xf numFmtId="178" fontId="8" fillId="0" borderId="0" xfId="3" applyNumberFormat="1" applyFont="1"/>
    <xf numFmtId="179" fontId="0" fillId="0" borderId="0" xfId="3" applyNumberFormat="1" applyFont="1"/>
    <xf numFmtId="179" fontId="0" fillId="0" borderId="0" xfId="0" applyNumberFormat="1"/>
    <xf numFmtId="174" fontId="4" fillId="0" borderId="0" xfId="1" applyNumberFormat="1" applyFont="1"/>
    <xf numFmtId="0" fontId="23" fillId="0" borderId="6" xfId="0" applyFont="1" applyBorder="1"/>
    <xf numFmtId="0" fontId="0" fillId="0" borderId="21" xfId="0" applyBorder="1"/>
    <xf numFmtId="6" fontId="0" fillId="0" borderId="21" xfId="1" applyNumberFormat="1" applyFont="1" applyBorder="1"/>
    <xf numFmtId="6" fontId="0" fillId="0" borderId="21" xfId="0" applyNumberFormat="1" applyBorder="1"/>
    <xf numFmtId="6" fontId="0" fillId="0" borderId="0" xfId="1" applyNumberFormat="1" applyFont="1" applyBorder="1"/>
    <xf numFmtId="0" fontId="0" fillId="0" borderId="11" xfId="0" applyBorder="1"/>
    <xf numFmtId="0" fontId="0" fillId="0" borderId="18" xfId="0" applyBorder="1"/>
    <xf numFmtId="6" fontId="0" fillId="0" borderId="18" xfId="0" applyNumberFormat="1" applyBorder="1"/>
    <xf numFmtId="6" fontId="0" fillId="0" borderId="7" xfId="0" applyNumberFormat="1" applyBorder="1"/>
    <xf numFmtId="6" fontId="0" fillId="0" borderId="9" xfId="0" applyNumberFormat="1" applyBorder="1"/>
    <xf numFmtId="6" fontId="0" fillId="0" borderId="12" xfId="0" applyNumberFormat="1" applyBorder="1"/>
    <xf numFmtId="0" fontId="4" fillId="0" borderId="21" xfId="0" applyFont="1" applyBorder="1"/>
    <xf numFmtId="6" fontId="23" fillId="0" borderId="21" xfId="0" applyNumberFormat="1" applyFont="1" applyBorder="1"/>
    <xf numFmtId="6" fontId="23" fillId="0" borderId="7" xfId="0" applyNumberFormat="1" applyFont="1" applyBorder="1"/>
    <xf numFmtId="6" fontId="23" fillId="0" borderId="0" xfId="0" applyNumberFormat="1" applyFont="1"/>
    <xf numFmtId="6" fontId="23" fillId="0" borderId="9" xfId="0" applyNumberFormat="1" applyFont="1" applyBorder="1"/>
    <xf numFmtId="0" fontId="4" fillId="0" borderId="11" xfId="0" applyFont="1" applyBorder="1"/>
    <xf numFmtId="6" fontId="4" fillId="0" borderId="18" xfId="0" applyNumberFormat="1" applyFont="1" applyBorder="1" applyAlignment="1">
      <alignment horizontal="right"/>
    </xf>
    <xf numFmtId="0" fontId="4" fillId="0" borderId="18" xfId="0" applyFont="1" applyBorder="1"/>
    <xf numFmtId="6" fontId="4" fillId="0" borderId="18" xfId="3" applyNumberFormat="1" applyFont="1" applyBorder="1"/>
    <xf numFmtId="6" fontId="23" fillId="0" borderId="12" xfId="0" applyNumberFormat="1" applyFont="1" applyBorder="1"/>
    <xf numFmtId="6" fontId="0" fillId="0" borderId="7" xfId="3" applyNumberFormat="1" applyFont="1" applyBorder="1"/>
    <xf numFmtId="6" fontId="0" fillId="0" borderId="9" xfId="3" applyNumberFormat="1" applyFont="1" applyBorder="1"/>
    <xf numFmtId="6" fontId="0" fillId="0" borderId="12" xfId="1" applyNumberFormat="1" applyFont="1" applyBorder="1"/>
    <xf numFmtId="6" fontId="0" fillId="0" borderId="21" xfId="3" applyNumberFormat="1" applyFont="1" applyBorder="1"/>
    <xf numFmtId="6" fontId="0" fillId="0" borderId="0" xfId="3" applyNumberFormat="1" applyFont="1" applyBorder="1"/>
    <xf numFmtId="170" fontId="0" fillId="0" borderId="0" xfId="1" applyNumberFormat="1" applyFont="1"/>
    <xf numFmtId="9" fontId="0" fillId="0" borderId="0" xfId="1" applyFont="1" applyFill="1"/>
    <xf numFmtId="164" fontId="8" fillId="0" borderId="0" xfId="3" applyNumberFormat="1" applyFont="1" applyFill="1"/>
    <xf numFmtId="170" fontId="30" fillId="0" borderId="0" xfId="0" applyNumberFormat="1" applyFont="1"/>
    <xf numFmtId="6" fontId="20" fillId="0" borderId="0" xfId="0" applyNumberFormat="1" applyFont="1"/>
    <xf numFmtId="2" fontId="20" fillId="0" borderId="0" xfId="0" applyNumberFormat="1" applyFont="1"/>
    <xf numFmtId="164" fontId="20" fillId="0" borderId="0" xfId="0" applyNumberFormat="1" applyFont="1"/>
    <xf numFmtId="6" fontId="20" fillId="0" borderId="0" xfId="3" applyNumberFormat="1" applyFont="1"/>
    <xf numFmtId="0" fontId="23" fillId="0" borderId="0" xfId="0" applyFont="1"/>
    <xf numFmtId="180" fontId="0" fillId="0" borderId="0" xfId="0" applyNumberFormat="1"/>
    <xf numFmtId="164" fontId="0" fillId="0" borderId="0" xfId="1" applyNumberFormat="1" applyFont="1"/>
    <xf numFmtId="43" fontId="0" fillId="6" borderId="0" xfId="3" applyFont="1" applyFill="1"/>
    <xf numFmtId="0" fontId="1" fillId="0" borderId="22" xfId="0" applyFont="1" applyBorder="1" applyAlignment="1">
      <alignment horizontal="center" vertical="top"/>
    </xf>
    <xf numFmtId="0" fontId="40" fillId="0" borderId="0" xfId="0" applyFont="1" applyAlignment="1">
      <alignment wrapText="1"/>
    </xf>
    <xf numFmtId="0" fontId="41" fillId="0" borderId="0" xfId="0" applyFont="1" applyAlignment="1">
      <alignment wrapText="1"/>
    </xf>
    <xf numFmtId="0" fontId="42" fillId="0" borderId="0" xfId="0" applyFont="1" applyAlignment="1">
      <alignment wrapText="1"/>
    </xf>
    <xf numFmtId="0" fontId="43" fillId="0" borderId="0" xfId="0" applyFont="1" applyAlignment="1">
      <alignment wrapText="1"/>
    </xf>
    <xf numFmtId="0" fontId="0" fillId="0" borderId="0" xfId="0" applyAlignment="1">
      <alignment vertical="top" wrapText="1"/>
    </xf>
    <xf numFmtId="0" fontId="0" fillId="0" borderId="21" xfId="0" applyBorder="1" applyAlignment="1">
      <alignment vertical="top" wrapText="1"/>
    </xf>
    <xf numFmtId="0" fontId="1" fillId="0" borderId="0" xfId="0" applyFont="1" applyAlignment="1">
      <alignment vertical="top" wrapText="1"/>
    </xf>
    <xf numFmtId="0" fontId="0" fillId="0" borderId="18" xfId="0" applyBorder="1" applyAlignment="1">
      <alignment vertical="top" wrapText="1"/>
    </xf>
    <xf numFmtId="0" fontId="0" fillId="0" borderId="0" xfId="0" applyAlignment="1">
      <alignment horizontal="left" vertical="top" wrapText="1"/>
    </xf>
    <xf numFmtId="0" fontId="1" fillId="6" borderId="6" xfId="0" applyFont="1" applyFill="1" applyBorder="1" applyAlignment="1">
      <alignment vertical="top" wrapText="1"/>
    </xf>
    <xf numFmtId="0" fontId="0" fillId="0" borderId="7" xfId="0"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8" xfId="0" applyBorder="1" applyAlignment="1">
      <alignment horizontal="left" vertical="top" wrapText="1"/>
    </xf>
    <xf numFmtId="0" fontId="1" fillId="10" borderId="6" xfId="0" applyFont="1" applyFill="1" applyBorder="1" applyAlignment="1">
      <alignment vertical="top" wrapText="1"/>
    </xf>
    <xf numFmtId="0" fontId="1" fillId="11" borderId="6" xfId="0" applyFont="1" applyFill="1" applyBorder="1" applyAlignment="1">
      <alignment vertical="top" wrapText="1"/>
    </xf>
    <xf numFmtId="0" fontId="18" fillId="0" borderId="18" xfId="0" applyFont="1" applyBorder="1"/>
    <xf numFmtId="0" fontId="1" fillId="12" borderId="6" xfId="0" applyFont="1" applyFill="1" applyBorder="1" applyAlignment="1">
      <alignment vertical="top" wrapText="1"/>
    </xf>
    <xf numFmtId="0" fontId="1" fillId="13" borderId="6" xfId="0" applyFont="1" applyFill="1" applyBorder="1" applyAlignment="1">
      <alignment vertical="top" wrapText="1"/>
    </xf>
    <xf numFmtId="6" fontId="0" fillId="0" borderId="18" xfId="0" applyNumberFormat="1" applyBorder="1" applyAlignment="1">
      <alignment vertical="top"/>
    </xf>
    <xf numFmtId="0" fontId="0" fillId="14" borderId="0" xfId="0" applyFill="1" applyAlignment="1">
      <alignment vertical="top" wrapText="1"/>
    </xf>
    <xf numFmtId="0" fontId="1" fillId="15" borderId="6" xfId="0" applyFont="1" applyFill="1" applyBorder="1" applyAlignment="1">
      <alignment vertical="top" wrapText="1"/>
    </xf>
    <xf numFmtId="164" fontId="29" fillId="0" borderId="0" xfId="0" applyNumberFormat="1" applyFont="1"/>
    <xf numFmtId="6" fontId="0" fillId="0" borderId="0" xfId="0" applyNumberFormat="1" applyAlignment="1">
      <alignment vertical="top"/>
    </xf>
    <xf numFmtId="0" fontId="1" fillId="16" borderId="6" xfId="0" applyFont="1" applyFill="1" applyBorder="1" applyAlignment="1">
      <alignment vertical="top" wrapText="1"/>
    </xf>
    <xf numFmtId="0" fontId="1" fillId="9" borderId="6" xfId="0" applyFont="1" applyFill="1" applyBorder="1" applyAlignment="1">
      <alignment vertical="top" wrapText="1"/>
    </xf>
    <xf numFmtId="0" fontId="1" fillId="17" borderId="6" xfId="0" applyFont="1" applyFill="1" applyBorder="1" applyAlignment="1">
      <alignment vertical="top" wrapText="1"/>
    </xf>
    <xf numFmtId="9" fontId="1" fillId="5" borderId="0" xfId="1" applyFont="1" applyFill="1" applyAlignment="1">
      <alignment horizontal="center" wrapText="1"/>
    </xf>
    <xf numFmtId="0" fontId="18" fillId="0" borderId="0" xfId="0" applyFont="1"/>
  </cellXfs>
  <cellStyles count="6">
    <cellStyle name="Comma" xfId="3" builtinId="3"/>
    <cellStyle name="Currency" xfId="2" builtinId="4"/>
    <cellStyle name="Normal" xfId="0" builtinId="0"/>
    <cellStyle name="Normal 2" xfId="4" xr:uid="{2ECC9148-0107-49DB-AD38-385429FE3B4E}"/>
    <cellStyle name="Normal 3" xfId="5" xr:uid="{1BAF3FE3-F6B7-434E-B327-18A36C648D6C}"/>
    <cellStyle name="Percent" xfId="1" builtinId="5"/>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xml"/><Relationship Id="rId47" Type="http://schemas.openxmlformats.org/officeDocument/2006/relationships/externalLink" Target="externalLinks/externalLink6.xml"/><Relationship Id="rId63" Type="http://schemas.openxmlformats.org/officeDocument/2006/relationships/styles" Target="styles.xml"/><Relationship Id="rId68"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3" Type="http://schemas.openxmlformats.org/officeDocument/2006/relationships/externalLink" Target="externalLinks/externalLink12.xml"/><Relationship Id="rId58" Type="http://schemas.openxmlformats.org/officeDocument/2006/relationships/externalLink" Target="externalLinks/externalLink17.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externalLink" Target="externalLinks/externalLink7.xml"/><Relationship Id="rId56" Type="http://schemas.openxmlformats.org/officeDocument/2006/relationships/externalLink" Target="externalLinks/externalLink15.xml"/><Relationship Id="rId64" Type="http://schemas.openxmlformats.org/officeDocument/2006/relationships/sharedStrings" Target="sharedStrings.xml"/><Relationship Id="rId69"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externalLink" Target="externalLinks/externalLink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5.xml"/><Relationship Id="rId59" Type="http://schemas.openxmlformats.org/officeDocument/2006/relationships/externalLink" Target="externalLinks/externalLink18.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3.xml"/><Relationship Id="rId62" Type="http://schemas.openxmlformats.org/officeDocument/2006/relationships/connections" Target="connections.xml"/><Relationship Id="rId7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8.xml"/><Relationship Id="rId57" Type="http://schemas.openxmlformats.org/officeDocument/2006/relationships/externalLink" Target="externalLinks/externalLink1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externalLink" Target="externalLinks/externalLink11.xml"/><Relationship Id="rId60" Type="http://schemas.openxmlformats.org/officeDocument/2006/relationships/externalLink" Target="externalLinks/externalLink19.xml"/><Relationship Id="rId65"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9.xml"/><Relationship Id="rId55" Type="http://schemas.openxmlformats.org/officeDocument/2006/relationships/externalLink" Target="externalLinks/externalLink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Total Toyota Gross Profits-2025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NV</c:v>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'Overall - Toyota'!$Y$1:$AJ$1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'Overall - Toyota'!$Y$4:$AJ$4</c:f>
              <c:numCache>
                <c:formatCode>#,##0;\(#,##0\)</c:formatCode>
                <c:ptCount val="12"/>
                <c:pt idx="0">
                  <c:v>243276.93888888889</c:v>
                </c:pt>
                <c:pt idx="1">
                  <c:v>243276.93888888889</c:v>
                </c:pt>
                <c:pt idx="2">
                  <c:v>290808.18888888886</c:v>
                </c:pt>
                <c:pt idx="3">
                  <c:v>237126.93888888889</c:v>
                </c:pt>
                <c:pt idx="4">
                  <c:v>237126.93888888889</c:v>
                </c:pt>
                <c:pt idx="5">
                  <c:v>283439.43888888886</c:v>
                </c:pt>
                <c:pt idx="6">
                  <c:v>243276.93888888889</c:v>
                </c:pt>
                <c:pt idx="7">
                  <c:v>235076.93888888889</c:v>
                </c:pt>
                <c:pt idx="8">
                  <c:v>258876.93888888889</c:v>
                </c:pt>
                <c:pt idx="9">
                  <c:v>216626.93888888889</c:v>
                </c:pt>
                <c:pt idx="10">
                  <c:v>216626.93888888889</c:v>
                </c:pt>
                <c:pt idx="11">
                  <c:v>303089.43888888886</c:v>
                </c:pt>
              </c:numCache>
            </c:numRef>
          </c:val>
          <c:smooth val="0"/>
          <c:extLst>
            <c:ext xmlns:c16="http://schemas.microsoft.com/office/drawing/2014/chart" uri="{C3380CC4-5D6E-409C-BE32-E72D297353CC}">
              <c16:uniqueId val="{00000000-DF83-480A-99BC-079B64106B7B}"/>
            </c:ext>
          </c:extLst>
        </c:ser>
        <c:ser>
          <c:idx val="1"/>
          <c:order val="1"/>
          <c:tx>
            <c:v>UV</c:v>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'Overall - Toyota'!$Y$1:$AJ$1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'Overall - Toyota'!$Y$5:$AJ$5</c:f>
              <c:numCache>
                <c:formatCode>#,##0;\(#,##0\)</c:formatCode>
                <c:ptCount val="12"/>
                <c:pt idx="0">
                  <c:v>240792.00000000003</c:v>
                </c:pt>
                <c:pt idx="1">
                  <c:v>282133.66666666663</c:v>
                </c:pt>
                <c:pt idx="2">
                  <c:v>420394.0833333332</c:v>
                </c:pt>
                <c:pt idx="3">
                  <c:v>311892</c:v>
                </c:pt>
                <c:pt idx="4">
                  <c:v>323142</c:v>
                </c:pt>
                <c:pt idx="5">
                  <c:v>430579.5</c:v>
                </c:pt>
                <c:pt idx="6">
                  <c:v>311892</c:v>
                </c:pt>
                <c:pt idx="7">
                  <c:v>381892</c:v>
                </c:pt>
                <c:pt idx="8">
                  <c:v>392079.5</c:v>
                </c:pt>
                <c:pt idx="9">
                  <c:v>286892</c:v>
                </c:pt>
                <c:pt idx="10">
                  <c:v>286892</c:v>
                </c:pt>
                <c:pt idx="11">
                  <c:v>424704.50000000006</c:v>
                </c:pt>
              </c:numCache>
            </c:numRef>
          </c:val>
          <c:smooth val="0"/>
          <c:extLst>
            <c:ext xmlns:c16="http://schemas.microsoft.com/office/drawing/2014/chart" uri="{C3380CC4-5D6E-409C-BE32-E72D297353CC}">
              <c16:uniqueId val="{00000001-DF83-480A-99BC-079B64106B7B}"/>
            </c:ext>
          </c:extLst>
        </c:ser>
        <c:ser>
          <c:idx val="2"/>
          <c:order val="2"/>
          <c:tx>
            <c:v>F&amp;I</c:v>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'Overall - Toyota'!$Y$1:$AJ$1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'Overall - Toyota'!$Y$6:$AJ$6</c:f>
              <c:numCache>
                <c:formatCode>#,##0;\(#,##0\)</c:formatCode>
                <c:ptCount val="12"/>
                <c:pt idx="0">
                  <c:v>153321.42982724719</c:v>
                </c:pt>
                <c:pt idx="1">
                  <c:v>162417.13610252808</c:v>
                </c:pt>
                <c:pt idx="2">
                  <c:v>258046.12642275283</c:v>
                </c:pt>
                <c:pt idx="3">
                  <c:v>163015.11189438205</c:v>
                </c:pt>
                <c:pt idx="4">
                  <c:v>165752.72279325844</c:v>
                </c:pt>
                <c:pt idx="5">
                  <c:v>253990.33369213482</c:v>
                </c:pt>
                <c:pt idx="6">
                  <c:v>164822.38779438203</c:v>
                </c:pt>
                <c:pt idx="7">
                  <c:v>179387.38318988762</c:v>
                </c:pt>
                <c:pt idx="8">
                  <c:v>237219.04848707866</c:v>
                </c:pt>
                <c:pt idx="9">
                  <c:v>150981.43758820224</c:v>
                </c:pt>
                <c:pt idx="10">
                  <c:v>150981.43758820224</c:v>
                </c:pt>
                <c:pt idx="11">
                  <c:v>255290.36827752812</c:v>
                </c:pt>
              </c:numCache>
            </c:numRef>
          </c:val>
          <c:smooth val="0"/>
          <c:extLst>
            <c:ext xmlns:c16="http://schemas.microsoft.com/office/drawing/2014/chart" uri="{C3380CC4-5D6E-409C-BE32-E72D297353CC}">
              <c16:uniqueId val="{00000002-DF83-480A-99BC-079B64106B7B}"/>
            </c:ext>
          </c:extLst>
        </c:ser>
        <c:ser>
          <c:idx val="3"/>
          <c:order val="3"/>
          <c:tx>
            <c:v>Parts</c:v>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'Overall - Toyota'!$Y$1:$AJ$1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'Overall - Toyota'!$Y$7:$AJ$7</c:f>
              <c:numCache>
                <c:formatCode>#,##0;\(#,##0\)</c:formatCode>
                <c:ptCount val="12"/>
                <c:pt idx="0">
                  <c:v>251248.42354300572</c:v>
                </c:pt>
                <c:pt idx="1">
                  <c:v>285509.572207961</c:v>
                </c:pt>
                <c:pt idx="2">
                  <c:v>343805.34921052807</c:v>
                </c:pt>
                <c:pt idx="3">
                  <c:v>285509.572207961</c:v>
                </c:pt>
                <c:pt idx="4">
                  <c:v>279799.3807638018</c:v>
                </c:pt>
                <c:pt idx="5">
                  <c:v>369543.80643132416</c:v>
                </c:pt>
                <c:pt idx="6">
                  <c:v>274089.18931964261</c:v>
                </c:pt>
                <c:pt idx="7">
                  <c:v>268378.99787548342</c:v>
                </c:pt>
                <c:pt idx="8">
                  <c:v>355623.42354300572</c:v>
                </c:pt>
                <c:pt idx="9">
                  <c:v>251248.42354300572</c:v>
                </c:pt>
                <c:pt idx="10">
                  <c:v>239828.04065468727</c:v>
                </c:pt>
                <c:pt idx="11">
                  <c:v>371503.99787548342</c:v>
                </c:pt>
              </c:numCache>
            </c:numRef>
          </c:val>
          <c:smooth val="0"/>
          <c:extLst>
            <c:ext xmlns:c16="http://schemas.microsoft.com/office/drawing/2014/chart" uri="{C3380CC4-5D6E-409C-BE32-E72D297353CC}">
              <c16:uniqueId val="{00000003-DF83-480A-99BC-079B64106B7B}"/>
            </c:ext>
          </c:extLst>
        </c:ser>
        <c:ser>
          <c:idx val="4"/>
          <c:order val="4"/>
          <c:tx>
            <c:v>Service</c:v>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'Overall - Toyota'!$Y$1:$AJ$1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'Overall - Toyota'!$Y$8:$AJ$8</c:f>
              <c:numCache>
                <c:formatCode>#,##0;\(#,##0\)</c:formatCode>
                <c:ptCount val="12"/>
                <c:pt idx="0">
                  <c:v>512300.08568302717</c:v>
                </c:pt>
                <c:pt idx="1">
                  <c:v>582159.18827616703</c:v>
                </c:pt>
                <c:pt idx="2">
                  <c:v>477370.534386457</c:v>
                </c:pt>
                <c:pt idx="3">
                  <c:v>582159.18827616703</c:v>
                </c:pt>
                <c:pt idx="4">
                  <c:v>570516.00451064389</c:v>
                </c:pt>
                <c:pt idx="5">
                  <c:v>535586.45321407379</c:v>
                </c:pt>
                <c:pt idx="6">
                  <c:v>558872.82074512041</c:v>
                </c:pt>
                <c:pt idx="7">
                  <c:v>547229.63697959716</c:v>
                </c:pt>
                <c:pt idx="8">
                  <c:v>512300.08568302717</c:v>
                </c:pt>
                <c:pt idx="9">
                  <c:v>512300.08568302717</c:v>
                </c:pt>
                <c:pt idx="10">
                  <c:v>489013.71815198037</c:v>
                </c:pt>
                <c:pt idx="11">
                  <c:v>547229.63697959716</c:v>
                </c:pt>
              </c:numCache>
            </c:numRef>
          </c:val>
          <c:smooth val="0"/>
          <c:extLst>
            <c:ext xmlns:c16="http://schemas.microsoft.com/office/drawing/2014/chart" uri="{C3380CC4-5D6E-409C-BE32-E72D297353CC}">
              <c16:uniqueId val="{00000004-DF83-480A-99BC-079B64106B7B}"/>
            </c:ext>
          </c:extLst>
        </c:ser>
        <c:dLbls>
          <c:dLblPos val="ctr"/>
          <c:showLegendKey val="0"/>
          <c:showVal val="1"/>
          <c:showCatName val="0"/>
          <c:showSerName val="0"/>
          <c:showPercent val="0"/>
          <c:showBubbleSize val="0"/>
        </c:dLbls>
        <c:smooth val="0"/>
        <c:axId val="997864912"/>
        <c:axId val="1032064640"/>
      </c:lineChart>
      <c:dateAx>
        <c:axId val="99786491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64640"/>
        <c:crosses val="autoZero"/>
        <c:auto val="1"/>
        <c:lblOffset val="100"/>
        <c:baseTimeUnit val="months"/>
      </c:dateAx>
      <c:valAx>
        <c:axId val="10320646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864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'Parts - Group '!$A$59</c:f>
              <c:strCache>
                <c:ptCount val="1"/>
                <c:pt idx="0">
                  <c:v>Total GP Excl FEF FY24</c:v>
                </c:pt>
              </c:strCache>
            </c:strRef>
          </c:tx>
          <c:spPr>
            <a:ln w="28575" cap="rnd">
              <a:solidFill>
                <a:schemeClr val="accent1"/>
              </a:solidFill>
              <a:round/>
            </a:ln>
            <a:effectLst/>
          </c:spPr>
          <c:marker>
            <c:symbol val="none"/>
          </c:marker>
          <c:cat>
            <c:numRef>
              <c:f>'Parts - Group '!$E$23:$P$23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Group '!$B$59:$P$59</c:f>
              <c:numCache>
                <c:formatCode>"$"#,##0_);[Red]\("$"#,##0\)</c:formatCode>
                <c:ptCount val="12"/>
                <c:pt idx="0">
                  <c:v>233454.56999999998</c:v>
                </c:pt>
                <c:pt idx="1">
                  <c:v>249262.66</c:v>
                </c:pt>
                <c:pt idx="2">
                  <c:v>277071.17000000004</c:v>
                </c:pt>
                <c:pt idx="3">
                  <c:v>265233.52999999997</c:v>
                </c:pt>
                <c:pt idx="4">
                  <c:v>266030.30000000005</c:v>
                </c:pt>
                <c:pt idx="5">
                  <c:v>262175.31</c:v>
                </c:pt>
                <c:pt idx="6">
                  <c:v>254952.01999999996</c:v>
                </c:pt>
                <c:pt idx="7">
                  <c:v>333713.92000000004</c:v>
                </c:pt>
                <c:pt idx="8">
                  <c:v>220297.55</c:v>
                </c:pt>
                <c:pt idx="9">
                  <c:v>200493.9599999999</c:v>
                </c:pt>
                <c:pt idx="10">
                  <c:v>279581.93</c:v>
                </c:pt>
                <c:pt idx="11">
                  <c:v>253496.5</c:v>
                </c:pt>
              </c:numCache>
            </c:numRef>
          </c:val>
          <c:smooth val="0"/>
          <c:extLst>
            <c:ext xmlns:c16="http://schemas.microsoft.com/office/drawing/2014/chart" uri="{C3380CC4-5D6E-409C-BE32-E72D297353CC}">
              <c16:uniqueId val="{00000000-5878-4322-894A-705078D95C07}"/>
            </c:ext>
          </c:extLst>
        </c:ser>
        <c:ser>
          <c:idx val="1"/>
          <c:order val="1"/>
          <c:tx>
            <c:strRef>
              <c:f>'Parts - Group '!$A$60</c:f>
              <c:strCache>
                <c:ptCount val="1"/>
                <c:pt idx="0">
                  <c:v>Total GP Excl FEF FY25</c:v>
                </c:pt>
              </c:strCache>
            </c:strRef>
          </c:tx>
          <c:spPr>
            <a:ln w="28575" cap="rnd">
              <a:solidFill>
                <a:schemeClr val="accent2"/>
              </a:solidFill>
              <a:round/>
            </a:ln>
            <a:effectLst/>
          </c:spPr>
          <c:marker>
            <c:symbol val="none"/>
          </c:marker>
          <c:cat>
            <c:numRef>
              <c:f>'Parts - Group '!$E$23:$P$23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Group '!$B$60:$P$60</c:f>
              <c:numCache>
                <c:formatCode>"$"#,##0_);[Red]\("$"#,##0\)</c:formatCode>
                <c:ptCount val="12"/>
                <c:pt idx="0">
                  <c:v>251248.42354300572</c:v>
                </c:pt>
                <c:pt idx="1">
                  <c:v>285509.572207961</c:v>
                </c:pt>
                <c:pt idx="2">
                  <c:v>234117.84921052805</c:v>
                </c:pt>
                <c:pt idx="3">
                  <c:v>285509.572207961</c:v>
                </c:pt>
                <c:pt idx="4">
                  <c:v>279799.3807638018</c:v>
                </c:pt>
                <c:pt idx="5">
                  <c:v>262668.80643132416</c:v>
                </c:pt>
                <c:pt idx="6">
                  <c:v>274089.18931964261</c:v>
                </c:pt>
                <c:pt idx="7">
                  <c:v>268378.99787548342</c:v>
                </c:pt>
                <c:pt idx="8">
                  <c:v>251248.42354300572</c:v>
                </c:pt>
                <c:pt idx="9">
                  <c:v>251248.42354300572</c:v>
                </c:pt>
                <c:pt idx="10">
                  <c:v>239828.04065468727</c:v>
                </c:pt>
                <c:pt idx="11">
                  <c:v>268378.99787548342</c:v>
                </c:pt>
              </c:numCache>
            </c:numRef>
          </c:val>
          <c:smooth val="0"/>
          <c:extLst>
            <c:ext xmlns:c16="http://schemas.microsoft.com/office/drawing/2014/chart" uri="{C3380CC4-5D6E-409C-BE32-E72D297353CC}">
              <c16:uniqueId val="{00000001-5878-4322-894A-705078D95C07}"/>
            </c:ext>
          </c:extLst>
        </c:ser>
        <c:dLbls>
          <c:showLegendKey val="0"/>
          <c:showVal val="0"/>
          <c:showCatName val="0"/>
          <c:showSerName val="0"/>
          <c:showPercent val="0"/>
          <c:showBubbleSize val="0"/>
        </c:dLbls>
        <c:smooth val="0"/>
        <c:axId val="816985456"/>
        <c:axId val="816988816"/>
      </c:lineChart>
      <c:dateAx>
        <c:axId val="81698545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88816"/>
        <c:crosses val="autoZero"/>
        <c:auto val="1"/>
        <c:lblOffset val="100"/>
        <c:baseTimeUnit val="months"/>
      </c:dateAx>
      <c:valAx>
        <c:axId val="816988816"/>
        <c:scaling>
          <c:orientation val="minMax"/>
          <c:min val="15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85456"/>
        <c:crosses val="autoZero"/>
        <c:crossBetween val="between"/>
      </c:valAx>
      <c:spPr>
        <a:noFill/>
        <a:ln>
          <a:noFill/>
        </a:ln>
        <a:effectLst/>
      </c:spPr>
    </c:plotArea>
    <c:legend>
      <c:legendPos val="b"/>
      <c:layout>
        <c:manualLayout>
          <c:xMode val="edge"/>
          <c:yMode val="edge"/>
          <c:x val="0.21235345581802273"/>
          <c:y val="0.92187445319335082"/>
          <c:w val="0.7030708661417323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Incl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'Parts - Group '!$A$61</c:f>
              <c:strCache>
                <c:ptCount val="1"/>
                <c:pt idx="0">
                  <c:v>Total GP Incl FEF FY24</c:v>
                </c:pt>
              </c:strCache>
            </c:strRef>
          </c:tx>
          <c:spPr>
            <a:ln w="28575" cap="rnd">
              <a:solidFill>
                <a:schemeClr val="accent1"/>
              </a:solidFill>
              <a:round/>
            </a:ln>
            <a:effectLst/>
          </c:spPr>
          <c:marker>
            <c:symbol val="none"/>
          </c:marker>
          <c:val>
            <c:numRef>
              <c:f>'Parts - Group '!$B$61:$P$61</c:f>
              <c:numCache>
                <c:formatCode>"$"#,##0_);[Red]\("$"#,##0\)</c:formatCode>
                <c:ptCount val="12"/>
                <c:pt idx="0">
                  <c:v>233454.56999999998</c:v>
                </c:pt>
                <c:pt idx="1">
                  <c:v>249262.66</c:v>
                </c:pt>
                <c:pt idx="2">
                  <c:v>435376.72000000003</c:v>
                </c:pt>
                <c:pt idx="3">
                  <c:v>265233.52999999997</c:v>
                </c:pt>
                <c:pt idx="4">
                  <c:v>266030.30000000005</c:v>
                </c:pt>
                <c:pt idx="5">
                  <c:v>374300.31</c:v>
                </c:pt>
                <c:pt idx="6">
                  <c:v>254952.01999999996</c:v>
                </c:pt>
                <c:pt idx="7">
                  <c:v>333713.92000000004</c:v>
                </c:pt>
                <c:pt idx="8">
                  <c:v>328297.55</c:v>
                </c:pt>
                <c:pt idx="9">
                  <c:v>200493.9599999999</c:v>
                </c:pt>
                <c:pt idx="10">
                  <c:v>279581.93</c:v>
                </c:pt>
                <c:pt idx="11">
                  <c:v>376121.5</c:v>
                </c:pt>
              </c:numCache>
            </c:numRef>
          </c:val>
          <c:smooth val="0"/>
          <c:extLst>
            <c:ext xmlns:c16="http://schemas.microsoft.com/office/drawing/2014/chart" uri="{C3380CC4-5D6E-409C-BE32-E72D297353CC}">
              <c16:uniqueId val="{00000000-FF3F-4FEE-BAF0-3968693734C6}"/>
            </c:ext>
          </c:extLst>
        </c:ser>
        <c:ser>
          <c:idx val="1"/>
          <c:order val="1"/>
          <c:tx>
            <c:strRef>
              <c:f>'Parts - Group '!$A$62</c:f>
              <c:strCache>
                <c:ptCount val="1"/>
                <c:pt idx="0">
                  <c:v>Total GP Incl FEF FY25</c:v>
                </c:pt>
              </c:strCache>
            </c:strRef>
          </c:tx>
          <c:spPr>
            <a:ln w="28575" cap="rnd">
              <a:solidFill>
                <a:schemeClr val="accent2"/>
              </a:solidFill>
              <a:round/>
            </a:ln>
            <a:effectLst/>
          </c:spPr>
          <c:marker>
            <c:symbol val="none"/>
          </c:marker>
          <c:val>
            <c:numRef>
              <c:f>'Parts - Group '!$B$62:$P$62</c:f>
              <c:numCache>
                <c:formatCode>"$"#,##0_);[Red]\("$"#,##0\)</c:formatCode>
                <c:ptCount val="12"/>
                <c:pt idx="0">
                  <c:v>251248.42354300572</c:v>
                </c:pt>
                <c:pt idx="1">
                  <c:v>285509.572207961</c:v>
                </c:pt>
                <c:pt idx="2">
                  <c:v>343805.34921052807</c:v>
                </c:pt>
                <c:pt idx="3">
                  <c:v>285509.572207961</c:v>
                </c:pt>
                <c:pt idx="4">
                  <c:v>279799.3807638018</c:v>
                </c:pt>
                <c:pt idx="5">
                  <c:v>369543.80643132416</c:v>
                </c:pt>
                <c:pt idx="6">
                  <c:v>274089.18931964261</c:v>
                </c:pt>
                <c:pt idx="7">
                  <c:v>268378.99787548342</c:v>
                </c:pt>
                <c:pt idx="8">
                  <c:v>355623.42354300572</c:v>
                </c:pt>
                <c:pt idx="9">
                  <c:v>251248.42354300572</c:v>
                </c:pt>
                <c:pt idx="10">
                  <c:v>239828.04065468727</c:v>
                </c:pt>
                <c:pt idx="11">
                  <c:v>371503.99787548342</c:v>
                </c:pt>
              </c:numCache>
            </c:numRef>
          </c:val>
          <c:smooth val="0"/>
          <c:extLst>
            <c:ext xmlns:c16="http://schemas.microsoft.com/office/drawing/2014/chart" uri="{C3380CC4-5D6E-409C-BE32-E72D297353CC}">
              <c16:uniqueId val="{00000001-FF3F-4FEE-BAF0-3968693734C6}"/>
            </c:ext>
          </c:extLst>
        </c:ser>
        <c:dLbls>
          <c:showLegendKey val="0"/>
          <c:showVal val="0"/>
          <c:showCatName val="0"/>
          <c:showSerName val="0"/>
          <c:showPercent val="0"/>
          <c:showBubbleSize val="0"/>
        </c:dLbls>
        <c:smooth val="0"/>
        <c:axId val="1241774559"/>
        <c:axId val="1241773599"/>
      </c:lineChart>
      <c:catAx>
        <c:axId val="124177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773599"/>
        <c:crosses val="autoZero"/>
        <c:auto val="1"/>
        <c:lblAlgn val="ctr"/>
        <c:lblOffset val="100"/>
        <c:noMultiLvlLbl val="0"/>
      </c:catAx>
      <c:valAx>
        <c:axId val="1241773599"/>
        <c:scaling>
          <c:orientation val="minMax"/>
          <c:min val="15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774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GP</a:t>
            </a:r>
            <a:r>
              <a:rPr lang="en-NZ" baseline="0"/>
              <a:t> Excl FEF FY24 VS FY25</a:t>
            </a:r>
            <a:endParaRPr lang="en-NZ"/>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'Parts - 130'!$A$50</c:f>
              <c:strCache>
                <c:ptCount val="1"/>
                <c:pt idx="0">
                  <c:v>Total GP Excl FEF FY24</c:v>
                </c:pt>
              </c:strCache>
            </c:strRef>
          </c:tx>
          <c:spPr>
            <a:ln w="28575" cap="rnd">
              <a:solidFill>
                <a:schemeClr val="accent1"/>
              </a:solidFill>
              <a:round/>
            </a:ln>
            <a:effectLst/>
          </c:spPr>
          <c:marker>
            <c:symbol val="none"/>
          </c:marker>
          <c:cat>
            <c:numRef>
              <c:f>'Parts - 130'!$E$23:$P$23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- 130'!$B$50:$P$50</c:f>
              <c:numCache>
                <c:formatCode>"$"#,##0_);[Red]\("$"#,##0\)</c:formatCode>
                <c:ptCount val="12"/>
                <c:pt idx="0">
                  <c:v>123640.40999999997</c:v>
                </c:pt>
                <c:pt idx="1">
                  <c:v>120506.82999999997</c:v>
                </c:pt>
                <c:pt idx="2">
                  <c:v>140622.20999999996</c:v>
                </c:pt>
                <c:pt idx="3">
                  <c:v>138551.41999999998</c:v>
                </c:pt>
                <c:pt idx="4">
                  <c:v>121843.26000000001</c:v>
                </c:pt>
                <c:pt idx="5">
                  <c:v>155070.01</c:v>
                </c:pt>
                <c:pt idx="6">
                  <c:v>134630.02999999997</c:v>
                </c:pt>
                <c:pt idx="7">
                  <c:v>141944.84</c:v>
                </c:pt>
                <c:pt idx="8">
                  <c:v>111006.47000000003</c:v>
                </c:pt>
                <c:pt idx="9">
                  <c:v>103288.86999999994</c:v>
                </c:pt>
                <c:pt idx="10">
                  <c:v>134139.57999999999</c:v>
                </c:pt>
                <c:pt idx="11">
                  <c:v>128256.67000000004</c:v>
                </c:pt>
              </c:numCache>
            </c:numRef>
          </c:val>
          <c:smooth val="0"/>
          <c:extLst>
            <c:ext xmlns:c16="http://schemas.microsoft.com/office/drawing/2014/chart" uri="{C3380CC4-5D6E-409C-BE32-E72D297353CC}">
              <c16:uniqueId val="{00000000-DA61-488B-B442-12AD964582F8}"/>
            </c:ext>
          </c:extLst>
        </c:ser>
        <c:ser>
          <c:idx val="1"/>
          <c:order val="1"/>
          <c:tx>
            <c:strRef>
              <c:f>'Parts - 130'!$A$51</c:f>
              <c:strCache>
                <c:ptCount val="1"/>
                <c:pt idx="0">
                  <c:v>Total GP Excl FEF FY25</c:v>
                </c:pt>
              </c:strCache>
            </c:strRef>
          </c:tx>
          <c:spPr>
            <a:ln w="28575" cap="rnd">
              <a:solidFill>
                <a:schemeClr val="accent2"/>
              </a:solidFill>
              <a:round/>
            </a:ln>
            <a:effectLst/>
          </c:spPr>
          <c:marker>
            <c:symbol val="none"/>
          </c:marker>
          <c:cat>
            <c:numRef>
              <c:f>'Parts - 130'!$E$23:$P$23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- 130'!$B$51:$P$51</c:f>
              <c:numCache>
                <c:formatCode>"$"#,##0_);[Red]\("$"#,##0\)</c:formatCode>
                <c:ptCount val="12"/>
                <c:pt idx="0">
                  <c:v>125772.45037263643</c:v>
                </c:pt>
                <c:pt idx="1">
                  <c:v>142923.23905981414</c:v>
                </c:pt>
                <c:pt idx="2">
                  <c:v>117197.0560290476</c:v>
                </c:pt>
                <c:pt idx="3">
                  <c:v>142923.23905981414</c:v>
                </c:pt>
                <c:pt idx="4">
                  <c:v>140064.77427861787</c:v>
                </c:pt>
                <c:pt idx="5">
                  <c:v>131489.37993502902</c:v>
                </c:pt>
                <c:pt idx="6">
                  <c:v>137206.30949742158</c:v>
                </c:pt>
                <c:pt idx="7">
                  <c:v>134347.84471622531</c:v>
                </c:pt>
                <c:pt idx="8">
                  <c:v>125772.45037263643</c:v>
                </c:pt>
                <c:pt idx="9">
                  <c:v>125772.45037263643</c:v>
                </c:pt>
                <c:pt idx="10">
                  <c:v>120055.52081024388</c:v>
                </c:pt>
                <c:pt idx="11">
                  <c:v>134347.84471622531</c:v>
                </c:pt>
              </c:numCache>
            </c:numRef>
          </c:val>
          <c:smooth val="0"/>
          <c:extLst>
            <c:ext xmlns:c16="http://schemas.microsoft.com/office/drawing/2014/chart" uri="{C3380CC4-5D6E-409C-BE32-E72D297353CC}">
              <c16:uniqueId val="{00000001-DA61-488B-B442-12AD964582F8}"/>
            </c:ext>
          </c:extLst>
        </c:ser>
        <c:dLbls>
          <c:showLegendKey val="0"/>
          <c:showVal val="0"/>
          <c:showCatName val="0"/>
          <c:showSerName val="0"/>
          <c:showPercent val="0"/>
          <c:showBubbleSize val="0"/>
        </c:dLbls>
        <c:smooth val="0"/>
        <c:axId val="666024624"/>
        <c:axId val="666025584"/>
      </c:lineChart>
      <c:dateAx>
        <c:axId val="66602462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025584"/>
        <c:crosses val="autoZero"/>
        <c:auto val="1"/>
        <c:lblOffset val="100"/>
        <c:baseTimeUnit val="months"/>
      </c:dateAx>
      <c:valAx>
        <c:axId val="666025584"/>
        <c:scaling>
          <c:orientation val="minMax"/>
          <c:min val="8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024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GP</a:t>
            </a:r>
            <a:r>
              <a:rPr lang="en-NZ" baseline="0"/>
              <a:t> Incl FEF FY24 VS FY25</a:t>
            </a:r>
            <a:endParaRPr lang="en-NZ"/>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'Parts - 130'!$A$52</c:f>
              <c:strCache>
                <c:ptCount val="1"/>
                <c:pt idx="0">
                  <c:v>Total GP Incl FEF FY24</c:v>
                </c:pt>
              </c:strCache>
            </c:strRef>
          </c:tx>
          <c:spPr>
            <a:ln w="28575" cap="rnd">
              <a:solidFill>
                <a:schemeClr val="accent1"/>
              </a:solidFill>
              <a:round/>
            </a:ln>
            <a:effectLst/>
          </c:spPr>
          <c:marker>
            <c:symbol val="none"/>
          </c:marker>
          <c:cat>
            <c:numRef>
              <c:f>'Parts - 130'!$E$23:$P$23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- 130'!$B$52:$P$52</c:f>
              <c:numCache>
                <c:formatCode>"$"#,##0_);[Red]\("$"#,##0\)</c:formatCode>
                <c:ptCount val="12"/>
                <c:pt idx="0">
                  <c:v>123640.40999999997</c:v>
                </c:pt>
                <c:pt idx="1">
                  <c:v>120506.82999999997</c:v>
                </c:pt>
                <c:pt idx="2">
                  <c:v>203944.42999999996</c:v>
                </c:pt>
                <c:pt idx="3">
                  <c:v>138551.41999999998</c:v>
                </c:pt>
                <c:pt idx="4">
                  <c:v>121843.26000000001</c:v>
                </c:pt>
                <c:pt idx="5">
                  <c:v>199920.01</c:v>
                </c:pt>
                <c:pt idx="6">
                  <c:v>134630.02999999997</c:v>
                </c:pt>
                <c:pt idx="7">
                  <c:v>141944.84</c:v>
                </c:pt>
                <c:pt idx="8">
                  <c:v>154206.47000000003</c:v>
                </c:pt>
                <c:pt idx="9">
                  <c:v>103288.86999999994</c:v>
                </c:pt>
                <c:pt idx="10">
                  <c:v>134139.57999999999</c:v>
                </c:pt>
                <c:pt idx="11">
                  <c:v>177306.67000000004</c:v>
                </c:pt>
              </c:numCache>
            </c:numRef>
          </c:val>
          <c:smooth val="0"/>
          <c:extLst>
            <c:ext xmlns:c16="http://schemas.microsoft.com/office/drawing/2014/chart" uri="{C3380CC4-5D6E-409C-BE32-E72D297353CC}">
              <c16:uniqueId val="{00000000-3976-4CFB-8699-F2D3E522E754}"/>
            </c:ext>
          </c:extLst>
        </c:ser>
        <c:ser>
          <c:idx val="1"/>
          <c:order val="1"/>
          <c:tx>
            <c:strRef>
              <c:f>'Parts - 130'!$A$53</c:f>
              <c:strCache>
                <c:ptCount val="1"/>
                <c:pt idx="0">
                  <c:v>Total GP Incl FEF FY25</c:v>
                </c:pt>
              </c:strCache>
            </c:strRef>
          </c:tx>
          <c:spPr>
            <a:ln w="28575" cap="rnd">
              <a:solidFill>
                <a:schemeClr val="accent2"/>
              </a:solidFill>
              <a:round/>
            </a:ln>
            <a:effectLst/>
          </c:spPr>
          <c:marker>
            <c:symbol val="none"/>
          </c:marker>
          <c:cat>
            <c:numRef>
              <c:f>'Parts - 130'!$E$23:$P$23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- 130'!$B$53:$P$53</c:f>
              <c:numCache>
                <c:formatCode>"$"#,##0_);[Red]\("$"#,##0\)</c:formatCode>
                <c:ptCount val="12"/>
                <c:pt idx="0">
                  <c:v>125772.45037263643</c:v>
                </c:pt>
                <c:pt idx="1">
                  <c:v>142923.23905981414</c:v>
                </c:pt>
                <c:pt idx="2">
                  <c:v>172040.80602904758</c:v>
                </c:pt>
                <c:pt idx="3">
                  <c:v>142923.23905981414</c:v>
                </c:pt>
                <c:pt idx="4">
                  <c:v>140064.77427861787</c:v>
                </c:pt>
                <c:pt idx="5">
                  <c:v>189784.83448048355</c:v>
                </c:pt>
                <c:pt idx="6">
                  <c:v>137206.30949742158</c:v>
                </c:pt>
                <c:pt idx="7">
                  <c:v>134347.84471622531</c:v>
                </c:pt>
                <c:pt idx="8">
                  <c:v>182704.26855445461</c:v>
                </c:pt>
                <c:pt idx="9">
                  <c:v>125772.45037263643</c:v>
                </c:pt>
                <c:pt idx="10">
                  <c:v>120055.52081024388</c:v>
                </c:pt>
                <c:pt idx="11">
                  <c:v>190597.84471622531</c:v>
                </c:pt>
              </c:numCache>
            </c:numRef>
          </c:val>
          <c:smooth val="0"/>
          <c:extLst>
            <c:ext xmlns:c16="http://schemas.microsoft.com/office/drawing/2014/chart" uri="{C3380CC4-5D6E-409C-BE32-E72D297353CC}">
              <c16:uniqueId val="{00000001-3976-4CFB-8699-F2D3E522E754}"/>
            </c:ext>
          </c:extLst>
        </c:ser>
        <c:dLbls>
          <c:showLegendKey val="0"/>
          <c:showVal val="0"/>
          <c:showCatName val="0"/>
          <c:showSerName val="0"/>
          <c:showPercent val="0"/>
          <c:showBubbleSize val="0"/>
        </c:dLbls>
        <c:smooth val="0"/>
        <c:axId val="422519184"/>
        <c:axId val="422520144"/>
      </c:lineChart>
      <c:dateAx>
        <c:axId val="42251918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520144"/>
        <c:crosses val="autoZero"/>
        <c:auto val="1"/>
        <c:lblOffset val="100"/>
        <c:baseTimeUnit val="months"/>
      </c:dateAx>
      <c:valAx>
        <c:axId val="4225201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51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'Parts - 230'!$A$50</c:f>
              <c:strCache>
                <c:ptCount val="1"/>
                <c:pt idx="0">
                  <c:v>Total GP Excl FEF FY24</c:v>
                </c:pt>
              </c:strCache>
            </c:strRef>
          </c:tx>
          <c:spPr>
            <a:ln w="28575" cap="rnd">
              <a:solidFill>
                <a:schemeClr val="accent1"/>
              </a:solidFill>
              <a:round/>
            </a:ln>
            <a:effectLst/>
          </c:spPr>
          <c:marker>
            <c:symbol val="none"/>
          </c:marker>
          <c:cat>
            <c:numRef>
              <c:f>'Parts - 230'!$E$23:$P$23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- 230'!$B$50:$P$50</c:f>
              <c:numCache>
                <c:formatCode>"$"#,##0_);[Red]\("$"#,##0\)</c:formatCode>
                <c:ptCount val="12"/>
                <c:pt idx="0">
                  <c:v>60164.359999999993</c:v>
                </c:pt>
                <c:pt idx="1">
                  <c:v>72343.550000000017</c:v>
                </c:pt>
                <c:pt idx="2">
                  <c:v>74468.260000000038</c:v>
                </c:pt>
                <c:pt idx="3">
                  <c:v>69756.810000000012</c:v>
                </c:pt>
                <c:pt idx="4">
                  <c:v>87871.020000000019</c:v>
                </c:pt>
                <c:pt idx="5">
                  <c:v>62410.999999999971</c:v>
                </c:pt>
                <c:pt idx="6">
                  <c:v>63134.99</c:v>
                </c:pt>
                <c:pt idx="7">
                  <c:v>72664.340000000011</c:v>
                </c:pt>
                <c:pt idx="8">
                  <c:v>54653.729999999981</c:v>
                </c:pt>
                <c:pt idx="9">
                  <c:v>45311.17</c:v>
                </c:pt>
                <c:pt idx="10">
                  <c:v>79742.03</c:v>
                </c:pt>
                <c:pt idx="11">
                  <c:v>83381.229999999967</c:v>
                </c:pt>
              </c:numCache>
            </c:numRef>
          </c:val>
          <c:smooth val="0"/>
          <c:extLst>
            <c:ext xmlns:c16="http://schemas.microsoft.com/office/drawing/2014/chart" uri="{C3380CC4-5D6E-409C-BE32-E72D297353CC}">
              <c16:uniqueId val="{00000000-ACE2-4F69-B2DD-7A8FDA690C90}"/>
            </c:ext>
          </c:extLst>
        </c:ser>
        <c:ser>
          <c:idx val="1"/>
          <c:order val="1"/>
          <c:tx>
            <c:strRef>
              <c:f>'Parts - 230'!$A$51</c:f>
              <c:strCache>
                <c:ptCount val="1"/>
                <c:pt idx="0">
                  <c:v>Total GP Excl FEF FY25</c:v>
                </c:pt>
              </c:strCache>
            </c:strRef>
          </c:tx>
          <c:spPr>
            <a:ln w="28575" cap="rnd">
              <a:solidFill>
                <a:schemeClr val="accent2"/>
              </a:solidFill>
              <a:round/>
            </a:ln>
            <a:effectLst/>
          </c:spPr>
          <c:marker>
            <c:symbol val="none"/>
          </c:marker>
          <c:cat>
            <c:numRef>
              <c:f>'Parts - 230'!$E$23:$P$23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- 230'!$B$51:$P$51</c:f>
              <c:numCache>
                <c:formatCode>"$"#,##0_);[Red]\("$"#,##0\)</c:formatCode>
                <c:ptCount val="12"/>
                <c:pt idx="0">
                  <c:v>66976.11464107057</c:v>
                </c:pt>
                <c:pt idx="1">
                  <c:v>76109.221183034737</c:v>
                </c:pt>
                <c:pt idx="2">
                  <c:v>62409.561370088479</c:v>
                </c:pt>
                <c:pt idx="3">
                  <c:v>76109.221183034737</c:v>
                </c:pt>
                <c:pt idx="4">
                  <c:v>74587.036759374052</c:v>
                </c:pt>
                <c:pt idx="5">
                  <c:v>70020.483488391968</c:v>
                </c:pt>
                <c:pt idx="6">
                  <c:v>73064.852335713367</c:v>
                </c:pt>
                <c:pt idx="7">
                  <c:v>71542.667912052668</c:v>
                </c:pt>
                <c:pt idx="8">
                  <c:v>66976.11464107057</c:v>
                </c:pt>
                <c:pt idx="9">
                  <c:v>66976.11464107057</c:v>
                </c:pt>
                <c:pt idx="10">
                  <c:v>63931.745793749185</c:v>
                </c:pt>
                <c:pt idx="11">
                  <c:v>71542.667912052668</c:v>
                </c:pt>
              </c:numCache>
            </c:numRef>
          </c:val>
          <c:smooth val="0"/>
          <c:extLst>
            <c:ext xmlns:c16="http://schemas.microsoft.com/office/drawing/2014/chart" uri="{C3380CC4-5D6E-409C-BE32-E72D297353CC}">
              <c16:uniqueId val="{00000001-ACE2-4F69-B2DD-7A8FDA690C90}"/>
            </c:ext>
          </c:extLst>
        </c:ser>
        <c:dLbls>
          <c:showLegendKey val="0"/>
          <c:showVal val="0"/>
          <c:showCatName val="0"/>
          <c:showSerName val="0"/>
          <c:showPercent val="0"/>
          <c:showBubbleSize val="0"/>
        </c:dLbls>
        <c:smooth val="0"/>
        <c:axId val="844213296"/>
        <c:axId val="844211856"/>
      </c:lineChart>
      <c:dateAx>
        <c:axId val="84421329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211856"/>
        <c:crosses val="autoZero"/>
        <c:auto val="1"/>
        <c:lblOffset val="100"/>
        <c:baseTimeUnit val="months"/>
      </c:dateAx>
      <c:valAx>
        <c:axId val="844211856"/>
        <c:scaling>
          <c:orientation val="minMax"/>
          <c:min val="4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21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Incl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'Parts - 230'!$A$52</c:f>
              <c:strCache>
                <c:ptCount val="1"/>
                <c:pt idx="0">
                  <c:v>Total GP Incl FEF FY24</c:v>
                </c:pt>
              </c:strCache>
            </c:strRef>
          </c:tx>
          <c:spPr>
            <a:ln w="28575" cap="rnd">
              <a:solidFill>
                <a:schemeClr val="accent1"/>
              </a:solidFill>
              <a:round/>
            </a:ln>
            <a:effectLst/>
          </c:spPr>
          <c:marker>
            <c:symbol val="none"/>
          </c:marker>
          <c:cat>
            <c:numRef>
              <c:f>'Parts - 230'!$E$23:$P$23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- 230'!$B$52:$P$52</c:f>
              <c:numCache>
                <c:formatCode>"$"#,##0_);[Red]\("$"#,##0\)</c:formatCode>
                <c:ptCount val="12"/>
                <c:pt idx="0">
                  <c:v>60164.359999999993</c:v>
                </c:pt>
                <c:pt idx="1">
                  <c:v>72343.550000000017</c:v>
                </c:pt>
                <c:pt idx="2">
                  <c:v>106129.37000000004</c:v>
                </c:pt>
                <c:pt idx="3">
                  <c:v>69756.810000000012</c:v>
                </c:pt>
                <c:pt idx="4">
                  <c:v>87871.020000000019</c:v>
                </c:pt>
                <c:pt idx="5">
                  <c:v>84835.999999999971</c:v>
                </c:pt>
                <c:pt idx="6">
                  <c:v>63134.99</c:v>
                </c:pt>
                <c:pt idx="7">
                  <c:v>72664.340000000011</c:v>
                </c:pt>
                <c:pt idx="8">
                  <c:v>76253.729999999981</c:v>
                </c:pt>
                <c:pt idx="9">
                  <c:v>45311.17</c:v>
                </c:pt>
                <c:pt idx="10">
                  <c:v>79742.03</c:v>
                </c:pt>
                <c:pt idx="11">
                  <c:v>107906.22999999997</c:v>
                </c:pt>
              </c:numCache>
            </c:numRef>
          </c:val>
          <c:smooth val="0"/>
          <c:extLst>
            <c:ext xmlns:c16="http://schemas.microsoft.com/office/drawing/2014/chart" uri="{C3380CC4-5D6E-409C-BE32-E72D297353CC}">
              <c16:uniqueId val="{00000000-C9D0-4CFA-8035-846C935EF38D}"/>
            </c:ext>
          </c:extLst>
        </c:ser>
        <c:ser>
          <c:idx val="1"/>
          <c:order val="1"/>
          <c:tx>
            <c:strRef>
              <c:f>'Parts - 230'!$A$53</c:f>
              <c:strCache>
                <c:ptCount val="1"/>
                <c:pt idx="0">
                  <c:v>Total GP Incl FEF FY25</c:v>
                </c:pt>
              </c:strCache>
            </c:strRef>
          </c:tx>
          <c:spPr>
            <a:ln w="28575" cap="rnd">
              <a:solidFill>
                <a:schemeClr val="accent2"/>
              </a:solidFill>
              <a:round/>
            </a:ln>
            <a:effectLst/>
          </c:spPr>
          <c:marker>
            <c:symbol val="none"/>
          </c:marker>
          <c:cat>
            <c:numRef>
              <c:f>'Parts - 230'!$E$23:$P$23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- 230'!$B$53:$P$53</c:f>
              <c:numCache>
                <c:formatCode>"$"#,##0_);[Red]\("$"#,##0\)</c:formatCode>
                <c:ptCount val="12"/>
                <c:pt idx="0">
                  <c:v>66976.11464107057</c:v>
                </c:pt>
                <c:pt idx="1">
                  <c:v>76109.221183034737</c:v>
                </c:pt>
                <c:pt idx="2">
                  <c:v>95315.811370088486</c:v>
                </c:pt>
                <c:pt idx="3">
                  <c:v>76109.221183034737</c:v>
                </c:pt>
                <c:pt idx="4">
                  <c:v>74587.036759374052</c:v>
                </c:pt>
                <c:pt idx="5">
                  <c:v>99168.210761119233</c:v>
                </c:pt>
                <c:pt idx="6">
                  <c:v>73064.852335713367</c:v>
                </c:pt>
                <c:pt idx="7">
                  <c:v>71542.667912052668</c:v>
                </c:pt>
                <c:pt idx="8">
                  <c:v>95442.023731979658</c:v>
                </c:pt>
                <c:pt idx="9">
                  <c:v>66976.11464107057</c:v>
                </c:pt>
                <c:pt idx="10">
                  <c:v>63931.745793749185</c:v>
                </c:pt>
                <c:pt idx="11">
                  <c:v>99667.667912052668</c:v>
                </c:pt>
              </c:numCache>
            </c:numRef>
          </c:val>
          <c:smooth val="0"/>
          <c:extLst>
            <c:ext xmlns:c16="http://schemas.microsoft.com/office/drawing/2014/chart" uri="{C3380CC4-5D6E-409C-BE32-E72D297353CC}">
              <c16:uniqueId val="{00000001-C9D0-4CFA-8035-846C935EF38D}"/>
            </c:ext>
          </c:extLst>
        </c:ser>
        <c:dLbls>
          <c:showLegendKey val="0"/>
          <c:showVal val="0"/>
          <c:showCatName val="0"/>
          <c:showSerName val="0"/>
          <c:showPercent val="0"/>
          <c:showBubbleSize val="0"/>
        </c:dLbls>
        <c:smooth val="0"/>
        <c:axId val="662446928"/>
        <c:axId val="662447408"/>
      </c:lineChart>
      <c:dateAx>
        <c:axId val="662446928"/>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47408"/>
        <c:crosses val="autoZero"/>
        <c:auto val="1"/>
        <c:lblOffset val="100"/>
        <c:baseTimeUnit val="months"/>
      </c:dateAx>
      <c:valAx>
        <c:axId val="6624474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4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'Parts - 330'!$A$50</c:f>
              <c:strCache>
                <c:ptCount val="1"/>
                <c:pt idx="0">
                  <c:v>Total GP Excl FEF FY24</c:v>
                </c:pt>
              </c:strCache>
            </c:strRef>
          </c:tx>
          <c:spPr>
            <a:ln w="28575" cap="rnd">
              <a:solidFill>
                <a:schemeClr val="accent1"/>
              </a:solidFill>
              <a:round/>
            </a:ln>
            <a:effectLst/>
          </c:spPr>
          <c:marker>
            <c:symbol val="none"/>
          </c:marker>
          <c:cat>
            <c:numRef>
              <c:f>'Parts - 330'!$E$23:$P$23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- 330'!$B$50:$P$50</c:f>
              <c:numCache>
                <c:formatCode>"$"#,##0_);[Red]\("$"#,##0\)</c:formatCode>
                <c:ptCount val="12"/>
                <c:pt idx="0">
                  <c:v>20361.779999999995</c:v>
                </c:pt>
                <c:pt idx="1">
                  <c:v>20557</c:v>
                </c:pt>
                <c:pt idx="2">
                  <c:v>27171.25</c:v>
                </c:pt>
                <c:pt idx="3">
                  <c:v>14491.819999999996</c:v>
                </c:pt>
                <c:pt idx="4">
                  <c:v>27459.08</c:v>
                </c:pt>
                <c:pt idx="5">
                  <c:v>19347.599999999991</c:v>
                </c:pt>
                <c:pt idx="6">
                  <c:v>27587.199999999997</c:v>
                </c:pt>
                <c:pt idx="7">
                  <c:v>25280.94999999999</c:v>
                </c:pt>
                <c:pt idx="8">
                  <c:v>28113.149999999994</c:v>
                </c:pt>
                <c:pt idx="9">
                  <c:v>24751.479999999989</c:v>
                </c:pt>
                <c:pt idx="10">
                  <c:v>27701.55</c:v>
                </c:pt>
                <c:pt idx="11">
                  <c:v>22727.589999999997</c:v>
                </c:pt>
              </c:numCache>
            </c:numRef>
          </c:val>
          <c:smooth val="0"/>
          <c:extLst>
            <c:ext xmlns:c16="http://schemas.microsoft.com/office/drawing/2014/chart" uri="{C3380CC4-5D6E-409C-BE32-E72D297353CC}">
              <c16:uniqueId val="{00000000-1C09-4609-BA81-A30EC5B89426}"/>
            </c:ext>
          </c:extLst>
        </c:ser>
        <c:ser>
          <c:idx val="1"/>
          <c:order val="1"/>
          <c:tx>
            <c:strRef>
              <c:f>'Parts - 330'!$A$51</c:f>
              <c:strCache>
                <c:ptCount val="1"/>
                <c:pt idx="0">
                  <c:v>Total GP Excl FEF FY25</c:v>
                </c:pt>
              </c:strCache>
            </c:strRef>
          </c:tx>
          <c:spPr>
            <a:ln w="28575" cap="rnd">
              <a:solidFill>
                <a:schemeClr val="accent2"/>
              </a:solidFill>
              <a:round/>
            </a:ln>
            <a:effectLst/>
          </c:spPr>
          <c:marker>
            <c:symbol val="none"/>
          </c:marker>
          <c:cat>
            <c:numRef>
              <c:f>'Parts - 330'!$E$23:$P$23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- 330'!$B$51:$P$51</c:f>
              <c:numCache>
                <c:formatCode>"$"#,##0_);[Red]\("$"#,##0\)</c:formatCode>
                <c:ptCount val="12"/>
                <c:pt idx="0">
                  <c:v>23152.148360158091</c:v>
                </c:pt>
                <c:pt idx="1">
                  <c:v>26309.259500179647</c:v>
                </c:pt>
                <c:pt idx="2">
                  <c:v>21573.592790147311</c:v>
                </c:pt>
                <c:pt idx="3">
                  <c:v>26309.259500179647</c:v>
                </c:pt>
                <c:pt idx="4">
                  <c:v>25783.07431017606</c:v>
                </c:pt>
                <c:pt idx="5">
                  <c:v>24204.518740165277</c:v>
                </c:pt>
                <c:pt idx="6">
                  <c:v>25256.889120172462</c:v>
                </c:pt>
                <c:pt idx="7">
                  <c:v>24730.703930168875</c:v>
                </c:pt>
                <c:pt idx="8">
                  <c:v>23152.148360158091</c:v>
                </c:pt>
                <c:pt idx="9">
                  <c:v>23152.148360158091</c:v>
                </c:pt>
                <c:pt idx="10">
                  <c:v>22099.777980150902</c:v>
                </c:pt>
                <c:pt idx="11">
                  <c:v>24730.703930168875</c:v>
                </c:pt>
              </c:numCache>
            </c:numRef>
          </c:val>
          <c:smooth val="0"/>
          <c:extLst>
            <c:ext xmlns:c16="http://schemas.microsoft.com/office/drawing/2014/chart" uri="{C3380CC4-5D6E-409C-BE32-E72D297353CC}">
              <c16:uniqueId val="{00000001-1C09-4609-BA81-A30EC5B89426}"/>
            </c:ext>
          </c:extLst>
        </c:ser>
        <c:dLbls>
          <c:showLegendKey val="0"/>
          <c:showVal val="0"/>
          <c:showCatName val="0"/>
          <c:showSerName val="0"/>
          <c:showPercent val="0"/>
          <c:showBubbleSize val="0"/>
        </c:dLbls>
        <c:smooth val="0"/>
        <c:axId val="865875456"/>
        <c:axId val="865876416"/>
      </c:lineChart>
      <c:dateAx>
        <c:axId val="86587545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76416"/>
        <c:crosses val="autoZero"/>
        <c:auto val="1"/>
        <c:lblOffset val="100"/>
        <c:baseTimeUnit val="months"/>
      </c:dateAx>
      <c:valAx>
        <c:axId val="865876416"/>
        <c:scaling>
          <c:orientation val="minMax"/>
          <c:min val="1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75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Incl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'Parts - 330'!$A$52</c:f>
              <c:strCache>
                <c:ptCount val="1"/>
                <c:pt idx="0">
                  <c:v>Total GP Incl FEF FY24</c:v>
                </c:pt>
              </c:strCache>
            </c:strRef>
          </c:tx>
          <c:spPr>
            <a:ln w="28575" cap="rnd">
              <a:solidFill>
                <a:schemeClr val="accent1"/>
              </a:solidFill>
              <a:round/>
            </a:ln>
            <a:effectLst/>
          </c:spPr>
          <c:marker>
            <c:symbol val="none"/>
          </c:marker>
          <c:cat>
            <c:numRef>
              <c:f>'Parts - 330'!$E$23:$P$23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- 330'!$B$52:$P$52</c:f>
              <c:numCache>
                <c:formatCode>"$"#,##0_);[Red]\("$"#,##0\)</c:formatCode>
                <c:ptCount val="12"/>
                <c:pt idx="0">
                  <c:v>20361.779999999995</c:v>
                </c:pt>
                <c:pt idx="1">
                  <c:v>20557</c:v>
                </c:pt>
                <c:pt idx="2">
                  <c:v>90493.47</c:v>
                </c:pt>
                <c:pt idx="3">
                  <c:v>14491.819999999996</c:v>
                </c:pt>
                <c:pt idx="4">
                  <c:v>27459.08</c:v>
                </c:pt>
                <c:pt idx="5">
                  <c:v>56722.599999999991</c:v>
                </c:pt>
                <c:pt idx="6">
                  <c:v>27587.199999999997</c:v>
                </c:pt>
                <c:pt idx="7">
                  <c:v>25280.94999999999</c:v>
                </c:pt>
                <c:pt idx="8">
                  <c:v>49713.149999999994</c:v>
                </c:pt>
                <c:pt idx="9">
                  <c:v>24751.479999999989</c:v>
                </c:pt>
                <c:pt idx="10">
                  <c:v>27701.55</c:v>
                </c:pt>
                <c:pt idx="11">
                  <c:v>47252.59</c:v>
                </c:pt>
              </c:numCache>
            </c:numRef>
          </c:val>
          <c:smooth val="0"/>
          <c:extLst>
            <c:ext xmlns:c16="http://schemas.microsoft.com/office/drawing/2014/chart" uri="{C3380CC4-5D6E-409C-BE32-E72D297353CC}">
              <c16:uniqueId val="{00000000-4474-40B1-9E6E-FE9CE316177A}"/>
            </c:ext>
          </c:extLst>
        </c:ser>
        <c:ser>
          <c:idx val="1"/>
          <c:order val="1"/>
          <c:tx>
            <c:strRef>
              <c:f>'Parts - 330'!$A$53</c:f>
              <c:strCache>
                <c:ptCount val="1"/>
                <c:pt idx="0">
                  <c:v>Total GP Incl FEF FY25</c:v>
                </c:pt>
              </c:strCache>
            </c:strRef>
          </c:tx>
          <c:spPr>
            <a:ln w="28575" cap="rnd">
              <a:solidFill>
                <a:schemeClr val="accent2"/>
              </a:solidFill>
              <a:round/>
            </a:ln>
            <a:effectLst/>
          </c:spPr>
          <c:marker>
            <c:symbol val="none"/>
          </c:marker>
          <c:cat>
            <c:numRef>
              <c:f>'Parts - 330'!$E$23:$P$23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- 330'!$B$53:$P$53</c:f>
              <c:numCache>
                <c:formatCode>"$"#,##0_);[Red]\("$"#,##0\)</c:formatCode>
                <c:ptCount val="12"/>
                <c:pt idx="0">
                  <c:v>23152.148360158091</c:v>
                </c:pt>
                <c:pt idx="1">
                  <c:v>26309.259500179647</c:v>
                </c:pt>
                <c:pt idx="2">
                  <c:v>32542.342790147311</c:v>
                </c:pt>
                <c:pt idx="3">
                  <c:v>26309.259500179647</c:v>
                </c:pt>
                <c:pt idx="4">
                  <c:v>25783.07431017606</c:v>
                </c:pt>
                <c:pt idx="5">
                  <c:v>33920.427831074368</c:v>
                </c:pt>
                <c:pt idx="6">
                  <c:v>25256.889120172462</c:v>
                </c:pt>
                <c:pt idx="7">
                  <c:v>24730.703930168875</c:v>
                </c:pt>
                <c:pt idx="8">
                  <c:v>32640.784723794455</c:v>
                </c:pt>
                <c:pt idx="9">
                  <c:v>23152.148360158091</c:v>
                </c:pt>
                <c:pt idx="10">
                  <c:v>22099.777980150902</c:v>
                </c:pt>
                <c:pt idx="11">
                  <c:v>34105.703930168878</c:v>
                </c:pt>
              </c:numCache>
            </c:numRef>
          </c:val>
          <c:smooth val="0"/>
          <c:extLst>
            <c:ext xmlns:c16="http://schemas.microsoft.com/office/drawing/2014/chart" uri="{C3380CC4-5D6E-409C-BE32-E72D297353CC}">
              <c16:uniqueId val="{00000001-4474-40B1-9E6E-FE9CE316177A}"/>
            </c:ext>
          </c:extLst>
        </c:ser>
        <c:dLbls>
          <c:showLegendKey val="0"/>
          <c:showVal val="0"/>
          <c:showCatName val="0"/>
          <c:showSerName val="0"/>
          <c:showPercent val="0"/>
          <c:showBubbleSize val="0"/>
        </c:dLbls>
        <c:smooth val="0"/>
        <c:axId val="1165797567"/>
        <c:axId val="1165802367"/>
      </c:lineChart>
      <c:dateAx>
        <c:axId val="1165797567"/>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802367"/>
        <c:crosses val="autoZero"/>
        <c:auto val="1"/>
        <c:lblOffset val="100"/>
        <c:baseTimeUnit val="months"/>
      </c:dateAx>
      <c:valAx>
        <c:axId val="11658023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797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'Parts - 430'!$A$50</c:f>
              <c:strCache>
                <c:ptCount val="1"/>
                <c:pt idx="0">
                  <c:v>Total GP Excl FEF FY24</c:v>
                </c:pt>
              </c:strCache>
            </c:strRef>
          </c:tx>
          <c:spPr>
            <a:ln w="28575" cap="rnd">
              <a:solidFill>
                <a:schemeClr val="accent1"/>
              </a:solidFill>
              <a:round/>
            </a:ln>
            <a:effectLst/>
          </c:spPr>
          <c:marker>
            <c:symbol val="none"/>
          </c:marker>
          <c:cat>
            <c:numRef>
              <c:f>'Parts - 430'!$E$23:$P$23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- 430'!$B$50:$P$50</c:f>
              <c:numCache>
                <c:formatCode>"$"#,##0_);[Red]\("$"#,##0\)</c:formatCode>
                <c:ptCount val="12"/>
                <c:pt idx="0">
                  <c:v>29288.02000000003</c:v>
                </c:pt>
                <c:pt idx="1">
                  <c:v>35855.279999999999</c:v>
                </c:pt>
                <c:pt idx="2">
                  <c:v>34809.44999999999</c:v>
                </c:pt>
                <c:pt idx="3">
                  <c:v>42433.48</c:v>
                </c:pt>
                <c:pt idx="4">
                  <c:v>28856.940000000006</c:v>
                </c:pt>
                <c:pt idx="5">
                  <c:v>25346.700000000004</c:v>
                </c:pt>
                <c:pt idx="6">
                  <c:v>29599.799999999985</c:v>
                </c:pt>
                <c:pt idx="7">
                  <c:v>93823.790000000037</c:v>
                </c:pt>
                <c:pt idx="8">
                  <c:v>26524.200000000004</c:v>
                </c:pt>
                <c:pt idx="9">
                  <c:v>27142.44</c:v>
                </c:pt>
                <c:pt idx="10">
                  <c:v>37998.770000000019</c:v>
                </c:pt>
                <c:pt idx="11">
                  <c:v>19131.009999999995</c:v>
                </c:pt>
              </c:numCache>
            </c:numRef>
          </c:val>
          <c:smooth val="0"/>
          <c:extLst>
            <c:ext xmlns:c16="http://schemas.microsoft.com/office/drawing/2014/chart" uri="{C3380CC4-5D6E-409C-BE32-E72D297353CC}">
              <c16:uniqueId val="{00000000-46AA-44CD-A82D-B4280E653F2C}"/>
            </c:ext>
          </c:extLst>
        </c:ser>
        <c:ser>
          <c:idx val="1"/>
          <c:order val="1"/>
          <c:tx>
            <c:strRef>
              <c:f>'Parts - 430'!$A$51</c:f>
              <c:strCache>
                <c:ptCount val="1"/>
                <c:pt idx="0">
                  <c:v>Total GP Excl FEF FY25</c:v>
                </c:pt>
              </c:strCache>
            </c:strRef>
          </c:tx>
          <c:spPr>
            <a:ln w="28575" cap="rnd">
              <a:solidFill>
                <a:schemeClr val="accent2"/>
              </a:solidFill>
              <a:round/>
            </a:ln>
            <a:effectLst/>
          </c:spPr>
          <c:marker>
            <c:symbol val="none"/>
          </c:marker>
          <c:cat>
            <c:numRef>
              <c:f>'Parts - 430'!$E$23:$P$23</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'Parts - 430'!$B$51:$P$51</c:f>
              <c:numCache>
                <c:formatCode>"$"#,##0_);[Red]\("$"#,##0\)</c:formatCode>
                <c:ptCount val="12"/>
                <c:pt idx="0">
                  <c:v>35347.710169140613</c:v>
                </c:pt>
                <c:pt idx="1">
                  <c:v>40167.852464932505</c:v>
                </c:pt>
                <c:pt idx="2">
                  <c:v>32937.639021244657</c:v>
                </c:pt>
                <c:pt idx="3">
                  <c:v>40167.852464932505</c:v>
                </c:pt>
                <c:pt idx="4">
                  <c:v>39364.495415633857</c:v>
                </c:pt>
                <c:pt idx="5">
                  <c:v>36954.424267737908</c:v>
                </c:pt>
                <c:pt idx="6">
                  <c:v>38561.13836633521</c:v>
                </c:pt>
                <c:pt idx="7">
                  <c:v>37757.781317036563</c:v>
                </c:pt>
                <c:pt idx="8">
                  <c:v>35347.710169140613</c:v>
                </c:pt>
                <c:pt idx="9">
                  <c:v>35347.710169140613</c:v>
                </c:pt>
                <c:pt idx="10">
                  <c:v>33740.996070543311</c:v>
                </c:pt>
                <c:pt idx="11">
                  <c:v>37757.781317036563</c:v>
                </c:pt>
              </c:numCache>
            </c:numRef>
          </c:val>
          <c:smooth val="0"/>
          <c:extLst>
            <c:ext xmlns:c16="http://schemas.microsoft.com/office/drawing/2014/chart" uri="{C3380CC4-5D6E-409C-BE32-E72D297353CC}">
              <c16:uniqueId val="{00000001-46AA-44CD-A82D-B4280E653F2C}"/>
            </c:ext>
          </c:extLst>
        </c:ser>
        <c:dLbls>
          <c:showLegendKey val="0"/>
          <c:showVal val="0"/>
          <c:showCatName val="0"/>
          <c:showSerName val="0"/>
          <c:showPercent val="0"/>
          <c:showBubbleSize val="0"/>
        </c:dLbls>
        <c:smooth val="0"/>
        <c:axId val="411660752"/>
        <c:axId val="411657392"/>
      </c:lineChart>
      <c:dateAx>
        <c:axId val="4116607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657392"/>
        <c:crosses val="autoZero"/>
        <c:auto val="1"/>
        <c:lblOffset val="100"/>
        <c:baseTimeUnit val="months"/>
      </c:dateAx>
      <c:valAx>
        <c:axId val="411657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660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Incl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'Parts - 430'!$A$52</c:f>
              <c:strCache>
                <c:ptCount val="1"/>
                <c:pt idx="0">
                  <c:v>Total GP Incl FEF FY24</c:v>
                </c:pt>
              </c:strCache>
            </c:strRef>
          </c:tx>
          <c:spPr>
            <a:ln w="28575" cap="rnd">
              <a:solidFill>
                <a:schemeClr val="accent1"/>
              </a:solidFill>
              <a:round/>
            </a:ln>
            <a:effectLst/>
          </c:spPr>
          <c:marker>
            <c:symbol val="none"/>
          </c:marker>
          <c:val>
            <c:numRef>
              <c:f>'Parts - 430'!$B$52:$P$52</c:f>
              <c:numCache>
                <c:formatCode>"$"#,##0_);[Red]\("$"#,##0\)</c:formatCode>
                <c:ptCount val="12"/>
                <c:pt idx="0">
                  <c:v>29288.02000000003</c:v>
                </c:pt>
                <c:pt idx="1">
                  <c:v>35855.279999999999</c:v>
                </c:pt>
                <c:pt idx="2">
                  <c:v>34809.44999999999</c:v>
                </c:pt>
                <c:pt idx="3">
                  <c:v>42433.48</c:v>
                </c:pt>
                <c:pt idx="4">
                  <c:v>28856.940000000006</c:v>
                </c:pt>
                <c:pt idx="5">
                  <c:v>32821.700000000004</c:v>
                </c:pt>
                <c:pt idx="6">
                  <c:v>29599.799999999985</c:v>
                </c:pt>
                <c:pt idx="7">
                  <c:v>93823.790000000037</c:v>
                </c:pt>
                <c:pt idx="8">
                  <c:v>48124.200000000004</c:v>
                </c:pt>
                <c:pt idx="9">
                  <c:v>27142.44</c:v>
                </c:pt>
                <c:pt idx="10">
                  <c:v>37998.770000000019</c:v>
                </c:pt>
                <c:pt idx="11">
                  <c:v>43656.009999999995</c:v>
                </c:pt>
              </c:numCache>
            </c:numRef>
          </c:val>
          <c:smooth val="0"/>
          <c:extLst>
            <c:ext xmlns:c16="http://schemas.microsoft.com/office/drawing/2014/chart" uri="{C3380CC4-5D6E-409C-BE32-E72D297353CC}">
              <c16:uniqueId val="{00000000-406C-4F52-A6CA-D5A80882F1D1}"/>
            </c:ext>
          </c:extLst>
        </c:ser>
        <c:ser>
          <c:idx val="1"/>
          <c:order val="1"/>
          <c:tx>
            <c:strRef>
              <c:f>'Parts - 430'!$A$53</c:f>
              <c:strCache>
                <c:ptCount val="1"/>
                <c:pt idx="0">
                  <c:v>Total GP Incl FEF FY25</c:v>
                </c:pt>
              </c:strCache>
            </c:strRef>
          </c:tx>
          <c:spPr>
            <a:ln w="28575" cap="rnd">
              <a:solidFill>
                <a:schemeClr val="accent2"/>
              </a:solidFill>
              <a:round/>
            </a:ln>
            <a:effectLst/>
          </c:spPr>
          <c:marker>
            <c:symbol val="none"/>
          </c:marker>
          <c:val>
            <c:numRef>
              <c:f>'Parts - 430'!$B$53:$P$53</c:f>
              <c:numCache>
                <c:formatCode>"$"#,##0_);[Red]\("$"#,##0\)</c:formatCode>
                <c:ptCount val="12"/>
                <c:pt idx="0">
                  <c:v>35347.710169140613</c:v>
                </c:pt>
                <c:pt idx="1">
                  <c:v>40167.852464932505</c:v>
                </c:pt>
                <c:pt idx="2">
                  <c:v>43906.389021244657</c:v>
                </c:pt>
                <c:pt idx="3">
                  <c:v>40167.852464932505</c:v>
                </c:pt>
                <c:pt idx="4">
                  <c:v>39364.495415633857</c:v>
                </c:pt>
                <c:pt idx="5">
                  <c:v>46670.333358646996</c:v>
                </c:pt>
                <c:pt idx="6">
                  <c:v>38561.13836633521</c:v>
                </c:pt>
                <c:pt idx="7">
                  <c:v>37757.781317036563</c:v>
                </c:pt>
                <c:pt idx="8">
                  <c:v>44836.346532776981</c:v>
                </c:pt>
                <c:pt idx="9">
                  <c:v>35347.710169140613</c:v>
                </c:pt>
                <c:pt idx="10">
                  <c:v>33740.996070543311</c:v>
                </c:pt>
                <c:pt idx="11">
                  <c:v>47132.781317036563</c:v>
                </c:pt>
              </c:numCache>
            </c:numRef>
          </c:val>
          <c:smooth val="0"/>
          <c:extLst>
            <c:ext xmlns:c16="http://schemas.microsoft.com/office/drawing/2014/chart" uri="{C3380CC4-5D6E-409C-BE32-E72D297353CC}">
              <c16:uniqueId val="{00000001-406C-4F52-A6CA-D5A80882F1D1}"/>
            </c:ext>
          </c:extLst>
        </c:ser>
        <c:dLbls>
          <c:showLegendKey val="0"/>
          <c:showVal val="0"/>
          <c:showCatName val="0"/>
          <c:showSerName val="0"/>
          <c:showPercent val="0"/>
          <c:showBubbleSize val="0"/>
        </c:dLbls>
        <c:smooth val="0"/>
        <c:axId val="666065072"/>
        <c:axId val="666065552"/>
      </c:lineChart>
      <c:catAx>
        <c:axId val="66606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065552"/>
        <c:crosses val="autoZero"/>
        <c:auto val="1"/>
        <c:lblAlgn val="ctr"/>
        <c:lblOffset val="100"/>
        <c:noMultiLvlLbl val="0"/>
      </c:catAx>
      <c:valAx>
        <c:axId val="666065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06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'Service - Group '!$A$55</c:f>
              <c:strCache>
                <c:ptCount val="1"/>
                <c:pt idx="0">
                  <c:v>Total GP Excl FEF FY24</c:v>
                </c:pt>
              </c:strCache>
            </c:strRef>
          </c:tx>
          <c:spPr>
            <a:ln w="28575" cap="rnd">
              <a:solidFill>
                <a:schemeClr val="accent1"/>
              </a:solidFill>
              <a:round/>
            </a:ln>
            <a:effectLst/>
          </c:spPr>
          <c:marker>
            <c:symbol val="none"/>
          </c:marker>
          <c:cat>
            <c:numRef>
              <c:f>'Service - Group '!$E$21:$P$21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'Service - Group '!$B$55:$P$55</c:f>
              <c:numCache>
                <c:formatCode>"$"#,##0_);[Red]\("$"#,##0\)</c:formatCode>
                <c:ptCount val="12"/>
                <c:pt idx="0">
                  <c:v>368801.33</c:v>
                </c:pt>
                <c:pt idx="1">
                  <c:v>597915.25</c:v>
                </c:pt>
                <c:pt idx="2">
                  <c:v>504621.73</c:v>
                </c:pt>
                <c:pt idx="3">
                  <c:v>449670.81999999995</c:v>
                </c:pt>
                <c:pt idx="4">
                  <c:v>578960.68999999994</c:v>
                </c:pt>
                <c:pt idx="5">
                  <c:v>493007.28</c:v>
                </c:pt>
                <c:pt idx="6">
                  <c:v>499217.16999999993</c:v>
                </c:pt>
                <c:pt idx="7">
                  <c:v>600508.47000000009</c:v>
                </c:pt>
                <c:pt idx="8">
                  <c:v>529229.31999999995</c:v>
                </c:pt>
                <c:pt idx="9">
                  <c:v>491371.74</c:v>
                </c:pt>
                <c:pt idx="10">
                  <c:v>496542.52</c:v>
                </c:pt>
                <c:pt idx="11">
                  <c:v>519480.52999999997</c:v>
                </c:pt>
              </c:numCache>
            </c:numRef>
          </c:val>
          <c:smooth val="0"/>
          <c:extLst>
            <c:ext xmlns:c16="http://schemas.microsoft.com/office/drawing/2014/chart" uri="{C3380CC4-5D6E-409C-BE32-E72D297353CC}">
              <c16:uniqueId val="{00000000-EDB2-4D14-A91D-9B05628DAA9C}"/>
            </c:ext>
          </c:extLst>
        </c:ser>
        <c:ser>
          <c:idx val="1"/>
          <c:order val="1"/>
          <c:tx>
            <c:strRef>
              <c:f>'Service - Group '!$A$56</c:f>
              <c:strCache>
                <c:ptCount val="1"/>
                <c:pt idx="0">
                  <c:v>Total GP Excl FEF FY25</c:v>
                </c:pt>
              </c:strCache>
            </c:strRef>
          </c:tx>
          <c:spPr>
            <a:ln w="28575" cap="rnd">
              <a:solidFill>
                <a:schemeClr val="accent2"/>
              </a:solidFill>
              <a:round/>
            </a:ln>
            <a:effectLst/>
          </c:spPr>
          <c:marker>
            <c:symbol val="none"/>
          </c:marker>
          <c:cat>
            <c:numRef>
              <c:f>'Service - Group '!$E$21:$P$21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'Service - Group '!$B$56:$P$56</c:f>
              <c:numCache>
                <c:formatCode>"$"#,##0_);[Red]\("$"#,##0\)</c:formatCode>
                <c:ptCount val="12"/>
                <c:pt idx="0">
                  <c:v>512300.08568302717</c:v>
                </c:pt>
                <c:pt idx="1">
                  <c:v>582159.18827616703</c:v>
                </c:pt>
                <c:pt idx="2">
                  <c:v>477370.534386457</c:v>
                </c:pt>
                <c:pt idx="3">
                  <c:v>582159.18827616703</c:v>
                </c:pt>
                <c:pt idx="4">
                  <c:v>570516.00451064389</c:v>
                </c:pt>
                <c:pt idx="5">
                  <c:v>535586.45321407379</c:v>
                </c:pt>
                <c:pt idx="6">
                  <c:v>558872.82074512041</c:v>
                </c:pt>
                <c:pt idx="7">
                  <c:v>547229.63697959716</c:v>
                </c:pt>
                <c:pt idx="8">
                  <c:v>512300.08568302717</c:v>
                </c:pt>
                <c:pt idx="9">
                  <c:v>512300.08568302717</c:v>
                </c:pt>
                <c:pt idx="10">
                  <c:v>489013.71815198037</c:v>
                </c:pt>
                <c:pt idx="11">
                  <c:v>547229.63697959716</c:v>
                </c:pt>
              </c:numCache>
            </c:numRef>
          </c:val>
          <c:smooth val="0"/>
          <c:extLst>
            <c:ext xmlns:c16="http://schemas.microsoft.com/office/drawing/2014/chart" uri="{C3380CC4-5D6E-409C-BE32-E72D297353CC}">
              <c16:uniqueId val="{00000001-EDB2-4D14-A91D-9B05628DAA9C}"/>
            </c:ext>
          </c:extLst>
        </c:ser>
        <c:dLbls>
          <c:showLegendKey val="0"/>
          <c:showVal val="0"/>
          <c:showCatName val="0"/>
          <c:showSerName val="0"/>
          <c:showPercent val="0"/>
          <c:showBubbleSize val="0"/>
        </c:dLbls>
        <c:smooth val="0"/>
        <c:axId val="1816932015"/>
        <c:axId val="1816925295"/>
      </c:lineChart>
      <c:dateAx>
        <c:axId val="1816932015"/>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925295"/>
        <c:crosses val="autoZero"/>
        <c:auto val="1"/>
        <c:lblOffset val="100"/>
        <c:baseTimeUnit val="months"/>
      </c:dateAx>
      <c:valAx>
        <c:axId val="1816925295"/>
        <c:scaling>
          <c:orientation val="minMax"/>
          <c:min val="30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93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'Service - 140 '!$A$46</c:f>
              <c:strCache>
                <c:ptCount val="1"/>
                <c:pt idx="0">
                  <c:v>Total GP Excl FEF FY24</c:v>
                </c:pt>
              </c:strCache>
            </c:strRef>
          </c:tx>
          <c:spPr>
            <a:ln w="28575" cap="rnd">
              <a:solidFill>
                <a:schemeClr val="accent1"/>
              </a:solidFill>
              <a:round/>
            </a:ln>
            <a:effectLst/>
          </c:spPr>
          <c:marker>
            <c:symbol val="none"/>
          </c:marker>
          <c:cat>
            <c:numRef>
              <c:f>'Service - 140 '!$E$21:$P$21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'Service - 140 '!$B$46:$P$46</c:f>
              <c:numCache>
                <c:formatCode>"$"#,##0_);[Red]\("$"#,##0\)</c:formatCode>
                <c:ptCount val="12"/>
                <c:pt idx="0">
                  <c:v>113463.83999999998</c:v>
                </c:pt>
                <c:pt idx="1">
                  <c:v>188496.34</c:v>
                </c:pt>
                <c:pt idx="2">
                  <c:v>154154.65</c:v>
                </c:pt>
                <c:pt idx="3">
                  <c:v>125061.34999999998</c:v>
                </c:pt>
                <c:pt idx="4">
                  <c:v>176625.05</c:v>
                </c:pt>
                <c:pt idx="5">
                  <c:v>168713.88000000003</c:v>
                </c:pt>
                <c:pt idx="6">
                  <c:v>151145.46</c:v>
                </c:pt>
                <c:pt idx="7">
                  <c:v>187858.98</c:v>
                </c:pt>
                <c:pt idx="8">
                  <c:v>174557.17</c:v>
                </c:pt>
                <c:pt idx="9">
                  <c:v>152088.72999999998</c:v>
                </c:pt>
                <c:pt idx="10">
                  <c:v>170822.12</c:v>
                </c:pt>
                <c:pt idx="11">
                  <c:v>182306.64</c:v>
                </c:pt>
              </c:numCache>
            </c:numRef>
          </c:val>
          <c:smooth val="0"/>
          <c:extLst>
            <c:ext xmlns:c16="http://schemas.microsoft.com/office/drawing/2014/chart" uri="{C3380CC4-5D6E-409C-BE32-E72D297353CC}">
              <c16:uniqueId val="{00000000-C96C-4736-A872-D6043742240A}"/>
            </c:ext>
          </c:extLst>
        </c:ser>
        <c:ser>
          <c:idx val="1"/>
          <c:order val="1"/>
          <c:tx>
            <c:strRef>
              <c:f>'Service - 140 '!$A$47</c:f>
              <c:strCache>
                <c:ptCount val="1"/>
                <c:pt idx="0">
                  <c:v>Total GP Excl FEF FY25</c:v>
                </c:pt>
              </c:strCache>
            </c:strRef>
          </c:tx>
          <c:spPr>
            <a:ln w="28575" cap="rnd">
              <a:solidFill>
                <a:schemeClr val="accent2"/>
              </a:solidFill>
              <a:round/>
            </a:ln>
            <a:effectLst/>
          </c:spPr>
          <c:marker>
            <c:symbol val="none"/>
          </c:marker>
          <c:cat>
            <c:numRef>
              <c:f>'Service - 140 '!$E$21:$P$21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'Service - 140 '!$B$47:$P$47</c:f>
              <c:numCache>
                <c:formatCode>"$"#,##0_);[Red]\("$"#,##0\)</c:formatCode>
                <c:ptCount val="12"/>
                <c:pt idx="0">
                  <c:v>159791.27895701159</c:v>
                </c:pt>
                <c:pt idx="1">
                  <c:v>181580.99881478585</c:v>
                </c:pt>
                <c:pt idx="2">
                  <c:v>148896.41902812439</c:v>
                </c:pt>
                <c:pt idx="3">
                  <c:v>181580.99881478585</c:v>
                </c:pt>
                <c:pt idx="4">
                  <c:v>177949.37883849017</c:v>
                </c:pt>
                <c:pt idx="5">
                  <c:v>167054.51890960301</c:v>
                </c:pt>
                <c:pt idx="6">
                  <c:v>174317.7588621944</c:v>
                </c:pt>
                <c:pt idx="7">
                  <c:v>170686.13888589872</c:v>
                </c:pt>
                <c:pt idx="8">
                  <c:v>159791.27895701159</c:v>
                </c:pt>
                <c:pt idx="9">
                  <c:v>159791.27895701159</c:v>
                </c:pt>
                <c:pt idx="10">
                  <c:v>152528.0390044201</c:v>
                </c:pt>
                <c:pt idx="11">
                  <c:v>170686.13888589872</c:v>
                </c:pt>
              </c:numCache>
            </c:numRef>
          </c:val>
          <c:smooth val="0"/>
          <c:extLst>
            <c:ext xmlns:c16="http://schemas.microsoft.com/office/drawing/2014/chart" uri="{C3380CC4-5D6E-409C-BE32-E72D297353CC}">
              <c16:uniqueId val="{00000001-C96C-4736-A872-D6043742240A}"/>
            </c:ext>
          </c:extLst>
        </c:ser>
        <c:dLbls>
          <c:showLegendKey val="0"/>
          <c:showVal val="0"/>
          <c:showCatName val="0"/>
          <c:showSerName val="0"/>
          <c:showPercent val="0"/>
          <c:showBubbleSize val="0"/>
        </c:dLbls>
        <c:smooth val="0"/>
        <c:axId val="777772880"/>
        <c:axId val="777771920"/>
      </c:lineChart>
      <c:dateAx>
        <c:axId val="777772880"/>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71920"/>
        <c:crosses val="autoZero"/>
        <c:auto val="1"/>
        <c:lblOffset val="100"/>
        <c:baseTimeUnit val="months"/>
      </c:dateAx>
      <c:valAx>
        <c:axId val="777771920"/>
        <c:scaling>
          <c:orientation val="minMax"/>
          <c:min val="10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72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'Service - 240'!$A$46</c:f>
              <c:strCache>
                <c:ptCount val="1"/>
                <c:pt idx="0">
                  <c:v>Total GP Excl FEF FY24</c:v>
                </c:pt>
              </c:strCache>
            </c:strRef>
          </c:tx>
          <c:spPr>
            <a:ln w="28575" cap="rnd">
              <a:solidFill>
                <a:schemeClr val="accent1"/>
              </a:solidFill>
              <a:round/>
            </a:ln>
            <a:effectLst/>
          </c:spPr>
          <c:marker>
            <c:symbol val="none"/>
          </c:marker>
          <c:cat>
            <c:numRef>
              <c:f>'Service - 240'!$E$21:$P$21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'Service - 240'!$B$46:$P$46</c:f>
              <c:numCache>
                <c:formatCode>"$"#,##0_);[Red]\("$"#,##0\)</c:formatCode>
                <c:ptCount val="12"/>
                <c:pt idx="0">
                  <c:v>66088.949999999983</c:v>
                </c:pt>
                <c:pt idx="1">
                  <c:v>103496.74</c:v>
                </c:pt>
                <c:pt idx="2">
                  <c:v>91427.68</c:v>
                </c:pt>
                <c:pt idx="3">
                  <c:v>82714.529999999984</c:v>
                </c:pt>
                <c:pt idx="4">
                  <c:v>110809.51999999997</c:v>
                </c:pt>
                <c:pt idx="5">
                  <c:v>85328.579999999987</c:v>
                </c:pt>
                <c:pt idx="6">
                  <c:v>85245.21</c:v>
                </c:pt>
                <c:pt idx="7">
                  <c:v>103323.31000000001</c:v>
                </c:pt>
                <c:pt idx="8">
                  <c:v>89446.590000000011</c:v>
                </c:pt>
                <c:pt idx="9">
                  <c:v>82696.25</c:v>
                </c:pt>
                <c:pt idx="10">
                  <c:v>82408.159999999989</c:v>
                </c:pt>
                <c:pt idx="11">
                  <c:v>87572.38</c:v>
                </c:pt>
              </c:numCache>
            </c:numRef>
          </c:val>
          <c:smooth val="0"/>
          <c:extLst>
            <c:ext xmlns:c16="http://schemas.microsoft.com/office/drawing/2014/chart" uri="{C3380CC4-5D6E-409C-BE32-E72D297353CC}">
              <c16:uniqueId val="{00000000-34A8-4FA5-A0E8-0BF91DB96618}"/>
            </c:ext>
          </c:extLst>
        </c:ser>
        <c:ser>
          <c:idx val="1"/>
          <c:order val="1"/>
          <c:tx>
            <c:strRef>
              <c:f>'Service - 240'!$A$47</c:f>
              <c:strCache>
                <c:ptCount val="1"/>
                <c:pt idx="0">
                  <c:v>Total GP Excl FEF FY25</c:v>
                </c:pt>
              </c:strCache>
            </c:strRef>
          </c:tx>
          <c:spPr>
            <a:ln w="28575" cap="rnd">
              <a:solidFill>
                <a:schemeClr val="accent2"/>
              </a:solidFill>
              <a:round/>
            </a:ln>
            <a:effectLst/>
          </c:spPr>
          <c:marker>
            <c:symbol val="none"/>
          </c:marker>
          <c:cat>
            <c:numRef>
              <c:f>'Service - 240'!$E$21:$P$21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'Service - 240'!$B$47:$P$47</c:f>
              <c:numCache>
                <c:formatCode>"$"#,##0_);[Red]\("$"#,##0\)</c:formatCode>
                <c:ptCount val="12"/>
                <c:pt idx="0">
                  <c:v>88911.455352612073</c:v>
                </c:pt>
                <c:pt idx="1">
                  <c:v>101035.74471887737</c:v>
                </c:pt>
                <c:pt idx="2">
                  <c:v>82849.310669479441</c:v>
                </c:pt>
                <c:pt idx="3">
                  <c:v>101035.74471887737</c:v>
                </c:pt>
                <c:pt idx="4">
                  <c:v>99015.029824499827</c:v>
                </c:pt>
                <c:pt idx="5">
                  <c:v>92952.885141367165</c:v>
                </c:pt>
                <c:pt idx="6">
                  <c:v>96994.314930122273</c:v>
                </c:pt>
                <c:pt idx="7">
                  <c:v>94973.600035744734</c:v>
                </c:pt>
                <c:pt idx="8">
                  <c:v>88911.455352612073</c:v>
                </c:pt>
                <c:pt idx="9">
                  <c:v>88911.455352612073</c:v>
                </c:pt>
                <c:pt idx="10">
                  <c:v>84870.02556385698</c:v>
                </c:pt>
                <c:pt idx="11">
                  <c:v>94973.600035744734</c:v>
                </c:pt>
              </c:numCache>
            </c:numRef>
          </c:val>
          <c:smooth val="0"/>
          <c:extLst>
            <c:ext xmlns:c16="http://schemas.microsoft.com/office/drawing/2014/chart" uri="{C3380CC4-5D6E-409C-BE32-E72D297353CC}">
              <c16:uniqueId val="{00000001-34A8-4FA5-A0E8-0BF91DB96618}"/>
            </c:ext>
          </c:extLst>
        </c:ser>
        <c:dLbls>
          <c:showLegendKey val="0"/>
          <c:showVal val="0"/>
          <c:showCatName val="0"/>
          <c:showSerName val="0"/>
          <c:showPercent val="0"/>
          <c:showBubbleSize val="0"/>
        </c:dLbls>
        <c:smooth val="0"/>
        <c:axId val="815045632"/>
        <c:axId val="815040352"/>
      </c:lineChart>
      <c:dateAx>
        <c:axId val="81504563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040352"/>
        <c:crosses val="autoZero"/>
        <c:auto val="1"/>
        <c:lblOffset val="100"/>
        <c:baseTimeUnit val="months"/>
      </c:dateAx>
      <c:valAx>
        <c:axId val="815040352"/>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04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'Service - 340'!$A$46</c:f>
              <c:strCache>
                <c:ptCount val="1"/>
                <c:pt idx="0">
                  <c:v>Total GP Excl FEF FY24</c:v>
                </c:pt>
              </c:strCache>
            </c:strRef>
          </c:tx>
          <c:spPr>
            <a:ln w="28575" cap="rnd">
              <a:solidFill>
                <a:schemeClr val="accent1"/>
              </a:solidFill>
              <a:round/>
            </a:ln>
            <a:effectLst/>
          </c:spPr>
          <c:marker>
            <c:symbol val="none"/>
          </c:marker>
          <c:cat>
            <c:numRef>
              <c:f>'Service - 340'!$E$21:$P$21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'Service - 340'!$B$46:$P$46</c:f>
              <c:numCache>
                <c:formatCode>"$"#,##0_);[Red]\("$"#,##0\)</c:formatCode>
                <c:ptCount val="12"/>
                <c:pt idx="0">
                  <c:v>46379.89</c:v>
                </c:pt>
                <c:pt idx="1">
                  <c:v>61194.73000000001</c:v>
                </c:pt>
                <c:pt idx="2">
                  <c:v>57584.22</c:v>
                </c:pt>
                <c:pt idx="3">
                  <c:v>64284.480000000003</c:v>
                </c:pt>
                <c:pt idx="4">
                  <c:v>72009.520000000019</c:v>
                </c:pt>
                <c:pt idx="5">
                  <c:v>64159.359999999993</c:v>
                </c:pt>
                <c:pt idx="6">
                  <c:v>71307.879999999976</c:v>
                </c:pt>
                <c:pt idx="7">
                  <c:v>69942.930000000008</c:v>
                </c:pt>
                <c:pt idx="8">
                  <c:v>60685.9</c:v>
                </c:pt>
                <c:pt idx="9">
                  <c:v>57630.429999999993</c:v>
                </c:pt>
                <c:pt idx="10">
                  <c:v>61878.840000000011</c:v>
                </c:pt>
                <c:pt idx="11">
                  <c:v>62934.980000000025</c:v>
                </c:pt>
              </c:numCache>
            </c:numRef>
          </c:val>
          <c:smooth val="0"/>
          <c:extLst>
            <c:ext xmlns:c16="http://schemas.microsoft.com/office/drawing/2014/chart" uri="{C3380CC4-5D6E-409C-BE32-E72D297353CC}">
              <c16:uniqueId val="{00000000-3375-49BA-9629-ACE919465ACC}"/>
            </c:ext>
          </c:extLst>
        </c:ser>
        <c:ser>
          <c:idx val="1"/>
          <c:order val="1"/>
          <c:tx>
            <c:strRef>
              <c:f>'Service - 340'!$A$47</c:f>
              <c:strCache>
                <c:ptCount val="1"/>
                <c:pt idx="0">
                  <c:v>Total GP Excl FEF FY25</c:v>
                </c:pt>
              </c:strCache>
            </c:strRef>
          </c:tx>
          <c:spPr>
            <a:ln w="28575" cap="rnd">
              <a:solidFill>
                <a:schemeClr val="accent2"/>
              </a:solidFill>
              <a:round/>
            </a:ln>
            <a:effectLst/>
          </c:spPr>
          <c:marker>
            <c:symbol val="none"/>
          </c:marker>
          <c:cat>
            <c:numRef>
              <c:f>'Service - 340'!$E$21:$P$21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'Service - 340'!$B$47:$P$47</c:f>
              <c:numCache>
                <c:formatCode>"$"#,##0_);[Red]\("$"#,##0\)</c:formatCode>
                <c:ptCount val="12"/>
                <c:pt idx="0">
                  <c:v>62022.157024575281</c:v>
                </c:pt>
                <c:pt idx="1">
                  <c:v>70479.723891562811</c:v>
                </c:pt>
                <c:pt idx="2">
                  <c:v>57793.373591081501</c:v>
                </c:pt>
                <c:pt idx="3">
                  <c:v>70479.723891562811</c:v>
                </c:pt>
                <c:pt idx="4">
                  <c:v>69070.129413731556</c:v>
                </c:pt>
                <c:pt idx="5">
                  <c:v>64841.345980237791</c:v>
                </c:pt>
                <c:pt idx="6">
                  <c:v>67660.534935900301</c:v>
                </c:pt>
                <c:pt idx="7">
                  <c:v>66250.940458069046</c:v>
                </c:pt>
                <c:pt idx="8">
                  <c:v>62022.157024575281</c:v>
                </c:pt>
                <c:pt idx="9">
                  <c:v>62022.157024575281</c:v>
                </c:pt>
                <c:pt idx="10">
                  <c:v>59202.968068912756</c:v>
                </c:pt>
                <c:pt idx="11">
                  <c:v>66250.940458069046</c:v>
                </c:pt>
              </c:numCache>
            </c:numRef>
          </c:val>
          <c:smooth val="0"/>
          <c:extLst>
            <c:ext xmlns:c16="http://schemas.microsoft.com/office/drawing/2014/chart" uri="{C3380CC4-5D6E-409C-BE32-E72D297353CC}">
              <c16:uniqueId val="{00000001-3375-49BA-9629-ACE919465ACC}"/>
            </c:ext>
          </c:extLst>
        </c:ser>
        <c:dLbls>
          <c:showLegendKey val="0"/>
          <c:showVal val="0"/>
          <c:showCatName val="0"/>
          <c:showSerName val="0"/>
          <c:showPercent val="0"/>
          <c:showBubbleSize val="0"/>
        </c:dLbls>
        <c:smooth val="0"/>
        <c:axId val="742033584"/>
        <c:axId val="742034544"/>
      </c:lineChart>
      <c:dateAx>
        <c:axId val="74203358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034544"/>
        <c:crosses val="autoZero"/>
        <c:auto val="1"/>
        <c:lblOffset val="100"/>
        <c:baseTimeUnit val="months"/>
      </c:dateAx>
      <c:valAx>
        <c:axId val="742034544"/>
        <c:scaling>
          <c:orientation val="minMax"/>
          <c:min val="4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033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'Service - 440'!$A$46</c:f>
              <c:strCache>
                <c:ptCount val="1"/>
                <c:pt idx="0">
                  <c:v>Total GP Excl FEF FY24</c:v>
                </c:pt>
              </c:strCache>
            </c:strRef>
          </c:tx>
          <c:spPr>
            <a:ln w="28575" cap="rnd">
              <a:solidFill>
                <a:schemeClr val="accent1"/>
              </a:solidFill>
              <a:round/>
            </a:ln>
            <a:effectLst/>
          </c:spPr>
          <c:marker>
            <c:symbol val="none"/>
          </c:marker>
          <c:val>
            <c:numRef>
              <c:f>'Service - 440'!$B$46:$P$46</c:f>
              <c:numCache>
                <c:formatCode>"$"#,##0_);[Red]\("$"#,##0\)</c:formatCode>
                <c:ptCount val="12"/>
                <c:pt idx="0">
                  <c:v>59946.25</c:v>
                </c:pt>
                <c:pt idx="1">
                  <c:v>93463.58</c:v>
                </c:pt>
                <c:pt idx="2">
                  <c:v>74482.880000000005</c:v>
                </c:pt>
                <c:pt idx="3">
                  <c:v>67867</c:v>
                </c:pt>
                <c:pt idx="4">
                  <c:v>83190.76999999999</c:v>
                </c:pt>
                <c:pt idx="5">
                  <c:v>68635.72</c:v>
                </c:pt>
                <c:pt idx="6">
                  <c:v>73115.149999999994</c:v>
                </c:pt>
                <c:pt idx="7">
                  <c:v>92177.08</c:v>
                </c:pt>
                <c:pt idx="8">
                  <c:v>71177.37</c:v>
                </c:pt>
                <c:pt idx="9">
                  <c:v>84359.200000000012</c:v>
                </c:pt>
                <c:pt idx="10">
                  <c:v>79638.070000000007</c:v>
                </c:pt>
                <c:pt idx="11">
                  <c:v>79763.959999999992</c:v>
                </c:pt>
              </c:numCache>
            </c:numRef>
          </c:val>
          <c:smooth val="0"/>
          <c:extLst>
            <c:ext xmlns:c16="http://schemas.microsoft.com/office/drawing/2014/chart" uri="{C3380CC4-5D6E-409C-BE32-E72D297353CC}">
              <c16:uniqueId val="{00000000-4007-4D5A-9E84-CE8D77AD06C5}"/>
            </c:ext>
          </c:extLst>
        </c:ser>
        <c:ser>
          <c:idx val="1"/>
          <c:order val="1"/>
          <c:tx>
            <c:strRef>
              <c:f>'Service - 440'!$A$47</c:f>
              <c:strCache>
                <c:ptCount val="1"/>
                <c:pt idx="0">
                  <c:v>Total GP Excl FEF FY25</c:v>
                </c:pt>
              </c:strCache>
            </c:strRef>
          </c:tx>
          <c:spPr>
            <a:ln w="28575" cap="rnd">
              <a:solidFill>
                <a:schemeClr val="accent2"/>
              </a:solidFill>
              <a:round/>
            </a:ln>
            <a:effectLst/>
          </c:spPr>
          <c:marker>
            <c:symbol val="none"/>
          </c:marker>
          <c:val>
            <c:numRef>
              <c:f>'Service - 440'!$B$47:$P$47</c:f>
              <c:numCache>
                <c:formatCode>"$"#,##0_);[Red]\("$"#,##0\)</c:formatCode>
                <c:ptCount val="12"/>
                <c:pt idx="0">
                  <c:v>82929.168874134062</c:v>
                </c:pt>
                <c:pt idx="1">
                  <c:v>94237.691902425053</c:v>
                </c:pt>
                <c:pt idx="2">
                  <c:v>77274.907359988545</c:v>
                </c:pt>
                <c:pt idx="3">
                  <c:v>94237.691902425053</c:v>
                </c:pt>
                <c:pt idx="4">
                  <c:v>92352.938064376562</c:v>
                </c:pt>
                <c:pt idx="5">
                  <c:v>86698.676550231059</c:v>
                </c:pt>
                <c:pt idx="6">
                  <c:v>90468.184226328041</c:v>
                </c:pt>
                <c:pt idx="7">
                  <c:v>88583.430388279565</c:v>
                </c:pt>
                <c:pt idx="8">
                  <c:v>82929.168874134062</c:v>
                </c:pt>
                <c:pt idx="9">
                  <c:v>82929.168874134062</c:v>
                </c:pt>
                <c:pt idx="10">
                  <c:v>79159.661198037036</c:v>
                </c:pt>
                <c:pt idx="11">
                  <c:v>88583.430388279565</c:v>
                </c:pt>
              </c:numCache>
            </c:numRef>
          </c:val>
          <c:smooth val="0"/>
          <c:extLst>
            <c:ext xmlns:c16="http://schemas.microsoft.com/office/drawing/2014/chart" uri="{C3380CC4-5D6E-409C-BE32-E72D297353CC}">
              <c16:uniqueId val="{00000001-4007-4D5A-9E84-CE8D77AD06C5}"/>
            </c:ext>
          </c:extLst>
        </c:ser>
        <c:dLbls>
          <c:showLegendKey val="0"/>
          <c:showVal val="0"/>
          <c:showCatName val="0"/>
          <c:showSerName val="0"/>
          <c:showPercent val="0"/>
          <c:showBubbleSize val="0"/>
        </c:dLbls>
        <c:smooth val="0"/>
        <c:axId val="429146160"/>
        <c:axId val="429147120"/>
      </c:lineChart>
      <c:catAx>
        <c:axId val="42914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147120"/>
        <c:crosses val="autoZero"/>
        <c:auto val="1"/>
        <c:lblAlgn val="ctr"/>
        <c:lblOffset val="100"/>
        <c:noMultiLvlLbl val="0"/>
      </c:catAx>
      <c:valAx>
        <c:axId val="429147120"/>
        <c:scaling>
          <c:orientation val="minMax"/>
          <c:min val="58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146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'Toyota - Admin'!$E$29</c:f>
              <c:strCache>
                <c:ptCount val="1"/>
                <c:pt idx="0">
                  <c:v>2024 Year CYTD Average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99-480E-BC6A-FA16F24826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99-480E-BC6A-FA16F24826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99-480E-BC6A-FA16F24826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99-480E-BC6A-FA16F24826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99-480E-BC6A-FA16F24826E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F99-480E-BC6A-FA16F24826E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F99-480E-BC6A-FA16F24826E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F99-480E-BC6A-FA16F24826E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F99-480E-BC6A-FA16F24826E4}"/>
              </c:ext>
            </c:extLst>
          </c:dPt>
          <c:cat>
            <c:strRef>
              <c:f>'Toyota - Admin'!$A$30:$D$38</c:f>
              <c:strCache>
                <c:ptCount val="9"/>
                <c:pt idx="0">
                  <c:v>Staff Remuneration &amp; Benefits</c:v>
                </c:pt>
                <c:pt idx="1">
                  <c:v>Rent &amp; Rates</c:v>
                </c:pt>
                <c:pt idx="2">
                  <c:v>Depreciation</c:v>
                </c:pt>
                <c:pt idx="3">
                  <c:v>Interest &amp; Bank Charges</c:v>
                </c:pt>
                <c:pt idx="4">
                  <c:v>Insurance</c:v>
                </c:pt>
                <c:pt idx="5">
                  <c:v>Data Processing</c:v>
                </c:pt>
                <c:pt idx="6">
                  <c:v>R&amp;M and Cleaning</c:v>
                </c:pt>
                <c:pt idx="7">
                  <c:v>Professional Fees</c:v>
                </c:pt>
                <c:pt idx="8">
                  <c:v>Other Overheads</c:v>
                </c:pt>
              </c:strCache>
            </c:strRef>
          </c:cat>
          <c:val>
            <c:numRef>
              <c:f>'Toyota - Admin'!$E$30:$E$38</c:f>
              <c:numCache>
                <c:formatCode>0.00%</c:formatCode>
                <c:ptCount val="9"/>
                <c:pt idx="0">
                  <c:v>0.13200000000000001</c:v>
                </c:pt>
                <c:pt idx="1">
                  <c:v>9.5000000000000001E-2</c:v>
                </c:pt>
                <c:pt idx="2">
                  <c:v>3.7999999999999999E-2</c:v>
                </c:pt>
                <c:pt idx="3">
                  <c:v>5.0000000000000001E-3</c:v>
                </c:pt>
                <c:pt idx="4">
                  <c:v>2.1000000000000001E-2</c:v>
                </c:pt>
                <c:pt idx="5">
                  <c:v>1.9E-2</c:v>
                </c:pt>
                <c:pt idx="6">
                  <c:v>2.7E-2</c:v>
                </c:pt>
                <c:pt idx="7">
                  <c:v>8.0000000000000002E-3</c:v>
                </c:pt>
                <c:pt idx="8">
                  <c:v>3.7999999999999999E-2</c:v>
                </c:pt>
              </c:numCache>
            </c:numRef>
          </c:val>
          <c:extLst>
            <c:ext xmlns:c16="http://schemas.microsoft.com/office/drawing/2014/chart" uri="{C3380CC4-5D6E-409C-BE32-E72D297353CC}">
              <c16:uniqueId val="{00000000-9718-4706-91B1-C5BAA21B15B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2025 LEX Total Parts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dLbl>
              <c:idx val="2"/>
              <c:layout>
                <c:manualLayout>
                  <c:x val="-6.7462791224298338E-2"/>
                  <c:y val="1.92515687375745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7EC-4710-BC9E-3B2420FFB37D}"/>
                </c:ext>
              </c:extLst>
            </c:dLbl>
            <c:dLbl>
              <c:idx val="3"/>
              <c:layout>
                <c:manualLayout>
                  <c:x val="-2.5823410555987473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EC-4710-BC9E-3B2420FFB37D}"/>
                </c:ext>
              </c:extLst>
            </c:dLbl>
            <c:dLbl>
              <c:idx val="4"/>
              <c:layout>
                <c:manualLayout>
                  <c:x val="-6.4686832513077663E-2"/>
                  <c:y val="-1.44386765531809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EC-4710-BC9E-3B2420FFB37D}"/>
                </c:ext>
              </c:extLst>
            </c:dLbl>
            <c:dLbl>
              <c:idx val="7"/>
              <c:layout>
                <c:manualLayout>
                  <c:x val="-6.7462791224298435E-2"/>
                  <c:y val="-1.92515687375746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EC-4710-BC9E-3B2420FFB37D}"/>
                </c:ext>
              </c:extLst>
            </c:dLbl>
            <c:dLbl>
              <c:idx val="8"/>
              <c:layout>
                <c:manualLayout>
                  <c:x val="-8.4118543491622719E-2"/>
                  <c:y val="2.4064460921968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7EC-4710-BC9E-3B2420FFB37D}"/>
                </c:ext>
              </c:extLst>
            </c:dLbl>
            <c:dLbl>
              <c:idx val="9"/>
              <c:layout>
                <c:manualLayout>
                  <c:x val="-5.080703895697395E-2"/>
                  <c:y val="-2.40644609219682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EC-4710-BC9E-3B2420FFB37D}"/>
                </c:ext>
              </c:extLst>
            </c:dLbl>
            <c:dLbl>
              <c:idx val="10"/>
              <c:layout>
                <c:manualLayout>
                  <c:x val="-6.4686832513077705E-2"/>
                  <c:y val="1.92515687375745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7EC-4710-BC9E-3B2420FFB3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'LEX - Parts'!$E$14:$P$14</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'LEX - Parts'!$E$17:$P$17</c:f>
              <c:numCache>
                <c:formatCode>"$"#,##0_);[Red]\("$"#,##0\)</c:formatCode>
                <c:ptCount val="12"/>
                <c:pt idx="0">
                  <c:v>27024.274032608697</c:v>
                </c:pt>
                <c:pt idx="1">
                  <c:v>30709.40230978261</c:v>
                </c:pt>
                <c:pt idx="2">
                  <c:v>25181.70989402174</c:v>
                </c:pt>
                <c:pt idx="3">
                  <c:v>30709.40230978261</c:v>
                </c:pt>
                <c:pt idx="4">
                  <c:v>30095.214263586957</c:v>
                </c:pt>
                <c:pt idx="5">
                  <c:v>28252.650125</c:v>
                </c:pt>
                <c:pt idx="6">
                  <c:v>29481.026217391303</c:v>
                </c:pt>
                <c:pt idx="7">
                  <c:v>28866.838171195657</c:v>
                </c:pt>
                <c:pt idx="8">
                  <c:v>27024.274032608697</c:v>
                </c:pt>
                <c:pt idx="9">
                  <c:v>27024.274032608697</c:v>
                </c:pt>
                <c:pt idx="10">
                  <c:v>25795.89794021739</c:v>
                </c:pt>
                <c:pt idx="11">
                  <c:v>28866.838171195657</c:v>
                </c:pt>
              </c:numCache>
            </c:numRef>
          </c:val>
          <c:smooth val="0"/>
          <c:extLst>
            <c:ext xmlns:c16="http://schemas.microsoft.com/office/drawing/2014/chart" uri="{C3380CC4-5D6E-409C-BE32-E72D297353CC}">
              <c16:uniqueId val="{00000000-8EA3-49B2-AED1-FD5F4EDD0419}"/>
            </c:ext>
          </c:extLst>
        </c:ser>
        <c:dLbls>
          <c:dLblPos val="ctr"/>
          <c:showLegendKey val="0"/>
          <c:showVal val="1"/>
          <c:showCatName val="0"/>
          <c:showSerName val="0"/>
          <c:showPercent val="0"/>
          <c:showBubbleSize val="0"/>
        </c:dLbls>
        <c:smooth val="0"/>
        <c:axId val="2059190791"/>
        <c:axId val="1202675719"/>
      </c:lineChart>
      <c:dateAx>
        <c:axId val="205919079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75719"/>
        <c:crosses val="autoZero"/>
        <c:auto val="1"/>
        <c:lblOffset val="100"/>
        <c:baseTimeUnit val="months"/>
      </c:dateAx>
      <c:valAx>
        <c:axId val="1202675719"/>
        <c:scaling>
          <c:orientation val="minMax"/>
          <c:min val="25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190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'LEX - Parts'!$A$32</c:f>
              <c:strCache>
                <c:ptCount val="1"/>
                <c:pt idx="0">
                  <c:v>Total GP Excl FEF FY24</c:v>
                </c:pt>
              </c:strCache>
            </c:strRef>
          </c:tx>
          <c:spPr>
            <a:ln w="28575" cap="rnd">
              <a:solidFill>
                <a:schemeClr val="accent1"/>
              </a:solidFill>
              <a:round/>
            </a:ln>
            <a:effectLst/>
          </c:spPr>
          <c:marker>
            <c:symbol val="none"/>
          </c:marker>
          <c:cat>
            <c:numRef>
              <c:f>'LEX - Parts'!$E$14:$P$14</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'LEX - Parts'!$B$32:$P$32</c:f>
              <c:numCache>
                <c:formatCode>"$"#,##0_);[Red]\("$"#,##0\)</c:formatCode>
                <c:ptCount val="12"/>
                <c:pt idx="0">
                  <c:v>3237</c:v>
                </c:pt>
                <c:pt idx="1">
                  <c:v>3237</c:v>
                </c:pt>
                <c:pt idx="2">
                  <c:v>4203</c:v>
                </c:pt>
                <c:pt idx="3">
                  <c:v>3916</c:v>
                </c:pt>
                <c:pt idx="4">
                  <c:v>4810</c:v>
                </c:pt>
                <c:pt idx="5">
                  <c:v>4643</c:v>
                </c:pt>
                <c:pt idx="6">
                  <c:v>6709.8099999999977</c:v>
                </c:pt>
                <c:pt idx="7">
                  <c:v>9066.75</c:v>
                </c:pt>
                <c:pt idx="8">
                  <c:v>7483.0400000000009</c:v>
                </c:pt>
                <c:pt idx="9">
                  <c:v>7783.4500000000007</c:v>
                </c:pt>
                <c:pt idx="10">
                  <c:v>7781.1599999999989</c:v>
                </c:pt>
                <c:pt idx="11">
                  <c:v>5687.6299999999992</c:v>
                </c:pt>
              </c:numCache>
            </c:numRef>
          </c:val>
          <c:smooth val="0"/>
          <c:extLst>
            <c:ext xmlns:c16="http://schemas.microsoft.com/office/drawing/2014/chart" uri="{C3380CC4-5D6E-409C-BE32-E72D297353CC}">
              <c16:uniqueId val="{00000000-5381-44F6-916B-89CE2457B7E4}"/>
            </c:ext>
          </c:extLst>
        </c:ser>
        <c:ser>
          <c:idx val="1"/>
          <c:order val="1"/>
          <c:tx>
            <c:strRef>
              <c:f>'LEX - Parts'!$A$33</c:f>
              <c:strCache>
                <c:ptCount val="1"/>
                <c:pt idx="0">
                  <c:v>Total GP Excl FEF FY25</c:v>
                </c:pt>
              </c:strCache>
            </c:strRef>
          </c:tx>
          <c:spPr>
            <a:ln w="28575" cap="rnd">
              <a:solidFill>
                <a:schemeClr val="accent2"/>
              </a:solidFill>
              <a:round/>
            </a:ln>
            <a:effectLst/>
          </c:spPr>
          <c:marker>
            <c:symbol val="none"/>
          </c:marker>
          <c:cat>
            <c:numRef>
              <c:f>'LEX - Parts'!$E$14:$P$14</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'LEX - Parts'!$B$33:$P$33</c:f>
              <c:numCache>
                <c:formatCode>"$"#,##0_);[Red]\("$"#,##0\)</c:formatCode>
                <c:ptCount val="12"/>
                <c:pt idx="0">
                  <c:v>5705.1491671964086</c:v>
                </c:pt>
                <c:pt idx="1">
                  <c:v>6483.1240536322821</c:v>
                </c:pt>
                <c:pt idx="2">
                  <c:v>5316.1617239784709</c:v>
                </c:pt>
                <c:pt idx="3">
                  <c:v>6483.1240536322821</c:v>
                </c:pt>
                <c:pt idx="4">
                  <c:v>6353.4615725596359</c:v>
                </c:pt>
                <c:pt idx="5">
                  <c:v>5964.4741293416992</c:v>
                </c:pt>
                <c:pt idx="6">
                  <c:v>6223.7990914869906</c:v>
                </c:pt>
                <c:pt idx="7">
                  <c:v>6094.1366104143463</c:v>
                </c:pt>
                <c:pt idx="8">
                  <c:v>5705.1491671964086</c:v>
                </c:pt>
                <c:pt idx="9">
                  <c:v>5705.1491671964086</c:v>
                </c:pt>
                <c:pt idx="10">
                  <c:v>5445.8242050511162</c:v>
                </c:pt>
                <c:pt idx="11">
                  <c:v>6094.1366104143463</c:v>
                </c:pt>
              </c:numCache>
            </c:numRef>
          </c:val>
          <c:smooth val="0"/>
          <c:extLst>
            <c:ext xmlns:c16="http://schemas.microsoft.com/office/drawing/2014/chart" uri="{C3380CC4-5D6E-409C-BE32-E72D297353CC}">
              <c16:uniqueId val="{00000001-5381-44F6-916B-89CE2457B7E4}"/>
            </c:ext>
          </c:extLst>
        </c:ser>
        <c:dLbls>
          <c:showLegendKey val="0"/>
          <c:showVal val="0"/>
          <c:showCatName val="0"/>
          <c:showSerName val="0"/>
          <c:showPercent val="0"/>
          <c:showBubbleSize val="0"/>
        </c:dLbls>
        <c:smooth val="0"/>
        <c:axId val="757049856"/>
        <c:axId val="757050816"/>
      </c:lineChart>
      <c:dateAx>
        <c:axId val="75704985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050816"/>
        <c:crosses val="autoZero"/>
        <c:auto val="1"/>
        <c:lblOffset val="100"/>
        <c:baseTimeUnit val="months"/>
      </c:dateAx>
      <c:valAx>
        <c:axId val="757050816"/>
        <c:scaling>
          <c:orientation val="minMax"/>
          <c:min val="2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049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Incl FEF FY24 VS FY25</a:t>
            </a:r>
          </a:p>
        </c:rich>
      </c:tx>
      <c:layout>
        <c:manualLayout>
          <c:xMode val="edge"/>
          <c:yMode val="edge"/>
          <c:x val="0.3011596675415573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'LEX - Parts'!$A$34</c:f>
              <c:strCache>
                <c:ptCount val="1"/>
                <c:pt idx="0">
                  <c:v>Total GP Incl FEF FY24</c:v>
                </c:pt>
              </c:strCache>
            </c:strRef>
          </c:tx>
          <c:spPr>
            <a:ln w="28575" cap="rnd">
              <a:solidFill>
                <a:schemeClr val="accent1"/>
              </a:solidFill>
              <a:round/>
            </a:ln>
            <a:effectLst/>
          </c:spPr>
          <c:marker>
            <c:symbol val="none"/>
          </c:marker>
          <c:cat>
            <c:numRef>
              <c:f>'LEX - Parts'!$E$14:$P$14</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'LEX - Parts'!$B$34:$P$34</c:f>
              <c:numCache>
                <c:formatCode>"$"#,##0_);[Red]\("$"#,##0\)</c:formatCode>
                <c:ptCount val="12"/>
                <c:pt idx="0">
                  <c:v>3237</c:v>
                </c:pt>
                <c:pt idx="1">
                  <c:v>3237</c:v>
                </c:pt>
                <c:pt idx="2">
                  <c:v>46463.88</c:v>
                </c:pt>
                <c:pt idx="3">
                  <c:v>3916</c:v>
                </c:pt>
                <c:pt idx="4">
                  <c:v>4810</c:v>
                </c:pt>
                <c:pt idx="5">
                  <c:v>44034.3</c:v>
                </c:pt>
                <c:pt idx="6">
                  <c:v>6709.8099999999977</c:v>
                </c:pt>
                <c:pt idx="7">
                  <c:v>9066.75</c:v>
                </c:pt>
                <c:pt idx="8">
                  <c:v>36961.300000000003</c:v>
                </c:pt>
                <c:pt idx="9">
                  <c:v>7783.4500000000007</c:v>
                </c:pt>
                <c:pt idx="10">
                  <c:v>7781.1599999999989</c:v>
                </c:pt>
                <c:pt idx="11">
                  <c:v>40122.409999999996</c:v>
                </c:pt>
              </c:numCache>
            </c:numRef>
          </c:val>
          <c:smooth val="0"/>
          <c:extLst>
            <c:ext xmlns:c16="http://schemas.microsoft.com/office/drawing/2014/chart" uri="{C3380CC4-5D6E-409C-BE32-E72D297353CC}">
              <c16:uniqueId val="{00000000-F787-4C73-BA2E-C5A92C0EB85C}"/>
            </c:ext>
          </c:extLst>
        </c:ser>
        <c:ser>
          <c:idx val="1"/>
          <c:order val="1"/>
          <c:tx>
            <c:strRef>
              <c:f>'LEX - Parts'!$A$35</c:f>
              <c:strCache>
                <c:ptCount val="1"/>
                <c:pt idx="0">
                  <c:v>Total GP Incl FEF FY25</c:v>
                </c:pt>
              </c:strCache>
            </c:strRef>
          </c:tx>
          <c:spPr>
            <a:ln w="28575" cap="rnd">
              <a:solidFill>
                <a:schemeClr val="accent2"/>
              </a:solidFill>
              <a:round/>
            </a:ln>
            <a:effectLst/>
          </c:spPr>
          <c:marker>
            <c:symbol val="none"/>
          </c:marker>
          <c:cat>
            <c:numRef>
              <c:f>'LEX - Parts'!$E$14:$P$14</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'LEX - Parts'!$B$35:$P$35</c:f>
              <c:numCache>
                <c:formatCode>"$"#,##0_);[Red]\("$"#,##0\)</c:formatCode>
                <c:ptCount val="12"/>
                <c:pt idx="0">
                  <c:v>5705.1491671964086</c:v>
                </c:pt>
                <c:pt idx="1">
                  <c:v>6483.1240536322821</c:v>
                </c:pt>
                <c:pt idx="2">
                  <c:v>26736.161723978472</c:v>
                </c:pt>
                <c:pt idx="3">
                  <c:v>6483.1240536322821</c:v>
                </c:pt>
                <c:pt idx="4">
                  <c:v>6353.4615725596359</c:v>
                </c:pt>
                <c:pt idx="5">
                  <c:v>27384.474129341699</c:v>
                </c:pt>
                <c:pt idx="6">
                  <c:v>6223.7990914869906</c:v>
                </c:pt>
                <c:pt idx="7">
                  <c:v>6094.1366104143463</c:v>
                </c:pt>
                <c:pt idx="8">
                  <c:v>27125.14916719641</c:v>
                </c:pt>
                <c:pt idx="9">
                  <c:v>5705.1491671964086</c:v>
                </c:pt>
                <c:pt idx="10">
                  <c:v>5445.8242050511162</c:v>
                </c:pt>
                <c:pt idx="11">
                  <c:v>27259.136610414345</c:v>
                </c:pt>
              </c:numCache>
            </c:numRef>
          </c:val>
          <c:smooth val="0"/>
          <c:extLst>
            <c:ext xmlns:c16="http://schemas.microsoft.com/office/drawing/2014/chart" uri="{C3380CC4-5D6E-409C-BE32-E72D297353CC}">
              <c16:uniqueId val="{00000001-F787-4C73-BA2E-C5A92C0EB85C}"/>
            </c:ext>
          </c:extLst>
        </c:ser>
        <c:dLbls>
          <c:showLegendKey val="0"/>
          <c:showVal val="0"/>
          <c:showCatName val="0"/>
          <c:showSerName val="0"/>
          <c:showPercent val="0"/>
          <c:showBubbleSize val="0"/>
        </c:dLbls>
        <c:smooth val="0"/>
        <c:axId val="431551248"/>
        <c:axId val="431549808"/>
      </c:lineChart>
      <c:dateAx>
        <c:axId val="431551248"/>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549808"/>
        <c:crosses val="autoZero"/>
        <c:auto val="1"/>
        <c:lblOffset val="100"/>
        <c:baseTimeUnit val="months"/>
      </c:dateAx>
      <c:valAx>
        <c:axId val="431549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55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GP Excl FEF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'LEX - Service'!$A$46</c:f>
              <c:strCache>
                <c:ptCount val="1"/>
                <c:pt idx="0">
                  <c:v>Total GP Excl FEF FY24</c:v>
                </c:pt>
              </c:strCache>
            </c:strRef>
          </c:tx>
          <c:spPr>
            <a:ln w="28575" cap="rnd">
              <a:solidFill>
                <a:schemeClr val="accent1"/>
              </a:solidFill>
              <a:round/>
            </a:ln>
            <a:effectLst/>
          </c:spPr>
          <c:marker>
            <c:symbol val="none"/>
          </c:marker>
          <c:cat>
            <c:numRef>
              <c:f>'LEX - Service'!$E$21:$P$21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'LEX - Service'!$B$46:$P$46</c:f>
              <c:numCache>
                <c:formatCode>"$"#,##0_);[Red]\("$"#,##0\)</c:formatCode>
                <c:ptCount val="12"/>
                <c:pt idx="0">
                  <c:v>43055.1</c:v>
                </c:pt>
                <c:pt idx="1">
                  <c:v>75339.989999999991</c:v>
                </c:pt>
                <c:pt idx="2">
                  <c:v>49345.619999999995</c:v>
                </c:pt>
                <c:pt idx="3">
                  <c:v>51114.339999999982</c:v>
                </c:pt>
                <c:pt idx="4">
                  <c:v>59150.540000000008</c:v>
                </c:pt>
                <c:pt idx="5">
                  <c:v>53085.759999999995</c:v>
                </c:pt>
                <c:pt idx="6">
                  <c:v>44992.33</c:v>
                </c:pt>
                <c:pt idx="7">
                  <c:v>54658.110000000008</c:v>
                </c:pt>
                <c:pt idx="8">
                  <c:v>46508.899999999994</c:v>
                </c:pt>
                <c:pt idx="9">
                  <c:v>32055.020000000004</c:v>
                </c:pt>
                <c:pt idx="10">
                  <c:v>34909</c:v>
                </c:pt>
                <c:pt idx="11">
                  <c:v>40597.22</c:v>
                </c:pt>
              </c:numCache>
            </c:numRef>
          </c:val>
          <c:smooth val="0"/>
          <c:extLst>
            <c:ext xmlns:c16="http://schemas.microsoft.com/office/drawing/2014/chart" uri="{C3380CC4-5D6E-409C-BE32-E72D297353CC}">
              <c16:uniqueId val="{00000000-AB8B-44E8-9186-3D1BFE074D95}"/>
            </c:ext>
          </c:extLst>
        </c:ser>
        <c:ser>
          <c:idx val="1"/>
          <c:order val="1"/>
          <c:tx>
            <c:strRef>
              <c:f>'LEX - Service'!$A$47</c:f>
              <c:strCache>
                <c:ptCount val="1"/>
                <c:pt idx="0">
                  <c:v>Total GP Excl FEF FY25</c:v>
                </c:pt>
              </c:strCache>
            </c:strRef>
          </c:tx>
          <c:spPr>
            <a:ln w="28575" cap="rnd">
              <a:solidFill>
                <a:schemeClr val="accent2"/>
              </a:solidFill>
              <a:round/>
            </a:ln>
            <a:effectLst/>
          </c:spPr>
          <c:marker>
            <c:symbol val="none"/>
          </c:marker>
          <c:cat>
            <c:numRef>
              <c:f>'LEX - Service'!$E$21:$P$21</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'LEX - Service'!$B$47:$P$47</c:f>
              <c:numCache>
                <c:formatCode>"$"#,##0_);[Red]\("$"#,##0\)</c:formatCode>
                <c:ptCount val="12"/>
                <c:pt idx="0">
                  <c:v>52257.158515434785</c:v>
                </c:pt>
                <c:pt idx="1">
                  <c:v>59383.134676630441</c:v>
                </c:pt>
                <c:pt idx="2">
                  <c:v>48694.17043483696</c:v>
                </c:pt>
                <c:pt idx="3">
                  <c:v>59383.134676630441</c:v>
                </c:pt>
                <c:pt idx="4">
                  <c:v>58195.471983097836</c:v>
                </c:pt>
                <c:pt idx="5">
                  <c:v>54632.483902500011</c:v>
                </c:pt>
                <c:pt idx="6">
                  <c:v>57007.809289565223</c:v>
                </c:pt>
                <c:pt idx="7">
                  <c:v>55820.146596032624</c:v>
                </c:pt>
                <c:pt idx="8">
                  <c:v>52257.158515434785</c:v>
                </c:pt>
                <c:pt idx="9">
                  <c:v>52257.158515434785</c:v>
                </c:pt>
                <c:pt idx="10">
                  <c:v>49881.833128369573</c:v>
                </c:pt>
                <c:pt idx="11">
                  <c:v>55820.146596032624</c:v>
                </c:pt>
              </c:numCache>
            </c:numRef>
          </c:val>
          <c:smooth val="0"/>
          <c:extLst>
            <c:ext xmlns:c16="http://schemas.microsoft.com/office/drawing/2014/chart" uri="{C3380CC4-5D6E-409C-BE32-E72D297353CC}">
              <c16:uniqueId val="{00000001-AB8B-44E8-9186-3D1BFE074D95}"/>
            </c:ext>
          </c:extLst>
        </c:ser>
        <c:dLbls>
          <c:showLegendKey val="0"/>
          <c:showVal val="0"/>
          <c:showCatName val="0"/>
          <c:showSerName val="0"/>
          <c:showPercent val="0"/>
          <c:showBubbleSize val="0"/>
        </c:dLbls>
        <c:smooth val="0"/>
        <c:axId val="833941504"/>
        <c:axId val="833943904"/>
      </c:lineChart>
      <c:dateAx>
        <c:axId val="83394150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943904"/>
        <c:crosses val="autoZero"/>
        <c:auto val="1"/>
        <c:lblOffset val="100"/>
        <c:baseTimeUnit val="months"/>
      </c:dateAx>
      <c:valAx>
        <c:axId val="833943904"/>
        <c:scaling>
          <c:orientation val="minMax"/>
          <c:min val="3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941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Total GP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'Bridgestone Group'!$A$37</c:f>
              <c:strCache>
                <c:ptCount val="1"/>
                <c:pt idx="0">
                  <c:v>Total GP FY24</c:v>
                </c:pt>
              </c:strCache>
            </c:strRef>
          </c:tx>
          <c:spPr>
            <a:ln w="28575" cap="rnd">
              <a:solidFill>
                <a:schemeClr val="accent1"/>
              </a:solidFill>
              <a:round/>
            </a:ln>
            <a:effectLst/>
          </c:spPr>
          <c:marker>
            <c:symbol val="none"/>
          </c:marker>
          <c:cat>
            <c:numRef>
              <c:f>'Bridgestone Group'!$E$15:$P$15</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'Bridgestone Group'!$B$37:$P$37</c:f>
              <c:numCache>
                <c:formatCode>"$"#,##0_);[Red]\("$"#,##0\)</c:formatCode>
                <c:ptCount val="12"/>
                <c:pt idx="0">
                  <c:v>71259.270000000019</c:v>
                </c:pt>
                <c:pt idx="1">
                  <c:v>99432.169999999984</c:v>
                </c:pt>
                <c:pt idx="2">
                  <c:v>90339.969999999987</c:v>
                </c:pt>
                <c:pt idx="3">
                  <c:v>94891.56</c:v>
                </c:pt>
                <c:pt idx="4">
                  <c:v>96009.540000000008</c:v>
                </c:pt>
                <c:pt idx="5">
                  <c:v>95237.450000000012</c:v>
                </c:pt>
                <c:pt idx="6">
                  <c:v>89421.35</c:v>
                </c:pt>
                <c:pt idx="7">
                  <c:v>108574.36</c:v>
                </c:pt>
                <c:pt idx="8">
                  <c:v>94417.919999999998</c:v>
                </c:pt>
                <c:pt idx="9">
                  <c:v>95206.099999999991</c:v>
                </c:pt>
                <c:pt idx="10">
                  <c:v>84503.669999999984</c:v>
                </c:pt>
                <c:pt idx="11">
                  <c:v>93482.450000000012</c:v>
                </c:pt>
              </c:numCache>
            </c:numRef>
          </c:val>
          <c:smooth val="0"/>
          <c:extLst>
            <c:ext xmlns:c16="http://schemas.microsoft.com/office/drawing/2014/chart" uri="{C3380CC4-5D6E-409C-BE32-E72D297353CC}">
              <c16:uniqueId val="{00000000-D9B0-45BC-B6B7-3E420E362B65}"/>
            </c:ext>
          </c:extLst>
        </c:ser>
        <c:ser>
          <c:idx val="1"/>
          <c:order val="1"/>
          <c:tx>
            <c:strRef>
              <c:f>'Bridgestone Group'!$A$38</c:f>
              <c:strCache>
                <c:ptCount val="1"/>
                <c:pt idx="0">
                  <c:v>Total GP FY25</c:v>
                </c:pt>
              </c:strCache>
            </c:strRef>
          </c:tx>
          <c:spPr>
            <a:ln w="28575" cap="rnd">
              <a:solidFill>
                <a:schemeClr val="accent2"/>
              </a:solidFill>
              <a:round/>
            </a:ln>
            <a:effectLst/>
          </c:spPr>
          <c:marker>
            <c:symbol val="none"/>
          </c:marker>
          <c:cat>
            <c:numRef>
              <c:f>'Bridgestone Group'!$E$15:$P$15</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'Bridgestone Group'!$B$38:$P$38</c:f>
              <c:numCache>
                <c:formatCode>"$"#,##0_);[Red]\("$"#,##0\)</c:formatCode>
                <c:ptCount val="12"/>
                <c:pt idx="0">
                  <c:v>67968.757580634148</c:v>
                </c:pt>
                <c:pt idx="1">
                  <c:v>82914.114696958568</c:v>
                </c:pt>
                <c:pt idx="2">
                  <c:v>79656.67885491511</c:v>
                </c:pt>
                <c:pt idx="3">
                  <c:v>87167.026431821985</c:v>
                </c:pt>
                <c:pt idx="4">
                  <c:v>99551.209988998598</c:v>
                </c:pt>
                <c:pt idx="5">
                  <c:v>99916.836934537598</c:v>
                </c:pt>
                <c:pt idx="6">
                  <c:v>100387.4387046234</c:v>
                </c:pt>
                <c:pt idx="7">
                  <c:v>109829.11089339707</c:v>
                </c:pt>
                <c:pt idx="8">
                  <c:v>100718.0740419801</c:v>
                </c:pt>
                <c:pt idx="9">
                  <c:v>97513.12561221006</c:v>
                </c:pt>
                <c:pt idx="10">
                  <c:v>83787.119961140546</c:v>
                </c:pt>
                <c:pt idx="11">
                  <c:v>111030.96655456083</c:v>
                </c:pt>
              </c:numCache>
            </c:numRef>
          </c:val>
          <c:smooth val="0"/>
          <c:extLst>
            <c:ext xmlns:c16="http://schemas.microsoft.com/office/drawing/2014/chart" uri="{C3380CC4-5D6E-409C-BE32-E72D297353CC}">
              <c16:uniqueId val="{00000001-D9B0-45BC-B6B7-3E420E362B65}"/>
            </c:ext>
          </c:extLst>
        </c:ser>
        <c:dLbls>
          <c:showLegendKey val="0"/>
          <c:showVal val="0"/>
          <c:showCatName val="0"/>
          <c:showSerName val="0"/>
          <c:showPercent val="0"/>
          <c:showBubbleSize val="0"/>
        </c:dLbls>
        <c:smooth val="0"/>
        <c:axId val="864910240"/>
        <c:axId val="864916000"/>
      </c:lineChart>
      <c:dateAx>
        <c:axId val="864910240"/>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16000"/>
        <c:crosses val="autoZero"/>
        <c:auto val="1"/>
        <c:lblOffset val="100"/>
        <c:baseTimeUnit val="months"/>
      </c:dateAx>
      <c:valAx>
        <c:axId val="864916000"/>
        <c:scaling>
          <c:orientation val="minMax"/>
          <c:min val="6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10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Total GP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'Bridgestone 935'!$A$34</c:f>
              <c:strCache>
                <c:ptCount val="1"/>
                <c:pt idx="0">
                  <c:v>Total GP FY24</c:v>
                </c:pt>
              </c:strCache>
            </c:strRef>
          </c:tx>
          <c:spPr>
            <a:ln w="28575" cap="rnd">
              <a:solidFill>
                <a:schemeClr val="accent1"/>
              </a:solidFill>
              <a:round/>
            </a:ln>
            <a:effectLst/>
          </c:spPr>
          <c:marker>
            <c:symbol val="none"/>
          </c:marker>
          <c:val>
            <c:numRef>
              <c:f>'Bridgestone 935'!$B$34:$P$34</c:f>
              <c:numCache>
                <c:formatCode>"$"#,##0_);[Red]\("$"#,##0\)</c:formatCode>
                <c:ptCount val="12"/>
                <c:pt idx="0">
                  <c:v>50405.030000000013</c:v>
                </c:pt>
                <c:pt idx="1">
                  <c:v>69049.189999999988</c:v>
                </c:pt>
                <c:pt idx="2">
                  <c:v>58061.069999999985</c:v>
                </c:pt>
                <c:pt idx="3">
                  <c:v>61446.270000000004</c:v>
                </c:pt>
                <c:pt idx="4">
                  <c:v>65537.11</c:v>
                </c:pt>
                <c:pt idx="5">
                  <c:v>64739.87</c:v>
                </c:pt>
                <c:pt idx="6">
                  <c:v>59211.55</c:v>
                </c:pt>
                <c:pt idx="7">
                  <c:v>71730.720000000001</c:v>
                </c:pt>
                <c:pt idx="8">
                  <c:v>62812.029999999992</c:v>
                </c:pt>
                <c:pt idx="9">
                  <c:v>63874.2</c:v>
                </c:pt>
                <c:pt idx="10">
                  <c:v>55891.349999999984</c:v>
                </c:pt>
                <c:pt idx="11">
                  <c:v>71056.460000000006</c:v>
                </c:pt>
              </c:numCache>
            </c:numRef>
          </c:val>
          <c:smooth val="0"/>
          <c:extLst>
            <c:ext xmlns:c16="http://schemas.microsoft.com/office/drawing/2014/chart" uri="{C3380CC4-5D6E-409C-BE32-E72D297353CC}">
              <c16:uniqueId val="{00000000-F869-4C42-940E-3623ECAA9D15}"/>
            </c:ext>
          </c:extLst>
        </c:ser>
        <c:ser>
          <c:idx val="1"/>
          <c:order val="1"/>
          <c:tx>
            <c:strRef>
              <c:f>'Bridgestone 935'!$A$35</c:f>
              <c:strCache>
                <c:ptCount val="1"/>
                <c:pt idx="0">
                  <c:v>Total GP FY25</c:v>
                </c:pt>
              </c:strCache>
            </c:strRef>
          </c:tx>
          <c:spPr>
            <a:ln w="28575" cap="rnd">
              <a:solidFill>
                <a:schemeClr val="accent2"/>
              </a:solidFill>
              <a:round/>
            </a:ln>
            <a:effectLst/>
          </c:spPr>
          <c:marker>
            <c:symbol val="none"/>
          </c:marker>
          <c:val>
            <c:numRef>
              <c:f>'Bridgestone 935'!$B$35:$P$35</c:f>
              <c:numCache>
                <c:formatCode>"$"#,##0_);[Red]\("$"#,##0\)</c:formatCode>
                <c:ptCount val="12"/>
                <c:pt idx="0">
                  <c:v>52080.411983763195</c:v>
                </c:pt>
                <c:pt idx="1">
                  <c:v>64098.968595400853</c:v>
                </c:pt>
                <c:pt idx="2">
                  <c:v>62095.875826794574</c:v>
                </c:pt>
                <c:pt idx="3">
                  <c:v>52881.649091205705</c:v>
                </c:pt>
                <c:pt idx="4">
                  <c:v>66102.061364007124</c:v>
                </c:pt>
                <c:pt idx="5">
                  <c:v>67303.9170251709</c:v>
                </c:pt>
                <c:pt idx="6">
                  <c:v>66102.061364007124</c:v>
                </c:pt>
                <c:pt idx="7">
                  <c:v>70108.246901219682</c:v>
                </c:pt>
                <c:pt idx="8">
                  <c:v>68105.154132613403</c:v>
                </c:pt>
                <c:pt idx="9">
                  <c:v>64900.205702843363</c:v>
                </c:pt>
                <c:pt idx="10">
                  <c:v>53682.886198648215</c:v>
                </c:pt>
                <c:pt idx="11">
                  <c:v>71310.102562383443</c:v>
                </c:pt>
              </c:numCache>
            </c:numRef>
          </c:val>
          <c:smooth val="0"/>
          <c:extLst>
            <c:ext xmlns:c16="http://schemas.microsoft.com/office/drawing/2014/chart" uri="{C3380CC4-5D6E-409C-BE32-E72D297353CC}">
              <c16:uniqueId val="{00000001-F869-4C42-940E-3623ECAA9D15}"/>
            </c:ext>
          </c:extLst>
        </c:ser>
        <c:dLbls>
          <c:showLegendKey val="0"/>
          <c:showVal val="0"/>
          <c:showCatName val="0"/>
          <c:showSerName val="0"/>
          <c:showPercent val="0"/>
          <c:showBubbleSize val="0"/>
        </c:dLbls>
        <c:smooth val="0"/>
        <c:axId val="856248624"/>
        <c:axId val="856254384"/>
      </c:lineChart>
      <c:catAx>
        <c:axId val="85624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254384"/>
        <c:crosses val="autoZero"/>
        <c:auto val="1"/>
        <c:lblAlgn val="ctr"/>
        <c:lblOffset val="100"/>
        <c:noMultiLvlLbl val="0"/>
      </c:catAx>
      <c:valAx>
        <c:axId val="85625438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248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Total GP FY24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'Bridgestone 936'!$A$34</c:f>
              <c:strCache>
                <c:ptCount val="1"/>
                <c:pt idx="0">
                  <c:v>Total GP FY24</c:v>
                </c:pt>
              </c:strCache>
            </c:strRef>
          </c:tx>
          <c:spPr>
            <a:ln w="28575" cap="rnd">
              <a:solidFill>
                <a:schemeClr val="accent1"/>
              </a:solidFill>
              <a:round/>
            </a:ln>
            <a:effectLst/>
          </c:spPr>
          <c:marker>
            <c:symbol val="none"/>
          </c:marker>
          <c:val>
            <c:numRef>
              <c:f>'Bridgestone 936'!$B$34:$P$34</c:f>
              <c:numCache>
                <c:formatCode>"$"#,##0_);[Red]\("$"#,##0\)</c:formatCode>
                <c:ptCount val="12"/>
                <c:pt idx="0">
                  <c:v>20854.240000000002</c:v>
                </c:pt>
                <c:pt idx="1">
                  <c:v>30382.98</c:v>
                </c:pt>
                <c:pt idx="2">
                  <c:v>32278.9</c:v>
                </c:pt>
                <c:pt idx="3">
                  <c:v>33445.29</c:v>
                </c:pt>
                <c:pt idx="4">
                  <c:v>30472.430000000008</c:v>
                </c:pt>
                <c:pt idx="5">
                  <c:v>30497.58</c:v>
                </c:pt>
                <c:pt idx="6">
                  <c:v>30209.800000000007</c:v>
                </c:pt>
                <c:pt idx="7">
                  <c:v>36843.64</c:v>
                </c:pt>
                <c:pt idx="8">
                  <c:v>31605.890000000003</c:v>
                </c:pt>
                <c:pt idx="9">
                  <c:v>31331.899999999994</c:v>
                </c:pt>
                <c:pt idx="10">
                  <c:v>28612.320000000007</c:v>
                </c:pt>
                <c:pt idx="11">
                  <c:v>22425.99</c:v>
                </c:pt>
              </c:numCache>
            </c:numRef>
          </c:val>
          <c:smooth val="0"/>
          <c:extLst>
            <c:ext xmlns:c16="http://schemas.microsoft.com/office/drawing/2014/chart" uri="{C3380CC4-5D6E-409C-BE32-E72D297353CC}">
              <c16:uniqueId val="{00000000-AA9D-40C5-8D41-AD34E87C5835}"/>
            </c:ext>
          </c:extLst>
        </c:ser>
        <c:ser>
          <c:idx val="1"/>
          <c:order val="1"/>
          <c:tx>
            <c:strRef>
              <c:f>'Bridgestone 936'!$A$35</c:f>
              <c:strCache>
                <c:ptCount val="1"/>
                <c:pt idx="0">
                  <c:v>Total GP FY25</c:v>
                </c:pt>
              </c:strCache>
            </c:strRef>
          </c:tx>
          <c:spPr>
            <a:ln w="28575" cap="rnd">
              <a:solidFill>
                <a:schemeClr val="accent2"/>
              </a:solidFill>
              <a:round/>
            </a:ln>
            <a:effectLst/>
          </c:spPr>
          <c:marker>
            <c:symbol val="none"/>
          </c:marker>
          <c:val>
            <c:numRef>
              <c:f>'Bridgestone 936'!$B$35:$P$35</c:f>
              <c:numCache>
                <c:formatCode>"$"#,##0_);[Red]\("$"#,##0\)</c:formatCode>
                <c:ptCount val="12"/>
                <c:pt idx="0">
                  <c:v>15888.345596870955</c:v>
                </c:pt>
                <c:pt idx="1">
                  <c:v>18815.146101557708</c:v>
                </c:pt>
                <c:pt idx="2">
                  <c:v>17560.803028120528</c:v>
                </c:pt>
                <c:pt idx="3">
                  <c:v>34285.377340616273</c:v>
                </c:pt>
                <c:pt idx="4">
                  <c:v>33449.148624991481</c:v>
                </c:pt>
                <c:pt idx="5">
                  <c:v>32612.919909366694</c:v>
                </c:pt>
                <c:pt idx="6">
                  <c:v>34285.377340616273</c:v>
                </c:pt>
                <c:pt idx="7">
                  <c:v>39720.863992177387</c:v>
                </c:pt>
                <c:pt idx="8">
                  <c:v>32612.919909366694</c:v>
                </c:pt>
                <c:pt idx="9">
                  <c:v>32612.919909366694</c:v>
                </c:pt>
                <c:pt idx="10">
                  <c:v>30104.233762492335</c:v>
                </c:pt>
                <c:pt idx="11">
                  <c:v>39720.863992177387</c:v>
                </c:pt>
              </c:numCache>
            </c:numRef>
          </c:val>
          <c:smooth val="0"/>
          <c:extLst>
            <c:ext xmlns:c16="http://schemas.microsoft.com/office/drawing/2014/chart" uri="{C3380CC4-5D6E-409C-BE32-E72D297353CC}">
              <c16:uniqueId val="{00000001-AA9D-40C5-8D41-AD34E87C5835}"/>
            </c:ext>
          </c:extLst>
        </c:ser>
        <c:dLbls>
          <c:showLegendKey val="0"/>
          <c:showVal val="0"/>
          <c:showCatName val="0"/>
          <c:showSerName val="0"/>
          <c:showPercent val="0"/>
          <c:showBubbleSize val="0"/>
        </c:dLbls>
        <c:smooth val="0"/>
        <c:axId val="864919360"/>
        <c:axId val="864910720"/>
      </c:lineChart>
      <c:catAx>
        <c:axId val="86491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10720"/>
        <c:crosses val="autoZero"/>
        <c:auto val="1"/>
        <c:lblAlgn val="ctr"/>
        <c:lblOffset val="100"/>
        <c:noMultiLvlLbl val="0"/>
      </c:catAx>
      <c:valAx>
        <c:axId val="864910720"/>
        <c:scaling>
          <c:orientation val="minMax"/>
          <c:min val="15000"/>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19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sz="1400" b="0" i="0" u="none" strike="noStrike" kern="1200" spc="0" baseline="0">
                <a:solidFill>
                  <a:sysClr val="windowText" lastClr="000000">
                    <a:lumMod val="65000"/>
                    <a:lumOff val="35000"/>
                  </a:sysClr>
                </a:solidFill>
              </a:rPr>
              <a:t>Total GP FY24 VS FY25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'Retail Detailing'!$A$42</c:f>
              <c:strCache>
                <c:ptCount val="1"/>
                <c:pt idx="0">
                  <c:v>Total GP FY24</c:v>
                </c:pt>
              </c:strCache>
            </c:strRef>
          </c:tx>
          <c:spPr>
            <a:ln w="28575" cap="rnd">
              <a:solidFill>
                <a:schemeClr val="accent1"/>
              </a:solidFill>
              <a:round/>
            </a:ln>
            <a:effectLst/>
          </c:spPr>
          <c:marker>
            <c:symbol val="none"/>
          </c:marker>
          <c:cat>
            <c:numRef>
              <c:f>'Retail Detailing'!$E$16:$P$16</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'Retail Detailing'!$B$42:$P$42</c:f>
              <c:numCache>
                <c:formatCode>"$"#,##0_);[Red]\("$"#,##0\)</c:formatCode>
                <c:ptCount val="12"/>
                <c:pt idx="0">
                  <c:v>11016.48</c:v>
                </c:pt>
                <c:pt idx="1">
                  <c:v>22140.660000000003</c:v>
                </c:pt>
                <c:pt idx="2">
                  <c:v>22716.809999999998</c:v>
                </c:pt>
                <c:pt idx="3">
                  <c:v>31513.950000000004</c:v>
                </c:pt>
                <c:pt idx="4">
                  <c:v>44750.28</c:v>
                </c:pt>
                <c:pt idx="5">
                  <c:v>43975.44</c:v>
                </c:pt>
                <c:pt idx="6">
                  <c:v>42367.37</c:v>
                </c:pt>
                <c:pt idx="7">
                  <c:v>47083.969999999994</c:v>
                </c:pt>
                <c:pt idx="8">
                  <c:v>30119.45</c:v>
                </c:pt>
                <c:pt idx="9">
                  <c:v>27557.989999999998</c:v>
                </c:pt>
                <c:pt idx="10">
                  <c:v>34030.450000000004</c:v>
                </c:pt>
                <c:pt idx="11">
                  <c:v>30603.61</c:v>
                </c:pt>
              </c:numCache>
            </c:numRef>
          </c:val>
          <c:smooth val="0"/>
          <c:extLst>
            <c:ext xmlns:c16="http://schemas.microsoft.com/office/drawing/2014/chart" uri="{C3380CC4-5D6E-409C-BE32-E72D297353CC}">
              <c16:uniqueId val="{00000000-65FF-42EC-AC27-C54D882B12D0}"/>
            </c:ext>
          </c:extLst>
        </c:ser>
        <c:ser>
          <c:idx val="1"/>
          <c:order val="1"/>
          <c:tx>
            <c:strRef>
              <c:f>'Retail Detailing'!$A$43</c:f>
              <c:strCache>
                <c:ptCount val="1"/>
                <c:pt idx="0">
                  <c:v>Total GP FY25</c:v>
                </c:pt>
              </c:strCache>
            </c:strRef>
          </c:tx>
          <c:spPr>
            <a:ln w="28575" cap="rnd">
              <a:solidFill>
                <a:schemeClr val="accent2"/>
              </a:solidFill>
              <a:round/>
            </a:ln>
            <a:effectLst/>
          </c:spPr>
          <c:marker>
            <c:symbol val="none"/>
          </c:marker>
          <c:cat>
            <c:numRef>
              <c:f>'Retail Detailing'!$E$16:$P$16</c:f>
              <c:numCache>
                <c:formatCode>mmm\-yy</c:formatCode>
                <c:ptCount val="12"/>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numCache>
            </c:numRef>
          </c:cat>
          <c:val>
            <c:numRef>
              <c:f>'Retail Detailing'!$B$43:$P$43</c:f>
              <c:numCache>
                <c:formatCode>"$"#,##0_);[Red]\("$"#,##0\)</c:formatCode>
                <c:ptCount val="12"/>
                <c:pt idx="0">
                  <c:v>43654.492856658413</c:v>
                </c:pt>
                <c:pt idx="1">
                  <c:v>43654.492856658413</c:v>
                </c:pt>
                <c:pt idx="2">
                  <c:v>43654.492856658413</c:v>
                </c:pt>
                <c:pt idx="3">
                  <c:v>43654.492856658413</c:v>
                </c:pt>
                <c:pt idx="4">
                  <c:v>43654.492856658413</c:v>
                </c:pt>
                <c:pt idx="5">
                  <c:v>43654.492856658413</c:v>
                </c:pt>
                <c:pt idx="6">
                  <c:v>43654.492856658413</c:v>
                </c:pt>
                <c:pt idx="7">
                  <c:v>43654.492856658413</c:v>
                </c:pt>
                <c:pt idx="8">
                  <c:v>43654.492856658413</c:v>
                </c:pt>
                <c:pt idx="9">
                  <c:v>43654.492856658413</c:v>
                </c:pt>
                <c:pt idx="10">
                  <c:v>43654.492856658413</c:v>
                </c:pt>
                <c:pt idx="11">
                  <c:v>43654.492856658413</c:v>
                </c:pt>
              </c:numCache>
            </c:numRef>
          </c:val>
          <c:smooth val="0"/>
          <c:extLst>
            <c:ext xmlns:c16="http://schemas.microsoft.com/office/drawing/2014/chart" uri="{C3380CC4-5D6E-409C-BE32-E72D297353CC}">
              <c16:uniqueId val="{00000001-65FF-42EC-AC27-C54D882B12D0}"/>
            </c:ext>
          </c:extLst>
        </c:ser>
        <c:dLbls>
          <c:showLegendKey val="0"/>
          <c:showVal val="0"/>
          <c:showCatName val="0"/>
          <c:showSerName val="0"/>
          <c:showPercent val="0"/>
          <c:showBubbleSize val="0"/>
        </c:dLbls>
        <c:smooth val="0"/>
        <c:axId val="673404432"/>
        <c:axId val="673407312"/>
      </c:lineChart>
      <c:dateAx>
        <c:axId val="67340443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407312"/>
        <c:crosses val="autoZero"/>
        <c:auto val="1"/>
        <c:lblOffset val="100"/>
        <c:baseTimeUnit val="months"/>
      </c:dateAx>
      <c:valAx>
        <c:axId val="673407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404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1"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0.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6</xdr:col>
      <xdr:colOff>328612</xdr:colOff>
      <xdr:row>73</xdr:row>
      <xdr:rowOff>123831</xdr:rowOff>
    </xdr:from>
    <xdr:to>
      <xdr:col>18</xdr:col>
      <xdr:colOff>504826</xdr:colOff>
      <xdr:row>94</xdr:row>
      <xdr:rowOff>47625</xdr:rowOff>
    </xdr:to>
    <xdr:graphicFrame macro="">
      <xdr:nvGraphicFramePr>
        <xdr:cNvPr id="6" name="Chart 5">
          <a:extLst>
            <a:ext uri="{FF2B5EF4-FFF2-40B4-BE49-F238E27FC236}">
              <a16:creationId xmlns:a16="http://schemas.microsoft.com/office/drawing/2014/main" id="{A6E63902-DC90-C497-2D89-930314EBD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110</xdr:row>
      <xdr:rowOff>0</xdr:rowOff>
    </xdr:from>
    <xdr:to>
      <xdr:col>25</xdr:col>
      <xdr:colOff>438150</xdr:colOff>
      <xdr:row>132</xdr:row>
      <xdr:rowOff>157700</xdr:rowOff>
    </xdr:to>
    <xdr:pic>
      <xdr:nvPicPr>
        <xdr:cNvPr id="6" name="Picture 3">
          <a:extLst>
            <a:ext uri="{FF2B5EF4-FFF2-40B4-BE49-F238E27FC236}">
              <a16:creationId xmlns:a16="http://schemas.microsoft.com/office/drawing/2014/main" id="{7E0419DA-CDFB-35E6-2126-011C8F0BDD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05800" y="21002625"/>
          <a:ext cx="7772400" cy="4348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57150</xdr:colOff>
      <xdr:row>35</xdr:row>
      <xdr:rowOff>38101</xdr:rowOff>
    </xdr:from>
    <xdr:to>
      <xdr:col>12</xdr:col>
      <xdr:colOff>506056</xdr:colOff>
      <xdr:row>58</xdr:row>
      <xdr:rowOff>133351</xdr:rowOff>
    </xdr:to>
    <xdr:pic>
      <xdr:nvPicPr>
        <xdr:cNvPr id="5" name="Picture 11">
          <a:extLst>
            <a:ext uri="{FF2B5EF4-FFF2-40B4-BE49-F238E27FC236}">
              <a16:creationId xmlns:a16="http://schemas.microsoft.com/office/drawing/2014/main" id="{AE6A89A7-6D8D-CB99-BDBD-B6F233167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6753226"/>
          <a:ext cx="7954606"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647700</xdr:colOff>
      <xdr:row>35</xdr:row>
      <xdr:rowOff>38100</xdr:rowOff>
    </xdr:from>
    <xdr:to>
      <xdr:col>25</xdr:col>
      <xdr:colOff>342900</xdr:colOff>
      <xdr:row>58</xdr:row>
      <xdr:rowOff>120414</xdr:rowOff>
    </xdr:to>
    <xdr:pic>
      <xdr:nvPicPr>
        <xdr:cNvPr id="7" name="Picture 2">
          <a:extLst>
            <a:ext uri="{FF2B5EF4-FFF2-40B4-BE49-F238E27FC236}">
              <a16:creationId xmlns:a16="http://schemas.microsoft.com/office/drawing/2014/main" id="{2B8186A4-2AA8-B652-B406-88C3121D49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53400" y="6753225"/>
          <a:ext cx="7924800" cy="44638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152401</xdr:colOff>
      <xdr:row>35</xdr:row>
      <xdr:rowOff>57150</xdr:rowOff>
    </xdr:from>
    <xdr:to>
      <xdr:col>14</xdr:col>
      <xdr:colOff>369819</xdr:colOff>
      <xdr:row>62</xdr:row>
      <xdr:rowOff>47625</xdr:rowOff>
    </xdr:to>
    <xdr:pic>
      <xdr:nvPicPr>
        <xdr:cNvPr id="5" name="Picture 7">
          <a:extLst>
            <a:ext uri="{FF2B5EF4-FFF2-40B4-BE49-F238E27FC236}">
              <a16:creationId xmlns:a16="http://schemas.microsoft.com/office/drawing/2014/main" id="{A445E20F-0BB3-E835-5279-AABE86D059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1" y="6781800"/>
          <a:ext cx="9151868" cy="513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428624</xdr:colOff>
      <xdr:row>35</xdr:row>
      <xdr:rowOff>57150</xdr:rowOff>
    </xdr:from>
    <xdr:to>
      <xdr:col>29</xdr:col>
      <xdr:colOff>228599</xdr:colOff>
      <xdr:row>62</xdr:row>
      <xdr:rowOff>20043</xdr:rowOff>
    </xdr:to>
    <xdr:pic>
      <xdr:nvPicPr>
        <xdr:cNvPr id="9" name="Picture 2">
          <a:extLst>
            <a:ext uri="{FF2B5EF4-FFF2-40B4-BE49-F238E27FC236}">
              <a16:creationId xmlns:a16="http://schemas.microsoft.com/office/drawing/2014/main" id="{8DAFAC0F-F292-E276-4B9F-E06BC2BDBA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363074" y="6781800"/>
          <a:ext cx="9039225" cy="510639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123826</xdr:colOff>
      <xdr:row>36</xdr:row>
      <xdr:rowOff>9525</xdr:rowOff>
    </xdr:from>
    <xdr:to>
      <xdr:col>13</xdr:col>
      <xdr:colOff>403585</xdr:colOff>
      <xdr:row>61</xdr:row>
      <xdr:rowOff>28575</xdr:rowOff>
    </xdr:to>
    <xdr:pic>
      <xdr:nvPicPr>
        <xdr:cNvPr id="5" name="Picture 8">
          <a:extLst>
            <a:ext uri="{FF2B5EF4-FFF2-40B4-BE49-F238E27FC236}">
              <a16:creationId xmlns:a16="http://schemas.microsoft.com/office/drawing/2014/main" id="{0E880D56-9482-1139-A40B-B7CDC5737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6" y="6924675"/>
          <a:ext cx="8499834" cy="478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581025</xdr:colOff>
      <xdr:row>36</xdr:row>
      <xdr:rowOff>28574</xdr:rowOff>
    </xdr:from>
    <xdr:to>
      <xdr:col>27</xdr:col>
      <xdr:colOff>204202</xdr:colOff>
      <xdr:row>60</xdr:row>
      <xdr:rowOff>171449</xdr:rowOff>
    </xdr:to>
    <xdr:pic>
      <xdr:nvPicPr>
        <xdr:cNvPr id="7" name="Picture 2">
          <a:extLst>
            <a:ext uri="{FF2B5EF4-FFF2-40B4-BE49-F238E27FC236}">
              <a16:creationId xmlns:a16="http://schemas.microsoft.com/office/drawing/2014/main" id="{89002CC5-F16D-8C75-F8DA-D50EC21B53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801100" y="6943724"/>
          <a:ext cx="8357602" cy="4714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62</xdr:row>
      <xdr:rowOff>104775</xdr:rowOff>
    </xdr:from>
    <xdr:to>
      <xdr:col>7</xdr:col>
      <xdr:colOff>0</xdr:colOff>
      <xdr:row>76</xdr:row>
      <xdr:rowOff>180975</xdr:rowOff>
    </xdr:to>
    <xdr:graphicFrame macro="">
      <xdr:nvGraphicFramePr>
        <xdr:cNvPr id="9" name="Chart 8">
          <a:extLst>
            <a:ext uri="{FF2B5EF4-FFF2-40B4-BE49-F238E27FC236}">
              <a16:creationId xmlns:a16="http://schemas.microsoft.com/office/drawing/2014/main" id="{4B355A60-2E26-1543-BAF2-B97E63892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185737</xdr:colOff>
      <xdr:row>62</xdr:row>
      <xdr:rowOff>133350</xdr:rowOff>
    </xdr:from>
    <xdr:to>
      <xdr:col>13</xdr:col>
      <xdr:colOff>119062</xdr:colOff>
      <xdr:row>77</xdr:row>
      <xdr:rowOff>19050</xdr:rowOff>
    </xdr:to>
    <xdr:graphicFrame macro="">
      <xdr:nvGraphicFramePr>
        <xdr:cNvPr id="10" name="Chart 9">
          <a:extLst>
            <a:ext uri="{FF2B5EF4-FFF2-40B4-BE49-F238E27FC236}">
              <a16:creationId xmlns:a16="http://schemas.microsoft.com/office/drawing/2014/main" id="{45109B1D-2FE9-D2B8-269A-1060E2664A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25686</xdr:colOff>
      <xdr:row>54</xdr:row>
      <xdr:rowOff>14340</xdr:rowOff>
    </xdr:from>
    <xdr:to>
      <xdr:col>7</xdr:col>
      <xdr:colOff>134849</xdr:colOff>
      <xdr:row>68</xdr:row>
      <xdr:rowOff>60574</xdr:rowOff>
    </xdr:to>
    <xdr:graphicFrame macro="">
      <xdr:nvGraphicFramePr>
        <xdr:cNvPr id="8" name="Chart 7">
          <a:extLst>
            <a:ext uri="{FF2B5EF4-FFF2-40B4-BE49-F238E27FC236}">
              <a16:creationId xmlns:a16="http://schemas.microsoft.com/office/drawing/2014/main" id="{D524E8A2-65FA-6BCC-FD32-618A500EC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523340</xdr:colOff>
      <xdr:row>54</xdr:row>
      <xdr:rowOff>25042</xdr:rowOff>
    </xdr:from>
    <xdr:to>
      <xdr:col>13</xdr:col>
      <xdr:colOff>600396</xdr:colOff>
      <xdr:row>68</xdr:row>
      <xdr:rowOff>71276</xdr:rowOff>
    </xdr:to>
    <xdr:graphicFrame macro="">
      <xdr:nvGraphicFramePr>
        <xdr:cNvPr id="9" name="Chart 8">
          <a:extLst>
            <a:ext uri="{FF2B5EF4-FFF2-40B4-BE49-F238E27FC236}">
              <a16:creationId xmlns:a16="http://schemas.microsoft.com/office/drawing/2014/main" id="{9647B393-189D-760D-6CF9-D8EFB84C3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19050</xdr:colOff>
      <xdr:row>54</xdr:row>
      <xdr:rowOff>0</xdr:rowOff>
    </xdr:from>
    <xdr:to>
      <xdr:col>7</xdr:col>
      <xdr:colOff>142875</xdr:colOff>
      <xdr:row>68</xdr:row>
      <xdr:rowOff>76200</xdr:rowOff>
    </xdr:to>
    <xdr:graphicFrame macro="">
      <xdr:nvGraphicFramePr>
        <xdr:cNvPr id="7" name="Chart 6">
          <a:extLst>
            <a:ext uri="{FF2B5EF4-FFF2-40B4-BE49-F238E27FC236}">
              <a16:creationId xmlns:a16="http://schemas.microsoft.com/office/drawing/2014/main" id="{11E88012-7E9F-8AB6-BC54-2C0F482D8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514350</xdr:colOff>
      <xdr:row>54</xdr:row>
      <xdr:rowOff>0</xdr:rowOff>
    </xdr:from>
    <xdr:to>
      <xdr:col>13</xdr:col>
      <xdr:colOff>628650</xdr:colOff>
      <xdr:row>68</xdr:row>
      <xdr:rowOff>76200</xdr:rowOff>
    </xdr:to>
    <xdr:graphicFrame macro="">
      <xdr:nvGraphicFramePr>
        <xdr:cNvPr id="8" name="Chart 7">
          <a:extLst>
            <a:ext uri="{FF2B5EF4-FFF2-40B4-BE49-F238E27FC236}">
              <a16:creationId xmlns:a16="http://schemas.microsoft.com/office/drawing/2014/main" id="{B7CFADF7-B824-ECD0-0EFD-60CA3233E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76200</xdr:colOff>
      <xdr:row>53</xdr:row>
      <xdr:rowOff>114300</xdr:rowOff>
    </xdr:from>
    <xdr:to>
      <xdr:col>7</xdr:col>
      <xdr:colOff>200025</xdr:colOff>
      <xdr:row>68</xdr:row>
      <xdr:rowOff>0</xdr:rowOff>
    </xdr:to>
    <xdr:graphicFrame macro="">
      <xdr:nvGraphicFramePr>
        <xdr:cNvPr id="8" name="Chart 7">
          <a:extLst>
            <a:ext uri="{FF2B5EF4-FFF2-40B4-BE49-F238E27FC236}">
              <a16:creationId xmlns:a16="http://schemas.microsoft.com/office/drawing/2014/main" id="{E2D71B5A-4697-2A1F-D891-5EF746CB7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500062</xdr:colOff>
      <xdr:row>53</xdr:row>
      <xdr:rowOff>114300</xdr:rowOff>
    </xdr:from>
    <xdr:to>
      <xdr:col>13</xdr:col>
      <xdr:colOff>614362</xdr:colOff>
      <xdr:row>68</xdr:row>
      <xdr:rowOff>0</xdr:rowOff>
    </xdr:to>
    <xdr:graphicFrame macro="">
      <xdr:nvGraphicFramePr>
        <xdr:cNvPr id="9" name="Chart 8">
          <a:extLst>
            <a:ext uri="{FF2B5EF4-FFF2-40B4-BE49-F238E27FC236}">
              <a16:creationId xmlns:a16="http://schemas.microsoft.com/office/drawing/2014/main" id="{4404C355-D2A0-2784-69C5-51E0D7B3E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54</xdr:row>
      <xdr:rowOff>38100</xdr:rowOff>
    </xdr:from>
    <xdr:to>
      <xdr:col>7</xdr:col>
      <xdr:colOff>161925</xdr:colOff>
      <xdr:row>68</xdr:row>
      <xdr:rowOff>114300</xdr:rowOff>
    </xdr:to>
    <xdr:graphicFrame macro="">
      <xdr:nvGraphicFramePr>
        <xdr:cNvPr id="9" name="Chart 8">
          <a:extLst>
            <a:ext uri="{FF2B5EF4-FFF2-40B4-BE49-F238E27FC236}">
              <a16:creationId xmlns:a16="http://schemas.microsoft.com/office/drawing/2014/main" id="{75181E58-CE6A-13C7-70B5-E60C929EFA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381000</xdr:colOff>
      <xdr:row>54</xdr:row>
      <xdr:rowOff>28575</xdr:rowOff>
    </xdr:from>
    <xdr:to>
      <xdr:col>13</xdr:col>
      <xdr:colOff>495300</xdr:colOff>
      <xdr:row>68</xdr:row>
      <xdr:rowOff>104775</xdr:rowOff>
    </xdr:to>
    <xdr:graphicFrame macro="">
      <xdr:nvGraphicFramePr>
        <xdr:cNvPr id="10" name="Chart 9">
          <a:extLst>
            <a:ext uri="{FF2B5EF4-FFF2-40B4-BE49-F238E27FC236}">
              <a16:creationId xmlns:a16="http://schemas.microsoft.com/office/drawing/2014/main" id="{74D22701-3CDE-46E8-3691-2858F2CD1A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56</xdr:row>
      <xdr:rowOff>114299</xdr:rowOff>
    </xdr:from>
    <xdr:to>
      <xdr:col>8</xdr:col>
      <xdr:colOff>409574</xdr:colOff>
      <xdr:row>72</xdr:row>
      <xdr:rowOff>104774</xdr:rowOff>
    </xdr:to>
    <xdr:graphicFrame macro="">
      <xdr:nvGraphicFramePr>
        <xdr:cNvPr id="7" name="Chart 1">
          <a:extLst>
            <a:ext uri="{FF2B5EF4-FFF2-40B4-BE49-F238E27FC236}">
              <a16:creationId xmlns:a16="http://schemas.microsoft.com/office/drawing/2014/main" id="{C39EE613-F886-9C01-1833-944341E15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285750</xdr:colOff>
      <xdr:row>63</xdr:row>
      <xdr:rowOff>57150</xdr:rowOff>
    </xdr:from>
    <xdr:to>
      <xdr:col>8</xdr:col>
      <xdr:colOff>85725</xdr:colOff>
      <xdr:row>77</xdr:row>
      <xdr:rowOff>133350</xdr:rowOff>
    </xdr:to>
    <xdr:graphicFrame macro="">
      <xdr:nvGraphicFramePr>
        <xdr:cNvPr id="2" name="Chart 7">
          <a:extLst>
            <a:ext uri="{FF2B5EF4-FFF2-40B4-BE49-F238E27FC236}">
              <a16:creationId xmlns:a16="http://schemas.microsoft.com/office/drawing/2014/main" id="{87314A6F-9CD8-6C21-ADA9-AB9FFAF27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48</xdr:row>
      <xdr:rowOff>62753</xdr:rowOff>
    </xdr:from>
    <xdr:to>
      <xdr:col>9</xdr:col>
      <xdr:colOff>302559</xdr:colOff>
      <xdr:row>66</xdr:row>
      <xdr:rowOff>145677</xdr:rowOff>
    </xdr:to>
    <xdr:graphicFrame macro="">
      <xdr:nvGraphicFramePr>
        <xdr:cNvPr id="7" name="Chart 6">
          <a:extLst>
            <a:ext uri="{FF2B5EF4-FFF2-40B4-BE49-F238E27FC236}">
              <a16:creationId xmlns:a16="http://schemas.microsoft.com/office/drawing/2014/main" id="{9BB9CADF-4042-9742-A29E-B0E0D649F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114300</xdr:colOff>
      <xdr:row>48</xdr:row>
      <xdr:rowOff>9525</xdr:rowOff>
    </xdr:from>
    <xdr:to>
      <xdr:col>8</xdr:col>
      <xdr:colOff>0</xdr:colOff>
      <xdr:row>62</xdr:row>
      <xdr:rowOff>85725</xdr:rowOff>
    </xdr:to>
    <xdr:graphicFrame macro="">
      <xdr:nvGraphicFramePr>
        <xdr:cNvPr id="9" name="Chart 8">
          <a:extLst>
            <a:ext uri="{FF2B5EF4-FFF2-40B4-BE49-F238E27FC236}">
              <a16:creationId xmlns:a16="http://schemas.microsoft.com/office/drawing/2014/main" id="{B66EB2D9-AE60-4E88-3BB2-45013A2075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185737</xdr:colOff>
      <xdr:row>47</xdr:row>
      <xdr:rowOff>133349</xdr:rowOff>
    </xdr:from>
    <xdr:to>
      <xdr:col>8</xdr:col>
      <xdr:colOff>104775</xdr:colOff>
      <xdr:row>62</xdr:row>
      <xdr:rowOff>104774</xdr:rowOff>
    </xdr:to>
    <xdr:graphicFrame macro="">
      <xdr:nvGraphicFramePr>
        <xdr:cNvPr id="7" name="Chart 6">
          <a:extLst>
            <a:ext uri="{FF2B5EF4-FFF2-40B4-BE49-F238E27FC236}">
              <a16:creationId xmlns:a16="http://schemas.microsoft.com/office/drawing/2014/main" id="{1A17A7D6-F208-7A0A-7662-6216EBBFCB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266699</xdr:colOff>
      <xdr:row>27</xdr:row>
      <xdr:rowOff>176211</xdr:rowOff>
    </xdr:from>
    <xdr:to>
      <xdr:col>14</xdr:col>
      <xdr:colOff>47624</xdr:colOff>
      <xdr:row>45</xdr:row>
      <xdr:rowOff>142874</xdr:rowOff>
    </xdr:to>
    <xdr:graphicFrame macro="">
      <xdr:nvGraphicFramePr>
        <xdr:cNvPr id="3" name="Chart 1">
          <a:extLst>
            <a:ext uri="{FF2B5EF4-FFF2-40B4-BE49-F238E27FC236}">
              <a16:creationId xmlns:a16="http://schemas.microsoft.com/office/drawing/2014/main" id="{2D5FF258-C04C-817B-F0AB-42A42C79E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257174</xdr:colOff>
      <xdr:row>51</xdr:row>
      <xdr:rowOff>9525</xdr:rowOff>
    </xdr:from>
    <xdr:to>
      <xdr:col>15</xdr:col>
      <xdr:colOff>238124</xdr:colOff>
      <xdr:row>79</xdr:row>
      <xdr:rowOff>110370</xdr:rowOff>
    </xdr:to>
    <xdr:pic>
      <xdr:nvPicPr>
        <xdr:cNvPr id="4" name="Picture 2">
          <a:extLst>
            <a:ext uri="{FF2B5EF4-FFF2-40B4-BE49-F238E27FC236}">
              <a16:creationId xmlns:a16="http://schemas.microsoft.com/office/drawing/2014/main" id="{5260D2BF-5393-7280-4756-D20D7FDACD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4" y="9801225"/>
          <a:ext cx="9629775" cy="543484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342899</xdr:colOff>
      <xdr:row>49</xdr:row>
      <xdr:rowOff>142875</xdr:rowOff>
    </xdr:from>
    <xdr:to>
      <xdr:col>15</xdr:col>
      <xdr:colOff>561974</xdr:colOff>
      <xdr:row>80</xdr:row>
      <xdr:rowOff>39400</xdr:rowOff>
    </xdr:to>
    <xdr:pic>
      <xdr:nvPicPr>
        <xdr:cNvPr id="4" name="Picture 2">
          <a:extLst>
            <a:ext uri="{FF2B5EF4-FFF2-40B4-BE49-F238E27FC236}">
              <a16:creationId xmlns:a16="http://schemas.microsoft.com/office/drawing/2014/main" id="{5D7BC0CE-A091-8EBF-BD5B-047F8EDB49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899" y="9553575"/>
          <a:ext cx="10258425" cy="58020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352424</xdr:colOff>
      <xdr:row>34</xdr:row>
      <xdr:rowOff>142875</xdr:rowOff>
    </xdr:from>
    <xdr:to>
      <xdr:col>16</xdr:col>
      <xdr:colOff>151931</xdr:colOff>
      <xdr:row>65</xdr:row>
      <xdr:rowOff>28575</xdr:rowOff>
    </xdr:to>
    <xdr:pic>
      <xdr:nvPicPr>
        <xdr:cNvPr id="4" name="Picture 2">
          <a:extLst>
            <a:ext uri="{FF2B5EF4-FFF2-40B4-BE49-F238E27FC236}">
              <a16:creationId xmlns:a16="http://schemas.microsoft.com/office/drawing/2014/main" id="{BD7C3785-CA05-56EA-E811-D43FBD0122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4" y="6677025"/>
          <a:ext cx="10277007" cy="57912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29</xdr:col>
      <xdr:colOff>66675</xdr:colOff>
      <xdr:row>0</xdr:row>
      <xdr:rowOff>0</xdr:rowOff>
    </xdr:from>
    <xdr:to>
      <xdr:col>36</xdr:col>
      <xdr:colOff>371475</xdr:colOff>
      <xdr:row>14</xdr:row>
      <xdr:rowOff>38100</xdr:rowOff>
    </xdr:to>
    <xdr:graphicFrame macro="">
      <xdr:nvGraphicFramePr>
        <xdr:cNvPr id="63" name="Chart 2">
          <a:extLst>
            <a:ext uri="{FF2B5EF4-FFF2-40B4-BE49-F238E27FC236}">
              <a16:creationId xmlns:a16="http://schemas.microsoft.com/office/drawing/2014/main" id="{1C1A313E-4E51-4C72-B1F8-C1702942526F}"/>
            </a:ext>
            <a:ext uri="{147F2762-F138-4A5C-976F-8EAC2B608ADB}">
              <a16:predDERef xmlns:a16="http://schemas.microsoft.com/office/drawing/2014/main" pred="{79629E02-D0BA-F1FE-ED24-12D950657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50426</xdr:colOff>
      <xdr:row>36</xdr:row>
      <xdr:rowOff>107577</xdr:rowOff>
    </xdr:from>
    <xdr:to>
      <xdr:col>8</xdr:col>
      <xdr:colOff>117661</xdr:colOff>
      <xdr:row>50</xdr:row>
      <xdr:rowOff>183777</xdr:rowOff>
    </xdr:to>
    <xdr:graphicFrame macro="">
      <xdr:nvGraphicFramePr>
        <xdr:cNvPr id="6" name="Chart 5">
          <a:extLst>
            <a:ext uri="{FF2B5EF4-FFF2-40B4-BE49-F238E27FC236}">
              <a16:creationId xmlns:a16="http://schemas.microsoft.com/office/drawing/2014/main" id="{3FA08AE8-5C22-2469-8B17-BF9CAB5CD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459441</xdr:colOff>
      <xdr:row>36</xdr:row>
      <xdr:rowOff>107576</xdr:rowOff>
    </xdr:from>
    <xdr:to>
      <xdr:col>14</xdr:col>
      <xdr:colOff>593912</xdr:colOff>
      <xdr:row>50</xdr:row>
      <xdr:rowOff>183776</xdr:rowOff>
    </xdr:to>
    <xdr:graphicFrame macro="">
      <xdr:nvGraphicFramePr>
        <xdr:cNvPr id="7" name="Chart 6">
          <a:extLst>
            <a:ext uri="{FF2B5EF4-FFF2-40B4-BE49-F238E27FC236}">
              <a16:creationId xmlns:a16="http://schemas.microsoft.com/office/drawing/2014/main" id="{19C2478A-F8A5-DF1F-3A2B-EAAC19B0F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48</xdr:row>
      <xdr:rowOff>28575</xdr:rowOff>
    </xdr:from>
    <xdr:to>
      <xdr:col>7</xdr:col>
      <xdr:colOff>571500</xdr:colOff>
      <xdr:row>62</xdr:row>
      <xdr:rowOff>104775</xdr:rowOff>
    </xdr:to>
    <xdr:graphicFrame macro="">
      <xdr:nvGraphicFramePr>
        <xdr:cNvPr id="7" name="Chart 6">
          <a:extLst>
            <a:ext uri="{FF2B5EF4-FFF2-40B4-BE49-F238E27FC236}">
              <a16:creationId xmlns:a16="http://schemas.microsoft.com/office/drawing/2014/main" id="{754B12A6-53CB-D991-D1AF-7B486719D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123825</xdr:colOff>
      <xdr:row>39</xdr:row>
      <xdr:rowOff>85725</xdr:rowOff>
    </xdr:from>
    <xdr:to>
      <xdr:col>7</xdr:col>
      <xdr:colOff>523875</xdr:colOff>
      <xdr:row>53</xdr:row>
      <xdr:rowOff>161925</xdr:rowOff>
    </xdr:to>
    <xdr:graphicFrame macro="">
      <xdr:nvGraphicFramePr>
        <xdr:cNvPr id="5" name="Chart 4">
          <a:extLst>
            <a:ext uri="{FF2B5EF4-FFF2-40B4-BE49-F238E27FC236}">
              <a16:creationId xmlns:a16="http://schemas.microsoft.com/office/drawing/2014/main" id="{8691D812-8E91-9FB2-E23C-1E855C59F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180975</xdr:colOff>
      <xdr:row>35</xdr:row>
      <xdr:rowOff>152400</xdr:rowOff>
    </xdr:from>
    <xdr:to>
      <xdr:col>7</xdr:col>
      <xdr:colOff>657225</xdr:colOff>
      <xdr:row>50</xdr:row>
      <xdr:rowOff>38100</xdr:rowOff>
    </xdr:to>
    <xdr:graphicFrame macro="">
      <xdr:nvGraphicFramePr>
        <xdr:cNvPr id="5" name="Chart 4">
          <a:extLst>
            <a:ext uri="{FF2B5EF4-FFF2-40B4-BE49-F238E27FC236}">
              <a16:creationId xmlns:a16="http://schemas.microsoft.com/office/drawing/2014/main" id="{7E20CBB5-91D8-A90D-CC36-707629D69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257174</xdr:colOff>
      <xdr:row>35</xdr:row>
      <xdr:rowOff>180975</xdr:rowOff>
    </xdr:from>
    <xdr:to>
      <xdr:col>8</xdr:col>
      <xdr:colOff>66674</xdr:colOff>
      <xdr:row>50</xdr:row>
      <xdr:rowOff>47625</xdr:rowOff>
    </xdr:to>
    <xdr:graphicFrame macro="">
      <xdr:nvGraphicFramePr>
        <xdr:cNvPr id="5" name="Chart 4">
          <a:extLst>
            <a:ext uri="{FF2B5EF4-FFF2-40B4-BE49-F238E27FC236}">
              <a16:creationId xmlns:a16="http://schemas.microsoft.com/office/drawing/2014/main" id="{AF8486A9-26B1-0703-FCEA-FF8630685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209550</xdr:colOff>
      <xdr:row>44</xdr:row>
      <xdr:rowOff>28575</xdr:rowOff>
    </xdr:from>
    <xdr:to>
      <xdr:col>7</xdr:col>
      <xdr:colOff>219075</xdr:colOff>
      <xdr:row>58</xdr:row>
      <xdr:rowOff>104775</xdr:rowOff>
    </xdr:to>
    <xdr:graphicFrame macro="">
      <xdr:nvGraphicFramePr>
        <xdr:cNvPr id="5" name="Chart 4">
          <a:extLst>
            <a:ext uri="{FF2B5EF4-FFF2-40B4-BE49-F238E27FC236}">
              <a16:creationId xmlns:a16="http://schemas.microsoft.com/office/drawing/2014/main" id="{2497234A-7CE1-F905-3D78-DBBF7DF79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For%20Shuan%20Review/Updated_TKP%20Budget%202023%20-%20TNZ%20-%20April%20Ver..xlsx" TargetMode="External"/><Relationship Id="rId1" Type="http://schemas.openxmlformats.org/officeDocument/2006/relationships/externalLinkPath" Target="TNZ%20Budget%20cutting/For%20Shuan%20Review/Updated_TKP%20Budget%202023%20-%20TNZ%20-%20April%20Ve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F&amp;S%20TKP%20FY2025%20Budgets.xlsx" TargetMode="External"/><Relationship Id="rId1" Type="http://schemas.openxmlformats.org/officeDocument/2006/relationships/externalLinkPath" Target="F&amp;S%20TKP%20FY2025%20Budget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123%20TNZ%20Format%20-%20April%20Budget%20Check.xlsx" TargetMode="External"/><Relationship Id="rId1" Type="http://schemas.openxmlformats.org/officeDocument/2006/relationships/externalLinkPath" Target="TNZ%20Budget%20cutting/2023/Q423/PS%20-%20FSTMTS%200123%20TNZ%20Format%20-%20April%20Budget%20Check.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223%20TNZ%20Format%20-%20April%20Budget%20Check.xlsx" TargetMode="External"/><Relationship Id="rId1" Type="http://schemas.openxmlformats.org/officeDocument/2006/relationships/externalLinkPath" Target="TNZ%20Budget%20cutting/2023/Q423/PS%20-%20FSTMTS%200223%20TNZ%20Format%20-%20April%20Budget%20Check.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323%20TNZ%20Format%20-%20April%20Budget%20Check.xlsx" TargetMode="External"/><Relationship Id="rId1" Type="http://schemas.openxmlformats.org/officeDocument/2006/relationships/externalLinkPath" Target="TNZ%20Budget%20cutting/2023/Q423/PS%20-%20FSTMTS%200323%20TNZ%20Format%20-%20April%20Budget%20Check.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423%20TNZ%20Format%20-%20April%20Budget%20Check.xlsx" TargetMode="External"/><Relationship Id="rId1" Type="http://schemas.openxmlformats.org/officeDocument/2006/relationships/externalLinkPath" Target="TNZ%20Budget%20cutting/2023/Q423/PS%20-%20FSTMTS%200423%20TNZ%20Format%20-%20April%20Budget%20Check.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523%20TNZ%20Format%20-%20April%20Budget%20Check.xlsx" TargetMode="External"/><Relationship Id="rId1" Type="http://schemas.openxmlformats.org/officeDocument/2006/relationships/externalLinkPath" Target="TNZ%20Budget%20cutting/2023/Q423/PS%20-%20FSTMTS%200523%20TNZ%20Format%20-%20April%20Budget%20Check.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623%20TNZ%20Format%20-%20April%20Budget%20Check.xlsx" TargetMode="External"/><Relationship Id="rId1" Type="http://schemas.openxmlformats.org/officeDocument/2006/relationships/externalLinkPath" Target="TNZ%20Budget%20cutting/2023/Q423/PS%20-%20FSTMTS%200623%20TNZ%20Format%20-%20April%20Budget%20Check.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723%20TNZ%20Format%20-%20April%20Budget%20Check.xlsx" TargetMode="External"/><Relationship Id="rId1" Type="http://schemas.openxmlformats.org/officeDocument/2006/relationships/externalLinkPath" Target="TNZ%20Budget%20cutting/2023/Q423/PS%20-%20FSTMTS%200723%20TNZ%20Format%20-%20April%20Budget%20Check.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823%20TNZ%20Format%20-%20April%20Budget%20Check.xlsx" TargetMode="External"/><Relationship Id="rId1" Type="http://schemas.openxmlformats.org/officeDocument/2006/relationships/externalLinkPath" Target="TNZ%20Budget%20cutting/2023/Q423/PS%20-%20FSTMTS%200823%20TNZ%20Format%20-%20April%20Budget%20Check.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0923%20TNZ%20Format%20-%20April%20Budget%20Check.xlsx" TargetMode="External"/><Relationship Id="rId1" Type="http://schemas.openxmlformats.org/officeDocument/2006/relationships/externalLinkPath" Target="TNZ%20Budget%20cutting/2023/Q423/PS%20-%20FSTMTS%200923%20TNZ%20Format%20-%20April%20Budget%20Check.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1023%20TNZ%20Format%20-%20April%20Budget%20Check.xlsx" TargetMode="External"/><Relationship Id="rId1" Type="http://schemas.openxmlformats.org/officeDocument/2006/relationships/externalLinkPath" Target="TNZ%20Budget%20cutting/2023/Q423/PS%20-%20FSTMTS%201023%20TNZ%20Format%20-%20April%20Budget%20Check.xlsx" TargetMode="External"/></Relationships>
</file>

<file path=xl/externalLinks/_rels/externalLink13.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1123%20TNZ%20Format%20-%20April%20Budget%20Check.xlsx" TargetMode="External"/><Relationship Id="rId1" Type="http://schemas.openxmlformats.org/officeDocument/2006/relationships/externalLinkPath" Target="TNZ%20Budget%20cutting/2023/Q423/PS%20-%20FSTMTS%201123%20TNZ%20Format%20-%20April%20Budget%20Check.xlsx" TargetMode="External"/></Relationships>
</file>

<file path=xl/externalLinks/_rels/externalLink14.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2023/Q423/PS%20-%20FSTMTS%201223%20TNZ%20Format%20-%20April%20Budget%20Check.xlsx" TargetMode="External"/><Relationship Id="rId1" Type="http://schemas.openxmlformats.org/officeDocument/2006/relationships/externalLinkPath" Target="TNZ%20Budget%20cutting/2023/Q423/PS%20-%20FSTMTS%201223%20TNZ%20Format%20-%20April%20Budget%20Check.xlsx" TargetMode="External"/></Relationships>
</file>

<file path=xl/externalLinks/_rels/externalLink15.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Q124/PS%20-%20FSTMTS%200124%20TNZ%20Format%20-%20April%20Budget%20Check.xlsx" TargetMode="External"/><Relationship Id="rId1" Type="http://schemas.openxmlformats.org/officeDocument/2006/relationships/externalLinkPath" Target="TNZ%20Budget%20cutting/Q124/PS%20-%20FSTMTS%200124%20TNZ%20Format%20-%20April%20Budget%20Check.xlsx"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Q124/PS%20-%20FSTMTS%200224%20TNZ%20Format%20-%20April%20Budget%20Check.xlsx" TargetMode="External"/><Relationship Id="rId1" Type="http://schemas.openxmlformats.org/officeDocument/2006/relationships/externalLinkPath" Target="TNZ%20Budget%20cutting/Q124/PS%20-%20FSTMTS%200224%20TNZ%20Format%20-%20April%20Budget%20Check.xlsx" TargetMode="External"/></Relationships>
</file>

<file path=xl/externalLinks/_rels/externalLink17.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NZ%20Budget%20cutting/Q124/PS%20-%20FSTMTS%200324%20TNZ%20Format%20-%20April%20Budget%20Check.xlsx" TargetMode="External"/><Relationship Id="rId1" Type="http://schemas.openxmlformats.org/officeDocument/2006/relationships/externalLinkPath" Target="TNZ%20Budget%20cutting/Q124/PS%20-%20FSTMTS%200324%20TNZ%20Format%20-%20April%20Budget%20Check.xlsx" TargetMode="External"/></Relationships>
</file>

<file path=xl/externalLinks/_rels/externalLink18.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TKP%20FY2025%20Expenses.xlsx" TargetMode="External"/><Relationship Id="rId1" Type="http://schemas.openxmlformats.org/officeDocument/2006/relationships/externalLinkPath" Target="TKP%20FY2025%20Expenses.xlsx" TargetMode="External"/></Relationships>
</file>

<file path=xl/externalLinks/_rels/externalLink19.xml.rels><?xml version="1.0" encoding="UTF-8" standalone="yes"?>
<Relationships xmlns="http://schemas.openxmlformats.org/package/2006/relationships"><Relationship Id="rId2" Type="http://schemas.openxmlformats.org/officeDocument/2006/relationships/externalLinkPath" Target="https://nznorthernbaysmotors.sharepoint.com/sites/Financial/Shared%20Documents/Peter%20Correspondence/Weekly%20dashboard%20projects/1st%20Draft%20-%20TKP%20FY2025%20Budgets%20-%20SLT%20Review%20-%20Ash%20&amp;%20Eric.xlsx" TargetMode="External"/><Relationship Id="rId1" Type="http://schemas.openxmlformats.org/officeDocument/2006/relationships/externalLinkPath" Target="1st%20Draft%20-%20TKP%20FY2025%20Budgets%20-%20SLT%20Review%20-%20Ash%20&amp;%20Er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6LVP5SKJAYYJH23P2AUYOFBKY6">
      <xxl21:absoluteUrl r:id="rId2"/>
    </xxl21:alternateUrls>
    <sheetNames>
      <sheetName val="Overall"/>
      <sheetName val="New Vehicles"/>
      <sheetName val="NV new orders ave."/>
      <sheetName val="NV orders"/>
      <sheetName val="Used Vehicles"/>
      <sheetName val="Used Vehicles - NS"/>
      <sheetName val="Used Vehicles - NW"/>
      <sheetName val="F&amp;I"/>
      <sheetName val="Parts"/>
      <sheetName val="Service"/>
      <sheetName val="Admin"/>
      <sheetName val="Updated_TKP Budget 2023 - TNZ -"/>
    </sheetNames>
    <sheetDataSet>
      <sheetData sheetId="0">
        <row r="9">
          <cell r="B9">
            <v>-94531.26</v>
          </cell>
        </row>
        <row r="13">
          <cell r="B13">
            <v>-238126.20999999996</v>
          </cell>
          <cell r="C13">
            <v>-233334.39507999999</v>
          </cell>
          <cell r="D13">
            <v>547210.55232000002</v>
          </cell>
          <cell r="E13">
            <v>-155744.43464875483</v>
          </cell>
          <cell r="F13">
            <v>421.97167228662875</v>
          </cell>
          <cell r="G13">
            <v>701691.94940448995</v>
          </cell>
          <cell r="H13">
            <v>115610.45873632538</v>
          </cell>
          <cell r="I13">
            <v>170847.79206965864</v>
          </cell>
          <cell r="J13">
            <v>777657.19206965854</v>
          </cell>
          <cell r="K13">
            <v>126787.72540299199</v>
          </cell>
          <cell r="L13">
            <v>117314.72540299199</v>
          </cell>
          <cell r="M13">
            <v>722439.98095854744</v>
          </cell>
          <cell r="N13">
            <v>47240.380958547583</v>
          </cell>
          <cell r="O13">
            <v>70251.735625214293</v>
          </cell>
          <cell r="P13">
            <v>854130.42762521422</v>
          </cell>
        </row>
      </sheetData>
      <sheetData sheetId="1">
        <row r="4">
          <cell r="B4">
            <v>135</v>
          </cell>
        </row>
      </sheetData>
      <sheetData sheetId="2"/>
      <sheetData sheetId="3"/>
      <sheetData sheetId="4">
        <row r="4">
          <cell r="B4">
            <v>57</v>
          </cell>
        </row>
      </sheetData>
      <sheetData sheetId="5">
        <row r="4">
          <cell r="E4">
            <v>33</v>
          </cell>
        </row>
      </sheetData>
      <sheetData sheetId="6">
        <row r="4">
          <cell r="E4">
            <v>16</v>
          </cell>
        </row>
      </sheetData>
      <sheetData sheetId="7">
        <row r="4">
          <cell r="B4">
            <v>231</v>
          </cell>
        </row>
      </sheetData>
      <sheetData sheetId="8">
        <row r="4">
          <cell r="B4">
            <v>1183886</v>
          </cell>
        </row>
      </sheetData>
      <sheetData sheetId="9">
        <row r="4">
          <cell r="B4">
            <v>493021</v>
          </cell>
        </row>
      </sheetData>
      <sheetData sheetId="10">
        <row r="4">
          <cell r="B4">
            <v>498255</v>
          </cell>
        </row>
      </sheetData>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Y 2024"/>
      <sheetName val="FY 2023"/>
      <sheetName val="Overall "/>
      <sheetName val="Overall - Toyota"/>
      <sheetName val="Overall - lexus"/>
      <sheetName val="FEF Incentive Forecast FY2025"/>
      <sheetName val="Commission OLD vs NEW"/>
      <sheetName val="New Vehicles - Group"/>
      <sheetName val="New Vehicles - NS"/>
      <sheetName val="New Vehicles - NW"/>
      <sheetName val="Used Vehicles - Group"/>
      <sheetName val="Used Vehicles - NS 5"/>
      <sheetName val="Used Vehicles - NS 6"/>
      <sheetName val="Used Vehicles - NW"/>
      <sheetName val="F&amp;I"/>
      <sheetName val="F&amp;I - NS "/>
      <sheetName val="F&amp;I - NW"/>
      <sheetName val="Parts - Group "/>
      <sheetName val="Parts - 130"/>
      <sheetName val="Parts - 230"/>
      <sheetName val="Parts - 330"/>
      <sheetName val="Parts - 430"/>
      <sheetName val="Service - Group "/>
      <sheetName val="Service - 140 "/>
      <sheetName val="Service - 240"/>
      <sheetName val="Service - 340"/>
      <sheetName val="Service - 440"/>
      <sheetName val="Toyota - Admin"/>
      <sheetName val="LEF Incentive Forecast FY2025"/>
      <sheetName val="LEX - New Vehicles"/>
      <sheetName val="LEX - Used Vehicles"/>
      <sheetName val="LEX - F&amp;I"/>
      <sheetName val="LEX - Parts"/>
      <sheetName val="LEX - Service"/>
      <sheetName val="Bridgestone Group"/>
      <sheetName val="Bridgestone 935"/>
      <sheetName val="Bridgestone 936"/>
      <sheetName val="Retail Detailing"/>
      <sheetName val="Other - Admin"/>
    </sheetNames>
    <sheetDataSet>
      <sheetData sheetId="0" refreshError="1"/>
      <sheetData sheetId="1" refreshError="1"/>
      <sheetData sheetId="2">
        <row r="53">
          <cell r="AL53">
            <v>3029733.8376270765</v>
          </cell>
        </row>
      </sheetData>
      <sheetData sheetId="3" refreshError="1"/>
      <sheetData sheetId="4" refreshError="1"/>
      <sheetData sheetId="5">
        <row r="37">
          <cell r="D37">
            <v>1481625</v>
          </cell>
        </row>
        <row r="40">
          <cell r="D40">
            <v>296325</v>
          </cell>
        </row>
        <row r="41">
          <cell r="D41">
            <v>481528.125</v>
          </cell>
        </row>
        <row r="42">
          <cell r="D42">
            <v>251353.125</v>
          </cell>
        </row>
        <row r="43">
          <cell r="D43">
            <v>370406.25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7YY4FAZPLVBNCY422QU333RF7F">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44.589333333333329</v>
          </cell>
        </row>
      </sheetData>
      <sheetData sheetId="12">
        <row r="6">
          <cell r="B6">
            <v>61</v>
          </cell>
        </row>
        <row r="9">
          <cell r="B9">
            <v>55.982622950819675</v>
          </cell>
        </row>
        <row r="11">
          <cell r="B11">
            <v>1768.7106557377056</v>
          </cell>
        </row>
        <row r="12">
          <cell r="B12">
            <v>107891.35000000003</v>
          </cell>
        </row>
        <row r="15">
          <cell r="B15">
            <v>539.39032786885252</v>
          </cell>
        </row>
        <row r="20">
          <cell r="B20">
            <v>1733.3983606557379</v>
          </cell>
        </row>
        <row r="21">
          <cell r="B21">
            <v>2272.7886885245903</v>
          </cell>
        </row>
        <row r="22">
          <cell r="B22">
            <v>-504.07803278688471</v>
          </cell>
        </row>
        <row r="24">
          <cell r="B24">
            <v>1586.1099999999969</v>
          </cell>
        </row>
        <row r="27">
          <cell r="B27">
            <v>4</v>
          </cell>
        </row>
      </sheetData>
      <sheetData sheetId="13">
        <row r="6">
          <cell r="B6">
            <v>74</v>
          </cell>
        </row>
        <row r="9">
          <cell r="B9">
            <v>35.197567567567567</v>
          </cell>
        </row>
        <row r="11">
          <cell r="B11">
            <v>1700.6482432432431</v>
          </cell>
        </row>
        <row r="15">
          <cell r="B15">
            <v>529.7348648648649</v>
          </cell>
        </row>
        <row r="20">
          <cell r="B20">
            <v>648.91608108108107</v>
          </cell>
        </row>
        <row r="21">
          <cell r="B21">
            <v>1178.650945945946</v>
          </cell>
        </row>
        <row r="24">
          <cell r="B24">
            <v>620.96999999999753</v>
          </cell>
        </row>
        <row r="27">
          <cell r="B27">
            <v>2</v>
          </cell>
        </row>
      </sheetData>
      <sheetData sheetId="14">
        <row r="18">
          <cell r="B18">
            <v>1593.027187500001</v>
          </cell>
        </row>
        <row r="23">
          <cell r="B23">
            <v>1682.0439583333346</v>
          </cell>
        </row>
        <row r="34">
          <cell r="B34">
            <v>-114.97177083333213</v>
          </cell>
        </row>
      </sheetData>
      <sheetData sheetId="15">
        <row r="6">
          <cell r="B6">
            <v>8</v>
          </cell>
        </row>
        <row r="7">
          <cell r="B7">
            <v>26</v>
          </cell>
        </row>
        <row r="8">
          <cell r="B8">
            <v>4</v>
          </cell>
        </row>
        <row r="9">
          <cell r="B9">
            <v>26</v>
          </cell>
        </row>
        <row r="11">
          <cell r="B11">
            <v>13</v>
          </cell>
        </row>
        <row r="15">
          <cell r="B15">
            <v>1239.9792307692294</v>
          </cell>
        </row>
        <row r="16">
          <cell r="B16">
            <v>2748.5475000000047</v>
          </cell>
        </row>
        <row r="17">
          <cell r="B17">
            <v>2643.3119230769248</v>
          </cell>
        </row>
        <row r="18">
          <cell r="B18">
            <v>1937.8926562500008</v>
          </cell>
        </row>
        <row r="19">
          <cell r="B19">
            <v>137.45692307692326</v>
          </cell>
        </row>
        <row r="20">
          <cell r="B20">
            <v>1608.6109558823559</v>
          </cell>
        </row>
        <row r="23">
          <cell r="B23">
            <v>1991.2512500000007</v>
          </cell>
        </row>
        <row r="24">
          <cell r="B24">
            <v>129227.02000000005</v>
          </cell>
        </row>
        <row r="27">
          <cell r="B27">
            <v>535.72187500000007</v>
          </cell>
        </row>
        <row r="32">
          <cell r="B32">
            <v>946.04203125000004</v>
          </cell>
        </row>
        <row r="34">
          <cell r="B34">
            <v>509.48734375000049</v>
          </cell>
        </row>
        <row r="37">
          <cell r="B37">
            <v>4</v>
          </cell>
        </row>
      </sheetData>
      <sheetData sheetId="16">
        <row r="6">
          <cell r="B6">
            <v>1</v>
          </cell>
        </row>
        <row r="7">
          <cell r="B7">
            <v>22</v>
          </cell>
        </row>
        <row r="8">
          <cell r="B8">
            <v>4</v>
          </cell>
        </row>
        <row r="9">
          <cell r="B9">
            <v>5</v>
          </cell>
        </row>
        <row r="11">
          <cell r="B11">
            <v>6</v>
          </cell>
        </row>
        <row r="14">
          <cell r="B14">
            <v>865.22000000000116</v>
          </cell>
        </row>
        <row r="15">
          <cell r="B15">
            <v>662.38954545454578</v>
          </cell>
        </row>
        <row r="16">
          <cell r="B16">
            <v>-82.69749999998902</v>
          </cell>
        </row>
        <row r="17">
          <cell r="B17">
            <v>2759.6960000000022</v>
          </cell>
        </row>
        <row r="18">
          <cell r="B18">
            <v>903.29625000000192</v>
          </cell>
        </row>
        <row r="19">
          <cell r="B19">
            <v>123.1866666666668</v>
          </cell>
        </row>
        <row r="23">
          <cell r="B23">
            <v>984.69000000000187</v>
          </cell>
        </row>
        <row r="24">
          <cell r="B24">
            <v>32249.200000000063</v>
          </cell>
        </row>
        <row r="27">
          <cell r="B27">
            <v>736.60249999999996</v>
          </cell>
        </row>
        <row r="32">
          <cell r="B32">
            <v>1690.9168750000001</v>
          </cell>
        </row>
        <row r="34">
          <cell r="B34">
            <v>-1442.829374999998</v>
          </cell>
        </row>
        <row r="37">
          <cell r="B37">
            <v>3</v>
          </cell>
        </row>
      </sheetData>
      <sheetData sheetId="17">
        <row r="11">
          <cell r="B11">
            <v>39.817359307359304</v>
          </cell>
        </row>
        <row r="13">
          <cell r="B13">
            <v>577.45181818181811</v>
          </cell>
        </row>
        <row r="17">
          <cell r="B17">
            <v>240.64073593073593</v>
          </cell>
        </row>
      </sheetData>
      <sheetData sheetId="18">
        <row r="11">
          <cell r="B11">
            <v>73.58247999999999</v>
          </cell>
        </row>
        <row r="13">
          <cell r="B13">
            <v>647.54312000000004</v>
          </cell>
        </row>
        <row r="17">
          <cell r="B17">
            <v>248.58240000000001</v>
          </cell>
        </row>
      </sheetData>
      <sheetData sheetId="19">
        <row r="11">
          <cell r="B11">
            <v>0</v>
          </cell>
        </row>
        <row r="13">
          <cell r="B13">
            <v>494.79698113207553</v>
          </cell>
        </row>
        <row r="17">
          <cell r="B17">
            <v>231.27556603773587</v>
          </cell>
        </row>
      </sheetData>
      <sheetData sheetId="20"/>
      <sheetData sheetId="21">
        <row r="13">
          <cell r="B13">
            <v>609437.39999999991</v>
          </cell>
        </row>
        <row r="23">
          <cell r="B23">
            <v>20334.27</v>
          </cell>
        </row>
        <row r="24">
          <cell r="B24">
            <v>120224.15999999999</v>
          </cell>
        </row>
        <row r="28">
          <cell r="B28">
            <v>0.11424090480827073</v>
          </cell>
        </row>
        <row r="33">
          <cell r="B33">
            <v>8</v>
          </cell>
        </row>
      </sheetData>
      <sheetData sheetId="22">
        <row r="13">
          <cell r="B13">
            <v>259892.12000000002</v>
          </cell>
        </row>
        <row r="23">
          <cell r="B23">
            <v>10167.14</v>
          </cell>
        </row>
        <row r="24">
          <cell r="B24">
            <v>60957.62</v>
          </cell>
        </row>
        <row r="28">
          <cell r="B28">
            <v>0.13236453648536939</v>
          </cell>
        </row>
        <row r="33">
          <cell r="B33">
            <v>4</v>
          </cell>
        </row>
      </sheetData>
      <sheetData sheetId="23">
        <row r="13">
          <cell r="B13">
            <v>100497.56</v>
          </cell>
        </row>
        <row r="23">
          <cell r="B23">
            <v>10167.14</v>
          </cell>
        </row>
        <row r="24">
          <cell r="B24">
            <v>25307.29</v>
          </cell>
        </row>
        <row r="28">
          <cell r="B28">
            <v>7.2679276989411484E-2</v>
          </cell>
        </row>
        <row r="33">
          <cell r="B33">
            <v>1</v>
          </cell>
        </row>
      </sheetData>
      <sheetData sheetId="24">
        <row r="13">
          <cell r="B13">
            <v>214058.77000000002</v>
          </cell>
        </row>
        <row r="23">
          <cell r="B23">
            <v>10167.14</v>
          </cell>
        </row>
        <row r="24">
          <cell r="B24">
            <v>19164.480000000021</v>
          </cell>
        </row>
        <row r="28">
          <cell r="B28">
            <v>3.0461213992774037E-2</v>
          </cell>
        </row>
        <row r="33">
          <cell r="B33">
            <v>1</v>
          </cell>
        </row>
      </sheetData>
      <sheetData sheetId="25"/>
      <sheetData sheetId="26">
        <row r="9">
          <cell r="B9">
            <v>224332.40999999997</v>
          </cell>
        </row>
        <row r="12">
          <cell r="B12">
            <v>352500.60999999993</v>
          </cell>
        </row>
        <row r="17">
          <cell r="B17">
            <v>0.70193834230194385</v>
          </cell>
        </row>
        <row r="21">
          <cell r="B21">
            <v>207278.78999999998</v>
          </cell>
        </row>
        <row r="24">
          <cell r="B24">
            <v>0.26532955503254313</v>
          </cell>
        </row>
        <row r="33">
          <cell r="B33">
            <v>13</v>
          </cell>
        </row>
      </sheetData>
      <sheetData sheetId="27"/>
      <sheetData sheetId="28">
        <row r="9">
          <cell r="B9">
            <v>96300.91</v>
          </cell>
        </row>
        <row r="12">
          <cell r="B12">
            <v>143018.04999999999</v>
          </cell>
        </row>
        <row r="17">
          <cell r="B17">
            <v>0.72604246418855234</v>
          </cell>
        </row>
        <row r="21">
          <cell r="B21">
            <v>93151.9</v>
          </cell>
        </row>
        <row r="24">
          <cell r="B24">
            <v>0.40286250581657351</v>
          </cell>
        </row>
        <row r="33">
          <cell r="B33">
            <v>6.75</v>
          </cell>
        </row>
      </sheetData>
      <sheetData sheetId="29">
        <row r="9">
          <cell r="B9">
            <v>53436.310000000005</v>
          </cell>
        </row>
        <row r="12">
          <cell r="B12">
            <v>82977.990000000005</v>
          </cell>
        </row>
        <row r="17">
          <cell r="B17">
            <v>0.92387722879817114</v>
          </cell>
        </row>
        <row r="21">
          <cell r="B21">
            <v>53193.94</v>
          </cell>
        </row>
        <row r="24">
          <cell r="B24">
            <v>0.72944415742054003</v>
          </cell>
        </row>
        <row r="33">
          <cell r="B33">
            <v>4.5</v>
          </cell>
        </row>
      </sheetData>
      <sheetData sheetId="30">
        <row r="9">
          <cell r="B9">
            <v>86364.840000000011</v>
          </cell>
        </row>
        <row r="12">
          <cell r="B12">
            <v>101193.00000000001</v>
          </cell>
        </row>
        <row r="17">
          <cell r="B17">
            <v>0.68173691979282314</v>
          </cell>
        </row>
        <row r="21">
          <cell r="B21">
            <v>58374.670000000013</v>
          </cell>
        </row>
        <row r="24">
          <cell r="B24">
            <v>0.37985433775063493</v>
          </cell>
        </row>
        <row r="33">
          <cell r="B33">
            <v>4.5</v>
          </cell>
        </row>
      </sheetData>
      <sheetData sheetId="31">
        <row r="6">
          <cell r="B6">
            <v>499466.25</v>
          </cell>
        </row>
      </sheetData>
      <sheetData sheetId="32"/>
      <sheetData sheetId="33">
        <row r="6">
          <cell r="B6">
            <v>6</v>
          </cell>
        </row>
        <row r="9">
          <cell r="B9">
            <v>3931.2016666666664</v>
          </cell>
        </row>
        <row r="11">
          <cell r="B11">
            <v>15857.991666666672</v>
          </cell>
        </row>
        <row r="15">
          <cell r="B15">
            <v>3569.4566666666669</v>
          </cell>
        </row>
        <row r="20">
          <cell r="B20">
            <v>8378.5483333333341</v>
          </cell>
        </row>
        <row r="27">
          <cell r="B27">
            <v>3</v>
          </cell>
        </row>
      </sheetData>
      <sheetData sheetId="34">
        <row r="7">
          <cell r="B7">
            <v>6</v>
          </cell>
        </row>
        <row r="8">
          <cell r="B8">
            <v>0</v>
          </cell>
        </row>
        <row r="11">
          <cell r="B11">
            <v>5319.6150000000007</v>
          </cell>
        </row>
        <row r="13">
          <cell r="B13">
            <v>0</v>
          </cell>
        </row>
        <row r="15">
          <cell r="B15">
            <v>5319.6150000000007</v>
          </cell>
        </row>
        <row r="19">
          <cell r="B19">
            <v>-411.54833333333329</v>
          </cell>
        </row>
        <row r="24">
          <cell r="B24">
            <v>2026.9916666666668</v>
          </cell>
        </row>
        <row r="29">
          <cell r="B29">
            <v>3</v>
          </cell>
        </row>
      </sheetData>
      <sheetData sheetId="35">
        <row r="11">
          <cell r="B11">
            <v>0</v>
          </cell>
        </row>
        <row r="13">
          <cell r="B13">
            <v>-134.61500000000001</v>
          </cell>
        </row>
        <row r="17">
          <cell r="B17">
            <v>882.33333333333337</v>
          </cell>
        </row>
      </sheetData>
      <sheetData sheetId="36">
        <row r="13">
          <cell r="B13">
            <v>20014</v>
          </cell>
        </row>
        <row r="22">
          <cell r="B22">
            <v>0.22314379934046169</v>
          </cell>
        </row>
        <row r="23">
          <cell r="B23">
            <v>0</v>
          </cell>
        </row>
        <row r="28">
          <cell r="B28">
            <v>0</v>
          </cell>
        </row>
      </sheetData>
      <sheetData sheetId="37">
        <row r="9">
          <cell r="B9">
            <v>43424.36</v>
          </cell>
        </row>
        <row r="12">
          <cell r="B12">
            <v>65198.66</v>
          </cell>
        </row>
        <row r="17">
          <cell r="B17">
            <v>0.748355531319287</v>
          </cell>
        </row>
        <row r="20">
          <cell r="B20">
            <v>0.60234612183747327</v>
          </cell>
        </row>
        <row r="21">
          <cell r="B21">
            <v>39272.159999999996</v>
          </cell>
        </row>
        <row r="24">
          <cell r="B24">
            <v>0.47515286357112252</v>
          </cell>
        </row>
        <row r="33">
          <cell r="B33">
            <v>2.5</v>
          </cell>
        </row>
      </sheetData>
      <sheetData sheetId="38">
        <row r="8">
          <cell r="B8">
            <v>0.84271284271284275</v>
          </cell>
        </row>
        <row r="9">
          <cell r="B9">
            <v>13860</v>
          </cell>
        </row>
        <row r="12">
          <cell r="B12">
            <v>13860</v>
          </cell>
        </row>
        <row r="21">
          <cell r="B21">
            <v>13406.01</v>
          </cell>
        </row>
        <row r="24">
          <cell r="B24">
            <v>2.5443131313131309</v>
          </cell>
        </row>
        <row r="33">
          <cell r="B33">
            <v>7</v>
          </cell>
        </row>
      </sheetData>
      <sheetData sheetId="39"/>
      <sheetData sheetId="40">
        <row r="13">
          <cell r="B13">
            <v>125521.03</v>
          </cell>
        </row>
        <row r="24">
          <cell r="B24">
            <v>49026.349999999991</v>
          </cell>
        </row>
        <row r="28">
          <cell r="B28">
            <v>0.23380695649167316</v>
          </cell>
        </row>
        <row r="33">
          <cell r="B33">
            <v>5</v>
          </cell>
        </row>
      </sheetData>
      <sheetData sheetId="41">
        <row r="13">
          <cell r="B13">
            <v>49282.54</v>
          </cell>
        </row>
        <row r="24">
          <cell r="B24">
            <v>19579.980000000003</v>
          </cell>
        </row>
        <row r="28">
          <cell r="B28">
            <v>0.13993089641889397</v>
          </cell>
        </row>
        <row r="33">
          <cell r="B33">
            <v>2</v>
          </cell>
        </row>
      </sheetData>
      <sheetData sheetId="42">
        <row r="6">
          <cell r="B6">
            <v>151275.34000000003</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3XTBWFYRWS5JAJWYMTXF44HFIU">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0</v>
          </cell>
        </row>
      </sheetData>
      <sheetData sheetId="12">
        <row r="6">
          <cell r="B6">
            <v>34</v>
          </cell>
        </row>
        <row r="9">
          <cell r="B9">
            <v>0</v>
          </cell>
        </row>
        <row r="11">
          <cell r="B11">
            <v>1759.3564705882354</v>
          </cell>
        </row>
        <row r="12">
          <cell r="B12">
            <v>59818.12</v>
          </cell>
        </row>
        <row r="15">
          <cell r="B15">
            <v>808.82647058823522</v>
          </cell>
        </row>
        <row r="20">
          <cell r="B20">
            <v>2121.4932352941178</v>
          </cell>
        </row>
        <row r="21">
          <cell r="B21">
            <v>2930.319705882353</v>
          </cell>
        </row>
        <row r="22">
          <cell r="B22">
            <v>-1170.9632352941176</v>
          </cell>
        </row>
        <row r="24">
          <cell r="B24">
            <v>2702.9500000000007</v>
          </cell>
        </row>
        <row r="27">
          <cell r="B27">
            <v>4</v>
          </cell>
        </row>
      </sheetData>
      <sheetData sheetId="13">
        <row r="6">
          <cell r="B6">
            <v>37</v>
          </cell>
        </row>
        <row r="9">
          <cell r="B9">
            <v>0</v>
          </cell>
        </row>
        <row r="11">
          <cell r="B11">
            <v>2351.0421621621617</v>
          </cell>
        </row>
        <row r="15">
          <cell r="B15">
            <v>622.99054054054056</v>
          </cell>
        </row>
        <row r="20">
          <cell r="B20">
            <v>952.47675675675691</v>
          </cell>
        </row>
        <row r="21">
          <cell r="B21">
            <v>1575.4672972972976</v>
          </cell>
        </row>
        <row r="24">
          <cell r="B24">
            <v>-237.5099999999984</v>
          </cell>
        </row>
        <row r="27">
          <cell r="B27">
            <v>2</v>
          </cell>
        </row>
      </sheetData>
      <sheetData sheetId="14">
        <row r="18">
          <cell r="B18">
            <v>1970.5644354838701</v>
          </cell>
        </row>
        <row r="23">
          <cell r="B23">
            <v>2001.0341129032245</v>
          </cell>
        </row>
        <row r="34">
          <cell r="B34">
            <v>628.15887096774077</v>
          </cell>
        </row>
      </sheetData>
      <sheetData sheetId="15">
        <row r="6">
          <cell r="B6">
            <v>1</v>
          </cell>
        </row>
        <row r="7">
          <cell r="B7">
            <v>36</v>
          </cell>
        </row>
        <row r="8">
          <cell r="B8">
            <v>8</v>
          </cell>
        </row>
        <row r="9">
          <cell r="B9">
            <v>41</v>
          </cell>
        </row>
        <row r="11">
          <cell r="B11">
            <v>7</v>
          </cell>
        </row>
        <row r="14">
          <cell r="B14">
            <v>1327.1500000000015</v>
          </cell>
        </row>
        <row r="15">
          <cell r="B15">
            <v>1078.2213888888882</v>
          </cell>
        </row>
        <row r="16">
          <cell r="B16">
            <v>2312.3237499999987</v>
          </cell>
        </row>
        <row r="17">
          <cell r="B17">
            <v>3111.8517073170715</v>
          </cell>
        </row>
        <row r="18">
          <cell r="B18">
            <v>2165.4375581395334</v>
          </cell>
          <cell r="C18">
            <v>1967.7857861888481</v>
          </cell>
        </row>
        <row r="19">
          <cell r="B19">
            <v>440.36999999999949</v>
          </cell>
        </row>
        <row r="23">
          <cell r="B23">
            <v>2165.4375581395334</v>
          </cell>
          <cell r="C23">
            <v>1967.7857861888481</v>
          </cell>
        </row>
        <row r="24">
          <cell r="B24">
            <v>189310.21999999986</v>
          </cell>
        </row>
        <row r="27">
          <cell r="B27">
            <v>502.13302325581395</v>
          </cell>
        </row>
        <row r="32">
          <cell r="B32">
            <v>647.60918604651158</v>
          </cell>
        </row>
        <row r="33">
          <cell r="B33">
            <v>1149.7422093023256</v>
          </cell>
        </row>
        <row r="34">
          <cell r="B34">
            <v>1015.6953488372078</v>
          </cell>
        </row>
        <row r="37">
          <cell r="B37">
            <v>4</v>
          </cell>
        </row>
      </sheetData>
      <sheetData sheetId="16">
        <row r="6">
          <cell r="B6">
            <v>2</v>
          </cell>
        </row>
        <row r="7">
          <cell r="B7">
            <v>20</v>
          </cell>
        </row>
        <row r="8">
          <cell r="B8">
            <v>7</v>
          </cell>
        </row>
        <row r="9">
          <cell r="B9">
            <v>9</v>
          </cell>
        </row>
        <row r="11">
          <cell r="B11">
            <v>3</v>
          </cell>
        </row>
        <row r="14">
          <cell r="B14">
            <v>1209.3549999999996</v>
          </cell>
        </row>
        <row r="15">
          <cell r="B15">
            <v>1019.5</v>
          </cell>
        </row>
        <row r="16">
          <cell r="B16">
            <v>1705.6242857142881</v>
          </cell>
        </row>
        <row r="17">
          <cell r="B17">
            <v>2597.1422222222191</v>
          </cell>
        </row>
        <row r="18">
          <cell r="B18">
            <v>1529.5357894736837</v>
          </cell>
        </row>
        <row r="19">
          <cell r="B19">
            <v>231.88333333333321</v>
          </cell>
        </row>
        <row r="23">
          <cell r="B23">
            <v>1529.5357894736837</v>
          </cell>
        </row>
        <row r="24">
          <cell r="B24">
            <v>58818.00999999998</v>
          </cell>
        </row>
        <row r="27">
          <cell r="B27">
            <v>668.75184210526311</v>
          </cell>
        </row>
        <row r="32">
          <cell r="B32">
            <v>1209.1086842105265</v>
          </cell>
        </row>
        <row r="34">
          <cell r="B34">
            <v>-348.32473684210595</v>
          </cell>
        </row>
        <row r="37">
          <cell r="B37">
            <v>3</v>
          </cell>
        </row>
      </sheetData>
      <sheetData sheetId="17">
        <row r="11">
          <cell r="B11">
            <v>122.13410256410258</v>
          </cell>
        </row>
        <row r="13">
          <cell r="B13">
            <v>644.24712820512832</v>
          </cell>
        </row>
        <row r="17">
          <cell r="B17">
            <v>253.09897435897435</v>
          </cell>
        </row>
      </sheetData>
      <sheetData sheetId="18">
        <row r="11">
          <cell r="B11">
            <v>130.97158333333334</v>
          </cell>
        </row>
        <row r="13">
          <cell r="B13">
            <v>612.07333333333349</v>
          </cell>
        </row>
        <row r="17">
          <cell r="B17">
            <v>232.62233333333336</v>
          </cell>
        </row>
      </sheetData>
      <sheetData sheetId="19">
        <row r="11">
          <cell r="B11">
            <v>107.99413333333334</v>
          </cell>
        </row>
        <row r="13">
          <cell r="B13">
            <v>695.72519999999997</v>
          </cell>
        </row>
        <row r="17">
          <cell r="B17">
            <v>285.86160000000001</v>
          </cell>
        </row>
      </sheetData>
      <sheetData sheetId="20"/>
      <sheetData sheetId="21">
        <row r="13">
          <cell r="B13">
            <v>570926.15999999992</v>
          </cell>
        </row>
        <row r="23">
          <cell r="B23">
            <v>0</v>
          </cell>
        </row>
        <row r="24">
          <cell r="B24">
            <v>109483.86</v>
          </cell>
        </row>
        <row r="28">
          <cell r="B28">
            <v>0.12490611745659019</v>
          </cell>
        </row>
        <row r="33">
          <cell r="B33">
            <v>8</v>
          </cell>
        </row>
      </sheetData>
      <sheetData sheetId="22">
        <row r="13">
          <cell r="B13">
            <v>317597.94</v>
          </cell>
        </row>
        <row r="23">
          <cell r="B23">
            <v>0</v>
          </cell>
        </row>
        <row r="24">
          <cell r="B24">
            <v>63419.049999999974</v>
          </cell>
        </row>
        <row r="28">
          <cell r="B28">
            <v>0.10124634309655788</v>
          </cell>
        </row>
        <row r="33">
          <cell r="B33">
            <v>4</v>
          </cell>
        </row>
      </sheetData>
      <sheetData sheetId="23">
        <row r="13">
          <cell r="B13">
            <v>114352.12000000001</v>
          </cell>
        </row>
        <row r="23">
          <cell r="B23">
            <v>0</v>
          </cell>
        </row>
        <row r="24">
          <cell r="B24">
            <v>21468.610000000004</v>
          </cell>
        </row>
        <row r="28">
          <cell r="B28">
            <v>5.6842234319748511E-2</v>
          </cell>
        </row>
        <row r="33">
          <cell r="B33">
            <v>1</v>
          </cell>
        </row>
      </sheetData>
      <sheetData sheetId="24">
        <row r="13">
          <cell r="B13">
            <v>171663.01</v>
          </cell>
        </row>
        <row r="23">
          <cell r="B23">
            <v>0</v>
          </cell>
        </row>
        <row r="24">
          <cell r="B24">
            <v>15373.349999999991</v>
          </cell>
        </row>
        <row r="28">
          <cell r="B28">
            <v>4.1985224423129942E-2</v>
          </cell>
        </row>
        <row r="33">
          <cell r="B33">
            <v>1</v>
          </cell>
        </row>
      </sheetData>
      <sheetData sheetId="25"/>
      <sheetData sheetId="26">
        <row r="9">
          <cell r="B9">
            <v>204646.59999999995</v>
          </cell>
        </row>
        <row r="12">
          <cell r="B12">
            <v>332532.64999999997</v>
          </cell>
        </row>
        <row r="17">
          <cell r="B17">
            <v>0.68057431689556536</v>
          </cell>
        </row>
        <row r="21">
          <cell r="B21">
            <v>187487.38</v>
          </cell>
        </row>
        <row r="24">
          <cell r="B24">
            <v>0.30670474012100768</v>
          </cell>
        </row>
        <row r="33">
          <cell r="B33">
            <v>13</v>
          </cell>
        </row>
      </sheetData>
      <sheetData sheetId="27"/>
      <sheetData sheetId="28">
        <row r="9">
          <cell r="B9">
            <v>106447.87000000001</v>
          </cell>
        </row>
        <row r="12">
          <cell r="B12">
            <v>155035.12</v>
          </cell>
        </row>
        <row r="17">
          <cell r="B17">
            <v>0.70908868350301424</v>
          </cell>
        </row>
        <row r="21">
          <cell r="B21">
            <v>102334.20000000001</v>
          </cell>
        </row>
        <row r="24">
          <cell r="B24">
            <v>0.39713085654398822</v>
          </cell>
        </row>
        <row r="33">
          <cell r="B33">
            <v>6.75</v>
          </cell>
        </row>
      </sheetData>
      <sheetData sheetId="29">
        <row r="9">
          <cell r="B9">
            <v>71121.999999999985</v>
          </cell>
        </row>
        <row r="12">
          <cell r="B12">
            <v>108170.62999999999</v>
          </cell>
        </row>
        <row r="17">
          <cell r="B17">
            <v>0.75242808132504724</v>
          </cell>
        </row>
        <row r="21">
          <cell r="B21">
            <v>72930.76999999999</v>
          </cell>
        </row>
        <row r="24">
          <cell r="B24">
            <v>0.45114944786768835</v>
          </cell>
        </row>
        <row r="33">
          <cell r="B33">
            <v>4.5</v>
          </cell>
        </row>
      </sheetData>
      <sheetData sheetId="30">
        <row r="9">
          <cell r="B9">
            <v>86415.93</v>
          </cell>
        </row>
        <row r="12">
          <cell r="B12">
            <v>101081.98</v>
          </cell>
        </row>
        <row r="17">
          <cell r="B17">
            <v>0.71332716086027204</v>
          </cell>
        </row>
        <row r="21">
          <cell r="B21">
            <v>68884.3</v>
          </cell>
        </row>
        <row r="24">
          <cell r="B24">
            <v>0.40234441391037257</v>
          </cell>
        </row>
        <row r="33">
          <cell r="B33">
            <v>4.5</v>
          </cell>
        </row>
      </sheetData>
      <sheetData sheetId="31">
        <row r="6">
          <cell r="B6">
            <v>553670.17999999993</v>
          </cell>
        </row>
      </sheetData>
      <sheetData sheetId="32"/>
      <sheetData sheetId="33">
        <row r="6">
          <cell r="B6">
            <v>7</v>
          </cell>
        </row>
        <row r="9">
          <cell r="B9">
            <v>0</v>
          </cell>
        </row>
        <row r="11">
          <cell r="B11">
            <v>13678.725714285729</v>
          </cell>
        </row>
        <row r="15">
          <cell r="B15">
            <v>1777.5357142857142</v>
          </cell>
        </row>
        <row r="20">
          <cell r="B20">
            <v>3585.1542857142854</v>
          </cell>
        </row>
        <row r="27">
          <cell r="B27">
            <v>3</v>
          </cell>
        </row>
      </sheetData>
      <sheetData sheetId="34">
        <row r="7">
          <cell r="B7">
            <v>5</v>
          </cell>
        </row>
        <row r="8">
          <cell r="B8">
            <v>0</v>
          </cell>
        </row>
        <row r="11">
          <cell r="B11">
            <v>6658.056000000006</v>
          </cell>
        </row>
        <row r="13">
          <cell r="B13">
            <v>0</v>
          </cell>
        </row>
        <row r="15">
          <cell r="B15">
            <v>6658.056000000006</v>
          </cell>
        </row>
        <row r="19">
          <cell r="B19">
            <v>-20</v>
          </cell>
        </row>
        <row r="24">
          <cell r="B24">
            <v>2432.3879999999999</v>
          </cell>
        </row>
        <row r="29">
          <cell r="B29">
            <v>3</v>
          </cell>
        </row>
      </sheetData>
      <sheetData sheetId="35">
        <row r="11">
          <cell r="B11">
            <v>106.3625</v>
          </cell>
        </row>
        <row r="13">
          <cell r="B13">
            <v>1317.5349999999999</v>
          </cell>
        </row>
        <row r="17">
          <cell r="B17">
            <v>882.33333333333337</v>
          </cell>
        </row>
      </sheetData>
      <sheetData sheetId="36">
        <row r="13">
          <cell r="B13">
            <v>20014</v>
          </cell>
        </row>
        <row r="22">
          <cell r="B22">
            <v>0.22314379934046169</v>
          </cell>
        </row>
        <row r="23">
          <cell r="B23">
            <v>0</v>
          </cell>
        </row>
        <row r="28">
          <cell r="B28">
            <v>0</v>
          </cell>
        </row>
      </sheetData>
      <sheetData sheetId="37">
        <row r="9">
          <cell r="B9">
            <v>35336.959999999999</v>
          </cell>
        </row>
        <row r="12">
          <cell r="B12">
            <v>55967.360000000001</v>
          </cell>
        </row>
        <row r="17">
          <cell r="B17">
            <v>0.69894410837830978</v>
          </cell>
        </row>
        <row r="20">
          <cell r="B20">
            <v>0.58485249259568428</v>
          </cell>
        </row>
        <row r="21">
          <cell r="B21">
            <v>32732.649999999994</v>
          </cell>
        </row>
        <row r="24">
          <cell r="B24">
            <v>0.45469859575295313</v>
          </cell>
        </row>
        <row r="33">
          <cell r="B33">
            <v>2.5</v>
          </cell>
        </row>
      </sheetData>
      <sheetData sheetId="38">
        <row r="8">
          <cell r="B8">
            <v>0.77981471481708298</v>
          </cell>
        </row>
        <row r="9">
          <cell r="B9">
            <v>6629.78</v>
          </cell>
        </row>
        <row r="12">
          <cell r="B12">
            <v>6629.78</v>
          </cell>
        </row>
        <row r="21">
          <cell r="B21">
            <v>5969.2900000000009</v>
          </cell>
        </row>
        <row r="24">
          <cell r="B24">
            <v>6.6260795984180474</v>
          </cell>
        </row>
        <row r="33">
          <cell r="B33">
            <v>7</v>
          </cell>
        </row>
      </sheetData>
      <sheetData sheetId="39"/>
      <sheetData sheetId="40">
        <row r="13">
          <cell r="B13">
            <v>159882.19</v>
          </cell>
        </row>
        <row r="24">
          <cell r="B24">
            <v>49320.810000000012</v>
          </cell>
        </row>
        <row r="28">
          <cell r="B28">
            <v>0.22809745100439266</v>
          </cell>
        </row>
        <row r="33">
          <cell r="B33">
            <v>5</v>
          </cell>
        </row>
      </sheetData>
      <sheetData sheetId="41">
        <row r="13">
          <cell r="B13">
            <v>58793.2</v>
          </cell>
        </row>
        <row r="24">
          <cell r="B24">
            <v>24537.289999999997</v>
          </cell>
        </row>
        <row r="28">
          <cell r="B28">
            <v>0.2331701625358035</v>
          </cell>
        </row>
        <row r="33">
          <cell r="B33">
            <v>2</v>
          </cell>
        </row>
      </sheetData>
      <sheetData sheetId="42">
        <row r="6">
          <cell r="B6">
            <v>179688.80000000002</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YDHFDZ6LAQOZELTPH7LUJE3E5T">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329.96320261437904</v>
          </cell>
        </row>
      </sheetData>
      <sheetData sheetId="12">
        <row r="6">
          <cell r="B6">
            <v>72</v>
          </cell>
        </row>
        <row r="9">
          <cell r="B9">
            <v>326.17180555555552</v>
          </cell>
        </row>
        <row r="11">
          <cell r="B11">
            <v>1943.8713888888892</v>
          </cell>
        </row>
        <row r="12">
          <cell r="B12">
            <v>139958.74000000002</v>
          </cell>
        </row>
        <row r="15">
          <cell r="B15">
            <v>896.19277777777779</v>
          </cell>
        </row>
        <row r="20">
          <cell r="B20">
            <v>-836.51763888888877</v>
          </cell>
        </row>
        <row r="21">
          <cell r="B21">
            <v>59.675138888889023</v>
          </cell>
        </row>
        <row r="22">
          <cell r="B22">
            <v>1884.1962500000002</v>
          </cell>
        </row>
        <row r="24">
          <cell r="B24">
            <v>4647.2900000000009</v>
          </cell>
        </row>
        <row r="27">
          <cell r="B27">
            <v>4</v>
          </cell>
        </row>
      </sheetData>
      <sheetData sheetId="13">
        <row r="6">
          <cell r="B6">
            <v>81</v>
          </cell>
        </row>
        <row r="9">
          <cell r="B9">
            <v>333.33333333333331</v>
          </cell>
        </row>
        <row r="11">
          <cell r="B11">
            <v>2135.4591358024691</v>
          </cell>
        </row>
        <row r="15">
          <cell r="B15">
            <v>443.95049382716053</v>
          </cell>
        </row>
        <row r="20">
          <cell r="B20">
            <v>565.16061728395061</v>
          </cell>
        </row>
        <row r="21">
          <cell r="B21">
            <v>1009.1111111111111</v>
          </cell>
        </row>
        <row r="24">
          <cell r="B24">
            <v>3802.7000000000044</v>
          </cell>
        </row>
        <row r="27">
          <cell r="B27">
            <v>2</v>
          </cell>
        </row>
      </sheetData>
      <sheetData sheetId="14">
        <row r="18">
          <cell r="B18">
            <v>1398.4663571428562</v>
          </cell>
        </row>
        <row r="23">
          <cell r="B23">
            <v>2093.9480714285701</v>
          </cell>
        </row>
        <row r="34">
          <cell r="B34">
            <v>538.70721428571301</v>
          </cell>
        </row>
      </sheetData>
      <sheetData sheetId="15">
        <row r="6">
          <cell r="B6">
            <v>8</v>
          </cell>
        </row>
        <row r="7">
          <cell r="B7">
            <v>30</v>
          </cell>
        </row>
        <row r="8">
          <cell r="B8">
            <v>11</v>
          </cell>
        </row>
        <row r="9">
          <cell r="B9">
            <v>46</v>
          </cell>
        </row>
        <row r="11">
          <cell r="B11">
            <v>21</v>
          </cell>
        </row>
        <row r="14">
          <cell r="B14">
            <v>1554.2612499999959</v>
          </cell>
        </row>
        <row r="15">
          <cell r="B15">
            <v>962.77766666666525</v>
          </cell>
        </row>
        <row r="16">
          <cell r="B16">
            <v>1503.6490909090878</v>
          </cell>
        </row>
        <row r="17">
          <cell r="B17">
            <v>2079.4919565217365</v>
          </cell>
        </row>
        <row r="18">
          <cell r="B18">
            <v>1615.9388421052606</v>
          </cell>
          <cell r="C18">
            <v>2122.6181558765825</v>
          </cell>
        </row>
        <row r="19">
          <cell r="B19">
            <v>173.10904761904732</v>
          </cell>
        </row>
        <row r="23">
          <cell r="B23">
            <v>2259.5408421052607</v>
          </cell>
          <cell r="C23">
            <v>2122.6181558765825</v>
          </cell>
        </row>
        <row r="24">
          <cell r="B24">
            <v>210185.50999999975</v>
          </cell>
        </row>
        <row r="27">
          <cell r="B27">
            <v>553.78810526315795</v>
          </cell>
        </row>
        <row r="32">
          <cell r="B32">
            <v>846.48505263157892</v>
          </cell>
        </row>
        <row r="33">
          <cell r="B33">
            <v>1400.2731578947369</v>
          </cell>
        </row>
        <row r="34">
          <cell r="B34">
            <v>859.26768421052384</v>
          </cell>
        </row>
        <row r="37">
          <cell r="B37">
            <v>4</v>
          </cell>
        </row>
      </sheetData>
      <sheetData sheetId="16">
        <row r="6">
          <cell r="B6">
            <v>2</v>
          </cell>
        </row>
        <row r="7">
          <cell r="B7">
            <v>24</v>
          </cell>
        </row>
        <row r="8">
          <cell r="B8">
            <v>8</v>
          </cell>
        </row>
        <row r="9">
          <cell r="B9">
            <v>11</v>
          </cell>
        </row>
        <row r="11">
          <cell r="B11">
            <v>2</v>
          </cell>
        </row>
        <row r="14">
          <cell r="B14">
            <v>639.77500000000146</v>
          </cell>
        </row>
        <row r="15">
          <cell r="B15">
            <v>464.96708333333663</v>
          </cell>
        </row>
        <row r="16">
          <cell r="B16">
            <v>1375.3599999999969</v>
          </cell>
        </row>
        <row r="17">
          <cell r="C17">
            <v>2008.1754385964921</v>
          </cell>
        </row>
        <row r="18">
          <cell r="B18">
            <v>939.35777777777957</v>
          </cell>
        </row>
        <row r="19">
          <cell r="B19">
            <v>434.77999999999975</v>
          </cell>
        </row>
        <row r="23">
          <cell r="B23">
            <v>1824.392444444446</v>
          </cell>
        </row>
        <row r="24">
          <cell r="B24">
            <v>82967.220000000074</v>
          </cell>
        </row>
        <row r="27">
          <cell r="B27">
            <v>516.2353333333333</v>
          </cell>
        </row>
        <row r="32">
          <cell r="C32">
            <v>1011.4570953173284</v>
          </cell>
        </row>
        <row r="34">
          <cell r="B34">
            <v>-58.002444444442744</v>
          </cell>
        </row>
        <row r="37">
          <cell r="B37">
            <v>3</v>
          </cell>
        </row>
      </sheetData>
      <sheetData sheetId="17">
        <row r="11">
          <cell r="B11">
            <v>516.90488054607511</v>
          </cell>
        </row>
        <row r="13">
          <cell r="B13">
            <v>1134.2501365187713</v>
          </cell>
        </row>
        <row r="17">
          <cell r="B17">
            <v>241.02006825938565</v>
          </cell>
        </row>
      </sheetData>
      <sheetData sheetId="18">
        <row r="11">
          <cell r="B11">
            <v>544.14299401197604</v>
          </cell>
        </row>
        <row r="13">
          <cell r="B13">
            <v>1225.1420359281437</v>
          </cell>
        </row>
        <row r="17">
          <cell r="B17">
            <v>250.14778443113772</v>
          </cell>
        </row>
      </sheetData>
      <sheetData sheetId="19">
        <row r="11">
          <cell r="B11">
            <v>480.80357142857144</v>
          </cell>
        </row>
        <row r="13">
          <cell r="B13">
            <v>1013.7823015873016</v>
          </cell>
        </row>
        <row r="17">
          <cell r="B17">
            <v>228.92222222222222</v>
          </cell>
        </row>
      </sheetData>
      <sheetData sheetId="20"/>
      <sheetData sheetId="21">
        <row r="13">
          <cell r="B13">
            <v>825979.88</v>
          </cell>
        </row>
        <row r="23">
          <cell r="B23">
            <v>40387.5</v>
          </cell>
        </row>
        <row r="24">
          <cell r="B24">
            <v>181359.40000000011</v>
          </cell>
        </row>
        <row r="28">
          <cell r="B28">
            <v>0.12013125549740994</v>
          </cell>
        </row>
        <row r="33">
          <cell r="B33">
            <v>8</v>
          </cell>
        </row>
      </sheetData>
      <sheetData sheetId="22">
        <row r="13">
          <cell r="B13">
            <v>456433.36999999994</v>
          </cell>
        </row>
        <row r="23">
          <cell r="B23">
            <v>20193.75</v>
          </cell>
        </row>
        <row r="24">
          <cell r="B24">
            <v>133216.56999999995</v>
          </cell>
        </row>
        <row r="28">
          <cell r="B28">
            <v>8.9382640887978912E-2</v>
          </cell>
        </row>
        <row r="33">
          <cell r="B33">
            <v>4</v>
          </cell>
        </row>
      </sheetData>
      <sheetData sheetId="23">
        <row r="13">
          <cell r="B13">
            <v>165812.49000000002</v>
          </cell>
        </row>
        <row r="23">
          <cell r="B23">
            <v>20193.75</v>
          </cell>
        </row>
        <row r="24">
          <cell r="B24">
            <v>53962.149999999994</v>
          </cell>
        </row>
        <row r="28">
          <cell r="B28">
            <v>4.6299346930982088E-2</v>
          </cell>
        </row>
        <row r="33">
          <cell r="B33">
            <v>1</v>
          </cell>
        </row>
      </sheetData>
      <sheetData sheetId="24">
        <row r="13">
          <cell r="B13">
            <v>232403.34999999998</v>
          </cell>
        </row>
        <row r="23">
          <cell r="B23">
            <v>20193.75</v>
          </cell>
        </row>
        <row r="24">
          <cell r="B24">
            <v>68511.91</v>
          </cell>
        </row>
        <row r="28">
          <cell r="B28">
            <v>3.7455914469391262E-2</v>
          </cell>
        </row>
        <row r="33">
          <cell r="B33">
            <v>1</v>
          </cell>
        </row>
      </sheetData>
      <sheetData sheetId="25"/>
      <sheetData sheetId="26">
        <row r="9">
          <cell r="B9">
            <v>266743.42</v>
          </cell>
        </row>
        <row r="12">
          <cell r="B12">
            <v>397838.77</v>
          </cell>
        </row>
        <row r="17">
          <cell r="B17">
            <v>0.65797330633310469</v>
          </cell>
        </row>
        <row r="21">
          <cell r="B21">
            <v>247852.25</v>
          </cell>
        </row>
        <row r="24">
          <cell r="B24">
            <v>0.33842709698705331</v>
          </cell>
        </row>
        <row r="33">
          <cell r="B33">
            <v>12</v>
          </cell>
        </row>
      </sheetData>
      <sheetData sheetId="27"/>
      <sheetData sheetId="28">
        <row r="9">
          <cell r="B9">
            <v>144123.16000000003</v>
          </cell>
        </row>
        <row r="12">
          <cell r="B12">
            <v>216264.14000000004</v>
          </cell>
        </row>
        <row r="17">
          <cell r="B17">
            <v>0.73435921055297415</v>
          </cell>
        </row>
        <row r="21">
          <cell r="B21">
            <v>142950.46</v>
          </cell>
        </row>
        <row r="24">
          <cell r="B24">
            <v>0.39153370503311358</v>
          </cell>
        </row>
        <row r="33">
          <cell r="B33">
            <v>6.75</v>
          </cell>
        </row>
      </sheetData>
      <sheetData sheetId="29">
        <row r="9">
          <cell r="B9">
            <v>105399.52000000002</v>
          </cell>
        </row>
        <row r="12">
          <cell r="B12">
            <v>159890.91000000003</v>
          </cell>
        </row>
        <row r="17">
          <cell r="B17">
            <v>0.71516245994289163</v>
          </cell>
        </row>
        <row r="21">
          <cell r="B21">
            <v>99141.91</v>
          </cell>
        </row>
        <row r="24">
          <cell r="B24">
            <v>0.3929932602172318</v>
          </cell>
        </row>
        <row r="33">
          <cell r="B33">
            <v>4.5</v>
          </cell>
        </row>
      </sheetData>
      <sheetData sheetId="30">
        <row r="9">
          <cell r="B9">
            <v>124586.83</v>
          </cell>
        </row>
        <row r="12">
          <cell r="B12">
            <v>153631.85</v>
          </cell>
        </row>
        <row r="17">
          <cell r="B17">
            <v>0.73387941566536374</v>
          </cell>
        </row>
        <row r="21">
          <cell r="B21">
            <v>93514.180000000022</v>
          </cell>
        </row>
        <row r="24">
          <cell r="B24">
            <v>0.3678097998559543</v>
          </cell>
        </row>
        <row r="33">
          <cell r="B33">
            <v>5.5</v>
          </cell>
        </row>
      </sheetData>
      <sheetData sheetId="31">
        <row r="6">
          <cell r="B6">
            <v>126684.46999999986</v>
          </cell>
        </row>
      </sheetData>
      <sheetData sheetId="32"/>
      <sheetData sheetId="33">
        <row r="6">
          <cell r="B6">
            <v>25</v>
          </cell>
        </row>
        <row r="9">
          <cell r="B9">
            <v>667.82600000000002</v>
          </cell>
        </row>
        <row r="11">
          <cell r="B11">
            <v>12255.349600000003</v>
          </cell>
        </row>
        <row r="15">
          <cell r="B15">
            <v>2144.2676000000001</v>
          </cell>
        </row>
        <row r="20">
          <cell r="B20">
            <v>1665.0688000000002</v>
          </cell>
        </row>
        <row r="27">
          <cell r="B27">
            <v>3</v>
          </cell>
        </row>
      </sheetData>
      <sheetData sheetId="34">
        <row r="7">
          <cell r="B7">
            <v>12</v>
          </cell>
        </row>
        <row r="8">
          <cell r="B8">
            <v>3</v>
          </cell>
        </row>
        <row r="11">
          <cell r="B11">
            <v>4114.1183333333365</v>
          </cell>
        </row>
        <row r="13">
          <cell r="B13">
            <v>434.77999999999884</v>
          </cell>
        </row>
        <row r="15">
          <cell r="B15">
            <v>4809.7708333333367</v>
          </cell>
        </row>
        <row r="19">
          <cell r="B19">
            <v>-58.333333333333336</v>
          </cell>
        </row>
        <row r="24">
          <cell r="B24">
            <v>887.5</v>
          </cell>
        </row>
        <row r="29">
          <cell r="B29">
            <v>3</v>
          </cell>
        </row>
      </sheetData>
      <sheetData sheetId="35">
        <row r="11">
          <cell r="B11">
            <v>376.02810810810814</v>
          </cell>
        </row>
        <row r="13">
          <cell r="B13">
            <v>754.97297297297303</v>
          </cell>
        </row>
        <row r="17">
          <cell r="B17">
            <v>286.16216216216219</v>
          </cell>
        </row>
      </sheetData>
      <sheetData sheetId="36">
        <row r="13">
          <cell r="B13">
            <v>20014</v>
          </cell>
        </row>
        <row r="22">
          <cell r="B22">
            <v>0.22314379934046169</v>
          </cell>
        </row>
        <row r="23">
          <cell r="B23">
            <v>16695.66</v>
          </cell>
        </row>
        <row r="28">
          <cell r="B28">
            <v>0</v>
          </cell>
        </row>
      </sheetData>
      <sheetData sheetId="37">
        <row r="9">
          <cell r="B9">
            <v>87987.93</v>
          </cell>
        </row>
        <row r="12">
          <cell r="B12">
            <v>166172.49</v>
          </cell>
        </row>
        <row r="17">
          <cell r="B17">
            <v>0.75256333453918067</v>
          </cell>
        </row>
        <row r="20">
          <cell r="B20">
            <v>0.72940448807140112</v>
          </cell>
        </row>
        <row r="21">
          <cell r="B21">
            <v>121206.96000000002</v>
          </cell>
        </row>
        <row r="24">
          <cell r="B24">
            <v>0.98841017547489374</v>
          </cell>
        </row>
        <row r="33">
          <cell r="B33">
            <v>3</v>
          </cell>
        </row>
      </sheetData>
      <sheetData sheetId="38">
        <row r="8">
          <cell r="B8">
            <v>0.90607754931065254</v>
          </cell>
        </row>
        <row r="9">
          <cell r="B9">
            <v>9883.26</v>
          </cell>
        </row>
        <row r="12">
          <cell r="B12">
            <v>9883.26</v>
          </cell>
        </row>
        <row r="21">
          <cell r="B21">
            <v>9669.56</v>
          </cell>
        </row>
        <row r="24">
          <cell r="B24">
            <v>4.3171676147344096</v>
          </cell>
        </row>
        <row r="33">
          <cell r="B33">
            <v>7</v>
          </cell>
        </row>
      </sheetData>
      <sheetData sheetId="39"/>
      <sheetData sheetId="40">
        <row r="13">
          <cell r="B13">
            <v>230684.52</v>
          </cell>
        </row>
        <row r="24">
          <cell r="B24">
            <v>84222.959999999992</v>
          </cell>
        </row>
        <row r="28">
          <cell r="B28">
            <v>0.19298585791539025</v>
          </cell>
        </row>
        <row r="33">
          <cell r="B33">
            <v>5</v>
          </cell>
        </row>
      </sheetData>
      <sheetData sheetId="41">
        <row r="13">
          <cell r="B13">
            <v>78627.539999999994</v>
          </cell>
        </row>
        <row r="24">
          <cell r="B24">
            <v>36318.22</v>
          </cell>
        </row>
        <row r="28">
          <cell r="B28">
            <v>0.20821979169130819</v>
          </cell>
        </row>
        <row r="33">
          <cell r="B33">
            <v>2</v>
          </cell>
        </row>
      </sheetData>
      <sheetData sheetId="42">
        <row r="6">
          <cell r="B6">
            <v>212169.49999999997</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ZOLYJLHSR7UVEIHNGZRDVVYSUX">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0</v>
          </cell>
        </row>
      </sheetData>
      <sheetData sheetId="12">
        <row r="6">
          <cell r="B6">
            <v>71</v>
          </cell>
        </row>
        <row r="9">
          <cell r="B9">
            <v>0</v>
          </cell>
        </row>
        <row r="11">
          <cell r="B11">
            <v>1993.7357746478872</v>
          </cell>
        </row>
        <row r="12">
          <cell r="B12">
            <v>141555.24</v>
          </cell>
        </row>
        <row r="15">
          <cell r="B15">
            <v>525.69591549295774</v>
          </cell>
        </row>
        <row r="20">
          <cell r="B20">
            <v>1361.5491549295775</v>
          </cell>
        </row>
        <row r="21">
          <cell r="B21">
            <v>1887.2450704225353</v>
          </cell>
        </row>
        <row r="22">
          <cell r="B22">
            <v>106.49070422535192</v>
          </cell>
        </row>
        <row r="24">
          <cell r="B24">
            <v>2872.6999999999989</v>
          </cell>
        </row>
        <row r="27">
          <cell r="B27">
            <v>4</v>
          </cell>
        </row>
      </sheetData>
      <sheetData sheetId="13">
        <row r="6">
          <cell r="B6">
            <v>69</v>
          </cell>
        </row>
        <row r="9">
          <cell r="B9">
            <v>0</v>
          </cell>
        </row>
        <row r="11">
          <cell r="B11">
            <v>2002.0384057971014</v>
          </cell>
        </row>
        <row r="15">
          <cell r="B15">
            <v>387.37304347826085</v>
          </cell>
        </row>
        <row r="20">
          <cell r="B20">
            <v>785.98159420289858</v>
          </cell>
        </row>
        <row r="21">
          <cell r="B21">
            <v>1173.3546376811594</v>
          </cell>
        </row>
        <row r="24">
          <cell r="B24">
            <v>1343.7099999999998</v>
          </cell>
        </row>
        <row r="27">
          <cell r="B27">
            <v>2</v>
          </cell>
        </row>
      </sheetData>
      <sheetData sheetId="14">
        <row r="18">
          <cell r="B18">
            <v>1641.3687962962965</v>
          </cell>
        </row>
        <row r="23">
          <cell r="B23">
            <v>1728.3253703703706</v>
          </cell>
        </row>
        <row r="34">
          <cell r="B34">
            <v>-29.127407407407418</v>
          </cell>
        </row>
      </sheetData>
      <sheetData sheetId="15">
        <row r="6">
          <cell r="B6">
            <v>11</v>
          </cell>
        </row>
        <row r="7">
          <cell r="B7">
            <v>22</v>
          </cell>
        </row>
        <row r="8">
          <cell r="B8">
            <v>3</v>
          </cell>
        </row>
        <row r="9">
          <cell r="B9">
            <v>41</v>
          </cell>
        </row>
        <row r="11">
          <cell r="B11">
            <v>8</v>
          </cell>
        </row>
        <row r="14">
          <cell r="B14">
            <v>610.45090909090572</v>
          </cell>
        </row>
        <row r="15">
          <cell r="B15">
            <v>1714.5277272727267</v>
          </cell>
        </row>
        <row r="16">
          <cell r="B16">
            <v>1567.4100000000035</v>
          </cell>
        </row>
        <row r="17">
          <cell r="B17">
            <v>1768.5380487804891</v>
          </cell>
        </row>
        <row r="18">
          <cell r="B18">
            <v>1579.8293506493508</v>
          </cell>
        </row>
        <row r="19">
          <cell r="B19">
            <v>1157.6087499999994</v>
          </cell>
        </row>
        <row r="23">
          <cell r="B23">
            <v>1579.8293506493508</v>
          </cell>
        </row>
        <row r="24">
          <cell r="B24">
            <v>130907.73000000001</v>
          </cell>
        </row>
        <row r="27">
          <cell r="B27">
            <v>482.68454545454546</v>
          </cell>
        </row>
        <row r="32">
          <cell r="B32">
            <v>1047.9884415584415</v>
          </cell>
        </row>
        <row r="33">
          <cell r="B33">
            <v>1530.6729870129871</v>
          </cell>
        </row>
        <row r="34">
          <cell r="B34">
            <v>49.156363636363722</v>
          </cell>
        </row>
        <row r="37">
          <cell r="B37">
            <v>5</v>
          </cell>
        </row>
      </sheetData>
      <sheetData sheetId="16">
        <row r="6">
          <cell r="B6">
            <v>1</v>
          </cell>
        </row>
        <row r="7">
          <cell r="B7">
            <v>14</v>
          </cell>
        </row>
        <row r="8">
          <cell r="B8">
            <v>2</v>
          </cell>
        </row>
        <row r="9">
          <cell r="B9">
            <v>14</v>
          </cell>
        </row>
        <row r="11">
          <cell r="B11">
            <v>3</v>
          </cell>
        </row>
        <row r="14">
          <cell r="B14">
            <v>1550.8600000000006</v>
          </cell>
        </row>
        <row r="15">
          <cell r="B15">
            <v>1228.6121428571435</v>
          </cell>
        </row>
        <row r="16">
          <cell r="B16">
            <v>1855.6100000000024</v>
          </cell>
        </row>
        <row r="17">
          <cell r="B17">
            <v>2368.451428571429</v>
          </cell>
        </row>
        <row r="18">
          <cell r="B18">
            <v>1794.2248387096779</v>
          </cell>
        </row>
        <row r="19">
          <cell r="B19">
            <v>43.479999999999869</v>
          </cell>
        </row>
        <row r="23">
          <cell r="B23">
            <v>1794.2248387096779</v>
          </cell>
        </row>
        <row r="24">
          <cell r="B24">
            <v>55751.410000000018</v>
          </cell>
        </row>
        <row r="27">
          <cell r="B27">
            <v>647.03612903225803</v>
          </cell>
        </row>
        <row r="32">
          <cell r="B32">
            <v>1673.708387096774</v>
          </cell>
        </row>
        <row r="34">
          <cell r="B34">
            <v>-526.51967741935414</v>
          </cell>
        </row>
        <row r="37">
          <cell r="B37">
            <v>3</v>
          </cell>
        </row>
      </sheetData>
      <sheetData sheetId="17">
        <row r="17">
          <cell r="B17">
            <v>251.57177419354838</v>
          </cell>
        </row>
      </sheetData>
      <sheetData sheetId="18">
        <row r="11">
          <cell r="B11">
            <v>0</v>
          </cell>
        </row>
        <row r="13">
          <cell r="B13">
            <v>509.60675675675679</v>
          </cell>
        </row>
        <row r="17">
          <cell r="B17">
            <v>211.96250000000001</v>
          </cell>
        </row>
      </sheetData>
      <sheetData sheetId="19">
        <row r="11">
          <cell r="B11">
            <v>0</v>
          </cell>
        </row>
        <row r="13">
          <cell r="B13">
            <v>745.84660000000008</v>
          </cell>
        </row>
        <row r="17">
          <cell r="B17">
            <v>310.19349999999997</v>
          </cell>
        </row>
      </sheetData>
      <sheetData sheetId="20"/>
      <sheetData sheetId="21">
        <row r="13">
          <cell r="B13">
            <v>712151.96999999986</v>
          </cell>
        </row>
        <row r="23">
          <cell r="B23">
            <v>0</v>
          </cell>
        </row>
        <row r="24">
          <cell r="B24">
            <v>123640.40999999997</v>
          </cell>
        </row>
        <row r="28">
          <cell r="B28">
            <v>8.9298046876146425E-2</v>
          </cell>
        </row>
        <row r="33">
          <cell r="B33">
            <v>8</v>
          </cell>
        </row>
      </sheetData>
      <sheetData sheetId="22">
        <row r="13">
          <cell r="B13">
            <v>348232.8</v>
          </cell>
        </row>
        <row r="23">
          <cell r="B23">
            <v>0</v>
          </cell>
        </row>
        <row r="24">
          <cell r="B24">
            <v>60164.359999999993</v>
          </cell>
        </row>
        <row r="28">
          <cell r="B28">
            <v>8.1181611841273996E-2</v>
          </cell>
        </row>
        <row r="33">
          <cell r="B33">
            <v>4</v>
          </cell>
        </row>
      </sheetData>
      <sheetData sheetId="23">
        <row r="13">
          <cell r="B13">
            <v>130479.73999999999</v>
          </cell>
        </row>
        <row r="23">
          <cell r="B23">
            <v>0</v>
          </cell>
        </row>
        <row r="24">
          <cell r="B24">
            <v>20361.779999999995</v>
          </cell>
        </row>
        <row r="28">
          <cell r="B28">
            <v>4.5677819407058902E-2</v>
          </cell>
        </row>
        <row r="33">
          <cell r="B33">
            <v>1</v>
          </cell>
        </row>
      </sheetData>
      <sheetData sheetId="24">
        <row r="13">
          <cell r="B13">
            <v>239195.27000000002</v>
          </cell>
        </row>
        <row r="23">
          <cell r="B23">
            <v>0</v>
          </cell>
        </row>
        <row r="24">
          <cell r="B24">
            <v>29288.02000000003</v>
          </cell>
        </row>
        <row r="28">
          <cell r="B28">
            <v>7.3845523784813964E-3</v>
          </cell>
        </row>
        <row r="33">
          <cell r="B33">
            <v>1</v>
          </cell>
        </row>
      </sheetData>
      <sheetData sheetId="25"/>
      <sheetData sheetId="26">
        <row r="9">
          <cell r="B9">
            <v>192870.25</v>
          </cell>
        </row>
        <row r="12">
          <cell r="B12">
            <v>272982.71999999997</v>
          </cell>
        </row>
        <row r="17">
          <cell r="B17">
            <v>0.58829104022004419</v>
          </cell>
        </row>
        <row r="21">
          <cell r="B21">
            <v>148975.09</v>
          </cell>
        </row>
        <row r="24">
          <cell r="B24">
            <v>0.30259834761702137</v>
          </cell>
        </row>
        <row r="33">
          <cell r="B33">
            <v>13</v>
          </cell>
        </row>
      </sheetData>
      <sheetData sheetId="27"/>
      <sheetData sheetId="28">
        <row r="9">
          <cell r="B9">
            <v>105125.23999999999</v>
          </cell>
        </row>
        <row r="12">
          <cell r="B12">
            <v>155109.01</v>
          </cell>
        </row>
        <row r="17">
          <cell r="B17">
            <v>0.62866871932943968</v>
          </cell>
        </row>
        <row r="21">
          <cell r="B21">
            <v>94257.029999999984</v>
          </cell>
        </row>
        <row r="24">
          <cell r="B24">
            <v>0.3591122785194748</v>
          </cell>
        </row>
        <row r="33">
          <cell r="B33">
            <v>6.75</v>
          </cell>
        </row>
      </sheetData>
      <sheetData sheetId="29">
        <row r="9">
          <cell r="B9">
            <v>64476.19</v>
          </cell>
        </row>
        <row r="12">
          <cell r="B12">
            <v>96445.45</v>
          </cell>
        </row>
        <row r="17">
          <cell r="B17">
            <v>0.7193336020630251</v>
          </cell>
        </row>
        <row r="21">
          <cell r="B21">
            <v>63245.83</v>
          </cell>
        </row>
        <row r="24">
          <cell r="B24">
            <v>0.55977477423766486</v>
          </cell>
        </row>
        <row r="33">
          <cell r="B33">
            <v>4.5</v>
          </cell>
        </row>
      </sheetData>
      <sheetData sheetId="30">
        <row r="9">
          <cell r="B9">
            <v>91730.209999999992</v>
          </cell>
        </row>
        <row r="12">
          <cell r="B12">
            <v>102708.31999999999</v>
          </cell>
        </row>
        <row r="17">
          <cell r="B17">
            <v>0.65350608049409242</v>
          </cell>
        </row>
        <row r="21">
          <cell r="B21">
            <v>62323.37999999999</v>
          </cell>
        </row>
        <row r="24">
          <cell r="B24">
            <v>0.42578829056886536</v>
          </cell>
        </row>
        <row r="33">
          <cell r="B33">
            <v>5.5</v>
          </cell>
        </row>
      </sheetData>
      <sheetData sheetId="31">
        <row r="6">
          <cell r="B6">
            <v>540083.30999999971</v>
          </cell>
        </row>
      </sheetData>
      <sheetData sheetId="32"/>
      <sheetData sheetId="33">
        <row r="6">
          <cell r="B6">
            <v>30</v>
          </cell>
        </row>
        <row r="9">
          <cell r="B9">
            <v>0</v>
          </cell>
        </row>
        <row r="11">
          <cell r="B11">
            <v>10340.949999999995</v>
          </cell>
        </row>
        <row r="15">
          <cell r="B15">
            <v>1655.5876666666666</v>
          </cell>
        </row>
        <row r="20">
          <cell r="B20">
            <v>2070.2923333333333</v>
          </cell>
        </row>
        <row r="27">
          <cell r="B27">
            <v>3</v>
          </cell>
        </row>
      </sheetData>
      <sheetData sheetId="34">
        <row r="7">
          <cell r="B7">
            <v>5</v>
          </cell>
        </row>
        <row r="8">
          <cell r="B8">
            <v>0</v>
          </cell>
        </row>
        <row r="11">
          <cell r="B11">
            <v>5147.9980000000041</v>
          </cell>
        </row>
        <row r="13">
          <cell r="B13">
            <v>0</v>
          </cell>
        </row>
        <row r="15">
          <cell r="B15">
            <v>5147.9980000000041</v>
          </cell>
        </row>
        <row r="19">
          <cell r="B19">
            <v>-100</v>
          </cell>
        </row>
        <row r="24">
          <cell r="B24">
            <v>2384.5600000000004</v>
          </cell>
        </row>
        <row r="29">
          <cell r="B29">
            <v>3</v>
          </cell>
        </row>
      </sheetData>
      <sheetData sheetId="35">
        <row r="11">
          <cell r="B11">
            <v>0</v>
          </cell>
        </row>
        <row r="13">
          <cell r="B13">
            <v>1056.2065714285714</v>
          </cell>
        </row>
        <row r="17">
          <cell r="B17">
            <v>417.85714285714283</v>
          </cell>
        </row>
      </sheetData>
      <sheetData sheetId="36">
        <row r="13">
          <cell r="B13">
            <v>17242</v>
          </cell>
        </row>
        <row r="22">
          <cell r="B22">
            <v>0.18773924138731005</v>
          </cell>
        </row>
        <row r="23">
          <cell r="B23">
            <v>0</v>
          </cell>
        </row>
        <row r="28">
          <cell r="B28">
            <v>0</v>
          </cell>
        </row>
      </sheetData>
      <sheetData sheetId="37">
        <row r="9">
          <cell r="B9">
            <v>69499.11</v>
          </cell>
        </row>
        <row r="12">
          <cell r="B12">
            <v>97144.01</v>
          </cell>
        </row>
        <row r="17">
          <cell r="B17">
            <v>0.61950577496603909</v>
          </cell>
        </row>
        <row r="20">
          <cell r="B20">
            <v>0.59958447257839154</v>
          </cell>
        </row>
        <row r="21">
          <cell r="B21">
            <v>58246.039999999994</v>
          </cell>
        </row>
        <row r="24">
          <cell r="B24">
            <v>0.42230550293322261</v>
          </cell>
        </row>
        <row r="33">
          <cell r="B33">
            <v>3</v>
          </cell>
        </row>
      </sheetData>
      <sheetData sheetId="38">
        <row r="8">
          <cell r="B8">
            <v>0.8599842018917222</v>
          </cell>
        </row>
        <row r="9">
          <cell r="B9">
            <v>12343.25</v>
          </cell>
        </row>
        <row r="12">
          <cell r="B12">
            <v>12343.25</v>
          </cell>
        </row>
        <row r="21">
          <cell r="B21">
            <v>11016.48</v>
          </cell>
        </row>
        <row r="24">
          <cell r="B24">
            <v>2.5719028618880766</v>
          </cell>
        </row>
        <row r="33">
          <cell r="B33">
            <v>7</v>
          </cell>
        </row>
      </sheetData>
      <sheetData sheetId="39"/>
      <sheetData sheetId="40">
        <row r="13">
          <cell r="B13">
            <v>128426.93000000002</v>
          </cell>
        </row>
        <row r="24">
          <cell r="B24">
            <v>50405.030000000013</v>
          </cell>
        </row>
        <row r="28">
          <cell r="B28">
            <v>0.23890877092522567</v>
          </cell>
        </row>
        <row r="33">
          <cell r="B33">
            <v>5</v>
          </cell>
        </row>
      </sheetData>
      <sheetData sheetId="41">
        <row r="13">
          <cell r="B13">
            <v>50721.11</v>
          </cell>
        </row>
        <row r="24">
          <cell r="B24">
            <v>20854.240000000002</v>
          </cell>
        </row>
        <row r="28">
          <cell r="B28">
            <v>0.20056087100617473</v>
          </cell>
        </row>
        <row r="33">
          <cell r="B33">
            <v>2</v>
          </cell>
        </row>
      </sheetData>
      <sheetData sheetId="42">
        <row r="6">
          <cell r="B6">
            <v>165344.91999999981</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4JIT6BNZQX2VAIRPY7D5BOBEO3">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0</v>
          </cell>
        </row>
      </sheetData>
      <sheetData sheetId="12">
        <row r="6">
          <cell r="B6">
            <v>71</v>
          </cell>
        </row>
        <row r="9">
          <cell r="B9">
            <v>0</v>
          </cell>
        </row>
        <row r="11">
          <cell r="B11">
            <v>1949.4477464788736</v>
          </cell>
        </row>
        <row r="12">
          <cell r="B12">
            <v>138410.79000000004</v>
          </cell>
        </row>
        <row r="15">
          <cell r="B15">
            <v>648.59450704225355</v>
          </cell>
        </row>
        <row r="20">
          <cell r="B20">
            <v>1276.3342253521125</v>
          </cell>
        </row>
        <row r="21">
          <cell r="B21">
            <v>1924.9287323943661</v>
          </cell>
        </row>
        <row r="22">
          <cell r="B22">
            <v>24.519014084507489</v>
          </cell>
        </row>
        <row r="24">
          <cell r="B24">
            <v>1625.3300000000008</v>
          </cell>
        </row>
        <row r="27">
          <cell r="B27">
            <v>4</v>
          </cell>
        </row>
      </sheetData>
      <sheetData sheetId="13">
        <row r="6">
          <cell r="B6">
            <v>75</v>
          </cell>
        </row>
        <row r="9">
          <cell r="B9">
            <v>0</v>
          </cell>
        </row>
        <row r="11">
          <cell r="B11">
            <v>1838.7627999999997</v>
          </cell>
        </row>
        <row r="15">
          <cell r="B15">
            <v>537.24480000000005</v>
          </cell>
        </row>
        <row r="20">
          <cell r="B20">
            <v>654.38866666666672</v>
          </cell>
        </row>
        <row r="21">
          <cell r="B21">
            <v>1191.6334666666667</v>
          </cell>
        </row>
        <row r="24">
          <cell r="B24">
            <v>2880.67</v>
          </cell>
        </row>
        <row r="27">
          <cell r="B27">
            <v>2</v>
          </cell>
        </row>
      </sheetData>
      <sheetData sheetId="14">
        <row r="18">
          <cell r="B18">
            <v>1455.7691056910548</v>
          </cell>
        </row>
        <row r="23">
          <cell r="B23">
            <v>1568.9391869918677</v>
          </cell>
        </row>
        <row r="34">
          <cell r="B34">
            <v>89.530569105688755</v>
          </cell>
        </row>
      </sheetData>
      <sheetData sheetId="15">
        <row r="6">
          <cell r="B6">
            <v>5</v>
          </cell>
        </row>
        <row r="7">
          <cell r="B7">
            <v>31</v>
          </cell>
        </row>
        <row r="8">
          <cell r="B8">
            <v>6</v>
          </cell>
        </row>
        <row r="9">
          <cell r="B9">
            <v>34</v>
          </cell>
        </row>
        <row r="11">
          <cell r="B11">
            <v>20</v>
          </cell>
        </row>
        <row r="14">
          <cell r="B14">
            <v>545.8859999999986</v>
          </cell>
        </row>
        <row r="15">
          <cell r="B15">
            <v>941.12387096774091</v>
          </cell>
        </row>
        <row r="16">
          <cell r="B16">
            <v>2891.8333333333267</v>
          </cell>
        </row>
        <row r="17">
          <cell r="B17">
            <v>2121.7835294117617</v>
          </cell>
        </row>
        <row r="18">
          <cell r="B18">
            <v>1597.3146052631555</v>
          </cell>
        </row>
        <row r="19">
          <cell r="B19">
            <v>613.77850000000035</v>
          </cell>
        </row>
        <row r="23">
          <cell r="B23">
            <v>1597.3146052631555</v>
          </cell>
        </row>
        <row r="24">
          <cell r="B24">
            <v>133671.47999999981</v>
          </cell>
        </row>
        <row r="27">
          <cell r="B27">
            <v>441.45039473684216</v>
          </cell>
        </row>
        <row r="32">
          <cell r="B32">
            <v>939.9901315789474</v>
          </cell>
        </row>
        <row r="33">
          <cell r="B33">
            <v>1381.4405263157896</v>
          </cell>
        </row>
        <row r="34">
          <cell r="B34">
            <v>215.87407894736589</v>
          </cell>
        </row>
        <row r="37">
          <cell r="B37">
            <v>6</v>
          </cell>
        </row>
      </sheetData>
      <sheetData sheetId="16">
        <row r="6">
          <cell r="B6">
            <v>1</v>
          </cell>
        </row>
        <row r="7">
          <cell r="B7">
            <v>24</v>
          </cell>
        </row>
        <row r="8">
          <cell r="B8">
            <v>5</v>
          </cell>
        </row>
        <row r="9">
          <cell r="B9">
            <v>17</v>
          </cell>
        </row>
        <row r="11">
          <cell r="B11">
            <v>7</v>
          </cell>
        </row>
        <row r="14">
          <cell r="B14">
            <v>86.700000000000728</v>
          </cell>
        </row>
        <row r="15">
          <cell r="B15">
            <v>1099.9258333333321</v>
          </cell>
        </row>
        <row r="16">
          <cell r="B16">
            <v>1378.5219999999958</v>
          </cell>
        </row>
        <row r="17">
          <cell r="B17">
            <v>1428.5976470588221</v>
          </cell>
        </row>
        <row r="18">
          <cell r="B18">
            <v>1226.8870212765942</v>
          </cell>
        </row>
        <row r="19">
          <cell r="B19">
            <v>234.90714285714265</v>
          </cell>
        </row>
        <row r="23">
          <cell r="B23">
            <v>1226.8870212765942</v>
          </cell>
        </row>
        <row r="24">
          <cell r="B24">
            <v>59308.039999999928</v>
          </cell>
        </row>
        <row r="27">
          <cell r="B27">
            <v>568.06404255319148</v>
          </cell>
        </row>
        <row r="32">
          <cell r="B32">
            <v>1069.7610638297872</v>
          </cell>
        </row>
        <row r="34">
          <cell r="B34">
            <v>-410.93808510638451</v>
          </cell>
        </row>
        <row r="37">
          <cell r="B37">
            <v>2</v>
          </cell>
        </row>
      </sheetData>
      <sheetData sheetId="17">
        <row r="17">
          <cell r="B17">
            <v>273.73464684014868</v>
          </cell>
        </row>
      </sheetData>
      <sheetData sheetId="18">
        <row r="11">
          <cell r="B11">
            <v>0</v>
          </cell>
        </row>
        <row r="13">
          <cell r="B13">
            <v>560.41965986394553</v>
          </cell>
        </row>
        <row r="17">
          <cell r="B17">
            <v>247.12557823129256</v>
          </cell>
        </row>
      </sheetData>
      <sheetData sheetId="19">
        <row r="11">
          <cell r="B11">
            <v>0</v>
          </cell>
        </row>
        <row r="13">
          <cell r="B13">
            <v>702.92901639344257</v>
          </cell>
        </row>
        <row r="17">
          <cell r="B17">
            <v>305.7963934426229</v>
          </cell>
        </row>
      </sheetData>
      <sheetData sheetId="20"/>
      <sheetData sheetId="21">
        <row r="13">
          <cell r="B13">
            <v>829819.05999999994</v>
          </cell>
        </row>
        <row r="23">
          <cell r="B23">
            <v>0</v>
          </cell>
        </row>
        <row r="24">
          <cell r="B24">
            <v>120506.82999999997</v>
          </cell>
        </row>
        <row r="28">
          <cell r="B28">
            <v>9.5529235011786784E-2</v>
          </cell>
        </row>
        <row r="33">
          <cell r="B33">
            <v>9</v>
          </cell>
        </row>
      </sheetData>
      <sheetData sheetId="22">
        <row r="13">
          <cell r="B13">
            <v>437420.31</v>
          </cell>
        </row>
        <row r="23">
          <cell r="B23">
            <v>0</v>
          </cell>
        </row>
        <row r="24">
          <cell r="B24">
            <v>72343.550000000017</v>
          </cell>
        </row>
        <row r="28">
          <cell r="B28">
            <v>8.2751233018878337E-2</v>
          </cell>
        </row>
        <row r="33">
          <cell r="B33">
            <v>4</v>
          </cell>
        </row>
      </sheetData>
      <sheetData sheetId="23">
        <row r="13">
          <cell r="B13">
            <v>127818.69</v>
          </cell>
        </row>
        <row r="23">
          <cell r="B23">
            <v>0</v>
          </cell>
        </row>
        <row r="24">
          <cell r="B24">
            <v>20557</v>
          </cell>
        </row>
        <row r="28">
          <cell r="B28">
            <v>5.505204285852093E-2</v>
          </cell>
        </row>
        <row r="33">
          <cell r="B33">
            <v>1</v>
          </cell>
        </row>
      </sheetData>
      <sheetData sheetId="24">
        <row r="13">
          <cell r="B13">
            <v>234967.47999999998</v>
          </cell>
        </row>
        <row r="23">
          <cell r="B23">
            <v>0</v>
          </cell>
        </row>
        <row r="24">
          <cell r="B24">
            <v>35855.279999999999</v>
          </cell>
        </row>
        <row r="28">
          <cell r="B28">
            <v>3.3599628340057953E-2</v>
          </cell>
        </row>
        <row r="33">
          <cell r="B33">
            <v>1</v>
          </cell>
        </row>
      </sheetData>
      <sheetData sheetId="25"/>
      <sheetData sheetId="26">
        <row r="9">
          <cell r="B9">
            <v>280004.75999999995</v>
          </cell>
        </row>
        <row r="12">
          <cell r="B12">
            <v>439133.22</v>
          </cell>
        </row>
        <row r="17">
          <cell r="B17">
            <v>0.67318977005962333</v>
          </cell>
        </row>
        <row r="21">
          <cell r="B21">
            <v>268698.78999999998</v>
          </cell>
        </row>
        <row r="24">
          <cell r="B24">
            <v>0.2757777924430313</v>
          </cell>
        </row>
        <row r="33">
          <cell r="B33">
            <v>13</v>
          </cell>
        </row>
      </sheetData>
      <sheetData sheetId="27"/>
      <sheetData sheetId="28">
        <row r="9">
          <cell r="B9">
            <v>136064.31</v>
          </cell>
        </row>
        <row r="12">
          <cell r="B12">
            <v>198250.16000000003</v>
          </cell>
        </row>
        <row r="17">
          <cell r="B17">
            <v>0.76064575640739296</v>
          </cell>
        </row>
        <row r="21">
          <cell r="B21">
            <v>145261.64000000001</v>
          </cell>
        </row>
        <row r="24">
          <cell r="B24">
            <v>0.35270085027926323</v>
          </cell>
        </row>
        <row r="33">
          <cell r="B33">
            <v>6.5</v>
          </cell>
        </row>
      </sheetData>
      <sheetData sheetId="29">
        <row r="9">
          <cell r="B9">
            <v>82566.060000000012</v>
          </cell>
        </row>
        <row r="12">
          <cell r="B12">
            <v>128887.63</v>
          </cell>
        </row>
        <row r="17">
          <cell r="B17">
            <v>0.74116083533597221</v>
          </cell>
        </row>
        <row r="21">
          <cell r="B21">
            <v>84527.23000000001</v>
          </cell>
        </row>
        <row r="24">
          <cell r="B24">
            <v>0.43742428967000163</v>
          </cell>
        </row>
        <row r="33">
          <cell r="B33">
            <v>4.5</v>
          </cell>
        </row>
      </sheetData>
      <sheetData sheetId="30">
        <row r="9">
          <cell r="B9">
            <v>131873.03</v>
          </cell>
        </row>
        <row r="12">
          <cell r="B12">
            <v>160967.38</v>
          </cell>
        </row>
        <row r="17">
          <cell r="B17">
            <v>0.70873915614132776</v>
          </cell>
        </row>
        <row r="21">
          <cell r="B21">
            <v>99427.59</v>
          </cell>
        </row>
        <row r="24">
          <cell r="B24">
            <v>0.30801010738945983</v>
          </cell>
        </row>
        <row r="33">
          <cell r="B33">
            <v>5.5</v>
          </cell>
        </row>
      </sheetData>
      <sheetData sheetId="31">
        <row r="6">
          <cell r="B6">
            <v>648053.46999999951</v>
          </cell>
        </row>
      </sheetData>
      <sheetData sheetId="32"/>
      <sheetData sheetId="33">
        <row r="6">
          <cell r="B6">
            <v>31</v>
          </cell>
        </row>
        <row r="9">
          <cell r="B9">
            <v>0</v>
          </cell>
        </row>
        <row r="11">
          <cell r="B11">
            <v>12310.364193548399</v>
          </cell>
        </row>
        <row r="15">
          <cell r="B15">
            <v>2693.6241935483872</v>
          </cell>
        </row>
        <row r="20">
          <cell r="B20">
            <v>1472.2170967741936</v>
          </cell>
        </row>
        <row r="27">
          <cell r="B27">
            <v>3</v>
          </cell>
        </row>
      </sheetData>
      <sheetData sheetId="34">
        <row r="7">
          <cell r="B7">
            <v>13</v>
          </cell>
        </row>
        <row r="8">
          <cell r="B8">
            <v>1</v>
          </cell>
        </row>
        <row r="11">
          <cell r="B11">
            <v>6113.1500000000051</v>
          </cell>
        </row>
        <row r="13">
          <cell r="B13">
            <v>0</v>
          </cell>
        </row>
        <row r="15">
          <cell r="B15">
            <v>6113.1500000000051</v>
          </cell>
        </row>
        <row r="19">
          <cell r="B19">
            <v>-92.307692307692307</v>
          </cell>
        </row>
        <row r="24">
          <cell r="B24">
            <v>906.84615384615392</v>
          </cell>
        </row>
        <row r="29">
          <cell r="B29">
            <v>3</v>
          </cell>
        </row>
      </sheetData>
      <sheetData sheetId="35">
        <row r="11">
          <cell r="B11">
            <v>0</v>
          </cell>
        </row>
        <row r="13">
          <cell r="B13">
            <v>1327.0152272727273</v>
          </cell>
        </row>
        <row r="17">
          <cell r="B17">
            <v>332.38636363636363</v>
          </cell>
        </row>
      </sheetData>
      <sheetData sheetId="36">
        <row r="13">
          <cell r="B13">
            <v>17242</v>
          </cell>
        </row>
        <row r="22">
          <cell r="B22">
            <v>0.18773924138731005</v>
          </cell>
        </row>
        <row r="23">
          <cell r="B23">
            <v>0</v>
          </cell>
        </row>
        <row r="28">
          <cell r="B28">
            <v>0</v>
          </cell>
        </row>
      </sheetData>
      <sheetData sheetId="37">
        <row r="9">
          <cell r="B9">
            <v>103356.87</v>
          </cell>
        </row>
        <row r="12">
          <cell r="B12">
            <v>142714.47999999998</v>
          </cell>
        </row>
        <row r="17">
          <cell r="B17">
            <v>0.7289306458293483</v>
          </cell>
        </row>
        <row r="20">
          <cell r="B20">
            <v>0.61741296328165163</v>
          </cell>
        </row>
        <row r="21">
          <cell r="B21">
            <v>88113.76999999999</v>
          </cell>
        </row>
        <row r="24">
          <cell r="B24">
            <v>0.2329001233792114</v>
          </cell>
        </row>
        <row r="33">
          <cell r="B33">
            <v>3</v>
          </cell>
        </row>
      </sheetData>
      <sheetData sheetId="38">
        <row r="8">
          <cell r="B8">
            <v>0.87046673198956825</v>
          </cell>
        </row>
        <row r="9">
          <cell r="B9">
            <v>23462.93</v>
          </cell>
        </row>
        <row r="12">
          <cell r="B12">
            <v>23462.93</v>
          </cell>
        </row>
        <row r="21">
          <cell r="B21">
            <v>22140.660000000003</v>
          </cell>
        </row>
        <row r="24">
          <cell r="B24">
            <v>1.5700592381258438</v>
          </cell>
        </row>
        <row r="33">
          <cell r="B33">
            <v>7</v>
          </cell>
        </row>
      </sheetData>
      <sheetData sheetId="39"/>
      <sheetData sheetId="40">
        <row r="13">
          <cell r="B13">
            <v>180776.07</v>
          </cell>
        </row>
        <row r="24">
          <cell r="B24">
            <v>69049.189999999988</v>
          </cell>
        </row>
        <row r="28">
          <cell r="B28">
            <v>0.20186316695567064</v>
          </cell>
        </row>
        <row r="33">
          <cell r="B33">
            <v>5</v>
          </cell>
        </row>
      </sheetData>
      <sheetData sheetId="41">
        <row r="13">
          <cell r="B13">
            <v>69063.210000000006</v>
          </cell>
        </row>
        <row r="24">
          <cell r="B24">
            <v>30382.98</v>
          </cell>
        </row>
        <row r="28">
          <cell r="B28">
            <v>0.21026361213155309</v>
          </cell>
        </row>
        <row r="33">
          <cell r="B33">
            <v>2</v>
          </cell>
        </row>
      </sheetData>
      <sheetData sheetId="42">
        <row r="6">
          <cell r="B6">
            <v>190870.14</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ZJCKVXK7THWJDIUEV77X7U64WY">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643.51849593495933</v>
          </cell>
        </row>
      </sheetData>
      <sheetData sheetId="12">
        <row r="6">
          <cell r="B6">
            <v>148</v>
          </cell>
        </row>
        <row r="9">
          <cell r="B9">
            <v>583.07013513513516</v>
          </cell>
        </row>
        <row r="11">
          <cell r="B11">
            <v>2355.9760135135139</v>
          </cell>
        </row>
        <row r="12">
          <cell r="B12">
            <v>348684.45000000007</v>
          </cell>
        </row>
        <row r="15">
          <cell r="B15">
            <v>433.05013513513512</v>
          </cell>
        </row>
        <row r="20">
          <cell r="B20">
            <v>476.04290540540546</v>
          </cell>
        </row>
        <row r="21">
          <cell r="B21">
            <v>909.09304054054064</v>
          </cell>
        </row>
        <row r="22">
          <cell r="B22">
            <v>1446.8829729729732</v>
          </cell>
        </row>
        <row r="24">
          <cell r="B24">
            <v>2335.0200000000004</v>
          </cell>
        </row>
        <row r="27">
          <cell r="B27">
            <v>4</v>
          </cell>
        </row>
      </sheetData>
      <sheetData sheetId="13">
        <row r="6">
          <cell r="B6">
            <v>98</v>
          </cell>
        </row>
        <row r="9">
          <cell r="B9">
            <v>734.80785714285707</v>
          </cell>
        </row>
        <row r="11">
          <cell r="B11">
            <v>2397.679489795918</v>
          </cell>
        </row>
        <row r="15">
          <cell r="B15">
            <v>572.15755102040816</v>
          </cell>
        </row>
        <row r="20">
          <cell r="B20">
            <v>476.005</v>
          </cell>
        </row>
        <row r="21">
          <cell r="B21">
            <v>1048.162551020408</v>
          </cell>
        </row>
        <row r="24">
          <cell r="B24">
            <v>1471.119999999999</v>
          </cell>
        </row>
        <row r="27">
          <cell r="B27">
            <v>2</v>
          </cell>
        </row>
      </sheetData>
      <sheetData sheetId="14">
        <row r="18">
          <cell r="B18">
            <v>1448.6265254237298</v>
          </cell>
        </row>
        <row r="23">
          <cell r="B23">
            <v>2729.5562711864418</v>
          </cell>
        </row>
        <row r="34">
          <cell r="B34">
            <v>865.22093220339093</v>
          </cell>
        </row>
      </sheetData>
      <sheetData sheetId="15">
        <row r="6">
          <cell r="B6">
            <v>2</v>
          </cell>
        </row>
        <row r="7">
          <cell r="B7">
            <v>27</v>
          </cell>
        </row>
        <row r="8">
          <cell r="B8">
            <v>2</v>
          </cell>
        </row>
        <row r="9">
          <cell r="B9">
            <v>52</v>
          </cell>
        </row>
        <row r="11">
          <cell r="B11">
            <v>20</v>
          </cell>
        </row>
        <row r="14">
          <cell r="B14">
            <v>1464.9500000000007</v>
          </cell>
        </row>
        <row r="15">
          <cell r="B15">
            <v>891.33851851851898</v>
          </cell>
        </row>
        <row r="16">
          <cell r="B16">
            <v>-4008.8249999999985</v>
          </cell>
        </row>
        <row r="17">
          <cell r="B17">
            <v>1974.0684615384625</v>
          </cell>
        </row>
        <row r="18">
          <cell r="B18">
            <v>1465.4210843373503</v>
          </cell>
        </row>
        <row r="19">
          <cell r="B19">
            <v>-440.00949999999978</v>
          </cell>
        </row>
        <row r="23">
          <cell r="B23">
            <v>2728.3602409638565</v>
          </cell>
        </row>
        <row r="24">
          <cell r="B24">
            <v>217653.71000000008</v>
          </cell>
        </row>
        <row r="27">
          <cell r="B27">
            <v>763.84385542168673</v>
          </cell>
        </row>
        <row r="32">
          <cell r="B32">
            <v>823.03638554216855</v>
          </cell>
        </row>
        <row r="33">
          <cell r="B33">
            <v>1586.8802409638552</v>
          </cell>
        </row>
        <row r="34">
          <cell r="B34">
            <v>1141.4800000000014</v>
          </cell>
        </row>
        <row r="37">
          <cell r="B37">
            <v>6</v>
          </cell>
        </row>
      </sheetData>
      <sheetData sheetId="16">
        <row r="6">
          <cell r="B6">
            <v>0</v>
          </cell>
        </row>
        <row r="7">
          <cell r="B7">
            <v>10</v>
          </cell>
        </row>
        <row r="8">
          <cell r="B8">
            <v>6</v>
          </cell>
        </row>
        <row r="9">
          <cell r="B9">
            <v>19</v>
          </cell>
        </row>
        <row r="11">
          <cell r="B11">
            <v>6</v>
          </cell>
        </row>
        <row r="14">
          <cell r="B14">
            <v>0</v>
          </cell>
        </row>
        <row r="15">
          <cell r="B15">
            <v>903.89800000000105</v>
          </cell>
        </row>
        <row r="16">
          <cell r="B16">
            <v>1900.9050000000013</v>
          </cell>
        </row>
        <row r="17">
          <cell r="B17">
            <v>1519.135263157895</v>
          </cell>
        </row>
        <row r="18">
          <cell r="B18">
            <v>1408.7994285714292</v>
          </cell>
        </row>
        <row r="19">
          <cell r="B19">
            <v>274.0566666666661</v>
          </cell>
        </row>
        <row r="23">
          <cell r="B23">
            <v>2936.8454285714292</v>
          </cell>
        </row>
        <row r="24">
          <cell r="B24">
            <v>104433.93000000002</v>
          </cell>
        </row>
        <row r="27">
          <cell r="B27">
            <v>706.28914285714279</v>
          </cell>
        </row>
        <row r="32">
          <cell r="B32">
            <v>1816.0111428571429</v>
          </cell>
        </row>
        <row r="34">
          <cell r="B34">
            <v>414.54514285714367</v>
          </cell>
        </row>
        <row r="37">
          <cell r="B37">
            <v>2</v>
          </cell>
        </row>
      </sheetData>
      <sheetData sheetId="17">
        <row r="17">
          <cell r="B17">
            <v>213.06148351648355</v>
          </cell>
        </row>
      </sheetData>
      <sheetData sheetId="18">
        <row r="11">
          <cell r="B11">
            <v>411.18324675324675</v>
          </cell>
        </row>
        <row r="12">
          <cell r="B12">
            <v>342.65272727272725</v>
          </cell>
        </row>
        <row r="13">
          <cell r="B13">
            <v>1284.6916450216449</v>
          </cell>
        </row>
        <row r="17">
          <cell r="B17">
            <v>211.78484848484848</v>
          </cell>
        </row>
      </sheetData>
      <sheetData sheetId="19">
        <row r="11">
          <cell r="B11">
            <v>476.1069172932331</v>
          </cell>
        </row>
        <row r="13">
          <cell r="B13">
            <v>919.7747368421052</v>
          </cell>
        </row>
        <row r="17">
          <cell r="B17">
            <v>215.27879699248126</v>
          </cell>
        </row>
      </sheetData>
      <sheetData sheetId="20"/>
      <sheetData sheetId="21">
        <row r="13">
          <cell r="B13">
            <v>728620.07</v>
          </cell>
        </row>
        <row r="23">
          <cell r="B23">
            <v>63322.22</v>
          </cell>
        </row>
        <row r="24">
          <cell r="B24">
            <v>203944.42999999996</v>
          </cell>
        </row>
        <row r="28">
          <cell r="B28">
            <v>0.11747522958021181</v>
          </cell>
        </row>
        <row r="33">
          <cell r="B33">
            <v>9</v>
          </cell>
        </row>
      </sheetData>
      <sheetData sheetId="22">
        <row r="13">
          <cell r="B13">
            <v>402926.61</v>
          </cell>
        </row>
        <row r="23">
          <cell r="B23">
            <v>31661.11</v>
          </cell>
        </row>
        <row r="24">
          <cell r="B24">
            <v>106129.37000000004</v>
          </cell>
        </row>
        <row r="28">
          <cell r="B28">
            <v>9.2539730746499974E-2</v>
          </cell>
        </row>
        <row r="33">
          <cell r="B33">
            <v>5</v>
          </cell>
        </row>
      </sheetData>
      <sheetData sheetId="23">
        <row r="13">
          <cell r="B13">
            <v>145667.81000000003</v>
          </cell>
        </row>
        <row r="23">
          <cell r="B23">
            <v>63322.22</v>
          </cell>
        </row>
        <row r="24">
          <cell r="B24">
            <v>90493.47</v>
          </cell>
        </row>
        <row r="28">
          <cell r="B28">
            <v>3.2007689276031544E-2</v>
          </cell>
        </row>
        <row r="33">
          <cell r="B33">
            <v>1</v>
          </cell>
        </row>
      </sheetData>
      <sheetData sheetId="24">
        <row r="13">
          <cell r="B13">
            <v>228145.09</v>
          </cell>
        </row>
        <row r="23">
          <cell r="B23">
            <v>0</v>
          </cell>
        </row>
        <row r="24">
          <cell r="B24">
            <v>34809.44999999999</v>
          </cell>
        </row>
        <row r="28">
          <cell r="B28">
            <v>3.9885101187143668E-2</v>
          </cell>
        </row>
        <row r="33">
          <cell r="B33">
            <v>1</v>
          </cell>
        </row>
      </sheetData>
      <sheetData sheetId="25"/>
      <sheetData sheetId="26">
        <row r="9">
          <cell r="B9">
            <v>251729.16</v>
          </cell>
        </row>
        <row r="12">
          <cell r="B12">
            <v>386670.43999999994</v>
          </cell>
        </row>
        <row r="17">
          <cell r="B17">
            <v>0.61238296747186538</v>
          </cell>
        </row>
        <row r="21">
          <cell r="B21">
            <v>202523.49</v>
          </cell>
        </row>
        <row r="24">
          <cell r="B24">
            <v>0.36990870054612918</v>
          </cell>
        </row>
        <row r="33">
          <cell r="B33">
            <v>13.5</v>
          </cell>
        </row>
      </sheetData>
      <sheetData sheetId="27"/>
      <sheetData sheetId="28">
        <row r="9">
          <cell r="B9">
            <v>140268.98000000001</v>
          </cell>
        </row>
        <row r="12">
          <cell r="B12">
            <v>199628.64</v>
          </cell>
        </row>
        <row r="17">
          <cell r="B17">
            <v>0.65180255819925392</v>
          </cell>
        </row>
        <row r="21">
          <cell r="B21">
            <v>130373.23999999999</v>
          </cell>
        </row>
        <row r="24">
          <cell r="B24">
            <v>0.40819999575211252</v>
          </cell>
        </row>
        <row r="33">
          <cell r="B33">
            <v>6.75</v>
          </cell>
        </row>
      </sheetData>
      <sheetData sheetId="29">
        <row r="9">
          <cell r="B9">
            <v>79617.080000000016</v>
          </cell>
        </row>
        <row r="12">
          <cell r="B12">
            <v>124719.22000000002</v>
          </cell>
        </row>
        <row r="17">
          <cell r="B17">
            <v>0.72326465627727099</v>
          </cell>
        </row>
        <row r="21">
          <cell r="B21">
            <v>80325.78</v>
          </cell>
        </row>
        <row r="24">
          <cell r="B24">
            <v>0.45820227227206833</v>
          </cell>
        </row>
        <row r="33">
          <cell r="B33">
            <v>4.5</v>
          </cell>
        </row>
      </sheetData>
      <sheetData sheetId="30">
        <row r="9">
          <cell r="B9">
            <v>107959.38</v>
          </cell>
        </row>
        <row r="12">
          <cell r="B12">
            <v>137030.48000000001</v>
          </cell>
        </row>
        <row r="17">
          <cell r="B17">
            <v>0.68991578128736941</v>
          </cell>
        </row>
        <row r="21">
          <cell r="B21">
            <v>91399.22</v>
          </cell>
        </row>
        <row r="24">
          <cell r="B24">
            <v>0.46921341879558476</v>
          </cell>
        </row>
        <row r="33">
          <cell r="B33">
            <v>5.5</v>
          </cell>
        </row>
      </sheetData>
      <sheetData sheetId="31">
        <row r="6">
          <cell r="B6">
            <v>596262.0400000005</v>
          </cell>
        </row>
      </sheetData>
      <sheetData sheetId="32"/>
      <sheetData sheetId="33">
        <row r="6">
          <cell r="B6">
            <v>30</v>
          </cell>
        </row>
        <row r="9">
          <cell r="B9">
            <v>1408.6956666666667</v>
          </cell>
        </row>
        <row r="11">
          <cell r="B11">
            <v>11139.850999999977</v>
          </cell>
        </row>
        <row r="15">
          <cell r="B15">
            <v>1742.9316666666666</v>
          </cell>
        </row>
        <row r="20">
          <cell r="B20">
            <v>2439.8919999999998</v>
          </cell>
        </row>
        <row r="27">
          <cell r="B27">
            <v>4</v>
          </cell>
        </row>
      </sheetData>
      <sheetData sheetId="34">
        <row r="7">
          <cell r="B7">
            <v>8</v>
          </cell>
        </row>
        <row r="8">
          <cell r="B8">
            <v>0</v>
          </cell>
        </row>
        <row r="11">
          <cell r="B11">
            <v>7247.3874999999971</v>
          </cell>
        </row>
        <row r="13">
          <cell r="B13">
            <v>0</v>
          </cell>
        </row>
        <row r="15">
          <cell r="B15">
            <v>9888.6924999999974</v>
          </cell>
        </row>
        <row r="19">
          <cell r="B19">
            <v>-87.5</v>
          </cell>
        </row>
        <row r="24">
          <cell r="B24">
            <v>1217</v>
          </cell>
        </row>
        <row r="29">
          <cell r="B29">
            <v>4</v>
          </cell>
        </row>
      </sheetData>
      <sheetData sheetId="35">
        <row r="11">
          <cell r="B11">
            <v>926.77342105263153</v>
          </cell>
        </row>
        <row r="13">
          <cell r="B13">
            <v>1657.6402631578949</v>
          </cell>
        </row>
        <row r="17">
          <cell r="B17">
            <v>517.02631578947364</v>
          </cell>
        </row>
      </sheetData>
      <sheetData sheetId="36">
        <row r="13">
          <cell r="B13">
            <v>19129</v>
          </cell>
        </row>
        <row r="22">
          <cell r="B22">
            <v>0.21971875163364524</v>
          </cell>
        </row>
        <row r="23">
          <cell r="B23">
            <v>42260.88</v>
          </cell>
        </row>
        <row r="28">
          <cell r="B28">
            <v>0</v>
          </cell>
        </row>
      </sheetData>
      <sheetData sheetId="37">
        <row r="9">
          <cell r="B9">
            <v>80772.2</v>
          </cell>
        </row>
        <row r="12">
          <cell r="B12">
            <v>122094.43</v>
          </cell>
        </row>
        <row r="17">
          <cell r="B17">
            <v>0.61092331272393219</v>
          </cell>
        </row>
        <row r="20">
          <cell r="B20">
            <v>0.50589957297806298</v>
          </cell>
        </row>
        <row r="21">
          <cell r="B21">
            <v>61767.519999999997</v>
          </cell>
        </row>
        <row r="24">
          <cell r="B24">
            <v>0.34962151836082944</v>
          </cell>
        </row>
        <row r="33">
          <cell r="B33">
            <v>3</v>
          </cell>
        </row>
      </sheetData>
      <sheetData sheetId="38">
        <row r="8">
          <cell r="B8">
            <v>0.84250357419847488</v>
          </cell>
        </row>
        <row r="9">
          <cell r="B9">
            <v>27579.609999999997</v>
          </cell>
        </row>
        <row r="12">
          <cell r="B12">
            <v>27579.609999999997</v>
          </cell>
        </row>
        <row r="21">
          <cell r="B21">
            <v>22716.809999999998</v>
          </cell>
        </row>
        <row r="24">
          <cell r="B24">
            <v>1.3535347309117136</v>
          </cell>
        </row>
        <row r="33">
          <cell r="B33">
            <v>7</v>
          </cell>
        </row>
      </sheetData>
      <sheetData sheetId="39"/>
      <sheetData sheetId="40">
        <row r="13">
          <cell r="B13">
            <v>143381.44</v>
          </cell>
        </row>
        <row r="24">
          <cell r="B24">
            <v>58061.069999999985</v>
          </cell>
        </row>
        <row r="28">
          <cell r="B28">
            <v>0.31566038114835504</v>
          </cell>
        </row>
        <row r="33">
          <cell r="B33">
            <v>5</v>
          </cell>
        </row>
      </sheetData>
      <sheetData sheetId="41">
        <row r="13">
          <cell r="B13">
            <v>81592.2</v>
          </cell>
        </row>
        <row r="24">
          <cell r="B24">
            <v>32278.9</v>
          </cell>
        </row>
        <row r="28">
          <cell r="B28">
            <v>0.20866737261650009</v>
          </cell>
        </row>
        <row r="33">
          <cell r="B33">
            <v>2</v>
          </cell>
        </row>
      </sheetData>
      <sheetData sheetId="42">
        <row r="6">
          <cell r="B6">
            <v>219482.11999999994</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7E5KIE3OZP3NCL2DR7W3OKQBCV">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 val="PS - FSTMTS 0723 TNZ Format - A"/>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0</v>
          </cell>
        </row>
      </sheetData>
      <sheetData sheetId="12">
        <row r="6">
          <cell r="B6">
            <v>13</v>
          </cell>
        </row>
        <row r="9">
          <cell r="B9">
            <v>0</v>
          </cell>
        </row>
        <row r="11">
          <cell r="B11">
            <v>2579.482307692308</v>
          </cell>
        </row>
        <row r="12">
          <cell r="B12">
            <v>33533.270000000004</v>
          </cell>
        </row>
        <row r="15">
          <cell r="B15">
            <v>2324.3807692307691</v>
          </cell>
        </row>
        <row r="20">
          <cell r="B20">
            <v>7116.5315384615387</v>
          </cell>
        </row>
        <row r="21">
          <cell r="B21">
            <v>9440.9123076923079</v>
          </cell>
        </row>
        <row r="22">
          <cell r="B22">
            <v>-6861.43</v>
          </cell>
        </row>
        <row r="24">
          <cell r="B24">
            <v>481.09000000000015</v>
          </cell>
        </row>
        <row r="27">
          <cell r="B27">
            <v>4</v>
          </cell>
        </row>
      </sheetData>
      <sheetData sheetId="13">
        <row r="6">
          <cell r="B6">
            <v>33</v>
          </cell>
        </row>
        <row r="9">
          <cell r="B9">
            <v>0</v>
          </cell>
        </row>
        <row r="11">
          <cell r="B11">
            <v>2196.2948484848484</v>
          </cell>
        </row>
        <row r="15">
          <cell r="B15">
            <v>935.51969696969695</v>
          </cell>
        </row>
        <row r="20">
          <cell r="B20">
            <v>1708.4518181818182</v>
          </cell>
        </row>
        <row r="21">
          <cell r="B21">
            <v>2643.9715151515152</v>
          </cell>
        </row>
        <row r="24">
          <cell r="B24">
            <v>2001.5900000000001</v>
          </cell>
        </row>
        <row r="27">
          <cell r="B27">
            <v>2</v>
          </cell>
        </row>
      </sheetData>
      <sheetData sheetId="14">
        <row r="18">
          <cell r="B18">
            <v>1932.1874468085107</v>
          </cell>
        </row>
        <row r="23">
          <cell r="B23">
            <v>1974.5281914893617</v>
          </cell>
        </row>
        <row r="34">
          <cell r="B34">
            <v>-99.47244680851054</v>
          </cell>
        </row>
      </sheetData>
      <sheetData sheetId="15">
        <row r="6">
          <cell r="B6">
            <v>4</v>
          </cell>
        </row>
        <row r="7">
          <cell r="B7">
            <v>12</v>
          </cell>
        </row>
        <row r="8">
          <cell r="B8">
            <v>4</v>
          </cell>
        </row>
        <row r="9">
          <cell r="B9">
            <v>43</v>
          </cell>
        </row>
        <row r="11">
          <cell r="B11">
            <v>11</v>
          </cell>
        </row>
        <row r="14">
          <cell r="B14">
            <v>1102.7724999999991</v>
          </cell>
        </row>
        <row r="15">
          <cell r="B15">
            <v>1828.7350000000006</v>
          </cell>
        </row>
        <row r="16">
          <cell r="B16">
            <v>1021.5375000000158</v>
          </cell>
        </row>
        <row r="17">
          <cell r="B17">
            <v>2241.8074418604647</v>
          </cell>
        </row>
        <row r="18">
          <cell r="B18">
            <v>2013.3298412698421</v>
          </cell>
        </row>
        <row r="19">
          <cell r="B19">
            <v>241.10727272727274</v>
          </cell>
        </row>
        <row r="23">
          <cell r="B23">
            <v>2013.3298412698421</v>
          </cell>
        </row>
        <row r="24">
          <cell r="B24">
            <v>129491.96000000005</v>
          </cell>
        </row>
        <row r="27">
          <cell r="B27">
            <v>814.99365079365089</v>
          </cell>
        </row>
        <row r="32">
          <cell r="B32">
            <v>1088.9195238095238</v>
          </cell>
        </row>
        <row r="33">
          <cell r="B33">
            <v>1903.9131746031746</v>
          </cell>
        </row>
        <row r="34">
          <cell r="B34">
            <v>109.41666666666742</v>
          </cell>
        </row>
        <row r="37">
          <cell r="B37">
            <v>4</v>
          </cell>
        </row>
      </sheetData>
      <sheetData sheetId="16">
        <row r="6">
          <cell r="B6">
            <v>3</v>
          </cell>
        </row>
        <row r="7">
          <cell r="B7">
            <v>10</v>
          </cell>
        </row>
        <row r="8">
          <cell r="B8">
            <v>5</v>
          </cell>
        </row>
        <row r="9">
          <cell r="B9">
            <v>13</v>
          </cell>
        </row>
        <row r="11">
          <cell r="B11">
            <v>7</v>
          </cell>
        </row>
        <row r="14">
          <cell r="B14">
            <v>983.99000000000035</v>
          </cell>
        </row>
        <row r="15">
          <cell r="B15">
            <v>963.48799999999756</v>
          </cell>
        </row>
        <row r="16">
          <cell r="B16">
            <v>596.45400000000086</v>
          </cell>
        </row>
        <row r="17">
          <cell r="B17">
            <v>3016.6707692307673</v>
          </cell>
        </row>
        <row r="18">
          <cell r="B18">
            <v>1767.285161290321</v>
          </cell>
        </row>
        <row r="19">
          <cell r="B19">
            <v>189.69285714285692</v>
          </cell>
        </row>
        <row r="23">
          <cell r="B23">
            <v>1767.285161290321</v>
          </cell>
        </row>
        <row r="24">
          <cell r="B24">
            <v>56113.689999999951</v>
          </cell>
        </row>
        <row r="27">
          <cell r="B27">
            <v>596.61225806451603</v>
          </cell>
        </row>
        <row r="32">
          <cell r="B32">
            <v>1823.0499999999997</v>
          </cell>
        </row>
        <row r="34">
          <cell r="B34">
            <v>-652.3770967741948</v>
          </cell>
        </row>
        <row r="37">
          <cell r="B37">
            <v>3</v>
          </cell>
        </row>
      </sheetData>
      <sheetData sheetId="17">
        <row r="17">
          <cell r="B17">
            <v>448.7487857142857</v>
          </cell>
        </row>
      </sheetData>
      <sheetData sheetId="18">
        <row r="11">
          <cell r="B11">
            <v>0</v>
          </cell>
        </row>
        <row r="13">
          <cell r="B13">
            <v>636.62315789473678</v>
          </cell>
        </row>
        <row r="17">
          <cell r="B17">
            <v>493.54592105263157</v>
          </cell>
        </row>
      </sheetData>
      <sheetData sheetId="19">
        <row r="11">
          <cell r="B11">
            <v>0</v>
          </cell>
        </row>
        <row r="13">
          <cell r="B13">
            <v>588.63062500000012</v>
          </cell>
        </row>
        <row r="17">
          <cell r="B17">
            <v>395.55218749999995</v>
          </cell>
        </row>
      </sheetData>
      <sheetData sheetId="20"/>
      <sheetData sheetId="21">
        <row r="13">
          <cell r="B13">
            <v>733409.30999999982</v>
          </cell>
        </row>
        <row r="23">
          <cell r="B23">
            <v>0</v>
          </cell>
        </row>
        <row r="24">
          <cell r="B24">
            <v>138551.41999999998</v>
          </cell>
        </row>
        <row r="28">
          <cell r="B28">
            <v>8.9716518597234618E-2</v>
          </cell>
        </row>
        <row r="33">
          <cell r="B33">
            <v>8</v>
          </cell>
        </row>
      </sheetData>
      <sheetData sheetId="22">
        <row r="13">
          <cell r="B13">
            <v>387111.64</v>
          </cell>
        </row>
        <row r="23">
          <cell r="B23">
            <v>0</v>
          </cell>
        </row>
        <row r="24">
          <cell r="B24">
            <v>69756.810000000012</v>
          </cell>
        </row>
        <row r="28">
          <cell r="B28">
            <v>9.7498954048501354E-2</v>
          </cell>
        </row>
        <row r="33">
          <cell r="B33">
            <v>5</v>
          </cell>
        </row>
      </sheetData>
      <sheetData sheetId="23">
        <row r="13">
          <cell r="B13">
            <v>116778.06</v>
          </cell>
        </row>
        <row r="23">
          <cell r="B23">
            <v>0</v>
          </cell>
        </row>
        <row r="24">
          <cell r="B24">
            <v>14491.819999999996</v>
          </cell>
        </row>
        <row r="28">
          <cell r="B28">
            <v>5.7321383828434894E-2</v>
          </cell>
        </row>
        <row r="33">
          <cell r="B33">
            <v>1</v>
          </cell>
        </row>
      </sheetData>
      <sheetData sheetId="24">
        <row r="13">
          <cell r="B13">
            <v>283420.22000000003</v>
          </cell>
        </row>
        <row r="23">
          <cell r="B23">
            <v>0</v>
          </cell>
        </row>
        <row r="24">
          <cell r="B24">
            <v>42433.48</v>
          </cell>
        </row>
        <row r="28">
          <cell r="B28">
            <v>2.8258357854637185E-2</v>
          </cell>
        </row>
        <row r="33">
          <cell r="B33">
            <v>1</v>
          </cell>
        </row>
      </sheetData>
      <sheetData sheetId="25"/>
      <sheetData sheetId="26">
        <row r="9">
          <cell r="B9">
            <v>201009.42</v>
          </cell>
        </row>
        <row r="12">
          <cell r="B12">
            <v>297703.17000000004</v>
          </cell>
        </row>
        <row r="17">
          <cell r="B17">
            <v>0.62216661288809239</v>
          </cell>
        </row>
        <row r="21">
          <cell r="B21">
            <v>181180.97999999998</v>
          </cell>
        </row>
        <row r="24">
          <cell r="B24">
            <v>0.40087151238597829</v>
          </cell>
        </row>
        <row r="33">
          <cell r="B33">
            <v>13.5</v>
          </cell>
        </row>
      </sheetData>
      <sheetData sheetId="27"/>
      <sheetData sheetId="28">
        <row r="9">
          <cell r="B9">
            <v>120366.79000000001</v>
          </cell>
        </row>
        <row r="12">
          <cell r="B12">
            <v>172598.33000000002</v>
          </cell>
        </row>
        <row r="17">
          <cell r="B17">
            <v>0.68718730473746104</v>
          </cell>
        </row>
        <row r="21">
          <cell r="B21">
            <v>116153.43</v>
          </cell>
        </row>
        <row r="24">
          <cell r="B24">
            <v>0.41243678313689353</v>
          </cell>
        </row>
        <row r="33">
          <cell r="B33">
            <v>5.75</v>
          </cell>
        </row>
      </sheetData>
      <sheetData sheetId="29">
        <row r="9">
          <cell r="B9">
            <v>83585.320000000007</v>
          </cell>
        </row>
        <row r="12">
          <cell r="B12">
            <v>129134.88</v>
          </cell>
        </row>
        <row r="17">
          <cell r="B17">
            <v>0.769088160456884</v>
          </cell>
        </row>
        <row r="21">
          <cell r="B21">
            <v>86590.07</v>
          </cell>
        </row>
        <row r="24">
          <cell r="B24">
            <v>0.49168760601318556</v>
          </cell>
        </row>
        <row r="33">
          <cell r="B33">
            <v>4.5</v>
          </cell>
        </row>
      </sheetData>
      <sheetData sheetId="30">
        <row r="9">
          <cell r="B9">
            <v>107195.59</v>
          </cell>
        </row>
        <row r="12">
          <cell r="B12">
            <v>134419.21</v>
          </cell>
        </row>
        <row r="17">
          <cell r="B17">
            <v>0.63311373163765416</v>
          </cell>
        </row>
        <row r="21">
          <cell r="B21">
            <v>65746.34</v>
          </cell>
        </row>
        <row r="24">
          <cell r="B24">
            <v>0.54420354055049125</v>
          </cell>
        </row>
        <row r="33">
          <cell r="B33">
            <v>5.5</v>
          </cell>
        </row>
      </sheetData>
      <sheetData sheetId="31">
        <row r="6">
          <cell r="B6">
            <v>543170.77000000014</v>
          </cell>
        </row>
      </sheetData>
      <sheetData sheetId="32"/>
      <sheetData sheetId="33">
        <row r="6">
          <cell r="B6">
            <v>21</v>
          </cell>
        </row>
        <row r="9">
          <cell r="B9">
            <v>0</v>
          </cell>
        </row>
        <row r="11">
          <cell r="B11">
            <v>11988.085238095238</v>
          </cell>
        </row>
        <row r="15">
          <cell r="B15">
            <v>2668.9485714285715</v>
          </cell>
        </row>
        <row r="20">
          <cell r="B20">
            <v>2224.8909523809525</v>
          </cell>
        </row>
        <row r="27">
          <cell r="B27">
            <v>4</v>
          </cell>
        </row>
      </sheetData>
      <sheetData sheetId="34">
        <row r="7">
          <cell r="B7">
            <v>13</v>
          </cell>
        </row>
        <row r="8">
          <cell r="B8">
            <v>1</v>
          </cell>
        </row>
        <row r="11">
          <cell r="B11">
            <v>5077.0746153846221</v>
          </cell>
        </row>
        <row r="13">
          <cell r="B13">
            <v>434.77999999999884</v>
          </cell>
        </row>
        <row r="15">
          <cell r="B15">
            <v>5077.0746153846221</v>
          </cell>
        </row>
        <row r="19">
          <cell r="B19">
            <v>-177.25769230769231</v>
          </cell>
        </row>
        <row r="24">
          <cell r="B24">
            <v>637.69076923076932</v>
          </cell>
        </row>
        <row r="29">
          <cell r="B29">
            <v>4</v>
          </cell>
        </row>
      </sheetData>
      <sheetData sheetId="35">
        <row r="11">
          <cell r="B11">
            <v>0</v>
          </cell>
        </row>
        <row r="13">
          <cell r="B13">
            <v>804.38499999999999</v>
          </cell>
        </row>
        <row r="17">
          <cell r="B17">
            <v>287.94117647058823</v>
          </cell>
        </row>
      </sheetData>
      <sheetData sheetId="36">
        <row r="13">
          <cell r="B13">
            <v>17606</v>
          </cell>
        </row>
        <row r="22">
          <cell r="B22">
            <v>0.2224241735771896</v>
          </cell>
        </row>
        <row r="23">
          <cell r="B23">
            <v>0</v>
          </cell>
        </row>
        <row r="28">
          <cell r="B28">
            <v>0</v>
          </cell>
        </row>
      </sheetData>
      <sheetData sheetId="37">
        <row r="9">
          <cell r="B9">
            <v>87357.299999999988</v>
          </cell>
        </row>
        <row r="12">
          <cell r="B12">
            <v>124156.54999999999</v>
          </cell>
        </row>
        <row r="17">
          <cell r="B17">
            <v>0.58511812979567812</v>
          </cell>
        </row>
        <row r="20">
          <cell r="B20">
            <v>0.51235959762090677</v>
          </cell>
        </row>
        <row r="21">
          <cell r="B21">
            <v>63612.799999999988</v>
          </cell>
        </row>
        <row r="24">
          <cell r="B24">
            <v>0.39793365714495132</v>
          </cell>
        </row>
        <row r="33">
          <cell r="B33">
            <v>3</v>
          </cell>
        </row>
      </sheetData>
      <sheetData sheetId="38">
        <row r="8">
          <cell r="B8">
            <v>0.49955072908482206</v>
          </cell>
        </row>
        <row r="9">
          <cell r="B9">
            <v>36336.65</v>
          </cell>
        </row>
        <row r="12">
          <cell r="B12">
            <v>36336.65</v>
          </cell>
        </row>
        <row r="21">
          <cell r="B21">
            <v>31513.950000000004</v>
          </cell>
        </row>
        <row r="24">
          <cell r="B24">
            <v>1.2236736187843402</v>
          </cell>
        </row>
        <row r="33">
          <cell r="B33">
            <v>7</v>
          </cell>
        </row>
      </sheetData>
      <sheetData sheetId="39"/>
      <sheetData sheetId="40">
        <row r="13">
          <cell r="B13">
            <v>149668.35</v>
          </cell>
        </row>
        <row r="24">
          <cell r="B24">
            <v>61446.270000000004</v>
          </cell>
        </row>
        <row r="28">
          <cell r="B28">
            <v>0.22767465532960041</v>
          </cell>
        </row>
        <row r="33">
          <cell r="B33">
            <v>5</v>
          </cell>
        </row>
      </sheetData>
      <sheetData sheetId="41">
        <row r="13">
          <cell r="B13">
            <v>80287.08</v>
          </cell>
        </row>
        <row r="24">
          <cell r="B24">
            <v>33445.29</v>
          </cell>
        </row>
        <row r="28">
          <cell r="B28">
            <v>0.16191696098550351</v>
          </cell>
        </row>
        <row r="33">
          <cell r="B33">
            <v>2</v>
          </cell>
        </row>
      </sheetData>
      <sheetData sheetId="42">
        <row r="6">
          <cell r="B6">
            <v>218427.28999999995</v>
          </cell>
        </row>
      </sheetData>
      <sheetData sheetId="4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42HY7UQV2I4RFYNO75GAIBNHOG">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0</v>
          </cell>
        </row>
      </sheetData>
      <sheetData sheetId="12">
        <row r="6">
          <cell r="B6">
            <v>62</v>
          </cell>
        </row>
        <row r="9">
          <cell r="B9">
            <v>0</v>
          </cell>
        </row>
        <row r="11">
          <cell r="B11">
            <v>1938.9129032258068</v>
          </cell>
        </row>
        <row r="12">
          <cell r="B12">
            <v>120212.60000000002</v>
          </cell>
        </row>
        <row r="15">
          <cell r="B15">
            <v>641.49758064516118</v>
          </cell>
        </row>
        <row r="20">
          <cell r="B20">
            <v>1422.03</v>
          </cell>
        </row>
        <row r="21">
          <cell r="B21">
            <v>2063.5275806451609</v>
          </cell>
        </row>
        <row r="22">
          <cell r="B22">
            <v>-124.61467741935417</v>
          </cell>
        </row>
        <row r="24">
          <cell r="B24">
            <v>395.4899999999999</v>
          </cell>
        </row>
        <row r="27">
          <cell r="B27">
            <v>5</v>
          </cell>
        </row>
      </sheetData>
      <sheetData sheetId="13">
        <row r="6">
          <cell r="B6">
            <v>67</v>
          </cell>
        </row>
        <row r="9">
          <cell r="B9">
            <v>0</v>
          </cell>
        </row>
        <row r="11">
          <cell r="B11">
            <v>2043.2825373134335</v>
          </cell>
        </row>
        <row r="15">
          <cell r="B15">
            <v>496.47746268656715</v>
          </cell>
        </row>
        <row r="20">
          <cell r="B20">
            <v>638.31895522388061</v>
          </cell>
        </row>
        <row r="21">
          <cell r="B21">
            <v>1134.7964179104479</v>
          </cell>
        </row>
        <row r="24">
          <cell r="B24">
            <v>1487.4000000000015</v>
          </cell>
        </row>
        <row r="27">
          <cell r="B27">
            <v>2</v>
          </cell>
        </row>
      </sheetData>
      <sheetData sheetId="14">
        <row r="18">
          <cell r="B18">
            <v>2060.1494444444447</v>
          </cell>
        </row>
        <row r="23">
          <cell r="B23">
            <v>2050.6107407407408</v>
          </cell>
        </row>
        <row r="34">
          <cell r="B34">
            <v>70.384814814814717</v>
          </cell>
        </row>
      </sheetData>
      <sheetData sheetId="15">
        <row r="6">
          <cell r="B6">
            <v>5</v>
          </cell>
        </row>
        <row r="7">
          <cell r="B7">
            <v>19</v>
          </cell>
        </row>
        <row r="8">
          <cell r="B8">
            <v>6</v>
          </cell>
        </row>
        <row r="9">
          <cell r="B9">
            <v>44</v>
          </cell>
        </row>
        <row r="11">
          <cell r="B11">
            <v>25</v>
          </cell>
        </row>
        <row r="14">
          <cell r="B14">
            <v>2670.0040000000035</v>
          </cell>
        </row>
        <row r="15">
          <cell r="B15">
            <v>1324.192631578949</v>
          </cell>
        </row>
        <row r="16">
          <cell r="B16">
            <v>231.09333333333129</v>
          </cell>
        </row>
        <row r="17">
          <cell r="B17">
            <v>2516.8236363636361</v>
          </cell>
        </row>
        <row r="18">
          <cell r="B18">
            <v>2035.6281081081086</v>
          </cell>
        </row>
        <row r="19">
          <cell r="B19">
            <v>-86.608400000000401</v>
          </cell>
        </row>
        <row r="23">
          <cell r="B23">
            <v>2035.6281081081086</v>
          </cell>
        </row>
        <row r="24">
          <cell r="B24">
            <v>148471.27000000002</v>
          </cell>
        </row>
        <row r="27">
          <cell r="B27">
            <v>696.02500000000009</v>
          </cell>
        </row>
        <row r="32">
          <cell r="B32">
            <v>947.34459459459458</v>
          </cell>
        </row>
        <row r="33">
          <cell r="B33">
            <v>1643.3695945945947</v>
          </cell>
        </row>
        <row r="34">
          <cell r="B34">
            <v>392.25851351351389</v>
          </cell>
        </row>
        <row r="37">
          <cell r="B37">
            <v>5</v>
          </cell>
        </row>
      </sheetData>
      <sheetData sheetId="16">
        <row r="6">
          <cell r="B6">
            <v>1</v>
          </cell>
        </row>
        <row r="7">
          <cell r="B7">
            <v>14</v>
          </cell>
        </row>
        <row r="8">
          <cell r="B8">
            <v>5</v>
          </cell>
        </row>
        <row r="9">
          <cell r="B9">
            <v>14</v>
          </cell>
        </row>
        <row r="11">
          <cell r="B11">
            <v>6</v>
          </cell>
        </row>
        <row r="14">
          <cell r="B14">
            <v>455.27999999999884</v>
          </cell>
        </row>
        <row r="15">
          <cell r="B15">
            <v>1437.5428571428554</v>
          </cell>
        </row>
        <row r="16">
          <cell r="B16">
            <v>4337.5959999999959</v>
          </cell>
        </row>
        <row r="17">
          <cell r="B17">
            <v>2113.6285714285746</v>
          </cell>
        </row>
        <row r="18">
          <cell r="B18">
            <v>2113.5194117647061</v>
          </cell>
        </row>
        <row r="19">
          <cell r="B19">
            <v>189.17166666666648</v>
          </cell>
        </row>
        <row r="23">
          <cell r="B23">
            <v>2113.5194117647061</v>
          </cell>
        </row>
        <row r="24">
          <cell r="B24">
            <v>72994.69</v>
          </cell>
        </row>
        <row r="27">
          <cell r="B27">
            <v>658.98588235294119</v>
          </cell>
        </row>
        <row r="32">
          <cell r="B32">
            <v>2054.3979411764708</v>
          </cell>
        </row>
        <row r="34">
          <cell r="B34">
            <v>-599.86441176470589</v>
          </cell>
        </row>
        <row r="37">
          <cell r="B37">
            <v>4</v>
          </cell>
        </row>
      </sheetData>
      <sheetData sheetId="17">
        <row r="17">
          <cell r="B17">
            <v>283.17561181434598</v>
          </cell>
        </row>
      </sheetData>
      <sheetData sheetId="18">
        <row r="11">
          <cell r="B11">
            <v>0</v>
          </cell>
        </row>
        <row r="13">
          <cell r="B13">
            <v>549.8920588235294</v>
          </cell>
        </row>
        <row r="17">
          <cell r="B17">
            <v>306.14977941176465</v>
          </cell>
        </row>
      </sheetData>
      <sheetData sheetId="19">
        <row r="11">
          <cell r="B11">
            <v>0</v>
          </cell>
        </row>
        <row r="13">
          <cell r="B13">
            <v>507.28584158415845</v>
          </cell>
        </row>
        <row r="17">
          <cell r="B17">
            <v>252.24009900990097</v>
          </cell>
        </row>
      </sheetData>
      <sheetData sheetId="20"/>
      <sheetData sheetId="21">
        <row r="13">
          <cell r="B13">
            <v>881153.66000000015</v>
          </cell>
        </row>
        <row r="23">
          <cell r="B23">
            <v>0</v>
          </cell>
        </row>
        <row r="24">
          <cell r="B24">
            <v>121843.26000000001</v>
          </cell>
        </row>
        <row r="28">
          <cell r="B28">
            <v>9.1475974803305007E-2</v>
          </cell>
        </row>
        <row r="33">
          <cell r="B33">
            <v>7</v>
          </cell>
        </row>
      </sheetData>
      <sheetData sheetId="22">
        <row r="13">
          <cell r="B13">
            <v>464903.80000000005</v>
          </cell>
        </row>
        <row r="23">
          <cell r="B23">
            <v>0</v>
          </cell>
        </row>
        <row r="24">
          <cell r="B24">
            <v>87871.020000000019</v>
          </cell>
        </row>
        <row r="28">
          <cell r="B28">
            <v>8.0439222049809009E-2</v>
          </cell>
        </row>
        <row r="33">
          <cell r="B33">
            <v>4</v>
          </cell>
        </row>
      </sheetData>
      <sheetData sheetId="23">
        <row r="13">
          <cell r="B13">
            <v>163077.84</v>
          </cell>
        </row>
        <row r="23">
          <cell r="B23">
            <v>0</v>
          </cell>
        </row>
        <row r="24">
          <cell r="B24">
            <v>27459.08</v>
          </cell>
        </row>
        <row r="28">
          <cell r="B28">
            <v>4.0723129519007611E-2</v>
          </cell>
        </row>
        <row r="33">
          <cell r="B33">
            <v>1</v>
          </cell>
        </row>
      </sheetData>
      <sheetData sheetId="24">
        <row r="13">
          <cell r="B13">
            <v>199115.43</v>
          </cell>
        </row>
        <row r="23">
          <cell r="B23">
            <v>0</v>
          </cell>
        </row>
        <row r="24">
          <cell r="B24">
            <v>28856.940000000006</v>
          </cell>
        </row>
        <row r="28">
          <cell r="B28">
            <v>4.237757967828009E-2</v>
          </cell>
        </row>
        <row r="33">
          <cell r="B33">
            <v>1</v>
          </cell>
        </row>
      </sheetData>
      <sheetData sheetId="25"/>
      <sheetData sheetId="26">
        <row r="9">
          <cell r="B9">
            <v>256573.74999999997</v>
          </cell>
        </row>
        <row r="12">
          <cell r="B12">
            <v>380840.58999999997</v>
          </cell>
        </row>
        <row r="17">
          <cell r="B17">
            <v>0.68839875474400636</v>
          </cell>
        </row>
        <row r="21">
          <cell r="B21">
            <v>241043.13</v>
          </cell>
        </row>
        <row r="24">
          <cell r="B24">
            <v>0.32769676677583137</v>
          </cell>
        </row>
        <row r="33">
          <cell r="B33">
            <v>13.5</v>
          </cell>
        </row>
      </sheetData>
      <sheetData sheetId="27"/>
      <sheetData sheetId="28">
        <row r="9">
          <cell r="B9">
            <v>144081.78999999998</v>
          </cell>
        </row>
        <row r="12">
          <cell r="B12">
            <v>205633.81999999998</v>
          </cell>
        </row>
        <row r="17">
          <cell r="B17">
            <v>0.76907373235715626</v>
          </cell>
        </row>
        <row r="21">
          <cell r="B21">
            <v>148539.39999999997</v>
          </cell>
        </row>
        <row r="24">
          <cell r="B24">
            <v>0.35946941996214443</v>
          </cell>
        </row>
        <row r="33">
          <cell r="B33">
            <v>5.75</v>
          </cell>
        </row>
      </sheetData>
      <sheetData sheetId="29">
        <row r="9">
          <cell r="B9">
            <v>95304.12000000001</v>
          </cell>
        </row>
        <row r="12">
          <cell r="B12">
            <v>143571.87</v>
          </cell>
        </row>
        <row r="17">
          <cell r="B17">
            <v>0.75557614927875116</v>
          </cell>
        </row>
        <row r="21">
          <cell r="B21">
            <v>94296.170000000027</v>
          </cell>
        </row>
        <row r="24">
          <cell r="B24">
            <v>0.46011875446074502</v>
          </cell>
        </row>
        <row r="33">
          <cell r="B33">
            <v>4.5</v>
          </cell>
        </row>
      </sheetData>
      <sheetData sheetId="30">
        <row r="9">
          <cell r="B9">
            <v>120172.88999999998</v>
          </cell>
        </row>
        <row r="12">
          <cell r="B12">
            <v>163244.28999999998</v>
          </cell>
        </row>
        <row r="17">
          <cell r="B17">
            <v>0.69225904444837771</v>
          </cell>
        </row>
        <row r="21">
          <cell r="B21">
            <v>95081.989999999991</v>
          </cell>
        </row>
        <row r="24">
          <cell r="B24">
            <v>0.4971203586967729</v>
          </cell>
        </row>
        <row r="33">
          <cell r="B33">
            <v>6.5</v>
          </cell>
        </row>
      </sheetData>
      <sheetData sheetId="31">
        <row r="6">
          <cell r="B6">
            <v>612226.25999999966</v>
          </cell>
        </row>
      </sheetData>
      <sheetData sheetId="32"/>
      <sheetData sheetId="33">
        <row r="6">
          <cell r="B6">
            <v>28</v>
          </cell>
        </row>
        <row r="9">
          <cell r="B9">
            <v>0</v>
          </cell>
        </row>
        <row r="11">
          <cell r="B11">
            <v>13402.959285714318</v>
          </cell>
        </row>
        <row r="15">
          <cell r="B15">
            <v>2627.7203571428572</v>
          </cell>
        </row>
        <row r="20">
          <cell r="B20">
            <v>2042.8285714285712</v>
          </cell>
        </row>
        <row r="27">
          <cell r="B27">
            <v>4</v>
          </cell>
        </row>
      </sheetData>
      <sheetData sheetId="34">
        <row r="7">
          <cell r="B7">
            <v>15</v>
          </cell>
        </row>
        <row r="8">
          <cell r="B8">
            <v>1</v>
          </cell>
        </row>
        <row r="11">
          <cell r="B11">
            <v>5836.3846666666677</v>
          </cell>
        </row>
        <row r="13">
          <cell r="B13">
            <v>-65.220000000000027</v>
          </cell>
        </row>
        <row r="15">
          <cell r="B15">
            <v>5836.3846666666677</v>
          </cell>
        </row>
        <row r="19">
          <cell r="B19">
            <v>-93.333333333333329</v>
          </cell>
        </row>
        <row r="24">
          <cell r="B24">
            <v>807.86666666666667</v>
          </cell>
        </row>
        <row r="29">
          <cell r="B29">
            <v>4</v>
          </cell>
        </row>
      </sheetData>
      <sheetData sheetId="35">
        <row r="11">
          <cell r="B11">
            <v>0</v>
          </cell>
        </row>
        <row r="13">
          <cell r="B13">
            <v>957.81534883720929</v>
          </cell>
        </row>
        <row r="17">
          <cell r="B17">
            <v>172.62790697674419</v>
          </cell>
        </row>
      </sheetData>
      <sheetData sheetId="36">
        <row r="13">
          <cell r="B13">
            <v>26401</v>
          </cell>
        </row>
        <row r="22">
          <cell r="B22">
            <v>0.18219006855800918</v>
          </cell>
        </row>
        <row r="23">
          <cell r="B23">
            <v>0</v>
          </cell>
        </row>
        <row r="28">
          <cell r="B28">
            <v>0</v>
          </cell>
        </row>
      </sheetData>
      <sheetData sheetId="37">
        <row r="9">
          <cell r="B9">
            <v>89775.07</v>
          </cell>
        </row>
        <row r="12">
          <cell r="B12">
            <v>119609.55000000002</v>
          </cell>
        </row>
        <row r="17">
          <cell r="B17">
            <v>0.65887489700648527</v>
          </cell>
        </row>
        <row r="20">
          <cell r="B20">
            <v>0.57368805417293178</v>
          </cell>
        </row>
        <row r="21">
          <cell r="B21">
            <v>68618.570000000007</v>
          </cell>
        </row>
        <row r="24">
          <cell r="B24">
            <v>0.37312279830498479</v>
          </cell>
        </row>
        <row r="33">
          <cell r="B33">
            <v>3</v>
          </cell>
        </row>
      </sheetData>
      <sheetData sheetId="38">
        <row r="8">
          <cell r="B8">
            <v>0.37569234125332468</v>
          </cell>
        </row>
        <row r="9">
          <cell r="B9">
            <v>48316.130000000005</v>
          </cell>
        </row>
        <row r="12">
          <cell r="B12">
            <v>48316.130000000005</v>
          </cell>
        </row>
        <row r="21">
          <cell r="B21">
            <v>44750.28</v>
          </cell>
        </row>
        <row r="24">
          <cell r="B24">
            <v>1.0261864929993356</v>
          </cell>
        </row>
        <row r="33">
          <cell r="B33">
            <v>7</v>
          </cell>
        </row>
      </sheetData>
      <sheetData sheetId="39"/>
      <sheetData sheetId="40">
        <row r="13">
          <cell r="B13">
            <v>158603.89000000001</v>
          </cell>
        </row>
        <row r="24">
          <cell r="B24">
            <v>65537.11</v>
          </cell>
        </row>
        <row r="28">
          <cell r="B28">
            <v>0.23525507476519014</v>
          </cell>
        </row>
        <row r="33">
          <cell r="B33">
            <v>5</v>
          </cell>
        </row>
      </sheetData>
      <sheetData sheetId="41">
        <row r="13">
          <cell r="B13">
            <v>77763.760000000009</v>
          </cell>
        </row>
        <row r="24">
          <cell r="B24">
            <v>30472.430000000008</v>
          </cell>
        </row>
        <row r="28">
          <cell r="B28">
            <v>0.1792810687137556</v>
          </cell>
        </row>
        <row r="33">
          <cell r="B33">
            <v>2</v>
          </cell>
        </row>
      </sheetData>
      <sheetData sheetId="42">
        <row r="6">
          <cell r="B6">
            <v>199854.25000000012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4HIBYAZQMVAFGK3NIUOPWJCYTV">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593.25396825396831</v>
          </cell>
        </row>
      </sheetData>
      <sheetData sheetId="12">
        <row r="6">
          <cell r="B6">
            <v>62</v>
          </cell>
        </row>
        <row r="9">
          <cell r="B9">
            <v>565.02177419354837</v>
          </cell>
        </row>
        <row r="11">
          <cell r="B11">
            <v>2439.3298387096779</v>
          </cell>
        </row>
        <row r="12">
          <cell r="B12">
            <v>151238.45000000004</v>
          </cell>
        </row>
        <row r="15">
          <cell r="B15">
            <v>415.93290322580651</v>
          </cell>
        </row>
        <row r="20">
          <cell r="B20">
            <v>1402.2893548387096</v>
          </cell>
        </row>
        <row r="21">
          <cell r="B21">
            <v>1818.2222580645162</v>
          </cell>
        </row>
        <row r="22">
          <cell r="B22">
            <v>621.10758064516176</v>
          </cell>
        </row>
        <row r="24">
          <cell r="B24">
            <v>1202.54</v>
          </cell>
        </row>
        <row r="27">
          <cell r="B27">
            <v>5</v>
          </cell>
        </row>
      </sheetData>
      <sheetData sheetId="13">
        <row r="6">
          <cell r="B6">
            <v>64</v>
          </cell>
        </row>
        <row r="9">
          <cell r="B9">
            <v>620.60390625000002</v>
          </cell>
        </row>
        <row r="11">
          <cell r="B11">
            <v>2464.5249999999996</v>
          </cell>
        </row>
        <row r="15">
          <cell r="B15">
            <v>505.25296874999998</v>
          </cell>
        </row>
        <row r="20">
          <cell r="B20">
            <v>569.58843750000005</v>
          </cell>
        </row>
        <row r="21">
          <cell r="B21">
            <v>1074.8414062500001</v>
          </cell>
        </row>
        <row r="24">
          <cell r="B24">
            <v>-106.43999999999869</v>
          </cell>
        </row>
        <row r="27">
          <cell r="B27">
            <v>2</v>
          </cell>
        </row>
      </sheetData>
      <sheetData sheetId="14">
        <row r="18">
          <cell r="B18">
            <v>1667.0179527559067</v>
          </cell>
        </row>
        <row r="23">
          <cell r="B23">
            <v>2296.6462204724421</v>
          </cell>
        </row>
        <row r="34">
          <cell r="B34">
            <v>684.48960629921385</v>
          </cell>
        </row>
      </sheetData>
      <sheetData sheetId="15">
        <row r="6">
          <cell r="B6">
            <v>13</v>
          </cell>
        </row>
        <row r="7">
          <cell r="B7">
            <v>28</v>
          </cell>
        </row>
        <row r="8">
          <cell r="B8">
            <v>7</v>
          </cell>
        </row>
        <row r="9">
          <cell r="B9">
            <v>44</v>
          </cell>
        </row>
        <row r="11">
          <cell r="B11">
            <v>19</v>
          </cell>
        </row>
        <row r="14">
          <cell r="B14">
            <v>1720.8292307692329</v>
          </cell>
        </row>
        <row r="15">
          <cell r="B15">
            <v>1254.611071428571</v>
          </cell>
        </row>
        <row r="16">
          <cell r="B16">
            <v>1303.5271428571302</v>
          </cell>
        </row>
        <row r="17">
          <cell r="B17">
            <v>2099.1120454545494</v>
          </cell>
        </row>
        <row r="18">
          <cell r="B18">
            <v>1728.1033695652184</v>
          </cell>
        </row>
        <row r="19">
          <cell r="B19">
            <v>249.7347368421056</v>
          </cell>
        </row>
        <row r="23">
          <cell r="B23">
            <v>2238.2778260869572</v>
          </cell>
        </row>
        <row r="24">
          <cell r="B24">
            <v>210666.52000000008</v>
          </cell>
        </row>
        <row r="27">
          <cell r="B27">
            <v>555.64032608695652</v>
          </cell>
        </row>
        <row r="32">
          <cell r="B32">
            <v>818.4869565217391</v>
          </cell>
        </row>
        <row r="33">
          <cell r="B33">
            <v>1374.1272826086956</v>
          </cell>
        </row>
        <row r="34">
          <cell r="B34">
            <v>864.15054347826162</v>
          </cell>
        </row>
        <row r="37">
          <cell r="B37">
            <v>5</v>
          </cell>
        </row>
      </sheetData>
      <sheetData sheetId="16">
        <row r="6">
          <cell r="B6">
            <v>0</v>
          </cell>
        </row>
        <row r="7">
          <cell r="B7">
            <v>20</v>
          </cell>
        </row>
        <row r="8">
          <cell r="B8">
            <v>1</v>
          </cell>
        </row>
        <row r="9">
          <cell r="B9">
            <v>14</v>
          </cell>
        </row>
        <row r="11">
          <cell r="B11">
            <v>9</v>
          </cell>
        </row>
        <row r="14">
          <cell r="B14">
            <v>0</v>
          </cell>
        </row>
        <row r="15">
          <cell r="B15">
            <v>1254.5260000000039</v>
          </cell>
        </row>
        <row r="16">
          <cell r="B16">
            <v>3321.9699999999871</v>
          </cell>
        </row>
        <row r="17">
          <cell r="B17">
            <v>1736.662857142855</v>
          </cell>
        </row>
        <row r="18">
          <cell r="B18">
            <v>1506.4505714285724</v>
          </cell>
        </row>
        <row r="19">
          <cell r="B19">
            <v>51.981111111110899</v>
          </cell>
        </row>
        <row r="23">
          <cell r="B23">
            <v>2301.134857142858</v>
          </cell>
        </row>
        <row r="24">
          <cell r="B24">
            <v>81007.550000000032</v>
          </cell>
        </row>
        <row r="27">
          <cell r="B27">
            <v>723.05600000000004</v>
          </cell>
        </row>
        <row r="32">
          <cell r="B32">
            <v>1514.7777142857144</v>
          </cell>
        </row>
        <row r="34">
          <cell r="B34">
            <v>63.301142857143532</v>
          </cell>
        </row>
        <row r="37">
          <cell r="B37">
            <v>4</v>
          </cell>
        </row>
      </sheetData>
      <sheetData sheetId="17">
        <row r="17">
          <cell r="B17">
            <v>249.80553359683796</v>
          </cell>
        </row>
      </sheetData>
      <sheetData sheetId="18">
        <row r="11">
          <cell r="B11">
            <v>291.23376623376623</v>
          </cell>
        </row>
        <row r="12">
          <cell r="B12">
            <v>242.69480519480518</v>
          </cell>
        </row>
        <row r="13">
          <cell r="B13">
            <v>1126.053896103896</v>
          </cell>
        </row>
        <row r="17">
          <cell r="B17">
            <v>220.91954545454547</v>
          </cell>
        </row>
      </sheetData>
      <sheetData sheetId="19">
        <row r="11">
          <cell r="B11">
            <v>302.02020202020202</v>
          </cell>
        </row>
        <row r="13">
          <cell r="B13">
            <v>1007.2415151515152</v>
          </cell>
        </row>
        <row r="17">
          <cell r="B17">
            <v>294.73929292929296</v>
          </cell>
        </row>
      </sheetData>
      <sheetData sheetId="20"/>
      <sheetData sheetId="21">
        <row r="13">
          <cell r="B13">
            <v>837580.72000000009</v>
          </cell>
        </row>
        <row r="23">
          <cell r="B23">
            <v>44850</v>
          </cell>
        </row>
        <row r="24">
          <cell r="B24">
            <v>199920.01</v>
          </cell>
        </row>
        <row r="28">
          <cell r="B28">
            <v>9.4545705397803298E-2</v>
          </cell>
        </row>
        <row r="33">
          <cell r="B33">
            <v>7</v>
          </cell>
        </row>
      </sheetData>
      <sheetData sheetId="22">
        <row r="13">
          <cell r="B13">
            <v>317045.29000000004</v>
          </cell>
        </row>
        <row r="23">
          <cell r="B23">
            <v>22425</v>
          </cell>
        </row>
        <row r="24">
          <cell r="B24">
            <v>84835.999999999971</v>
          </cell>
        </row>
        <row r="28">
          <cell r="B28">
            <v>0.10115551629863354</v>
          </cell>
        </row>
        <row r="33">
          <cell r="B33">
            <v>4</v>
          </cell>
        </row>
      </sheetData>
      <sheetData sheetId="23">
        <row r="13">
          <cell r="B13">
            <v>146866.43999999997</v>
          </cell>
        </row>
        <row r="23">
          <cell r="B23">
            <v>37375</v>
          </cell>
        </row>
        <row r="24">
          <cell r="B24">
            <v>56722.599999999991</v>
          </cell>
        </row>
        <row r="28">
          <cell r="B28">
            <v>4.4690127982948323E-2</v>
          </cell>
        </row>
        <row r="33">
          <cell r="B33">
            <v>1</v>
          </cell>
        </row>
      </sheetData>
      <sheetData sheetId="24">
        <row r="13">
          <cell r="B13">
            <v>215343.48</v>
          </cell>
        </row>
        <row r="23">
          <cell r="B23">
            <v>7475</v>
          </cell>
        </row>
        <row r="24">
          <cell r="B24">
            <v>32821.700000000004</v>
          </cell>
        </row>
        <row r="28">
          <cell r="B28">
            <v>3.4478220561867022E-2</v>
          </cell>
        </row>
        <row r="33">
          <cell r="B33">
            <v>1</v>
          </cell>
        </row>
      </sheetData>
      <sheetData sheetId="25"/>
      <sheetData sheetId="26">
        <row r="9">
          <cell r="B9">
            <v>259840.94</v>
          </cell>
        </row>
        <row r="12">
          <cell r="B12">
            <v>387994.16</v>
          </cell>
        </row>
        <row r="17">
          <cell r="B17">
            <v>0.64929675823986799</v>
          </cell>
        </row>
        <row r="21">
          <cell r="B21">
            <v>222083.76000000004</v>
          </cell>
        </row>
        <row r="24">
          <cell r="B24">
            <v>0.28180223125007858</v>
          </cell>
        </row>
        <row r="33">
          <cell r="B33">
            <v>14.5</v>
          </cell>
        </row>
      </sheetData>
      <sheetData sheetId="27"/>
      <sheetData sheetId="28">
        <row r="9">
          <cell r="B9">
            <v>114439.26999999999</v>
          </cell>
        </row>
        <row r="12">
          <cell r="B12">
            <v>166348.32</v>
          </cell>
        </row>
        <row r="17">
          <cell r="B17">
            <v>0.74562324628599952</v>
          </cell>
        </row>
        <row r="21">
          <cell r="B21">
            <v>109448.89</v>
          </cell>
        </row>
        <row r="24">
          <cell r="B24">
            <v>0.39972877393652062</v>
          </cell>
        </row>
        <row r="33">
          <cell r="B33">
            <v>4.75</v>
          </cell>
        </row>
      </sheetData>
      <sheetData sheetId="29">
        <row r="9">
          <cell r="B9">
            <v>78382.460000000006</v>
          </cell>
        </row>
        <row r="12">
          <cell r="B12">
            <v>120625.99</v>
          </cell>
        </row>
        <row r="17">
          <cell r="B17">
            <v>0.81854231163451607</v>
          </cell>
        </row>
        <row r="21">
          <cell r="B21">
            <v>83969.22</v>
          </cell>
        </row>
        <row r="24">
          <cell r="B24">
            <v>0.48326442750853277</v>
          </cell>
        </row>
        <row r="33">
          <cell r="B33">
            <v>4.5</v>
          </cell>
        </row>
      </sheetData>
      <sheetData sheetId="30">
        <row r="9">
          <cell r="B9">
            <v>114678.62</v>
          </cell>
        </row>
        <row r="12">
          <cell r="B12">
            <v>150439.38</v>
          </cell>
        </row>
        <row r="17">
          <cell r="B17">
            <v>0.59850493492160961</v>
          </cell>
        </row>
        <row r="21">
          <cell r="B21">
            <v>77505.41</v>
          </cell>
        </row>
        <row r="24">
          <cell r="B24">
            <v>0.32043591245855974</v>
          </cell>
        </row>
        <row r="33">
          <cell r="B33">
            <v>6.5</v>
          </cell>
        </row>
      </sheetData>
      <sheetData sheetId="31">
        <row r="6">
          <cell r="B6">
            <v>561055.66999999981</v>
          </cell>
        </row>
      </sheetData>
      <sheetData sheetId="32"/>
      <sheetData sheetId="33">
        <row r="6">
          <cell r="B6">
            <v>27</v>
          </cell>
        </row>
        <row r="9">
          <cell r="B9">
            <v>1458.9374074074074</v>
          </cell>
        </row>
        <row r="11">
          <cell r="B11">
            <v>12108.881481481483</v>
          </cell>
        </row>
        <row r="15">
          <cell r="B15">
            <v>2529.2762962962961</v>
          </cell>
        </row>
        <row r="20">
          <cell r="B20">
            <v>2227.5266666666666</v>
          </cell>
        </row>
        <row r="27">
          <cell r="B27">
            <v>4</v>
          </cell>
        </row>
      </sheetData>
      <sheetData sheetId="34">
        <row r="7">
          <cell r="B7">
            <v>16</v>
          </cell>
        </row>
        <row r="8">
          <cell r="B8">
            <v>0</v>
          </cell>
        </row>
        <row r="11">
          <cell r="B11">
            <v>4896.8237499999959</v>
          </cell>
        </row>
        <row r="13">
          <cell r="B13">
            <v>0</v>
          </cell>
        </row>
        <row r="15">
          <cell r="B15">
            <v>6127.8018749999956</v>
          </cell>
        </row>
        <row r="19">
          <cell r="B19">
            <v>-81.250624999999999</v>
          </cell>
        </row>
        <row r="24">
          <cell r="B24">
            <v>666.5</v>
          </cell>
        </row>
        <row r="29">
          <cell r="B29">
            <v>4</v>
          </cell>
        </row>
      </sheetData>
      <sheetData sheetId="35">
        <row r="11">
          <cell r="B11">
            <v>763.39744186046505</v>
          </cell>
        </row>
        <row r="13">
          <cell r="B13">
            <v>1213.7097674418605</v>
          </cell>
        </row>
        <row r="17">
          <cell r="B17">
            <v>361.37209302325579</v>
          </cell>
        </row>
      </sheetData>
      <sheetData sheetId="36">
        <row r="13">
          <cell r="B13">
            <v>21522</v>
          </cell>
        </row>
        <row r="22">
          <cell r="B22">
            <v>0.21573273859306755</v>
          </cell>
        </row>
        <row r="23">
          <cell r="B23">
            <v>39391.300000000003</v>
          </cell>
        </row>
        <row r="28">
          <cell r="B28">
            <v>0</v>
          </cell>
        </row>
      </sheetData>
      <sheetData sheetId="37">
        <row r="9">
          <cell r="B9">
            <v>84456.08</v>
          </cell>
        </row>
        <row r="12">
          <cell r="B12">
            <v>115605.02000000002</v>
          </cell>
        </row>
        <row r="17">
          <cell r="B17">
            <v>0.62856054886752966</v>
          </cell>
        </row>
        <row r="20">
          <cell r="B20">
            <v>0.51281605245170137</v>
          </cell>
        </row>
        <row r="21">
          <cell r="B21">
            <v>59284.109999999993</v>
          </cell>
        </row>
        <row r="24">
          <cell r="B24">
            <v>0.4402284606671924</v>
          </cell>
        </row>
        <row r="33">
          <cell r="B33">
            <v>3</v>
          </cell>
        </row>
      </sheetData>
      <sheetData sheetId="38">
        <row r="8">
          <cell r="B8">
            <v>0.38145673097129407</v>
          </cell>
        </row>
        <row r="9">
          <cell r="B9">
            <v>47586</v>
          </cell>
        </row>
        <row r="12">
          <cell r="B12">
            <v>47586</v>
          </cell>
        </row>
        <row r="21">
          <cell r="B21">
            <v>43975.44</v>
          </cell>
        </row>
        <row r="24">
          <cell r="B24">
            <v>0.98275942504097846</v>
          </cell>
        </row>
        <row r="33">
          <cell r="B33">
            <v>7</v>
          </cell>
        </row>
      </sheetData>
      <sheetData sheetId="39"/>
      <sheetData sheetId="40">
        <row r="13">
          <cell r="B13">
            <v>161783.07</v>
          </cell>
        </row>
        <row r="24">
          <cell r="B24">
            <v>64739.87</v>
          </cell>
        </row>
        <row r="28">
          <cell r="B28">
            <v>0.22609281675764961</v>
          </cell>
        </row>
        <row r="33">
          <cell r="B33">
            <v>5</v>
          </cell>
        </row>
      </sheetData>
      <sheetData sheetId="41">
        <row r="13">
          <cell r="B13">
            <v>76031.149999999994</v>
          </cell>
        </row>
        <row r="24">
          <cell r="B24">
            <v>30497.58</v>
          </cell>
        </row>
        <row r="28">
          <cell r="B28">
            <v>0.1926561678996043</v>
          </cell>
        </row>
        <row r="33">
          <cell r="B33">
            <v>2</v>
          </cell>
        </row>
      </sheetData>
      <sheetData sheetId="42">
        <row r="6">
          <cell r="B6">
            <v>188467.02000000005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74BUVQ2OXW7FF3C3NLUWXOIIWC">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 val="Report"/>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0</v>
          </cell>
        </row>
      </sheetData>
      <sheetData sheetId="12">
        <row r="6">
          <cell r="B6">
            <v>43</v>
          </cell>
        </row>
        <row r="9">
          <cell r="B9">
            <v>0</v>
          </cell>
        </row>
        <row r="11">
          <cell r="B11">
            <v>2044.4658139534881</v>
          </cell>
        </row>
        <row r="12">
          <cell r="B12">
            <v>87912.029999999984</v>
          </cell>
        </row>
        <row r="20">
          <cell r="B20">
            <v>1953.2862790697673</v>
          </cell>
        </row>
        <row r="21">
          <cell r="B21">
            <v>2496.5776744186046</v>
          </cell>
        </row>
        <row r="22">
          <cell r="B22">
            <v>-452.11186046511648</v>
          </cell>
        </row>
        <row r="24">
          <cell r="B24">
            <v>4846.32</v>
          </cell>
        </row>
        <row r="27">
          <cell r="B27">
            <v>5</v>
          </cell>
        </row>
      </sheetData>
      <sheetData sheetId="13">
        <row r="6">
          <cell r="B6">
            <v>38</v>
          </cell>
        </row>
        <row r="9">
          <cell r="B9">
            <v>0</v>
          </cell>
        </row>
        <row r="11">
          <cell r="B11">
            <v>1654.0555263157896</v>
          </cell>
        </row>
        <row r="15">
          <cell r="B15">
            <v>461.14631578947365</v>
          </cell>
        </row>
        <row r="20">
          <cell r="B20">
            <v>1184.5863157894739</v>
          </cell>
        </row>
        <row r="21">
          <cell r="B21">
            <v>1645.7326315789476</v>
          </cell>
        </row>
        <row r="24">
          <cell r="B24">
            <v>1407.4599999999991</v>
          </cell>
        </row>
        <row r="27">
          <cell r="B27">
            <v>2</v>
          </cell>
        </row>
      </sheetData>
      <sheetData sheetId="14">
        <row r="18">
          <cell r="B18">
            <v>1704.5111200000006</v>
          </cell>
        </row>
        <row r="23">
          <cell r="B23">
            <v>1784.1248800000003</v>
          </cell>
        </row>
        <row r="34">
          <cell r="B34">
            <v>219.67360000000008</v>
          </cell>
        </row>
      </sheetData>
      <sheetData sheetId="15">
        <row r="6">
          <cell r="B6">
            <v>8</v>
          </cell>
        </row>
        <row r="7">
          <cell r="B7">
            <v>34</v>
          </cell>
        </row>
        <row r="8">
          <cell r="B8">
            <v>1</v>
          </cell>
        </row>
        <row r="9">
          <cell r="B9">
            <v>45</v>
          </cell>
        </row>
        <row r="11">
          <cell r="B11">
            <v>22</v>
          </cell>
        </row>
        <row r="14">
          <cell r="B14">
            <v>1543.3462499999996</v>
          </cell>
        </row>
        <row r="15">
          <cell r="B15">
            <v>1282.2126470588241</v>
          </cell>
        </row>
        <row r="16">
          <cell r="B16">
            <v>-1267.9000000000119</v>
          </cell>
        </row>
        <row r="17">
          <cell r="B17">
            <v>2222.646222222224</v>
          </cell>
        </row>
        <row r="18">
          <cell r="B18">
            <v>1757.8770454545463</v>
          </cell>
        </row>
        <row r="19">
          <cell r="B19">
            <v>287.79636363636314</v>
          </cell>
        </row>
        <row r="23">
          <cell r="B23">
            <v>1757.8770454545463</v>
          </cell>
        </row>
        <row r="24">
          <cell r="B24">
            <v>161024.70000000007</v>
          </cell>
        </row>
        <row r="27">
          <cell r="B27">
            <v>534.33409090909095</v>
          </cell>
        </row>
        <row r="32">
          <cell r="B32">
            <v>838.38522727272721</v>
          </cell>
        </row>
        <row r="33">
          <cell r="B33">
            <v>1372.7193181818182</v>
          </cell>
        </row>
        <row r="34">
          <cell r="B34">
            <v>385.15772727272815</v>
          </cell>
        </row>
        <row r="37">
          <cell r="B37">
            <v>5</v>
          </cell>
        </row>
      </sheetData>
      <sheetData sheetId="16">
        <row r="6">
          <cell r="B6">
            <v>2</v>
          </cell>
        </row>
        <row r="7">
          <cell r="B7">
            <v>16</v>
          </cell>
        </row>
        <row r="8">
          <cell r="B8">
            <v>3</v>
          </cell>
        </row>
        <row r="9">
          <cell r="B9">
            <v>14</v>
          </cell>
        </row>
        <row r="11">
          <cell r="B11">
            <v>10</v>
          </cell>
        </row>
        <row r="14">
          <cell r="B14">
            <v>292.89000000000306</v>
          </cell>
        </row>
        <row r="15">
          <cell r="B15">
            <v>1381.556875000002</v>
          </cell>
        </row>
        <row r="16">
          <cell r="B16">
            <v>1710.5833333333285</v>
          </cell>
        </row>
        <row r="17">
          <cell r="B17">
            <v>2182.0192857142829</v>
          </cell>
        </row>
        <row r="18">
          <cell r="B18">
            <v>1667.7345714285709</v>
          </cell>
        </row>
        <row r="19">
          <cell r="B19">
            <v>362.0199999999997</v>
          </cell>
        </row>
        <row r="23">
          <cell r="B23">
            <v>1667.7345714285709</v>
          </cell>
        </row>
        <row r="24">
          <cell r="B24">
            <v>61990.909999999982</v>
          </cell>
        </row>
        <row r="27">
          <cell r="B27">
            <v>338.86542857142854</v>
          </cell>
        </row>
        <row r="32">
          <cell r="B32">
            <v>1797.0520000000001</v>
          </cell>
        </row>
        <row r="34">
          <cell r="B34">
            <v>-468.18285714285798</v>
          </cell>
        </row>
        <row r="37">
          <cell r="B37">
            <v>4</v>
          </cell>
        </row>
      </sheetData>
      <sheetData sheetId="17">
        <row r="17">
          <cell r="B17">
            <v>339.09635922330096</v>
          </cell>
        </row>
      </sheetData>
      <sheetData sheetId="18">
        <row r="11">
          <cell r="B11">
            <v>0</v>
          </cell>
        </row>
        <row r="13">
          <cell r="B13">
            <v>578.84274809160308</v>
          </cell>
        </row>
        <row r="17">
          <cell r="B17">
            <v>312.07</v>
          </cell>
        </row>
      </sheetData>
      <sheetData sheetId="19">
        <row r="11">
          <cell r="B11">
            <v>0</v>
          </cell>
        </row>
        <row r="13">
          <cell r="B13">
            <v>862.25684931506839</v>
          </cell>
        </row>
        <row r="17">
          <cell r="B17">
            <v>396.88602739726031</v>
          </cell>
        </row>
      </sheetData>
      <sheetData sheetId="20"/>
      <sheetData sheetId="21">
        <row r="13">
          <cell r="B13">
            <v>745951.53</v>
          </cell>
        </row>
        <row r="23">
          <cell r="B23">
            <v>0</v>
          </cell>
        </row>
        <row r="24">
          <cell r="B24">
            <v>134630.02999999997</v>
          </cell>
        </row>
        <row r="28">
          <cell r="B28">
            <v>0.1018161729623371</v>
          </cell>
        </row>
        <row r="33">
          <cell r="B33">
            <v>7</v>
          </cell>
        </row>
      </sheetData>
      <sheetData sheetId="22">
        <row r="13">
          <cell r="B13">
            <v>328331.71000000008</v>
          </cell>
        </row>
        <row r="23">
          <cell r="B23">
            <v>0</v>
          </cell>
        </row>
        <row r="24">
          <cell r="B24">
            <v>63134.99</v>
          </cell>
        </row>
        <row r="28">
          <cell r="B28">
            <v>0.11459435337512783</v>
          </cell>
        </row>
        <row r="33">
          <cell r="B33">
            <v>4</v>
          </cell>
        </row>
      </sheetData>
      <sheetData sheetId="23">
        <row r="13">
          <cell r="B13">
            <v>150272.51999999999</v>
          </cell>
        </row>
        <row r="23">
          <cell r="B23">
            <v>0</v>
          </cell>
        </row>
        <row r="24">
          <cell r="B24">
            <v>27587.199999999997</v>
          </cell>
        </row>
        <row r="28">
          <cell r="B28">
            <v>4.4780975257485534E-2</v>
          </cell>
        </row>
        <row r="33">
          <cell r="B33">
            <v>1</v>
          </cell>
        </row>
      </sheetData>
      <sheetData sheetId="24">
        <row r="13">
          <cell r="B13">
            <v>172647.09999999998</v>
          </cell>
        </row>
        <row r="23">
          <cell r="B23">
            <v>0</v>
          </cell>
        </row>
        <row r="24">
          <cell r="B24">
            <v>29599.799999999985</v>
          </cell>
        </row>
        <row r="28">
          <cell r="B28">
            <v>5.9221846182183194E-2</v>
          </cell>
        </row>
        <row r="33">
          <cell r="B33">
            <v>1</v>
          </cell>
        </row>
      </sheetData>
      <sheetData sheetId="25"/>
      <sheetData sheetId="26">
        <row r="9">
          <cell r="B9">
            <v>249441.81</v>
          </cell>
        </row>
        <row r="12">
          <cell r="B12">
            <v>370094.89</v>
          </cell>
        </row>
        <row r="17">
          <cell r="B17">
            <v>0.60593474686541116</v>
          </cell>
        </row>
        <row r="21">
          <cell r="B21">
            <v>212289.09999999998</v>
          </cell>
        </row>
        <row r="24">
          <cell r="B24">
            <v>0.30288488987243239</v>
          </cell>
        </row>
        <row r="33">
          <cell r="B33">
            <v>14</v>
          </cell>
        </row>
      </sheetData>
      <sheetData sheetId="27"/>
      <sheetData sheetId="28">
        <row r="9">
          <cell r="B9">
            <v>126568.75</v>
          </cell>
        </row>
        <row r="12">
          <cell r="B12">
            <v>177088.43</v>
          </cell>
        </row>
        <row r="17">
          <cell r="B17">
            <v>0.67350914028936848</v>
          </cell>
        </row>
        <row r="21">
          <cell r="B21">
            <v>121855.75</v>
          </cell>
        </row>
        <row r="24">
          <cell r="B24">
            <v>0.34639659971009967</v>
          </cell>
        </row>
        <row r="33">
          <cell r="B33">
            <v>5.75</v>
          </cell>
        </row>
      </sheetData>
      <sheetData sheetId="29">
        <row r="9">
          <cell r="B9">
            <v>97161.239999999991</v>
          </cell>
        </row>
        <row r="12">
          <cell r="B12">
            <v>145631.39000000001</v>
          </cell>
        </row>
        <row r="17">
          <cell r="B17">
            <v>0.73391282367330823</v>
          </cell>
        </row>
        <row r="21">
          <cell r="B21">
            <v>95152.599999999977</v>
          </cell>
        </row>
        <row r="24">
          <cell r="B24">
            <v>0.36828516159874591</v>
          </cell>
        </row>
        <row r="33">
          <cell r="B33">
            <v>5.5</v>
          </cell>
        </row>
      </sheetData>
      <sheetData sheetId="30">
        <row r="9">
          <cell r="B9">
            <v>108785.5</v>
          </cell>
        </row>
        <row r="12">
          <cell r="B12">
            <v>130363.49</v>
          </cell>
        </row>
        <row r="17">
          <cell r="B17">
            <v>0.67210381898322846</v>
          </cell>
        </row>
        <row r="21">
          <cell r="B21">
            <v>69919.72</v>
          </cell>
        </row>
        <row r="24">
          <cell r="B24">
            <v>0.51417394548120798</v>
          </cell>
        </row>
        <row r="33">
          <cell r="B33">
            <v>6.5</v>
          </cell>
        </row>
      </sheetData>
      <sheetData sheetId="31">
        <row r="6">
          <cell r="B6">
            <v>547436.88000000024</v>
          </cell>
        </row>
      </sheetData>
      <sheetData sheetId="32"/>
      <sheetData sheetId="33">
        <row r="6">
          <cell r="B6">
            <v>29</v>
          </cell>
        </row>
        <row r="9">
          <cell r="B9">
            <v>0</v>
          </cell>
        </row>
        <row r="11">
          <cell r="B11">
            <v>9352.5431034482644</v>
          </cell>
        </row>
        <row r="15">
          <cell r="B15">
            <v>1000.2662068965517</v>
          </cell>
        </row>
        <row r="20">
          <cell r="B20">
            <v>1321.9444827586208</v>
          </cell>
        </row>
        <row r="27">
          <cell r="B27">
            <v>4</v>
          </cell>
        </row>
      </sheetData>
      <sheetData sheetId="34">
        <row r="7">
          <cell r="B7">
            <v>14</v>
          </cell>
        </row>
        <row r="8">
          <cell r="B8">
            <v>0</v>
          </cell>
        </row>
        <row r="11">
          <cell r="B11">
            <v>3884.1871428571426</v>
          </cell>
        </row>
        <row r="13">
          <cell r="B13">
            <v>0</v>
          </cell>
        </row>
        <row r="19">
          <cell r="B19">
            <v>941.58214285714291</v>
          </cell>
        </row>
        <row r="24">
          <cell r="B24">
            <v>945.4735714285714</v>
          </cell>
        </row>
        <row r="29">
          <cell r="B29">
            <v>4</v>
          </cell>
        </row>
      </sheetData>
      <sheetData sheetId="35">
        <row r="11">
          <cell r="B11">
            <v>0</v>
          </cell>
        </row>
        <row r="13">
          <cell r="B13">
            <v>1128.1669767441861</v>
          </cell>
        </row>
        <row r="17">
          <cell r="B17">
            <v>437.6511627906977</v>
          </cell>
        </row>
      </sheetData>
      <sheetData sheetId="36">
        <row r="13">
          <cell r="B13">
            <v>37637.870000000003</v>
          </cell>
        </row>
        <row r="22">
          <cell r="B22">
            <v>0.17827284062567827</v>
          </cell>
        </row>
        <row r="23">
          <cell r="B23">
            <v>0</v>
          </cell>
        </row>
        <row r="28">
          <cell r="B28">
            <v>0.17402685114752772</v>
          </cell>
        </row>
      </sheetData>
      <sheetData sheetId="37">
        <row r="9">
          <cell r="B9">
            <v>61745.34</v>
          </cell>
        </row>
        <row r="12">
          <cell r="B12">
            <v>99699.18</v>
          </cell>
        </row>
        <row r="17">
          <cell r="B17">
            <v>0.72867571868581504</v>
          </cell>
        </row>
        <row r="20">
          <cell r="B20">
            <v>0.55857851589150487</v>
          </cell>
        </row>
        <row r="21">
          <cell r="B21">
            <v>55689.82</v>
          </cell>
        </row>
        <row r="24">
          <cell r="B24">
            <v>0.5568300561749856</v>
          </cell>
        </row>
        <row r="33">
          <cell r="B33">
            <v>3</v>
          </cell>
        </row>
      </sheetData>
      <sheetData sheetId="38">
        <row r="8">
          <cell r="B8">
            <v>0.40647957827519821</v>
          </cell>
        </row>
        <row r="9">
          <cell r="B9">
            <v>44656.61</v>
          </cell>
        </row>
        <row r="12">
          <cell r="B12">
            <v>44656.61</v>
          </cell>
        </row>
        <row r="21">
          <cell r="B21">
            <v>42367.37</v>
          </cell>
        </row>
        <row r="24">
          <cell r="B24">
            <v>1.1317990774490048</v>
          </cell>
        </row>
        <row r="33">
          <cell r="B33">
            <v>7</v>
          </cell>
        </row>
      </sheetData>
      <sheetData sheetId="39"/>
      <sheetData sheetId="40">
        <row r="13">
          <cell r="B13">
            <v>143669.88</v>
          </cell>
        </row>
        <row r="24">
          <cell r="B24">
            <v>59211.55</v>
          </cell>
        </row>
        <row r="28">
          <cell r="B28">
            <v>0.24734954884071736</v>
          </cell>
        </row>
        <row r="33">
          <cell r="B33">
            <v>5</v>
          </cell>
        </row>
      </sheetData>
      <sheetData sheetId="41">
        <row r="13">
          <cell r="B13">
            <v>71377.12000000001</v>
          </cell>
        </row>
        <row r="24">
          <cell r="B24">
            <v>30209.800000000007</v>
          </cell>
        </row>
        <row r="28">
          <cell r="B28">
            <v>0.16925886054242589</v>
          </cell>
        </row>
        <row r="33">
          <cell r="B33">
            <v>2</v>
          </cell>
        </row>
      </sheetData>
      <sheetData sheetId="42">
        <row r="6">
          <cell r="B6">
            <v>201296.07000000004</v>
          </cell>
        </row>
      </sheetData>
      <sheetData sheetId="4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4HB7PVIJBAGVALSYL6I2RRPC56">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 val="PS - FSTMTS 1123 TNZ Format - A"/>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0</v>
          </cell>
        </row>
      </sheetData>
      <sheetData sheetId="12">
        <row r="6">
          <cell r="B6">
            <v>65</v>
          </cell>
        </row>
        <row r="9">
          <cell r="B9">
            <v>0</v>
          </cell>
        </row>
        <row r="11">
          <cell r="B11">
            <v>1633.6336923076919</v>
          </cell>
        </row>
        <row r="12">
          <cell r="B12">
            <v>106186.18999999997</v>
          </cell>
        </row>
        <row r="15">
          <cell r="B15">
            <v>628.39846153846167</v>
          </cell>
        </row>
        <row r="20">
          <cell r="B20">
            <v>1402.5763076923079</v>
          </cell>
        </row>
        <row r="21">
          <cell r="B21">
            <v>2030.9747692307697</v>
          </cell>
        </row>
        <row r="22">
          <cell r="B22">
            <v>-397.34107692307771</v>
          </cell>
        </row>
        <row r="24">
          <cell r="B24">
            <v>4332.0500000000029</v>
          </cell>
        </row>
        <row r="27">
          <cell r="B27">
            <v>5</v>
          </cell>
        </row>
      </sheetData>
      <sheetData sheetId="13">
        <row r="6">
          <cell r="B6">
            <v>54</v>
          </cell>
        </row>
        <row r="9">
          <cell r="B9">
            <v>0</v>
          </cell>
        </row>
        <row r="11">
          <cell r="B11">
            <v>1894.1081481481476</v>
          </cell>
        </row>
        <row r="15">
          <cell r="B15">
            <v>521.73814814814818</v>
          </cell>
        </row>
        <row r="20">
          <cell r="B20">
            <v>839.03962962962976</v>
          </cell>
        </row>
        <row r="21">
          <cell r="B21">
            <v>1360.7777777777778</v>
          </cell>
        </row>
        <row r="24">
          <cell r="B24">
            <v>-135.11000000000058</v>
          </cell>
        </row>
        <row r="27">
          <cell r="B27">
            <v>2</v>
          </cell>
        </row>
      </sheetData>
      <sheetData sheetId="14">
        <row r="18">
          <cell r="B18">
            <v>1128.7225157232713</v>
          </cell>
        </row>
        <row r="23">
          <cell r="B23">
            <v>1240.0923270440258</v>
          </cell>
        </row>
        <row r="34">
          <cell r="B34">
            <v>-207.23194968553389</v>
          </cell>
        </row>
      </sheetData>
      <sheetData sheetId="15">
        <row r="6">
          <cell r="B6">
            <v>15</v>
          </cell>
        </row>
        <row r="7">
          <cell r="B7">
            <v>35</v>
          </cell>
        </row>
        <row r="8">
          <cell r="B8">
            <v>7</v>
          </cell>
        </row>
        <row r="9">
          <cell r="B9">
            <v>43</v>
          </cell>
        </row>
        <row r="11">
          <cell r="B11">
            <v>17</v>
          </cell>
        </row>
        <row r="14">
          <cell r="B14">
            <v>2072.6253333333339</v>
          </cell>
        </row>
        <row r="15">
          <cell r="B15">
            <v>1123.2991428571447</v>
          </cell>
        </row>
        <row r="16">
          <cell r="B16">
            <v>2981.3142857142889</v>
          </cell>
        </row>
        <row r="17">
          <cell r="B17">
            <v>881.03348837209717</v>
          </cell>
        </row>
        <row r="18">
          <cell r="B18">
            <v>1291.5849000000028</v>
          </cell>
        </row>
        <row r="19">
          <cell r="B19">
            <v>796.67411764705832</v>
          </cell>
        </row>
        <row r="23">
          <cell r="B23">
            <v>1291.5849000000028</v>
          </cell>
        </row>
        <row r="24">
          <cell r="B24">
            <v>142701.95000000027</v>
          </cell>
        </row>
        <row r="27">
          <cell r="B27">
            <v>600.0249</v>
          </cell>
        </row>
        <row r="32">
          <cell r="B32">
            <v>734.22800000000007</v>
          </cell>
        </row>
        <row r="33">
          <cell r="B33">
            <v>1334.2529</v>
          </cell>
        </row>
        <row r="34">
          <cell r="B34">
            <v>-42.667999999997164</v>
          </cell>
        </row>
        <row r="37">
          <cell r="B37">
            <v>5</v>
          </cell>
        </row>
      </sheetData>
      <sheetData sheetId="16">
        <row r="6">
          <cell r="B6">
            <v>1</v>
          </cell>
        </row>
        <row r="7">
          <cell r="B7">
            <v>12</v>
          </cell>
        </row>
        <row r="8">
          <cell r="B8">
            <v>10</v>
          </cell>
        </row>
        <row r="9">
          <cell r="B9">
            <v>35</v>
          </cell>
        </row>
        <row r="11">
          <cell r="B11">
            <v>12</v>
          </cell>
        </row>
        <row r="14">
          <cell r="B14">
            <v>-4375.2200000000012</v>
          </cell>
        </row>
        <row r="15">
          <cell r="B15">
            <v>1070.4383333333292</v>
          </cell>
        </row>
        <row r="16">
          <cell r="B16">
            <v>1549.1360000000009</v>
          </cell>
        </row>
        <row r="17">
          <cell r="B17">
            <v>752.77114285713924</v>
          </cell>
        </row>
        <row r="18">
          <cell r="B18">
            <v>867.38603448275569</v>
          </cell>
        </row>
        <row r="19">
          <cell r="B19">
            <v>347.02833333333365</v>
          </cell>
        </row>
        <row r="23">
          <cell r="B23">
            <v>867.38603448275569</v>
          </cell>
        </row>
        <row r="24">
          <cell r="B24">
            <v>54472.729999999836</v>
          </cell>
        </row>
        <row r="27">
          <cell r="B27">
            <v>538.79431034482764</v>
          </cell>
        </row>
        <row r="32">
          <cell r="B32">
            <v>1128.4344827586208</v>
          </cell>
        </row>
        <row r="34">
          <cell r="B34">
            <v>-799.84275862069273</v>
          </cell>
        </row>
        <row r="37">
          <cell r="B37">
            <v>4</v>
          </cell>
        </row>
      </sheetData>
      <sheetData sheetId="17">
        <row r="17">
          <cell r="B17">
            <v>291.35161870503595</v>
          </cell>
        </row>
      </sheetData>
      <sheetData sheetId="18">
        <row r="11">
          <cell r="B11">
            <v>0</v>
          </cell>
        </row>
        <row r="13">
          <cell r="B13">
            <v>611.80569696969701</v>
          </cell>
        </row>
        <row r="17">
          <cell r="B17">
            <v>299.40836363636362</v>
          </cell>
        </row>
      </sheetData>
      <sheetData sheetId="19">
        <row r="11">
          <cell r="B11">
            <v>0</v>
          </cell>
        </row>
        <row r="13">
          <cell r="B13">
            <v>635.33017857142863</v>
          </cell>
        </row>
        <row r="17">
          <cell r="B17">
            <v>282.08366071428571</v>
          </cell>
        </row>
      </sheetData>
      <sheetData sheetId="20"/>
      <sheetData sheetId="21">
        <row r="13">
          <cell r="B13">
            <v>807556.37</v>
          </cell>
        </row>
        <row r="23">
          <cell r="B23">
            <v>0</v>
          </cell>
        </row>
        <row r="24">
          <cell r="B24">
            <v>141944.84</v>
          </cell>
        </row>
        <row r="28">
          <cell r="B28">
            <v>9.1515196641938454E-2</v>
          </cell>
        </row>
        <row r="33">
          <cell r="B33">
            <v>7</v>
          </cell>
        </row>
      </sheetData>
      <sheetData sheetId="22">
        <row r="13">
          <cell r="B13">
            <v>380639.67</v>
          </cell>
        </row>
        <row r="23">
          <cell r="B23">
            <v>0</v>
          </cell>
        </row>
        <row r="24">
          <cell r="B24">
            <v>72664.340000000011</v>
          </cell>
        </row>
        <row r="28">
          <cell r="B28">
            <v>8.4213792009645239E-2</v>
          </cell>
        </row>
        <row r="33">
          <cell r="B33">
            <v>4</v>
          </cell>
        </row>
      </sheetData>
      <sheetData sheetId="23">
        <row r="13">
          <cell r="B13">
            <v>153403.40999999997</v>
          </cell>
        </row>
        <row r="23">
          <cell r="B23">
            <v>0</v>
          </cell>
        </row>
        <row r="24">
          <cell r="B24">
            <v>25280.94999999999</v>
          </cell>
        </row>
        <row r="28">
          <cell r="B28">
            <v>4.1580496809034438E-2</v>
          </cell>
        </row>
        <row r="33">
          <cell r="B33">
            <v>1</v>
          </cell>
        </row>
      </sheetData>
      <sheetData sheetId="24">
        <row r="13">
          <cell r="B13">
            <v>239617.95</v>
          </cell>
        </row>
        <row r="23">
          <cell r="B23">
            <v>0</v>
          </cell>
        </row>
        <row r="24">
          <cell r="B24">
            <v>93823.790000000037</v>
          </cell>
        </row>
        <row r="28">
          <cell r="B28">
            <v>3.344978955040722E-2</v>
          </cell>
        </row>
        <row r="33">
          <cell r="B33">
            <v>1</v>
          </cell>
        </row>
      </sheetData>
      <sheetData sheetId="25"/>
      <sheetData sheetId="26">
        <row r="9">
          <cell r="B9">
            <v>286645.51</v>
          </cell>
        </row>
        <row r="12">
          <cell r="B12">
            <v>415702.75</v>
          </cell>
        </row>
        <row r="17">
          <cell r="B17">
            <v>0.65537039111479545</v>
          </cell>
        </row>
        <row r="21">
          <cell r="B21">
            <v>249002.98</v>
          </cell>
        </row>
        <row r="24">
          <cell r="B24">
            <v>0.29863367514407835</v>
          </cell>
        </row>
        <row r="33">
          <cell r="B33">
            <v>15</v>
          </cell>
        </row>
      </sheetData>
      <sheetData sheetId="27"/>
      <sheetData sheetId="28">
        <row r="9">
          <cell r="B9">
            <v>150828.82</v>
          </cell>
        </row>
        <row r="12">
          <cell r="B12">
            <v>215677.25</v>
          </cell>
        </row>
        <row r="17">
          <cell r="B17">
            <v>0.68503691801076216</v>
          </cell>
        </row>
        <row r="21">
          <cell r="B21">
            <v>144771.35000000003</v>
          </cell>
        </row>
        <row r="24">
          <cell r="B24">
            <v>0.26821349956937973</v>
          </cell>
        </row>
        <row r="33">
          <cell r="B33">
            <v>6.75</v>
          </cell>
        </row>
      </sheetData>
      <sheetData sheetId="29">
        <row r="9">
          <cell r="B9">
            <v>92476.68</v>
          </cell>
        </row>
        <row r="12">
          <cell r="B12">
            <v>139939.56</v>
          </cell>
        </row>
        <row r="17">
          <cell r="B17">
            <v>0.75633046082536715</v>
          </cell>
        </row>
        <row r="21">
          <cell r="B21">
            <v>101545.19</v>
          </cell>
        </row>
        <row r="24">
          <cell r="B24">
            <v>0.28764675264092587</v>
          </cell>
        </row>
        <row r="33">
          <cell r="B33">
            <v>5.5</v>
          </cell>
        </row>
      </sheetData>
      <sheetData sheetId="30">
        <row r="9">
          <cell r="B9">
            <v>138916.15</v>
          </cell>
        </row>
        <row r="12">
          <cell r="B12">
            <v>176462.58</v>
          </cell>
        </row>
        <row r="17">
          <cell r="B17">
            <v>0.66354473543932802</v>
          </cell>
        </row>
        <row r="21">
          <cell r="B21">
            <v>105188.95000000001</v>
          </cell>
        </row>
        <row r="24">
          <cell r="B24">
            <v>0.31466331275446613</v>
          </cell>
        </row>
        <row r="33">
          <cell r="B33">
            <v>6.5</v>
          </cell>
        </row>
      </sheetData>
      <sheetData sheetId="31">
        <row r="6">
          <cell r="B6">
            <v>571713.93999999959</v>
          </cell>
        </row>
      </sheetData>
      <sheetData sheetId="32"/>
      <sheetData sheetId="33">
        <row r="6">
          <cell r="B6">
            <v>33</v>
          </cell>
        </row>
        <row r="9">
          <cell r="B9">
            <v>0</v>
          </cell>
        </row>
        <row r="11">
          <cell r="B11">
            <v>8824.9724242424054</v>
          </cell>
        </row>
        <row r="15">
          <cell r="B15">
            <v>1340.6606060606061</v>
          </cell>
        </row>
        <row r="20">
          <cell r="B20">
            <v>1326.4069696969698</v>
          </cell>
        </row>
        <row r="27">
          <cell r="B27">
            <v>4</v>
          </cell>
        </row>
      </sheetData>
      <sheetData sheetId="34">
        <row r="7">
          <cell r="B7">
            <v>8</v>
          </cell>
        </row>
        <row r="8">
          <cell r="B8">
            <v>0</v>
          </cell>
        </row>
        <row r="11">
          <cell r="B11">
            <v>4183.0424999999959</v>
          </cell>
        </row>
        <row r="13">
          <cell r="B13">
            <v>0</v>
          </cell>
        </row>
        <row r="19">
          <cell r="B19">
            <v>1499.0987500000001</v>
          </cell>
        </row>
        <row r="24">
          <cell r="B24">
            <v>1903.8487500000001</v>
          </cell>
        </row>
        <row r="29">
          <cell r="B29">
            <v>4</v>
          </cell>
        </row>
      </sheetData>
      <sheetData sheetId="35">
        <row r="11">
          <cell r="B11">
            <v>0</v>
          </cell>
        </row>
        <row r="13">
          <cell r="B13">
            <v>605.8356097560976</v>
          </cell>
        </row>
        <row r="17">
          <cell r="B17">
            <v>553.19512195121956</v>
          </cell>
        </row>
      </sheetData>
      <sheetData sheetId="36">
        <row r="13">
          <cell r="B13">
            <v>40335.39</v>
          </cell>
        </row>
        <row r="22">
          <cell r="B22">
            <v>0.2247839924195601</v>
          </cell>
        </row>
        <row r="23">
          <cell r="B23">
            <v>0</v>
          </cell>
        </row>
        <row r="28">
          <cell r="B28">
            <v>0.16132235240566659</v>
          </cell>
        </row>
      </sheetData>
      <sheetData sheetId="37">
        <row r="9">
          <cell r="B9">
            <v>77473.399999999994</v>
          </cell>
        </row>
        <row r="12">
          <cell r="B12">
            <v>112197.84999999999</v>
          </cell>
        </row>
        <row r="17">
          <cell r="B17">
            <v>0.70550808406498244</v>
          </cell>
        </row>
        <row r="20">
          <cell r="B20">
            <v>0.58243780963717229</v>
          </cell>
        </row>
        <row r="21">
          <cell r="B21">
            <v>65348.270000000004</v>
          </cell>
        </row>
        <row r="24">
          <cell r="B24">
            <v>0.47239372233959925</v>
          </cell>
        </row>
        <row r="33">
          <cell r="B33">
            <v>3</v>
          </cell>
        </row>
      </sheetData>
      <sheetData sheetId="38">
        <row r="8">
          <cell r="B8">
            <v>0.3681484275811156</v>
          </cell>
        </row>
        <row r="9">
          <cell r="B9">
            <v>49306.2</v>
          </cell>
        </row>
        <row r="12">
          <cell r="B12">
            <v>49306.2</v>
          </cell>
        </row>
        <row r="21">
          <cell r="B21">
            <v>47083.969999999994</v>
          </cell>
        </row>
        <row r="24">
          <cell r="B24">
            <v>0.85921466265905722</v>
          </cell>
        </row>
        <row r="33">
          <cell r="B33">
            <v>7</v>
          </cell>
        </row>
      </sheetData>
      <sheetData sheetId="39"/>
      <sheetData sheetId="40">
        <row r="13">
          <cell r="B13">
            <v>168607.68</v>
          </cell>
        </row>
        <row r="24">
          <cell r="B24">
            <v>71730.720000000001</v>
          </cell>
        </row>
        <row r="28">
          <cell r="B28">
            <v>0.23243626862074138</v>
          </cell>
        </row>
        <row r="33">
          <cell r="B33">
            <v>5</v>
          </cell>
        </row>
      </sheetData>
      <sheetData sheetId="41">
        <row r="13">
          <cell r="B13">
            <v>84620.760000000009</v>
          </cell>
        </row>
        <row r="24">
          <cell r="B24">
            <v>36843.64</v>
          </cell>
        </row>
        <row r="28">
          <cell r="B28">
            <v>0.17149278734910911</v>
          </cell>
        </row>
        <row r="33">
          <cell r="B33">
            <v>2</v>
          </cell>
        </row>
      </sheetData>
      <sheetData sheetId="42">
        <row r="6">
          <cell r="B6">
            <v>200693.35000000003</v>
          </cell>
        </row>
      </sheetData>
      <sheetData sheetId="4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3DOY6HQKWRRZD3K4LG4EEPWUKM">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row r="1">
          <cell r="A1" t="str">
            <v>Account</v>
          </cell>
        </row>
      </sheetData>
      <sheetData sheetId="8"/>
      <sheetData sheetId="9"/>
      <sheetData sheetId="10"/>
      <sheetData sheetId="11">
        <row r="9">
          <cell r="B9">
            <v>808.98876404494376</v>
          </cell>
        </row>
      </sheetData>
      <sheetData sheetId="12">
        <row r="6">
          <cell r="B6">
            <v>58</v>
          </cell>
        </row>
        <row r="9">
          <cell r="B9">
            <v>715.51724137931035</v>
          </cell>
        </row>
        <row r="11">
          <cell r="B11">
            <v>2589.1501724137929</v>
          </cell>
        </row>
        <row r="12">
          <cell r="B12">
            <v>150170.71</v>
          </cell>
        </row>
        <row r="15">
          <cell r="B15">
            <v>345.13758620689657</v>
          </cell>
        </row>
        <row r="20">
          <cell r="B20">
            <v>1521.5193103448275</v>
          </cell>
        </row>
        <row r="21">
          <cell r="B21">
            <v>1866.656896551724</v>
          </cell>
        </row>
        <row r="22">
          <cell r="B22">
            <v>722.49327586206891</v>
          </cell>
        </row>
        <row r="24">
          <cell r="B24">
            <v>1224.1900000000023</v>
          </cell>
        </row>
        <row r="27">
          <cell r="B27">
            <v>5</v>
          </cell>
        </row>
      </sheetData>
      <sheetData sheetId="13">
        <row r="6">
          <cell r="B6">
            <v>31</v>
          </cell>
        </row>
        <row r="9">
          <cell r="B9">
            <v>983.87096774193549</v>
          </cell>
        </row>
        <row r="11">
          <cell r="B11">
            <v>3290.4187096774203</v>
          </cell>
        </row>
        <row r="15">
          <cell r="B15">
            <v>494.26129032258063</v>
          </cell>
        </row>
        <row r="20">
          <cell r="B20">
            <v>1382.9867741935484</v>
          </cell>
        </row>
        <row r="21">
          <cell r="B21">
            <v>1877.248064516129</v>
          </cell>
        </row>
        <row r="24">
          <cell r="B24">
            <v>1177.3199999999997</v>
          </cell>
        </row>
        <row r="27">
          <cell r="B27">
            <v>2</v>
          </cell>
        </row>
      </sheetData>
      <sheetData sheetId="14">
        <row r="18">
          <cell r="B18">
            <v>1477.3158646616537</v>
          </cell>
        </row>
        <row r="23">
          <cell r="B23">
            <v>2127.5503007518791</v>
          </cell>
        </row>
        <row r="34">
          <cell r="B34">
            <v>568.2076691729319</v>
          </cell>
        </row>
      </sheetData>
      <sheetData sheetId="15">
        <row r="6">
          <cell r="B6">
            <v>10</v>
          </cell>
        </row>
        <row r="7">
          <cell r="B7">
            <v>39</v>
          </cell>
        </row>
        <row r="8">
          <cell r="B8">
            <v>3</v>
          </cell>
        </row>
        <row r="9">
          <cell r="B9">
            <v>39</v>
          </cell>
        </row>
        <row r="11">
          <cell r="B11">
            <v>16</v>
          </cell>
        </row>
        <row r="14">
          <cell r="B14">
            <v>2056.1849999999977</v>
          </cell>
        </row>
        <row r="15">
          <cell r="B15">
            <v>1306.2725641025643</v>
          </cell>
        </row>
        <row r="16">
          <cell r="B16">
            <v>3402.2166666666658</v>
          </cell>
        </row>
        <row r="17">
          <cell r="B17">
            <v>1668.9556410256414</v>
          </cell>
        </row>
        <row r="18">
          <cell r="B18">
            <v>1613.2131868131867</v>
          </cell>
        </row>
        <row r="19">
          <cell r="B19">
            <v>804.66562499999964</v>
          </cell>
        </row>
        <row r="23">
          <cell r="B23">
            <v>2140.6857142857143</v>
          </cell>
        </row>
        <row r="24">
          <cell r="B24">
            <v>207677.05</v>
          </cell>
        </row>
        <row r="27">
          <cell r="B27">
            <v>519.25703296703296</v>
          </cell>
        </row>
        <row r="32">
          <cell r="B32">
            <v>793.55615384615385</v>
          </cell>
        </row>
        <row r="33">
          <cell r="B33">
            <v>1312.8131868131868</v>
          </cell>
        </row>
        <row r="34">
          <cell r="B34">
            <v>827.87252747252751</v>
          </cell>
        </row>
        <row r="37">
          <cell r="B37">
            <v>5</v>
          </cell>
        </row>
      </sheetData>
      <sheetData sheetId="16">
        <row r="6">
          <cell r="B6">
            <v>4</v>
          </cell>
        </row>
        <row r="7">
          <cell r="B7">
            <v>15</v>
          </cell>
        </row>
        <row r="8">
          <cell r="B8">
            <v>5</v>
          </cell>
        </row>
        <row r="9">
          <cell r="B9">
            <v>18</v>
          </cell>
        </row>
        <row r="11">
          <cell r="B11">
            <v>11</v>
          </cell>
        </row>
        <row r="14">
          <cell r="B14">
            <v>-224.81500000000233</v>
          </cell>
        </row>
        <row r="15">
          <cell r="B15">
            <v>1231.9300000000007</v>
          </cell>
        </row>
        <row r="16">
          <cell r="B16">
            <v>2098.6519999999991</v>
          </cell>
        </row>
        <row r="17">
          <cell r="B17">
            <v>1200.4255555555542</v>
          </cell>
        </row>
        <row r="18">
          <cell r="B18">
            <v>1182.871666666666</v>
          </cell>
        </row>
        <row r="19">
          <cell r="B19">
            <v>146.04818181818138</v>
          </cell>
        </row>
        <row r="23">
          <cell r="B23">
            <v>1754.3002380952371</v>
          </cell>
        </row>
        <row r="24">
          <cell r="B24">
            <v>75287.139999999956</v>
          </cell>
        </row>
        <row r="27">
          <cell r="B27">
            <v>639.22309523809531</v>
          </cell>
        </row>
        <row r="32">
          <cell r="B32">
            <v>1454.2666666666664</v>
          </cell>
        </row>
        <row r="34">
          <cell r="B34">
            <v>-339.18952380952442</v>
          </cell>
        </row>
        <row r="37">
          <cell r="B37">
            <v>4</v>
          </cell>
        </row>
      </sheetData>
      <sheetData sheetId="17">
        <row r="17">
          <cell r="B17">
            <v>272.17851351351351</v>
          </cell>
        </row>
      </sheetData>
      <sheetData sheetId="18">
        <row r="11">
          <cell r="B11">
            <v>289.93288590604027</v>
          </cell>
        </row>
        <row r="12">
          <cell r="B12">
            <v>241.61073825503357</v>
          </cell>
        </row>
        <row r="13">
          <cell r="B13">
            <v>1185.2822147651007</v>
          </cell>
        </row>
        <row r="17">
          <cell r="B17">
            <v>214.65624161073828</v>
          </cell>
        </row>
      </sheetData>
      <sheetData sheetId="19">
        <row r="11">
          <cell r="B11">
            <v>394.52054794520546</v>
          </cell>
        </row>
        <row r="13">
          <cell r="B13">
            <v>832.19178082191775</v>
          </cell>
        </row>
        <row r="17">
          <cell r="B17">
            <v>389.58698630136985</v>
          </cell>
        </row>
      </sheetData>
      <sheetData sheetId="20"/>
      <sheetData sheetId="21">
        <row r="13">
          <cell r="B13">
            <v>625806.71</v>
          </cell>
        </row>
        <row r="23">
          <cell r="B23">
            <v>43200</v>
          </cell>
        </row>
        <row r="24">
          <cell r="B24">
            <v>154206.47000000003</v>
          </cell>
        </row>
        <row r="28">
          <cell r="B28">
            <v>0.11778930909833166</v>
          </cell>
        </row>
        <row r="33">
          <cell r="B33">
            <v>6</v>
          </cell>
        </row>
      </sheetData>
      <sheetData sheetId="22">
        <row r="13">
          <cell r="B13">
            <v>264431.08</v>
          </cell>
        </row>
        <row r="23">
          <cell r="B23">
            <v>21600</v>
          </cell>
        </row>
        <row r="24">
          <cell r="B24">
            <v>76253.729999999981</v>
          </cell>
        </row>
        <row r="28">
          <cell r="B28">
            <v>0.13288301813841247</v>
          </cell>
        </row>
        <row r="33">
          <cell r="B33">
            <v>4</v>
          </cell>
        </row>
      </sheetData>
      <sheetData sheetId="23">
        <row r="13">
          <cell r="B13">
            <v>150062.59</v>
          </cell>
        </row>
        <row r="23">
          <cell r="B23">
            <v>21600</v>
          </cell>
        </row>
        <row r="24">
          <cell r="B24">
            <v>49713.149999999994</v>
          </cell>
        </row>
        <row r="28">
          <cell r="B28">
            <v>4.9245851347760959E-2</v>
          </cell>
        </row>
        <row r="33">
          <cell r="B33">
            <v>1</v>
          </cell>
        </row>
      </sheetData>
      <sheetData sheetId="24">
        <row r="13">
          <cell r="B13">
            <v>132620.18</v>
          </cell>
        </row>
        <row r="23">
          <cell r="B23">
            <v>21600</v>
          </cell>
        </row>
        <row r="24">
          <cell r="B24">
            <v>48124.200000000004</v>
          </cell>
        </row>
        <row r="28">
          <cell r="B28">
            <v>6.2911240204922059E-2</v>
          </cell>
        </row>
        <row r="33">
          <cell r="B33">
            <v>1</v>
          </cell>
        </row>
      </sheetData>
      <sheetData sheetId="25"/>
      <sheetData sheetId="26">
        <row r="9">
          <cell r="B9">
            <v>259817.84</v>
          </cell>
        </row>
        <row r="12">
          <cell r="B12">
            <v>393638.51</v>
          </cell>
        </row>
        <row r="17">
          <cell r="B17">
            <v>0.67184443531668192</v>
          </cell>
        </row>
        <row r="21">
          <cell r="B21">
            <v>243078.45</v>
          </cell>
        </row>
        <row r="24">
          <cell r="B24">
            <v>0.28442227362358424</v>
          </cell>
        </row>
        <row r="33">
          <cell r="B33">
            <v>15</v>
          </cell>
        </row>
      </sheetData>
      <sheetData sheetId="27"/>
      <sheetData sheetId="28">
        <row r="9">
          <cell r="B9">
            <v>138075.85</v>
          </cell>
        </row>
        <row r="12">
          <cell r="B12">
            <v>195493.68000000002</v>
          </cell>
        </row>
        <row r="17">
          <cell r="B17">
            <v>0.64780763616519477</v>
          </cell>
        </row>
        <row r="21">
          <cell r="B21">
            <v>124355.67000000001</v>
          </cell>
        </row>
        <row r="24">
          <cell r="B24">
            <v>0.28844671602683009</v>
          </cell>
        </row>
        <row r="33">
          <cell r="B33">
            <v>6.75</v>
          </cell>
        </row>
      </sheetData>
      <sheetData sheetId="29">
        <row r="9">
          <cell r="B9">
            <v>84763.549999999988</v>
          </cell>
        </row>
        <row r="12">
          <cell r="B12">
            <v>132645.19</v>
          </cell>
        </row>
        <row r="17">
          <cell r="B17">
            <v>0.71594335065013215</v>
          </cell>
        </row>
        <row r="21">
          <cell r="B21">
            <v>73896.289999999994</v>
          </cell>
        </row>
        <row r="24">
          <cell r="B24">
            <v>0.30878790252401916</v>
          </cell>
        </row>
        <row r="33">
          <cell r="B33">
            <v>4.5</v>
          </cell>
        </row>
      </sheetData>
      <sheetData sheetId="30">
        <row r="9">
          <cell r="B9">
            <v>110330.79999999999</v>
          </cell>
        </row>
        <row r="12">
          <cell r="B12">
            <v>142907.07</v>
          </cell>
        </row>
        <row r="17">
          <cell r="B17">
            <v>0.64512692738564392</v>
          </cell>
        </row>
        <row r="21">
          <cell r="B21">
            <v>87898.909999999989</v>
          </cell>
        </row>
        <row r="24">
          <cell r="B24">
            <v>0.44206434293278835</v>
          </cell>
        </row>
        <row r="33">
          <cell r="B33">
            <v>6.5</v>
          </cell>
        </row>
      </sheetData>
      <sheetData sheetId="31">
        <row r="6">
          <cell r="B6">
            <v>560376.72000000055</v>
          </cell>
        </row>
      </sheetData>
      <sheetData sheetId="32"/>
      <sheetData sheetId="33">
        <row r="6">
          <cell r="B6">
            <v>23</v>
          </cell>
        </row>
        <row r="9">
          <cell r="B9">
            <v>1281.6634782608694</v>
          </cell>
        </row>
        <row r="11">
          <cell r="B11">
            <v>9696.076956521747</v>
          </cell>
        </row>
        <row r="15">
          <cell r="B15">
            <v>1150.7591304347825</v>
          </cell>
        </row>
        <row r="20">
          <cell r="B20">
            <v>1098.1026086956522</v>
          </cell>
        </row>
        <row r="27">
          <cell r="B27">
            <v>4</v>
          </cell>
        </row>
      </sheetData>
      <sheetData sheetId="34">
        <row r="7">
          <cell r="B7">
            <v>6</v>
          </cell>
        </row>
        <row r="8">
          <cell r="B8">
            <v>1</v>
          </cell>
        </row>
        <row r="11">
          <cell r="B11">
            <v>2351.8783333333363</v>
          </cell>
        </row>
        <row r="13">
          <cell r="B13">
            <v>154.13999999999987</v>
          </cell>
        </row>
        <row r="15">
          <cell r="B15">
            <v>4962.5400000000027</v>
          </cell>
        </row>
        <row r="19">
          <cell r="B19">
            <v>2328.6366666666668</v>
          </cell>
        </row>
        <row r="24">
          <cell r="B24">
            <v>2742.1183333333333</v>
          </cell>
        </row>
        <row r="29">
          <cell r="B29">
            <v>4</v>
          </cell>
        </row>
      </sheetData>
      <sheetData sheetId="35">
        <row r="11">
          <cell r="B11">
            <v>847.07655172413797</v>
          </cell>
        </row>
        <row r="13">
          <cell r="B13">
            <v>1546.7165517241378</v>
          </cell>
        </row>
        <row r="17">
          <cell r="B17">
            <v>505.79310344827587</v>
          </cell>
        </row>
      </sheetData>
      <sheetData sheetId="36">
        <row r="13">
          <cell r="B13">
            <v>31116.899999999998</v>
          </cell>
        </row>
        <row r="22">
          <cell r="B22">
            <v>0.24048153897078442</v>
          </cell>
        </row>
        <row r="23">
          <cell r="B23">
            <v>29478.26</v>
          </cell>
        </row>
        <row r="28">
          <cell r="B28">
            <v>0.18642602572878406</v>
          </cell>
        </row>
      </sheetData>
      <sheetData sheetId="37">
        <row r="9">
          <cell r="B9">
            <v>67884.45</v>
          </cell>
        </row>
        <row r="12">
          <cell r="B12">
            <v>105687.19999999998</v>
          </cell>
        </row>
        <row r="17">
          <cell r="B17">
            <v>0.6851186096374059</v>
          </cell>
        </row>
        <row r="20">
          <cell r="B20">
            <v>0.55492964143245349</v>
          </cell>
        </row>
        <row r="21">
          <cell r="B21">
            <v>58648.959999999992</v>
          </cell>
        </row>
        <row r="24">
          <cell r="B24">
            <v>0.44624580838549993</v>
          </cell>
        </row>
        <row r="33">
          <cell r="B33">
            <v>3</v>
          </cell>
        </row>
      </sheetData>
      <sheetData sheetId="38">
        <row r="8">
          <cell r="B8">
            <v>0.50107062716364814</v>
          </cell>
        </row>
        <row r="9">
          <cell r="B9">
            <v>36226.43</v>
          </cell>
        </row>
        <row r="12">
          <cell r="B12">
            <v>36226.43</v>
          </cell>
        </row>
        <row r="21">
          <cell r="B21">
            <v>30119.45</v>
          </cell>
        </row>
        <row r="24">
          <cell r="B24">
            <v>1.0485532248140377</v>
          </cell>
        </row>
        <row r="33">
          <cell r="B33">
            <v>7</v>
          </cell>
        </row>
      </sheetData>
      <sheetData sheetId="39"/>
      <sheetData sheetId="40">
        <row r="13">
          <cell r="B13">
            <v>152251.97</v>
          </cell>
        </row>
        <row r="24">
          <cell r="B24">
            <v>62812.029999999992</v>
          </cell>
        </row>
        <row r="28">
          <cell r="B28">
            <v>0.23848873679598365</v>
          </cell>
        </row>
        <row r="33">
          <cell r="B33">
            <v>5</v>
          </cell>
        </row>
      </sheetData>
      <sheetData sheetId="41">
        <row r="13">
          <cell r="B13">
            <v>68443.77</v>
          </cell>
        </row>
        <row r="24">
          <cell r="B24">
            <v>31605.890000000003</v>
          </cell>
        </row>
        <row r="28">
          <cell r="B28">
            <v>0.17769477046632587</v>
          </cell>
        </row>
        <row r="33">
          <cell r="B33">
            <v>2</v>
          </cell>
        </row>
      </sheetData>
      <sheetData sheetId="42">
        <row r="6">
          <cell r="B6">
            <v>196989.33000000005</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4LEP5YIKZZ2FCKBA2OAVPA4ZGP">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sheetData sheetId="8"/>
      <sheetData sheetId="9"/>
      <sheetData sheetId="10"/>
      <sheetData sheetId="11">
        <row r="9">
          <cell r="B9">
            <v>0</v>
          </cell>
          <cell r="C9">
            <v>0</v>
          </cell>
        </row>
      </sheetData>
      <sheetData sheetId="12">
        <row r="6">
          <cell r="B6">
            <v>64</v>
          </cell>
        </row>
        <row r="9">
          <cell r="B9">
            <v>0</v>
          </cell>
        </row>
        <row r="11">
          <cell r="B11">
            <v>1949.9318749999998</v>
          </cell>
        </row>
        <row r="12">
          <cell r="B12">
            <v>124795.63999999998</v>
          </cell>
        </row>
        <row r="15">
          <cell r="B15">
            <v>397.92265625000005</v>
          </cell>
        </row>
        <row r="20">
          <cell r="B20">
            <v>1427.3578124999999</v>
          </cell>
        </row>
        <row r="21">
          <cell r="B21">
            <v>1825.28046875</v>
          </cell>
        </row>
        <row r="22">
          <cell r="B22">
            <v>124.65140624999981</v>
          </cell>
        </row>
        <row r="24">
          <cell r="B24">
            <v>804.40999999999985</v>
          </cell>
        </row>
      </sheetData>
      <sheetData sheetId="13">
        <row r="6">
          <cell r="B6">
            <v>60</v>
          </cell>
          <cell r="C6">
            <v>62.5</v>
          </cell>
        </row>
        <row r="9">
          <cell r="B9">
            <v>0</v>
          </cell>
        </row>
        <row r="11">
          <cell r="B11">
            <v>2029.6566666666665</v>
          </cell>
        </row>
        <row r="15">
          <cell r="B15">
            <v>496.84916666666663</v>
          </cell>
        </row>
        <row r="20">
          <cell r="B20">
            <v>717.04983333333337</v>
          </cell>
        </row>
        <row r="21">
          <cell r="B21">
            <v>1213.8989999999999</v>
          </cell>
        </row>
        <row r="24">
          <cell r="B24">
            <v>389.32000000000062</v>
          </cell>
        </row>
        <row r="27">
          <cell r="B27">
            <v>2</v>
          </cell>
        </row>
      </sheetData>
      <sheetData sheetId="14">
        <row r="18">
          <cell r="C18">
            <v>2091.1650244265961</v>
          </cell>
        </row>
        <row r="23">
          <cell r="C23">
            <v>2091.1650244265961</v>
          </cell>
        </row>
        <row r="34">
          <cell r="C34">
            <v>714.93230569753223</v>
          </cell>
        </row>
      </sheetData>
      <sheetData sheetId="15">
        <row r="6">
          <cell r="B6">
            <v>14</v>
          </cell>
        </row>
        <row r="7">
          <cell r="B7">
            <v>20</v>
          </cell>
        </row>
        <row r="8">
          <cell r="B8">
            <v>1</v>
          </cell>
        </row>
        <row r="9">
          <cell r="B9">
            <v>42</v>
          </cell>
        </row>
        <row r="11">
          <cell r="B11">
            <v>14</v>
          </cell>
        </row>
        <row r="14">
          <cell r="B14">
            <v>1825.6014285714275</v>
          </cell>
        </row>
        <row r="15">
          <cell r="B15">
            <v>1112.4135000000019</v>
          </cell>
        </row>
        <row r="16">
          <cell r="B16">
            <v>3346.819999999997</v>
          </cell>
        </row>
        <row r="17">
          <cell r="B17">
            <v>2065.936904761907</v>
          </cell>
        </row>
        <row r="18">
          <cell r="B18">
            <v>1791.2059740259754</v>
          </cell>
        </row>
        <row r="19">
          <cell r="B19">
            <v>938.52499999999986</v>
          </cell>
        </row>
        <row r="23">
          <cell r="B23">
            <v>1791.2059740259754</v>
          </cell>
        </row>
        <row r="24">
          <cell r="B24">
            <v>151062.21000000011</v>
          </cell>
        </row>
        <row r="27">
          <cell r="B27">
            <v>622.61558441558441</v>
          </cell>
        </row>
        <row r="32">
          <cell r="B32">
            <v>1008.6416883116883</v>
          </cell>
        </row>
        <row r="33">
          <cell r="B33">
            <v>1631.2572727272727</v>
          </cell>
        </row>
        <row r="34">
          <cell r="B34">
            <v>159.94870129870264</v>
          </cell>
        </row>
        <row r="37">
          <cell r="B37">
            <v>6</v>
          </cell>
        </row>
      </sheetData>
      <sheetData sheetId="16">
        <row r="6">
          <cell r="B6">
            <v>3</v>
          </cell>
        </row>
        <row r="7">
          <cell r="B7">
            <v>12</v>
          </cell>
        </row>
        <row r="8">
          <cell r="B8">
            <v>7</v>
          </cell>
        </row>
        <row r="9">
          <cell r="B9">
            <v>20</v>
          </cell>
        </row>
        <row r="11">
          <cell r="B11">
            <v>18</v>
          </cell>
        </row>
        <row r="14">
          <cell r="B14">
            <v>1341.4399999999976</v>
          </cell>
        </row>
        <row r="15">
          <cell r="B15">
            <v>1199.9149999999984</v>
          </cell>
        </row>
        <row r="16">
          <cell r="B16">
            <v>2395.6657142857175</v>
          </cell>
        </row>
        <row r="17">
          <cell r="B17">
            <v>2572.3695000000007</v>
          </cell>
        </row>
        <row r="19">
          <cell r="B19">
            <v>354.34722222222223</v>
          </cell>
        </row>
        <row r="23">
          <cell r="B23">
            <v>2062.8654761904763</v>
          </cell>
        </row>
        <row r="24">
          <cell r="B24">
            <v>93018.6</v>
          </cell>
        </row>
        <row r="27">
          <cell r="B27">
            <v>577.36785714285713</v>
          </cell>
        </row>
        <row r="32">
          <cell r="B32">
            <v>1467.6080952380955</v>
          </cell>
        </row>
        <row r="34">
          <cell r="B34">
            <v>17.88952380952378</v>
          </cell>
        </row>
        <row r="37">
          <cell r="B37">
            <v>4</v>
          </cell>
        </row>
      </sheetData>
      <sheetData sheetId="17">
        <row r="17">
          <cell r="B17">
            <v>284.38823045267486</v>
          </cell>
        </row>
      </sheetData>
      <sheetData sheetId="18">
        <row r="11">
          <cell r="B11">
            <v>0</v>
          </cell>
        </row>
        <row r="13">
          <cell r="B13">
            <v>703.67985815602833</v>
          </cell>
        </row>
        <row r="17">
          <cell r="B17">
            <v>287.23134751773057</v>
          </cell>
        </row>
      </sheetData>
      <sheetData sheetId="19">
        <row r="11">
          <cell r="B11">
            <v>0</v>
          </cell>
        </row>
        <row r="13">
          <cell r="B13">
            <v>513.48049019607845</v>
          </cell>
        </row>
        <row r="17">
          <cell r="B17">
            <v>280.45803921568626</v>
          </cell>
        </row>
      </sheetData>
      <sheetData sheetId="20"/>
      <sheetData sheetId="21">
        <row r="13">
          <cell r="B13">
            <v>605897.56999999995</v>
          </cell>
        </row>
        <row r="23">
          <cell r="B23">
            <v>0</v>
          </cell>
        </row>
        <row r="24">
          <cell r="B24">
            <v>103288.86999999994</v>
          </cell>
        </row>
        <row r="28">
          <cell r="B28">
            <v>0.12098896518102888</v>
          </cell>
        </row>
      </sheetData>
      <sheetData sheetId="22">
        <row r="13">
          <cell r="B13">
            <v>240738.16999999998</v>
          </cell>
        </row>
        <row r="23">
          <cell r="B23">
            <v>0</v>
          </cell>
        </row>
        <row r="24">
          <cell r="B24">
            <v>45311.17</v>
          </cell>
        </row>
        <row r="28">
          <cell r="B28">
            <v>0.22186834767415575</v>
          </cell>
        </row>
        <row r="33">
          <cell r="B33">
            <v>3</v>
          </cell>
        </row>
      </sheetData>
      <sheetData sheetId="23">
        <row r="13">
          <cell r="B13">
            <v>145681.57999999999</v>
          </cell>
        </row>
        <row r="23">
          <cell r="B23">
            <v>0</v>
          </cell>
        </row>
        <row r="24">
          <cell r="B24">
            <v>24751.479999999989</v>
          </cell>
        </row>
        <row r="28">
          <cell r="B28">
            <v>4.9024179995851229E-2</v>
          </cell>
        </row>
        <row r="33">
          <cell r="B33">
            <v>1</v>
          </cell>
        </row>
      </sheetData>
      <sheetData sheetId="24">
        <row r="13">
          <cell r="B13">
            <v>163814.15000000002</v>
          </cell>
        </row>
        <row r="23">
          <cell r="B23">
            <v>0</v>
          </cell>
        </row>
        <row r="24">
          <cell r="B24">
            <v>27142.44</v>
          </cell>
        </row>
        <row r="28">
          <cell r="B28">
            <v>6.0723508927647579E-2</v>
          </cell>
        </row>
        <row r="33">
          <cell r="B33">
            <v>1</v>
          </cell>
        </row>
      </sheetData>
      <sheetData sheetId="25"/>
      <sheetData sheetId="26">
        <row r="9">
          <cell r="B9">
            <v>245667.53</v>
          </cell>
        </row>
        <row r="12">
          <cell r="B12">
            <v>357101.15</v>
          </cell>
        </row>
        <row r="17">
          <cell r="B17">
            <v>0.6190835638718718</v>
          </cell>
        </row>
        <row r="21">
          <cell r="B21">
            <v>201799.13999999998</v>
          </cell>
        </row>
        <row r="24">
          <cell r="B24">
            <v>0.32288120606724457</v>
          </cell>
        </row>
      </sheetData>
      <sheetData sheetId="27"/>
      <sheetData sheetId="28">
        <row r="9">
          <cell r="B9">
            <v>113884.42000000001</v>
          </cell>
        </row>
        <row r="12">
          <cell r="B12">
            <v>163689.97</v>
          </cell>
        </row>
        <row r="17">
          <cell r="B17">
            <v>0.72614190773417464</v>
          </cell>
        </row>
        <row r="21">
          <cell r="B21">
            <v>116047.33</v>
          </cell>
        </row>
        <row r="24">
          <cell r="B24">
            <v>0.35918987583661965</v>
          </cell>
        </row>
        <row r="33">
          <cell r="B33">
            <v>6.75</v>
          </cell>
        </row>
      </sheetData>
      <sheetData sheetId="29">
        <row r="9">
          <cell r="B9">
            <v>81246.099999999991</v>
          </cell>
        </row>
        <row r="12">
          <cell r="B12">
            <v>117521.09999999998</v>
          </cell>
        </row>
        <row r="17">
          <cell r="B17">
            <v>0.70933164791910008</v>
          </cell>
        </row>
        <row r="21">
          <cell r="B21">
            <v>76286.209999999992</v>
          </cell>
        </row>
        <row r="24">
          <cell r="B24">
            <v>0.4565984321113401</v>
          </cell>
        </row>
      </sheetData>
      <sheetData sheetId="30">
        <row r="9">
          <cell r="B9">
            <v>123525.82</v>
          </cell>
        </row>
        <row r="12">
          <cell r="B12">
            <v>147940.21000000002</v>
          </cell>
        </row>
        <row r="17">
          <cell r="B17">
            <v>0.68292766645872094</v>
          </cell>
        </row>
        <row r="21">
          <cell r="B21">
            <v>97239.060000000027</v>
          </cell>
        </row>
        <row r="24">
          <cell r="B24">
            <v>0.40448712354808741</v>
          </cell>
        </row>
      </sheetData>
      <sheetData sheetId="31">
        <row r="6">
          <cell r="B6">
            <v>571135.65999999992</v>
          </cell>
        </row>
      </sheetData>
      <sheetData sheetId="32"/>
      <sheetData sheetId="33">
        <row r="6">
          <cell r="B6">
            <v>20</v>
          </cell>
        </row>
        <row r="9">
          <cell r="B9">
            <v>0</v>
          </cell>
        </row>
        <row r="11">
          <cell r="B11">
            <v>12727.689999999991</v>
          </cell>
        </row>
        <row r="15">
          <cell r="B15">
            <v>1792.9394999999997</v>
          </cell>
        </row>
        <row r="20">
          <cell r="B20">
            <v>1713.7494999999999</v>
          </cell>
        </row>
        <row r="27">
          <cell r="B27">
            <v>4</v>
          </cell>
        </row>
      </sheetData>
      <sheetData sheetId="34">
        <row r="7">
          <cell r="B7">
            <v>7</v>
          </cell>
        </row>
        <row r="12">
          <cell r="B12">
            <v>3764.7814285714289</v>
          </cell>
        </row>
        <row r="13">
          <cell r="B13">
            <v>0</v>
          </cell>
        </row>
        <row r="15">
          <cell r="B15">
            <v>3764.7814285714289</v>
          </cell>
        </row>
        <row r="16">
          <cell r="B16">
            <v>26353.47</v>
          </cell>
        </row>
        <row r="19">
          <cell r="B19">
            <v>2455.3371428571427</v>
          </cell>
        </row>
        <row r="24">
          <cell r="B24">
            <v>1889.3485714285716</v>
          </cell>
        </row>
        <row r="25">
          <cell r="B25">
            <v>4344.6857142857143</v>
          </cell>
        </row>
        <row r="26">
          <cell r="B26">
            <v>-579.90428571428538</v>
          </cell>
        </row>
        <row r="29">
          <cell r="B29">
            <v>4</v>
          </cell>
        </row>
      </sheetData>
      <sheetData sheetId="35">
        <row r="12">
          <cell r="B12">
            <v>0</v>
          </cell>
        </row>
        <row r="13">
          <cell r="B13">
            <v>1010.6844444444445</v>
          </cell>
        </row>
        <row r="17">
          <cell r="B17">
            <v>655.81481481481478</v>
          </cell>
        </row>
      </sheetData>
      <sheetData sheetId="36">
        <row r="13">
          <cell r="B13">
            <v>32746.309999999998</v>
          </cell>
        </row>
        <row r="22">
          <cell r="B22">
            <v>0.23768937629919223</v>
          </cell>
        </row>
        <row r="23">
          <cell r="B23">
            <v>0</v>
          </cell>
        </row>
        <row r="28">
          <cell r="B28">
            <v>0.19290723137965776</v>
          </cell>
        </row>
      </sheetData>
      <sheetData sheetId="37">
        <row r="9">
          <cell r="B9">
            <v>67853.27</v>
          </cell>
        </row>
        <row r="12">
          <cell r="B12">
            <v>102512.9</v>
          </cell>
        </row>
        <row r="17">
          <cell r="B17">
            <v>0.47241673098437265</v>
          </cell>
        </row>
        <row r="20">
          <cell r="B20">
            <v>0.49205660946085822</v>
          </cell>
        </row>
        <row r="21">
          <cell r="B21">
            <v>50442.150000000009</v>
          </cell>
        </row>
        <row r="24">
          <cell r="B24">
            <v>0.36143256117035033</v>
          </cell>
        </row>
        <row r="33">
          <cell r="B33">
            <v>3</v>
          </cell>
        </row>
      </sheetData>
      <sheetData sheetId="38">
        <row r="8">
          <cell r="B8">
            <v>0.5960856429791147</v>
          </cell>
        </row>
        <row r="9">
          <cell r="B9">
            <v>30452</v>
          </cell>
        </row>
        <row r="12">
          <cell r="B12">
            <v>30452</v>
          </cell>
        </row>
        <row r="21">
          <cell r="B21">
            <v>27557.989999999998</v>
          </cell>
        </row>
        <row r="24">
          <cell r="B24">
            <v>1.5905664652567975</v>
          </cell>
        </row>
        <row r="33">
          <cell r="B33">
            <v>7</v>
          </cell>
        </row>
      </sheetData>
      <sheetData sheetId="39"/>
      <sheetData sheetId="40">
        <row r="13">
          <cell r="B13">
            <v>144483.56</v>
          </cell>
        </row>
        <row r="24">
          <cell r="B24">
            <v>63874.2</v>
          </cell>
        </row>
        <row r="28">
          <cell r="B28">
            <v>0.27446575928776945</v>
          </cell>
        </row>
        <row r="33">
          <cell r="B33">
            <v>5</v>
          </cell>
        </row>
      </sheetData>
      <sheetData sheetId="41">
        <row r="13">
          <cell r="B13">
            <v>74268.28</v>
          </cell>
        </row>
        <row r="24">
          <cell r="B24">
            <v>31331.899999999994</v>
          </cell>
        </row>
        <row r="28">
          <cell r="B28">
            <v>0.20339894770688105</v>
          </cell>
        </row>
        <row r="33">
          <cell r="B33">
            <v>2</v>
          </cell>
        </row>
      </sheetData>
      <sheetData sheetId="42">
        <row r="6">
          <cell r="B6">
            <v>214047.11000000007</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3E7CRAFEUHYJB22GFCUVZ6B3KK">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9">
          <cell r="B9">
            <v>0</v>
          </cell>
          <cell r="C9">
            <v>0</v>
          </cell>
        </row>
      </sheetData>
      <sheetData sheetId="12">
        <row r="6">
          <cell r="B6">
            <v>51</v>
          </cell>
          <cell r="C6">
            <v>62.5</v>
          </cell>
        </row>
        <row r="9">
          <cell r="B9">
            <v>0</v>
          </cell>
          <cell r="C9">
            <v>0</v>
          </cell>
        </row>
        <row r="11">
          <cell r="B11">
            <v>1881.8317647058821</v>
          </cell>
          <cell r="C11">
            <v>1950</v>
          </cell>
        </row>
        <row r="12">
          <cell r="B12">
            <v>95973.419999999984</v>
          </cell>
          <cell r="C12">
            <v>121875</v>
          </cell>
        </row>
        <row r="15">
          <cell r="B15">
            <v>699.22431372549022</v>
          </cell>
          <cell r="C15">
            <v>800</v>
          </cell>
        </row>
        <row r="20">
          <cell r="B20">
            <v>2053.3690196078433</v>
          </cell>
          <cell r="C20">
            <v>1466.6666666666667</v>
          </cell>
        </row>
        <row r="21">
          <cell r="B21">
            <v>2752.5933333333332</v>
          </cell>
          <cell r="C21">
            <v>2266.666666666667</v>
          </cell>
        </row>
        <row r="22">
          <cell r="B22">
            <v>-870.7615686274512</v>
          </cell>
          <cell r="C22">
            <v>-316.66666666666697</v>
          </cell>
        </row>
        <row r="24">
          <cell r="B24">
            <v>352.16000000000031</v>
          </cell>
          <cell r="C24">
            <v>2666.6666666666665</v>
          </cell>
        </row>
      </sheetData>
      <sheetData sheetId="13">
        <row r="6">
          <cell r="B6">
            <v>36</v>
          </cell>
        </row>
        <row r="9">
          <cell r="B9">
            <v>0</v>
          </cell>
          <cell r="C9">
            <v>0</v>
          </cell>
        </row>
        <row r="11">
          <cell r="B11">
            <v>2169.5486111111109</v>
          </cell>
          <cell r="C11">
            <v>1950</v>
          </cell>
        </row>
        <row r="15">
          <cell r="B15">
            <v>639.75138888888887</v>
          </cell>
          <cell r="C15">
            <v>400</v>
          </cell>
        </row>
        <row r="20">
          <cell r="B20">
            <v>1217.6047222222221</v>
          </cell>
          <cell r="C20">
            <v>733.33333333333337</v>
          </cell>
        </row>
        <row r="21">
          <cell r="B21">
            <v>1857.356111111111</v>
          </cell>
          <cell r="C21">
            <v>1133.3333333333335</v>
          </cell>
        </row>
        <row r="24">
          <cell r="B24">
            <v>2199.9400000000023</v>
          </cell>
          <cell r="C24">
            <v>1333.3333333333333</v>
          </cell>
        </row>
        <row r="27">
          <cell r="B27">
            <v>2</v>
          </cell>
          <cell r="C27">
            <v>2</v>
          </cell>
        </row>
      </sheetData>
      <sheetData sheetId="14">
        <row r="18">
          <cell r="B18">
            <v>1838.2639516129022</v>
          </cell>
          <cell r="C18">
            <v>2093.6831259411906</v>
          </cell>
        </row>
        <row r="23">
          <cell r="B23">
            <v>1830.2381451612891</v>
          </cell>
          <cell r="C23">
            <v>2093.6831259411906</v>
          </cell>
        </row>
        <row r="34">
          <cell r="B34">
            <v>116.21846774193409</v>
          </cell>
          <cell r="C34">
            <v>769.93242893786919</v>
          </cell>
        </row>
      </sheetData>
      <sheetData sheetId="15">
        <row r="6">
          <cell r="B6">
            <v>14</v>
          </cell>
          <cell r="C6">
            <v>29</v>
          </cell>
        </row>
        <row r="7">
          <cell r="B7">
            <v>20</v>
          </cell>
          <cell r="C7">
            <v>0.1</v>
          </cell>
        </row>
        <row r="8">
          <cell r="B8">
            <v>2</v>
          </cell>
          <cell r="C8">
            <v>3</v>
          </cell>
        </row>
        <row r="9">
          <cell r="B9">
            <v>35</v>
          </cell>
          <cell r="C9">
            <v>56</v>
          </cell>
        </row>
        <row r="11">
          <cell r="B11">
            <v>18</v>
          </cell>
          <cell r="C11">
            <v>0</v>
          </cell>
        </row>
        <row r="14">
          <cell r="B14">
            <v>1790.6649999999997</v>
          </cell>
          <cell r="C14">
            <v>1100</v>
          </cell>
        </row>
        <row r="15">
          <cell r="B15">
            <v>1785.7094999999972</v>
          </cell>
          <cell r="C15">
            <v>0</v>
          </cell>
        </row>
        <row r="16">
          <cell r="B16">
            <v>-1927.6100000000031</v>
          </cell>
          <cell r="C16">
            <v>3500</v>
          </cell>
        </row>
        <row r="17">
          <cell r="B17">
            <v>1956.548285714284</v>
          </cell>
          <cell r="C17">
            <v>2657.1428571428573</v>
          </cell>
        </row>
        <row r="18">
          <cell r="B18">
            <v>1766.3023943661956</v>
          </cell>
          <cell r="C18">
            <v>2170.2610669693531</v>
          </cell>
        </row>
        <row r="19">
          <cell r="B19">
            <v>91.402222222222008</v>
          </cell>
          <cell r="C19">
            <v>0</v>
          </cell>
        </row>
        <row r="23">
          <cell r="B23">
            <v>1766.3023943661956</v>
          </cell>
          <cell r="C23">
            <v>2170.2610669693531</v>
          </cell>
        </row>
        <row r="24">
          <cell r="B24">
            <v>127052.70999999988</v>
          </cell>
          <cell r="C24">
            <v>191200</v>
          </cell>
        </row>
        <row r="27">
          <cell r="B27">
            <v>572.20422535211264</v>
          </cell>
          <cell r="C27">
            <v>492.30866439651908</v>
          </cell>
        </row>
        <row r="32">
          <cell r="B32">
            <v>1113.1605633802815</v>
          </cell>
          <cell r="C32">
            <v>743.88369277336369</v>
          </cell>
        </row>
        <row r="33">
          <cell r="B33">
            <v>1685.3647887323941</v>
          </cell>
          <cell r="C33">
            <v>1236.1923571698828</v>
          </cell>
        </row>
        <row r="34">
          <cell r="B34">
            <v>80.937605633801468</v>
          </cell>
          <cell r="C34">
            <v>934.0687097994703</v>
          </cell>
        </row>
        <row r="37">
          <cell r="B37">
            <v>6</v>
          </cell>
          <cell r="C37">
            <v>5</v>
          </cell>
        </row>
      </sheetData>
      <sheetData sheetId="16">
        <row r="6">
          <cell r="B6">
            <v>6</v>
          </cell>
          <cell r="C6">
            <v>20</v>
          </cell>
        </row>
        <row r="7">
          <cell r="B7">
            <v>15</v>
          </cell>
          <cell r="C7">
            <v>0.1</v>
          </cell>
        </row>
        <row r="8">
          <cell r="B8">
            <v>5</v>
          </cell>
          <cell r="C8">
            <v>2.0888888888888886</v>
          </cell>
        </row>
        <row r="9">
          <cell r="B9">
            <v>27</v>
          </cell>
          <cell r="C9">
            <v>30</v>
          </cell>
        </row>
        <row r="11">
          <cell r="B11">
            <v>9</v>
          </cell>
          <cell r="C11">
            <v>0</v>
          </cell>
        </row>
        <row r="14">
          <cell r="B14">
            <v>714.46499999999651</v>
          </cell>
          <cell r="C14">
            <v>1100</v>
          </cell>
        </row>
        <row r="15">
          <cell r="B15">
            <v>753.72133333332988</v>
          </cell>
          <cell r="C15">
            <v>0</v>
          </cell>
        </row>
        <row r="16">
          <cell r="B16">
            <v>-1637.3100000000036</v>
          </cell>
          <cell r="C16">
            <v>3499.9999999999995</v>
          </cell>
        </row>
        <row r="17">
          <cell r="B17">
            <v>3523.3777777777805</v>
          </cell>
          <cell r="C17">
            <v>2433.3333333333335</v>
          </cell>
        </row>
        <row r="19">
          <cell r="B19">
            <v>-293.38222222222248</v>
          </cell>
          <cell r="C19">
            <v>0</v>
          </cell>
        </row>
        <row r="23">
          <cell r="B23">
            <v>1934.6652830188675</v>
          </cell>
          <cell r="C23">
            <v>1960.4002554822225</v>
          </cell>
        </row>
        <row r="24">
          <cell r="B24">
            <v>99896.819999999978</v>
          </cell>
          <cell r="C24">
            <v>102311.11111111111</v>
          </cell>
        </row>
        <row r="27">
          <cell r="B27">
            <v>564.7064150943396</v>
          </cell>
          <cell r="C27">
            <v>437.3319020845027</v>
          </cell>
        </row>
        <row r="32">
          <cell r="B32">
            <v>1187.7</v>
          </cell>
          <cell r="C32">
            <v>1031.6894613583136</v>
          </cell>
        </row>
        <row r="34">
          <cell r="B34">
            <v>182.25886792452798</v>
          </cell>
          <cell r="C34">
            <v>491.37889203940631</v>
          </cell>
        </row>
        <row r="37">
          <cell r="B37">
            <v>4</v>
          </cell>
          <cell r="C37">
            <v>4</v>
          </cell>
        </row>
      </sheetData>
      <sheetData sheetId="17">
        <row r="17">
          <cell r="B17">
            <v>257.2810426540284</v>
          </cell>
        </row>
      </sheetData>
      <sheetData sheetId="18">
        <row r="11">
          <cell r="B11">
            <v>0</v>
          </cell>
        </row>
        <row r="13">
          <cell r="B13">
            <v>784.3532786885246</v>
          </cell>
        </row>
        <row r="17">
          <cell r="B17">
            <v>252.8660655737705</v>
          </cell>
        </row>
      </sheetData>
      <sheetData sheetId="19">
        <row r="11">
          <cell r="B11">
            <v>0</v>
          </cell>
          <cell r="C11">
            <v>0</v>
          </cell>
        </row>
        <row r="13">
          <cell r="B13">
            <v>598.02943820224709</v>
          </cell>
          <cell r="C13">
            <v>560.51085061034678</v>
          </cell>
        </row>
        <row r="17">
          <cell r="B17">
            <v>263.33303370786518</v>
          </cell>
          <cell r="C17">
            <v>239.79073822902535</v>
          </cell>
        </row>
      </sheetData>
      <sheetData sheetId="20" refreshError="1"/>
      <sheetData sheetId="21">
        <row r="13">
          <cell r="B13">
            <v>780498.1</v>
          </cell>
        </row>
        <row r="23">
          <cell r="B23">
            <v>0</v>
          </cell>
        </row>
        <row r="24">
          <cell r="B24">
            <v>134139.57999999999</v>
          </cell>
        </row>
        <row r="28">
          <cell r="B28">
            <v>8.1622504910646154E-2</v>
          </cell>
        </row>
      </sheetData>
      <sheetData sheetId="22">
        <row r="13">
          <cell r="B13">
            <v>424470.97</v>
          </cell>
        </row>
        <row r="23">
          <cell r="B23">
            <v>0</v>
          </cell>
        </row>
        <row r="24">
          <cell r="B24">
            <v>79742.03</v>
          </cell>
        </row>
        <row r="28">
          <cell r="B28">
            <v>6.0796265996706449E-2</v>
          </cell>
        </row>
        <row r="33">
          <cell r="B33">
            <v>3</v>
          </cell>
        </row>
      </sheetData>
      <sheetData sheetId="23">
        <row r="13">
          <cell r="B13">
            <v>153480.26999999999</v>
          </cell>
        </row>
        <row r="23">
          <cell r="B23">
            <v>0</v>
          </cell>
        </row>
        <row r="24">
          <cell r="B24">
            <v>27701.55</v>
          </cell>
        </row>
        <row r="28">
          <cell r="B28">
            <v>4.5813706217743826E-2</v>
          </cell>
        </row>
        <row r="33">
          <cell r="B33">
            <v>1</v>
          </cell>
        </row>
      </sheetData>
      <sheetData sheetId="24">
        <row r="13">
          <cell r="B13">
            <v>256101.59</v>
          </cell>
        </row>
        <row r="23">
          <cell r="B23">
            <v>0</v>
          </cell>
        </row>
        <row r="24">
          <cell r="B24">
            <v>37998.770000000019</v>
          </cell>
        </row>
        <row r="28">
          <cell r="B28">
            <v>3.426811992850181E-2</v>
          </cell>
        </row>
      </sheetData>
      <sheetData sheetId="25" refreshError="1"/>
      <sheetData sheetId="26">
        <row r="9">
          <cell r="B9">
            <v>261383.41000000003</v>
          </cell>
        </row>
        <row r="12">
          <cell r="B12">
            <v>379004.05000000005</v>
          </cell>
        </row>
        <row r="17">
          <cell r="B17">
            <v>0.65353084191533029</v>
          </cell>
        </row>
        <row r="21">
          <cell r="B21">
            <v>209809.9</v>
          </cell>
        </row>
        <row r="24">
          <cell r="B24">
            <v>0.33020093057053079</v>
          </cell>
        </row>
      </sheetData>
      <sheetData sheetId="27" refreshError="1"/>
      <sheetData sheetId="28">
        <row r="9">
          <cell r="B9">
            <v>131936.49</v>
          </cell>
        </row>
        <row r="12">
          <cell r="B12">
            <v>186772.95</v>
          </cell>
        </row>
        <row r="17">
          <cell r="B17">
            <v>0.62460476248837604</v>
          </cell>
        </row>
        <row r="21">
          <cell r="B21">
            <v>110742.84999999998</v>
          </cell>
        </row>
        <row r="24">
          <cell r="B24">
            <v>0.28239367638622193</v>
          </cell>
        </row>
        <row r="33">
          <cell r="B33">
            <v>7.25</v>
          </cell>
        </row>
      </sheetData>
      <sheetData sheetId="29">
        <row r="9">
          <cell r="B9">
            <v>81097.010000000009</v>
          </cell>
        </row>
        <row r="12">
          <cell r="B12">
            <v>120327.45000000001</v>
          </cell>
        </row>
        <row r="17">
          <cell r="B17">
            <v>0.76302245915108347</v>
          </cell>
        </row>
        <row r="21">
          <cell r="B21">
            <v>81365.360000000015</v>
          </cell>
        </row>
        <row r="24">
          <cell r="B24">
            <v>0.27651180175429629</v>
          </cell>
        </row>
      </sheetData>
      <sheetData sheetId="30">
        <row r="9">
          <cell r="B9">
            <v>125586.08</v>
          </cell>
        </row>
        <row r="12">
          <cell r="B12">
            <v>159470.75</v>
          </cell>
        </row>
        <row r="17">
          <cell r="B17">
            <v>0.63413134640399638</v>
          </cell>
        </row>
        <row r="21">
          <cell r="B21">
            <v>94624.41</v>
          </cell>
        </row>
        <row r="24">
          <cell r="B24">
            <v>0.34544040208000526</v>
          </cell>
        </row>
      </sheetData>
      <sheetData sheetId="31">
        <row r="6">
          <cell r="B6">
            <v>551693.85999999929</v>
          </cell>
        </row>
      </sheetData>
      <sheetData sheetId="32" refreshError="1"/>
      <sheetData sheetId="33">
        <row r="6">
          <cell r="B6">
            <v>27</v>
          </cell>
        </row>
        <row r="9">
          <cell r="B9">
            <v>0</v>
          </cell>
        </row>
        <row r="11">
          <cell r="B11">
            <v>8605.5448148148225</v>
          </cell>
        </row>
        <row r="15">
          <cell r="B15">
            <v>1285.4748148148149</v>
          </cell>
        </row>
        <row r="20">
          <cell r="B20">
            <v>1447.697037037037</v>
          </cell>
        </row>
        <row r="27">
          <cell r="B27">
            <v>4</v>
          </cell>
        </row>
      </sheetData>
      <sheetData sheetId="34">
        <row r="7">
          <cell r="B7">
            <v>11</v>
          </cell>
        </row>
        <row r="12">
          <cell r="B12">
            <v>6036.1790909090932</v>
          </cell>
        </row>
        <row r="13">
          <cell r="B13">
            <v>0</v>
          </cell>
        </row>
        <row r="15">
          <cell r="B15">
            <v>6036.1790909090932</v>
          </cell>
        </row>
        <row r="16">
          <cell r="B16">
            <v>66397.97000000003</v>
          </cell>
        </row>
        <row r="19">
          <cell r="B19">
            <v>1881.3172727272727</v>
          </cell>
        </row>
        <row r="24">
          <cell r="B24">
            <v>1370.7863636363636</v>
          </cell>
        </row>
        <row r="25">
          <cell r="B25">
            <v>3252.1036363636363</v>
          </cell>
        </row>
        <row r="26">
          <cell r="B26">
            <v>2784.075454545457</v>
          </cell>
        </row>
        <row r="29">
          <cell r="B29">
            <v>4</v>
          </cell>
        </row>
      </sheetData>
      <sheetData sheetId="35">
        <row r="12">
          <cell r="B12">
            <v>0</v>
          </cell>
        </row>
        <row r="13">
          <cell r="B13">
            <v>573.98736842105268</v>
          </cell>
        </row>
        <row r="17">
          <cell r="B17">
            <v>366.05263157894734</v>
          </cell>
        </row>
      </sheetData>
      <sheetData sheetId="36">
        <row r="13">
          <cell r="B13">
            <v>34512.33</v>
          </cell>
        </row>
        <row r="22">
          <cell r="B22">
            <v>0.22546029201737461</v>
          </cell>
        </row>
        <row r="23">
          <cell r="B23">
            <v>0</v>
          </cell>
        </row>
        <row r="28">
          <cell r="B28">
            <v>0.13881995217361445</v>
          </cell>
        </row>
      </sheetData>
      <sheetData sheetId="37">
        <row r="9">
          <cell r="B9">
            <v>70588.42</v>
          </cell>
        </row>
        <row r="12">
          <cell r="B12">
            <v>111583.37</v>
          </cell>
        </row>
        <row r="17">
          <cell r="B17">
            <v>0.49454287261281665</v>
          </cell>
        </row>
        <row r="20">
          <cell r="B20">
            <v>0.45980480783113115</v>
          </cell>
        </row>
        <row r="21">
          <cell r="B21">
            <v>51306.57</v>
          </cell>
        </row>
        <row r="24">
          <cell r="B24">
            <v>0.34124332326582363</v>
          </cell>
        </row>
        <row r="33">
          <cell r="B33">
            <v>2.5</v>
          </cell>
        </row>
      </sheetData>
      <sheetData sheetId="38">
        <row r="8">
          <cell r="B8">
            <v>0.44963313730827981</v>
          </cell>
        </row>
        <row r="9">
          <cell r="B9">
            <v>40370.69</v>
          </cell>
        </row>
        <row r="12">
          <cell r="B12">
            <v>40370.69</v>
          </cell>
        </row>
        <row r="21">
          <cell r="B21">
            <v>34030.450000000004</v>
          </cell>
        </row>
        <row r="24">
          <cell r="B24">
            <v>1.171316863794005</v>
          </cell>
        </row>
        <row r="33">
          <cell r="B33">
            <v>7</v>
          </cell>
        </row>
      </sheetData>
      <sheetData sheetId="39" refreshError="1"/>
      <sheetData sheetId="40">
        <row r="13">
          <cell r="B13">
            <v>131102.97999999998</v>
          </cell>
        </row>
        <row r="24">
          <cell r="B24">
            <v>55891.349999999984</v>
          </cell>
        </row>
        <row r="28">
          <cell r="B28">
            <v>0.29888336634300761</v>
          </cell>
        </row>
        <row r="33">
          <cell r="B33">
            <v>5</v>
          </cell>
        </row>
      </sheetData>
      <sheetData sheetId="41">
        <row r="13">
          <cell r="B13">
            <v>70718.94</v>
          </cell>
        </row>
        <row r="24">
          <cell r="B24">
            <v>28612.320000000007</v>
          </cell>
        </row>
        <row r="28">
          <cell r="B28">
            <v>0.18351745656821214</v>
          </cell>
        </row>
        <row r="33">
          <cell r="B33">
            <v>2</v>
          </cell>
        </row>
      </sheetData>
      <sheetData sheetId="42">
        <row r="6">
          <cell r="B6">
            <v>206020.68</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n7RjLKTAg06C8kSKKG04L2FSVQipiXJJuBa1K00kiIi-VTiyudzpSoqv60VAFYz5" itemId="01VVRVGW44SDBODHMJKZHZ3GPBLARDQZNN">
      <xxl21:absoluteUrl r:id="rId2"/>
    </xxl21:alternateUrls>
    <sheetNames>
      <sheetName val="Manual Page"/>
      <sheetName val="TNZ Submitted Budget"/>
      <sheetName val="Variance Analysis vs Budget"/>
      <sheetName val="Input Sheet"/>
      <sheetName val="GP &amp; SE % Contribution"/>
      <sheetName val="Parts GP Calc"/>
      <sheetName val="Service GP Calc"/>
      <sheetName val="TUNZ Extracted TB"/>
      <sheetName val="Export"/>
      <sheetName val="OVERALL - QTD"/>
      <sheetName val="OVERALL"/>
      <sheetName val="NEW VEHICLE GROUP"/>
      <sheetName val="NS NEW VEHICLE"/>
      <sheetName val="NW NEW VEHICLE"/>
      <sheetName val="USED VEHICLE GROUP"/>
      <sheetName val="NS USED VEHICLE"/>
      <sheetName val="NW USED VEHICLE"/>
      <sheetName val="F&amp;I GROUP"/>
      <sheetName val="NS F&amp;I"/>
      <sheetName val="NW F&amp;I"/>
      <sheetName val="PARTS GROUP"/>
      <sheetName val="NS PARTS 130"/>
      <sheetName val="NW PARTS 230"/>
      <sheetName val="NW PARTS 330"/>
      <sheetName val="NW PARTS 430"/>
      <sheetName val="SERVICE GROUP"/>
      <sheetName val="NS SERVICE 140"/>
      <sheetName val="NS SERVICE 147"/>
      <sheetName val="NW SERVICE 240"/>
      <sheetName val="NW SERVICE 340"/>
      <sheetName val="NW SERVICE 440"/>
      <sheetName val="ADMIN &amp; OTHER"/>
      <sheetName val="Other Income"/>
      <sheetName val="LEX NEW VEHICLE"/>
      <sheetName val="LEX USED VEHICLE"/>
      <sheetName val="LEX F&amp;I"/>
      <sheetName val="LEX PARTS"/>
      <sheetName val="LEX SERVICE"/>
      <sheetName val="Retail Detailing"/>
      <sheetName val="Bridgestone GROUP"/>
      <sheetName val="Bridgestone 935"/>
      <sheetName val="Bridgestone 936"/>
      <sheetName val="LEX ADMIN &amp; OTHER"/>
    </sheetNames>
    <sheetDataSet>
      <sheetData sheetId="0"/>
      <sheetData sheetId="1"/>
      <sheetData sheetId="2"/>
      <sheetData sheetId="3"/>
      <sheetData sheetId="4"/>
      <sheetData sheetId="5"/>
      <sheetData sheetId="6"/>
      <sheetData sheetId="7"/>
      <sheetData sheetId="8"/>
      <sheetData sheetId="9"/>
      <sheetData sheetId="10"/>
      <sheetData sheetId="11">
        <row r="9">
          <cell r="C9">
            <v>750</v>
          </cell>
        </row>
      </sheetData>
      <sheetData sheetId="12">
        <row r="6">
          <cell r="B6">
            <v>59</v>
          </cell>
          <cell r="C6">
            <v>62.5</v>
          </cell>
        </row>
        <row r="9">
          <cell r="B9">
            <v>741.82525423728816</v>
          </cell>
          <cell r="C9">
            <v>817.66917293233087</v>
          </cell>
        </row>
        <row r="11">
          <cell r="B11">
            <v>2819.6615254237286</v>
          </cell>
          <cell r="C11">
            <v>2767.6691729323311</v>
          </cell>
        </row>
        <row r="12">
          <cell r="B12">
            <v>166360.03</v>
          </cell>
          <cell r="C12">
            <v>172979.32330827069</v>
          </cell>
        </row>
        <row r="15">
          <cell r="B15">
            <v>410.44627118644064</v>
          </cell>
          <cell r="C15">
            <v>800</v>
          </cell>
        </row>
        <row r="20">
          <cell r="B20">
            <v>1114.8825423728813</v>
          </cell>
          <cell r="C20">
            <v>1466.6666666666667</v>
          </cell>
        </row>
        <row r="21">
          <cell r="B21">
            <v>1525.328813559322</v>
          </cell>
          <cell r="C21">
            <v>2266.666666666667</v>
          </cell>
        </row>
        <row r="22">
          <cell r="B22">
            <v>1294.3327118644065</v>
          </cell>
          <cell r="C22">
            <v>501.00250626566412</v>
          </cell>
        </row>
        <row r="24">
          <cell r="B24">
            <v>1297.42</v>
          </cell>
          <cell r="C24">
            <v>2666.6666666666665</v>
          </cell>
        </row>
      </sheetData>
      <sheetData sheetId="13">
        <row r="6">
          <cell r="B6">
            <v>55</v>
          </cell>
          <cell r="C6">
            <v>62.5</v>
          </cell>
        </row>
        <row r="9">
          <cell r="B9">
            <v>690.58745454545453</v>
          </cell>
          <cell r="C9">
            <v>682.33082706766913</v>
          </cell>
        </row>
        <row r="11">
          <cell r="B11">
            <v>2648.4436363636355</v>
          </cell>
          <cell r="C11">
            <v>2632.3308270676689</v>
          </cell>
        </row>
        <row r="15">
          <cell r="B15">
            <v>477.58199999999999</v>
          </cell>
          <cell r="C15">
            <v>400</v>
          </cell>
        </row>
        <row r="20">
          <cell r="B20">
            <v>652.00236363636361</v>
          </cell>
          <cell r="C20">
            <v>733.33333333333337</v>
          </cell>
        </row>
        <row r="21">
          <cell r="B21">
            <v>1129.5843636363636</v>
          </cell>
          <cell r="C21">
            <v>1133.3333333333335</v>
          </cell>
        </row>
        <row r="24">
          <cell r="B24">
            <v>1662.5</v>
          </cell>
          <cell r="C24">
            <v>1333.3333333333333</v>
          </cell>
        </row>
      </sheetData>
      <sheetData sheetId="14">
        <row r="18">
          <cell r="B18">
            <v>1934.1705172413788</v>
          </cell>
          <cell r="C18">
            <v>2095.9945276278786</v>
          </cell>
        </row>
        <row r="23">
          <cell r="B23">
            <v>2704.9821551724135</v>
          </cell>
          <cell r="C23">
            <v>2737.2881355932204</v>
          </cell>
        </row>
        <row r="34">
          <cell r="B34">
            <v>815.36232758620667</v>
          </cell>
          <cell r="C34">
            <v>1461.711443027217</v>
          </cell>
        </row>
      </sheetData>
      <sheetData sheetId="15">
        <row r="6">
          <cell r="B6">
            <v>13</v>
          </cell>
          <cell r="C6">
            <v>29</v>
          </cell>
        </row>
        <row r="7">
          <cell r="B7">
            <v>28</v>
          </cell>
          <cell r="C7">
            <v>0.1</v>
          </cell>
        </row>
        <row r="8">
          <cell r="B8">
            <v>3</v>
          </cell>
          <cell r="C8">
            <v>3</v>
          </cell>
        </row>
        <row r="9">
          <cell r="B9">
            <v>33</v>
          </cell>
          <cell r="C9">
            <v>59</v>
          </cell>
        </row>
        <row r="11">
          <cell r="B11">
            <v>7</v>
          </cell>
          <cell r="C11">
            <v>0</v>
          </cell>
        </row>
        <row r="14">
          <cell r="B14">
            <v>1736.1476923076912</v>
          </cell>
          <cell r="C14">
            <v>1100</v>
          </cell>
        </row>
        <row r="15">
          <cell r="B15">
            <v>1721.5332142857162</v>
          </cell>
          <cell r="C15">
            <v>0</v>
          </cell>
        </row>
        <row r="16">
          <cell r="B16">
            <v>-986.57333333334248</v>
          </cell>
          <cell r="C16">
            <v>3500</v>
          </cell>
        </row>
        <row r="17">
          <cell r="B17">
            <v>2523.3412121212091</v>
          </cell>
          <cell r="C17">
            <v>2638.9830508474574</v>
          </cell>
        </row>
        <row r="18">
          <cell r="B18">
            <v>1962.1219480519467</v>
          </cell>
          <cell r="C18">
            <v>2174.5334796926454</v>
          </cell>
        </row>
        <row r="19">
          <cell r="B19">
            <v>97.551428571428659</v>
          </cell>
          <cell r="C19">
            <v>0</v>
          </cell>
        </row>
        <row r="23">
          <cell r="B23">
            <v>2647.9914285714276</v>
          </cell>
          <cell r="C23">
            <v>2855.9572195686355</v>
          </cell>
        </row>
        <row r="24">
          <cell r="B24">
            <v>204578.19999999995</v>
          </cell>
          <cell r="C24">
            <v>260177.70270270269</v>
          </cell>
        </row>
        <row r="27">
          <cell r="B27">
            <v>615.35948051948048</v>
          </cell>
          <cell r="C27">
            <v>476.09652396633732</v>
          </cell>
        </row>
        <row r="32">
          <cell r="B32">
            <v>999.40909090909088</v>
          </cell>
          <cell r="C32">
            <v>719.38697402122216</v>
          </cell>
        </row>
        <row r="33">
          <cell r="B33">
            <v>1614.7685714285712</v>
          </cell>
          <cell r="C33">
            <v>1195.4834979875595</v>
          </cell>
        </row>
        <row r="34">
          <cell r="B34">
            <v>1033.2228571428564</v>
          </cell>
          <cell r="C34">
            <v>1660.473721581076</v>
          </cell>
        </row>
        <row r="37">
          <cell r="B37">
            <v>6</v>
          </cell>
          <cell r="C37">
            <v>5</v>
          </cell>
        </row>
      </sheetData>
      <sheetData sheetId="16">
        <row r="6">
          <cell r="B6">
            <v>6</v>
          </cell>
          <cell r="C6">
            <v>20</v>
          </cell>
        </row>
        <row r="7">
          <cell r="B7">
            <v>14</v>
          </cell>
          <cell r="C7">
            <v>0.1</v>
          </cell>
        </row>
        <row r="8">
          <cell r="B8">
            <v>1</v>
          </cell>
          <cell r="C8">
            <v>2.0888888888888886</v>
          </cell>
        </row>
        <row r="9">
          <cell r="B9">
            <v>17</v>
          </cell>
          <cell r="C9">
            <v>33</v>
          </cell>
        </row>
        <row r="11">
          <cell r="B11">
            <v>8</v>
          </cell>
          <cell r="C11">
            <v>0</v>
          </cell>
        </row>
        <row r="14">
          <cell r="B14">
            <v>1517.8366666666698</v>
          </cell>
          <cell r="C14">
            <v>1100</v>
          </cell>
        </row>
        <row r="15">
          <cell r="B15">
            <v>1324.3628571428583</v>
          </cell>
          <cell r="C15">
            <v>0</v>
          </cell>
        </row>
        <row r="16">
          <cell r="B16">
            <v>-9050.6499999999942</v>
          </cell>
          <cell r="C16">
            <v>3499.9999999999995</v>
          </cell>
        </row>
        <row r="17">
          <cell r="B17">
            <v>3216.643529411765</v>
          </cell>
          <cell r="C17">
            <v>2393.939393939394</v>
          </cell>
        </row>
        <row r="19">
          <cell r="B19">
            <v>872.66125000000011</v>
          </cell>
          <cell r="C19">
            <v>0</v>
          </cell>
        </row>
        <row r="23">
          <cell r="B23">
            <v>2689.9589473684218</v>
          </cell>
          <cell r="C23">
            <v>2536.441867678026</v>
          </cell>
        </row>
        <row r="24">
          <cell r="B24">
            <v>109199.73000000004</v>
          </cell>
          <cell r="C24">
            <v>139983.4084084084</v>
          </cell>
        </row>
        <row r="27">
          <cell r="B27">
            <v>666.99421052631578</v>
          </cell>
          <cell r="C27">
            <v>429.86670909823016</v>
          </cell>
        </row>
        <row r="32">
          <cell r="B32">
            <v>1829.2878947368422</v>
          </cell>
          <cell r="C32">
            <v>975.60809341654897</v>
          </cell>
        </row>
        <row r="34">
          <cell r="B34">
            <v>193.67684210526386</v>
          </cell>
          <cell r="C34">
            <v>1130.9670651632468</v>
          </cell>
        </row>
        <row r="37">
          <cell r="B37">
            <v>4</v>
          </cell>
          <cell r="C37">
            <v>4</v>
          </cell>
        </row>
      </sheetData>
      <sheetData sheetId="17">
        <row r="17">
          <cell r="B17">
            <v>282.48165217391306</v>
          </cell>
        </row>
      </sheetData>
      <sheetData sheetId="18">
        <row r="11">
          <cell r="B11">
            <v>360.66176470588238</v>
          </cell>
        </row>
        <row r="12">
          <cell r="B12">
            <v>300.5514705882353</v>
          </cell>
        </row>
        <row r="13">
          <cell r="B13">
            <v>920.99272058823544</v>
          </cell>
        </row>
        <row r="17">
          <cell r="B17">
            <v>219.34617647058823</v>
          </cell>
        </row>
      </sheetData>
      <sheetData sheetId="19">
        <row r="11">
          <cell r="B11">
            <v>351.61290322580646</v>
          </cell>
          <cell r="C11">
            <v>318.63670694864044</v>
          </cell>
        </row>
        <row r="13">
          <cell r="B13">
            <v>782.36161290322582</v>
          </cell>
          <cell r="C13">
            <v>879.16002643504521</v>
          </cell>
        </row>
        <row r="17">
          <cell r="B17">
            <v>377.84623655913975</v>
          </cell>
          <cell r="C17">
            <v>239.79607250755285</v>
          </cell>
        </row>
      </sheetData>
      <sheetData sheetId="20"/>
      <sheetData sheetId="21">
        <row r="13">
          <cell r="B13">
            <v>710966.16000000015</v>
          </cell>
        </row>
        <row r="23">
          <cell r="B23">
            <v>49050</v>
          </cell>
        </row>
        <row r="24">
          <cell r="B24">
            <v>177306.67000000004</v>
          </cell>
        </row>
        <row r="28">
          <cell r="B28">
            <v>7.317397497512397E-2</v>
          </cell>
        </row>
      </sheetData>
      <sheetData sheetId="22">
        <row r="13">
          <cell r="B13">
            <v>434968.02</v>
          </cell>
        </row>
        <row r="23">
          <cell r="B23">
            <v>24525</v>
          </cell>
        </row>
        <row r="24">
          <cell r="B24">
            <v>107906.22999999997</v>
          </cell>
        </row>
        <row r="28">
          <cell r="B28">
            <v>6.2125394873857619E-2</v>
          </cell>
        </row>
      </sheetData>
      <sheetData sheetId="23">
        <row r="13">
          <cell r="B13">
            <v>143422.62</v>
          </cell>
        </row>
        <row r="23">
          <cell r="B23">
            <v>24525</v>
          </cell>
        </row>
        <row r="24">
          <cell r="B24">
            <v>47252.59</v>
          </cell>
        </row>
        <row r="28">
          <cell r="B28">
            <v>5.0062465739365243E-2</v>
          </cell>
        </row>
        <row r="33">
          <cell r="B33">
            <v>1</v>
          </cell>
        </row>
      </sheetData>
      <sheetData sheetId="24">
        <row r="13">
          <cell r="B13">
            <v>141956.19</v>
          </cell>
        </row>
        <row r="23">
          <cell r="B23">
            <v>24525</v>
          </cell>
        </row>
        <row r="24">
          <cell r="B24">
            <v>43656.009999999995</v>
          </cell>
        </row>
        <row r="28">
          <cell r="B28">
            <v>2.374866499305173E-2</v>
          </cell>
        </row>
      </sheetData>
      <sheetData sheetId="25"/>
      <sheetData sheetId="26">
        <row r="9">
          <cell r="B9">
            <v>279523.65000000002</v>
          </cell>
        </row>
        <row r="12">
          <cell r="B12">
            <v>427031.16000000003</v>
          </cell>
        </row>
        <row r="17">
          <cell r="B17">
            <v>0.6522047061134183</v>
          </cell>
        </row>
        <row r="21">
          <cell r="B21">
            <v>232411.12000000002</v>
          </cell>
        </row>
        <row r="24">
          <cell r="B24">
            <v>0.28153345999387958</v>
          </cell>
        </row>
      </sheetData>
      <sheetData sheetId="27"/>
      <sheetData sheetId="28">
        <row r="9">
          <cell r="B9">
            <v>131729.82</v>
          </cell>
        </row>
        <row r="12">
          <cell r="B12">
            <v>184467.92</v>
          </cell>
        </row>
        <row r="17">
          <cell r="B17">
            <v>0.66478782101121825</v>
          </cell>
        </row>
        <row r="21">
          <cell r="B21">
            <v>116975.75</v>
          </cell>
        </row>
        <row r="24">
          <cell r="B24">
            <v>0.33995526159778888</v>
          </cell>
        </row>
        <row r="33">
          <cell r="B33">
            <v>7.25</v>
          </cell>
        </row>
      </sheetData>
      <sheetData sheetId="29">
        <row r="9">
          <cell r="B9">
            <v>84134.050000000017</v>
          </cell>
        </row>
        <row r="12">
          <cell r="B12">
            <v>122604.00000000001</v>
          </cell>
        </row>
        <row r="17">
          <cell r="B17">
            <v>0.74803221763364547</v>
          </cell>
        </row>
        <row r="21">
          <cell r="B21">
            <v>79902.750000000029</v>
          </cell>
        </row>
        <row r="24">
          <cell r="B24">
            <v>0.36795390036214148</v>
          </cell>
        </row>
      </sheetData>
      <sheetData sheetId="30">
        <row r="9">
          <cell r="B9">
            <v>121337.69</v>
          </cell>
        </row>
        <row r="12">
          <cell r="B12">
            <v>156354.02000000002</v>
          </cell>
        </row>
        <row r="17">
          <cell r="B17">
            <v>0.65737167074797609</v>
          </cell>
        </row>
        <row r="21">
          <cell r="B21">
            <v>90190.909999999989</v>
          </cell>
        </row>
        <row r="24">
          <cell r="B24">
            <v>0.45939656684234909</v>
          </cell>
        </row>
      </sheetData>
      <sheetData sheetId="31">
        <row r="6">
          <cell r="B6">
            <v>562294.41000000015</v>
          </cell>
        </row>
      </sheetData>
      <sheetData sheetId="32"/>
      <sheetData sheetId="33">
        <row r="6">
          <cell r="B6">
            <v>26</v>
          </cell>
        </row>
        <row r="9">
          <cell r="B9">
            <v>1324.4146153846154</v>
          </cell>
        </row>
        <row r="11">
          <cell r="B11">
            <v>10903.141538461507</v>
          </cell>
        </row>
        <row r="15">
          <cell r="B15">
            <v>1725.1353846153843</v>
          </cell>
        </row>
        <row r="20">
          <cell r="B20">
            <v>1105.8903846153846</v>
          </cell>
        </row>
        <row r="27">
          <cell r="B27">
            <v>4</v>
          </cell>
        </row>
      </sheetData>
      <sheetData sheetId="34">
        <row r="6">
          <cell r="B6">
            <v>6</v>
          </cell>
        </row>
        <row r="12">
          <cell r="B12">
            <v>2642.4733333333293</v>
          </cell>
        </row>
        <row r="15">
          <cell r="B15">
            <v>5512.0383333333293</v>
          </cell>
        </row>
        <row r="19">
          <cell r="B19">
            <v>2301.4516666666668</v>
          </cell>
        </row>
        <row r="24">
          <cell r="B24">
            <v>3465.17</v>
          </cell>
        </row>
      </sheetData>
      <sheetData sheetId="35">
        <row r="11">
          <cell r="B11">
            <v>896.739375</v>
          </cell>
        </row>
        <row r="13">
          <cell r="B13">
            <v>1917.1068749999999</v>
          </cell>
        </row>
        <row r="17">
          <cell r="B17">
            <v>417.96875</v>
          </cell>
        </row>
      </sheetData>
      <sheetData sheetId="36">
        <row r="13">
          <cell r="B13">
            <v>27396.63</v>
          </cell>
        </row>
        <row r="22">
          <cell r="B22">
            <v>0.20760327091324732</v>
          </cell>
        </row>
        <row r="23">
          <cell r="B23">
            <v>34434.78</v>
          </cell>
        </row>
        <row r="28">
          <cell r="B28">
            <v>0.15213549987717467</v>
          </cell>
        </row>
      </sheetData>
      <sheetData sheetId="37">
        <row r="9">
          <cell r="B9">
            <v>71135.87</v>
          </cell>
        </row>
        <row r="12">
          <cell r="B12">
            <v>108481.4</v>
          </cell>
        </row>
        <row r="17">
          <cell r="B17">
            <v>0.57069970466376529</v>
          </cell>
        </row>
        <row r="20">
          <cell r="B20">
            <v>0.59419338246003461</v>
          </cell>
        </row>
        <row r="21">
          <cell r="B21">
            <v>64458.93</v>
          </cell>
        </row>
        <row r="24">
          <cell r="B24">
            <v>0.43815455921475943</v>
          </cell>
        </row>
      </sheetData>
      <sheetData sheetId="38">
        <row r="8">
          <cell r="B8">
            <v>0.51878420669057856</v>
          </cell>
        </row>
        <row r="9">
          <cell r="B9">
            <v>34989.5</v>
          </cell>
        </row>
        <row r="12">
          <cell r="B12">
            <v>34989.5</v>
          </cell>
        </row>
        <row r="21">
          <cell r="B21">
            <v>30603.61</v>
          </cell>
        </row>
        <row r="24">
          <cell r="B24">
            <v>1.2506114691550323</v>
          </cell>
        </row>
        <row r="33">
          <cell r="B33">
            <v>7</v>
          </cell>
        </row>
      </sheetData>
      <sheetData sheetId="39"/>
      <sheetData sheetId="40">
        <row r="13">
          <cell r="B13">
            <v>167361.98000000001</v>
          </cell>
        </row>
        <row r="24">
          <cell r="B24">
            <v>71056.460000000006</v>
          </cell>
        </row>
        <row r="28">
          <cell r="B28">
            <v>0.2304143390272988</v>
          </cell>
        </row>
        <row r="33">
          <cell r="B33">
            <v>5</v>
          </cell>
        </row>
      </sheetData>
      <sheetData sheetId="41">
        <row r="13">
          <cell r="B13">
            <v>55317.82</v>
          </cell>
        </row>
        <row r="24">
          <cell r="B24">
            <v>22425.99</v>
          </cell>
        </row>
        <row r="28">
          <cell r="B28">
            <v>0.1680765800243032</v>
          </cell>
        </row>
        <row r="33">
          <cell r="B33">
            <v>2</v>
          </cell>
        </row>
      </sheetData>
      <sheetData sheetId="42">
        <row r="6">
          <cell r="B6">
            <v>187535.90000000008</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 With Cost Centre"/>
      <sheetName val="Sheet2"/>
      <sheetName val="Summary - Selling Expenses"/>
      <sheetName val="Summary - Overhead Expenses"/>
      <sheetName val="SE - OTE - NBML INPUT"/>
      <sheetName val="SE - OTE - NBML OUTPUT"/>
      <sheetName val="SE - Commission Sales - OUTPUT"/>
      <sheetName val="Sheet1"/>
      <sheetName val="SE - Commission Sales - INPUT"/>
      <sheetName val="SE - Spotters Fees OUTPUT"/>
      <sheetName val="SE - Maintenance &amp; Petrol &amp; Oth"/>
      <sheetName val="SE - Vehicle Delivery Expenses"/>
      <sheetName val="GL - Vehicle Delivery Expenses"/>
      <sheetName val="SE - Marketing PE "/>
      <sheetName val="SE - Marketing Matt"/>
      <sheetName val="SE - Training"/>
      <sheetName val="GL - Training"/>
      <sheetName val="SE - General Expenses"/>
      <sheetName val="GL - General Expenses"/>
      <sheetName val="SE &amp; OV - Interest Other"/>
      <sheetName val="OV - Operation Bron's "/>
      <sheetName val="OV - Others based on LY Actual"/>
      <sheetName val="OV - OTE - BS"/>
      <sheetName val="OV - ACC"/>
      <sheetName val="OV - Rent"/>
      <sheetName val="OV - Employee Wellbeing &amp; Ent"/>
      <sheetName val="OV - Accounting &amp; Audit"/>
      <sheetName val="OV - Office Supplies"/>
      <sheetName val="OV - Data Processing"/>
      <sheetName val="OV - Consultancy Fees"/>
      <sheetName val="OV - Cleaning&amp;Laundry&amp;Sercurity"/>
      <sheetName val="OV - Entertainment - Customer"/>
      <sheetName val="OV - Insurance"/>
      <sheetName val="GL - Entertainment - Customer"/>
      <sheetName val="GL - Contract Cleaning"/>
      <sheetName val="GL - Consultancy Fees"/>
      <sheetName val="GL - Data Processing"/>
      <sheetName val="GL - Office Supplies "/>
    </sheetNames>
    <sheetDataSet>
      <sheetData sheetId="0" refreshError="1"/>
      <sheetData sheetId="1" refreshError="1"/>
      <sheetData sheetId="2">
        <row r="1">
          <cell r="C1" t="str">
            <v>Cost Centre</v>
          </cell>
          <cell r="D1" t="str">
            <v>Toyota Store Report page</v>
          </cell>
          <cell r="E1" t="str">
            <v>Variable-1/Semi-Fixed-2</v>
          </cell>
          <cell r="Z1">
            <v>45383</v>
          </cell>
          <cell r="AA1">
            <v>45413</v>
          </cell>
          <cell r="AB1">
            <v>45444</v>
          </cell>
          <cell r="AC1">
            <v>45474</v>
          </cell>
          <cell r="AD1">
            <v>45505</v>
          </cell>
          <cell r="AE1">
            <v>45536</v>
          </cell>
          <cell r="AF1">
            <v>45566</v>
          </cell>
          <cell r="AG1">
            <v>45597</v>
          </cell>
          <cell r="AH1">
            <v>45627</v>
          </cell>
          <cell r="AI1">
            <v>45658</v>
          </cell>
          <cell r="AJ1">
            <v>45689</v>
          </cell>
          <cell r="AK1">
            <v>45717</v>
          </cell>
          <cell r="AL1" t="str">
            <v>Total YTD</v>
          </cell>
        </row>
        <row r="2">
          <cell r="Z2" t="str">
            <v>Projected</v>
          </cell>
          <cell r="AA2" t="str">
            <v>Projected</v>
          </cell>
          <cell r="AB2" t="str">
            <v>Projected</v>
          </cell>
          <cell r="AC2" t="str">
            <v>Projected</v>
          </cell>
          <cell r="AD2" t="str">
            <v>Projected</v>
          </cell>
          <cell r="AE2" t="str">
            <v>Projected</v>
          </cell>
          <cell r="AF2" t="str">
            <v>Projected</v>
          </cell>
          <cell r="AG2" t="str">
            <v>Projected</v>
          </cell>
          <cell r="AH2" t="str">
            <v>Projected</v>
          </cell>
          <cell r="AI2" t="str">
            <v>Projected</v>
          </cell>
          <cell r="AJ2" t="str">
            <v>Projected</v>
          </cell>
          <cell r="AK2" t="str">
            <v>Projected</v>
          </cell>
        </row>
        <row r="3">
          <cell r="AL3">
            <v>0</v>
          </cell>
        </row>
        <row r="4">
          <cell r="AL4">
            <v>0</v>
          </cell>
        </row>
        <row r="5">
          <cell r="C5">
            <v>110</v>
          </cell>
          <cell r="D5" t="str">
            <v>New Vehicle</v>
          </cell>
          <cell r="E5">
            <v>1</v>
          </cell>
          <cell r="Z5">
            <v>34000</v>
          </cell>
          <cell r="AA5">
            <v>34000</v>
          </cell>
          <cell r="AB5">
            <v>34000</v>
          </cell>
          <cell r="AC5">
            <v>32375</v>
          </cell>
          <cell r="AD5">
            <v>32375</v>
          </cell>
          <cell r="AE5">
            <v>32375</v>
          </cell>
          <cell r="AF5">
            <v>33875</v>
          </cell>
          <cell r="AG5">
            <v>31875</v>
          </cell>
          <cell r="AH5">
            <v>23062.5</v>
          </cell>
          <cell r="AI5">
            <v>23062.5</v>
          </cell>
          <cell r="AJ5">
            <v>23062.5</v>
          </cell>
          <cell r="AK5">
            <v>33375</v>
          </cell>
          <cell r="AL5">
            <v>367437.5</v>
          </cell>
        </row>
        <row r="6">
          <cell r="C6">
            <v>112</v>
          </cell>
          <cell r="D6" t="str">
            <v>LEX New Vehicle</v>
          </cell>
          <cell r="E6">
            <v>1</v>
          </cell>
          <cell r="Z6">
            <v>18200</v>
          </cell>
          <cell r="AA6">
            <v>18200</v>
          </cell>
          <cell r="AB6">
            <v>18200</v>
          </cell>
          <cell r="AC6">
            <v>18200</v>
          </cell>
          <cell r="AD6">
            <v>18200</v>
          </cell>
          <cell r="AE6">
            <v>18200</v>
          </cell>
          <cell r="AF6">
            <v>18200</v>
          </cell>
          <cell r="AG6">
            <v>18200</v>
          </cell>
          <cell r="AH6">
            <v>18200</v>
          </cell>
          <cell r="AI6">
            <v>16900</v>
          </cell>
          <cell r="AJ6">
            <v>16900</v>
          </cell>
          <cell r="AK6">
            <v>24025</v>
          </cell>
          <cell r="AL6">
            <v>221625</v>
          </cell>
        </row>
        <row r="7">
          <cell r="C7">
            <v>120</v>
          </cell>
          <cell r="D7" t="str">
            <v>Used Vehicle</v>
          </cell>
          <cell r="E7">
            <v>1</v>
          </cell>
          <cell r="Z7">
            <v>24000</v>
          </cell>
          <cell r="AA7">
            <v>29750</v>
          </cell>
          <cell r="AB7">
            <v>31500</v>
          </cell>
          <cell r="AC7">
            <v>31500</v>
          </cell>
          <cell r="AD7">
            <v>31500</v>
          </cell>
          <cell r="AE7">
            <v>31500</v>
          </cell>
          <cell r="AF7">
            <v>31500</v>
          </cell>
          <cell r="AG7">
            <v>35000</v>
          </cell>
          <cell r="AH7">
            <v>24000</v>
          </cell>
          <cell r="AI7">
            <v>24000</v>
          </cell>
          <cell r="AJ7">
            <v>24000</v>
          </cell>
          <cell r="AK7">
            <v>24000</v>
          </cell>
          <cell r="AL7">
            <v>342250</v>
          </cell>
        </row>
        <row r="8">
          <cell r="C8">
            <v>121</v>
          </cell>
          <cell r="D8" t="str">
            <v>Used Vehicle</v>
          </cell>
          <cell r="E8">
            <v>1</v>
          </cell>
          <cell r="Z8">
            <v>0</v>
          </cell>
          <cell r="AA8">
            <v>0</v>
          </cell>
          <cell r="AB8">
            <v>0</v>
          </cell>
          <cell r="AC8">
            <v>0</v>
          </cell>
          <cell r="AD8">
            <v>0</v>
          </cell>
          <cell r="AE8">
            <v>0</v>
          </cell>
          <cell r="AF8">
            <v>0</v>
          </cell>
          <cell r="AG8">
            <v>0</v>
          </cell>
          <cell r="AH8">
            <v>0</v>
          </cell>
          <cell r="AI8">
            <v>0</v>
          </cell>
          <cell r="AJ8">
            <v>0</v>
          </cell>
          <cell r="AK8">
            <v>0</v>
          </cell>
          <cell r="AL8">
            <v>0</v>
          </cell>
        </row>
        <row r="9">
          <cell r="C9">
            <v>122</v>
          </cell>
          <cell r="D9" t="str">
            <v>LEX Used Vehicle</v>
          </cell>
          <cell r="E9">
            <v>1</v>
          </cell>
          <cell r="Z9">
            <v>8450</v>
          </cell>
          <cell r="AA9">
            <v>8450</v>
          </cell>
          <cell r="AB9">
            <v>8450</v>
          </cell>
          <cell r="AC9">
            <v>8450</v>
          </cell>
          <cell r="AD9">
            <v>8450</v>
          </cell>
          <cell r="AE9">
            <v>8450</v>
          </cell>
          <cell r="AF9">
            <v>8450</v>
          </cell>
          <cell r="AG9">
            <v>8450</v>
          </cell>
          <cell r="AH9">
            <v>8450</v>
          </cell>
          <cell r="AI9">
            <v>8450</v>
          </cell>
          <cell r="AJ9">
            <v>8450</v>
          </cell>
          <cell r="AK9">
            <v>8450</v>
          </cell>
          <cell r="AL9">
            <v>101400</v>
          </cell>
        </row>
        <row r="10">
          <cell r="C10">
            <v>130</v>
          </cell>
          <cell r="D10" t="str">
            <v>Parts</v>
          </cell>
          <cell r="E10">
            <v>3</v>
          </cell>
          <cell r="Z10">
            <v>1856.1935675396223</v>
          </cell>
          <cell r="AA10">
            <v>1856.1935675396223</v>
          </cell>
          <cell r="AB10">
            <v>1856.1935675396223</v>
          </cell>
          <cell r="AC10">
            <v>1856.1935675396223</v>
          </cell>
          <cell r="AD10">
            <v>1856.1935675396223</v>
          </cell>
          <cell r="AE10">
            <v>1856.1935675396223</v>
          </cell>
          <cell r="AF10">
            <v>1856.1935675396223</v>
          </cell>
          <cell r="AG10">
            <v>1856.1935675396223</v>
          </cell>
          <cell r="AH10">
            <v>1856.1935675396223</v>
          </cell>
          <cell r="AI10">
            <v>1856.1935675396223</v>
          </cell>
          <cell r="AJ10">
            <v>1856.1935675396223</v>
          </cell>
          <cell r="AK10">
            <v>1856.1935675396223</v>
          </cell>
          <cell r="AL10">
            <v>22274.322810475471</v>
          </cell>
        </row>
        <row r="11">
          <cell r="C11">
            <v>140</v>
          </cell>
          <cell r="D11" t="str">
            <v>Service</v>
          </cell>
          <cell r="E11">
            <v>3</v>
          </cell>
          <cell r="Z11">
            <v>5141.5045092280498</v>
          </cell>
          <cell r="AA11">
            <v>5141.5045092280498</v>
          </cell>
          <cell r="AB11">
            <v>5141.5045092280498</v>
          </cell>
          <cell r="AC11">
            <v>5141.5045092280498</v>
          </cell>
          <cell r="AD11">
            <v>5141.5045092280498</v>
          </cell>
          <cell r="AE11">
            <v>5141.5045092280498</v>
          </cell>
          <cell r="AF11">
            <v>5141.5045092280498</v>
          </cell>
          <cell r="AG11">
            <v>5141.5045092280498</v>
          </cell>
          <cell r="AH11">
            <v>5141.5045092280498</v>
          </cell>
          <cell r="AI11">
            <v>5141.5045092280498</v>
          </cell>
          <cell r="AJ11">
            <v>5141.5045092280498</v>
          </cell>
          <cell r="AK11">
            <v>5141.5045092280498</v>
          </cell>
          <cell r="AL11">
            <v>61698.054110736593</v>
          </cell>
        </row>
        <row r="12">
          <cell r="C12">
            <v>142</v>
          </cell>
          <cell r="D12" t="str">
            <v>Lex Service</v>
          </cell>
          <cell r="E12">
            <v>3</v>
          </cell>
          <cell r="Z12">
            <v>1465.0436488437142</v>
          </cell>
          <cell r="AA12">
            <v>1465.0436488437142</v>
          </cell>
          <cell r="AB12">
            <v>1465.0436488437142</v>
          </cell>
          <cell r="AC12">
            <v>1465.0436488437142</v>
          </cell>
          <cell r="AD12">
            <v>1465.0436488437142</v>
          </cell>
          <cell r="AE12">
            <v>1465.0436488437142</v>
          </cell>
          <cell r="AF12">
            <v>1465.0436488437142</v>
          </cell>
          <cell r="AG12">
            <v>1465.0436488437142</v>
          </cell>
          <cell r="AH12">
            <v>1465.0436488437142</v>
          </cell>
          <cell r="AI12">
            <v>1465.0436488437142</v>
          </cell>
          <cell r="AJ12">
            <v>1465.0436488437142</v>
          </cell>
          <cell r="AK12">
            <v>1465.0436488437142</v>
          </cell>
          <cell r="AL12">
            <v>17580.523786124566</v>
          </cell>
        </row>
        <row r="13">
          <cell r="C13">
            <v>147</v>
          </cell>
          <cell r="D13" t="str">
            <v>Service</v>
          </cell>
          <cell r="E13">
            <v>3</v>
          </cell>
          <cell r="Z13">
            <v>0</v>
          </cell>
          <cell r="AA13">
            <v>0</v>
          </cell>
          <cell r="AB13">
            <v>0</v>
          </cell>
          <cell r="AC13">
            <v>0</v>
          </cell>
          <cell r="AD13">
            <v>0</v>
          </cell>
          <cell r="AE13">
            <v>0</v>
          </cell>
          <cell r="AF13">
            <v>0</v>
          </cell>
          <cell r="AG13">
            <v>0</v>
          </cell>
          <cell r="AH13">
            <v>0</v>
          </cell>
          <cell r="AI13">
            <v>0</v>
          </cell>
          <cell r="AJ13">
            <v>0</v>
          </cell>
          <cell r="AK13">
            <v>0</v>
          </cell>
          <cell r="AL13">
            <v>0</v>
          </cell>
        </row>
        <row r="14">
          <cell r="C14">
            <v>150</v>
          </cell>
          <cell r="D14" t="str">
            <v>Retail Detailing</v>
          </cell>
          <cell r="E14">
            <v>3</v>
          </cell>
          <cell r="Z14">
            <v>1341.243929216947</v>
          </cell>
          <cell r="AA14">
            <v>1341.243929216947</v>
          </cell>
          <cell r="AB14">
            <v>1341.243929216947</v>
          </cell>
          <cell r="AC14">
            <v>1341.243929216947</v>
          </cell>
          <cell r="AD14">
            <v>1341.243929216947</v>
          </cell>
          <cell r="AE14">
            <v>1341.243929216947</v>
          </cell>
          <cell r="AF14">
            <v>1341.243929216947</v>
          </cell>
          <cell r="AG14">
            <v>1341.243929216947</v>
          </cell>
          <cell r="AH14">
            <v>1341.243929216947</v>
          </cell>
          <cell r="AI14">
            <v>1341.243929216947</v>
          </cell>
          <cell r="AJ14">
            <v>1341.243929216947</v>
          </cell>
          <cell r="AK14">
            <v>1341.243929216947</v>
          </cell>
          <cell r="AL14">
            <v>16094.927150603367</v>
          </cell>
        </row>
        <row r="15">
          <cell r="C15">
            <v>160</v>
          </cell>
          <cell r="D15" t="str">
            <v>F&amp;I</v>
          </cell>
          <cell r="E15">
            <v>3</v>
          </cell>
          <cell r="Z15">
            <v>21901.736288483462</v>
          </cell>
          <cell r="AA15">
            <v>21901.736288483462</v>
          </cell>
          <cell r="AB15">
            <v>21901.736288483462</v>
          </cell>
          <cell r="AC15">
            <v>21901.736288483462</v>
          </cell>
          <cell r="AD15">
            <v>21901.736288483462</v>
          </cell>
          <cell r="AE15">
            <v>21901.736288483462</v>
          </cell>
          <cell r="AF15">
            <v>21901.736288483462</v>
          </cell>
          <cell r="AG15">
            <v>21901.736288483462</v>
          </cell>
          <cell r="AH15">
            <v>21901.736288483462</v>
          </cell>
          <cell r="AI15">
            <v>21901.736288483462</v>
          </cell>
          <cell r="AJ15">
            <v>21901.736288483462</v>
          </cell>
          <cell r="AK15">
            <v>21901.736288483462</v>
          </cell>
          <cell r="AL15">
            <v>262820.83546180156</v>
          </cell>
        </row>
        <row r="16">
          <cell r="C16">
            <v>162</v>
          </cell>
          <cell r="D16" t="str">
            <v>LEX F&amp;I</v>
          </cell>
          <cell r="E16">
            <v>3</v>
          </cell>
          <cell r="Z16">
            <v>8320.4786396852178</v>
          </cell>
          <cell r="AA16">
            <v>8320.4786396852178</v>
          </cell>
          <cell r="AB16">
            <v>8320.4786396852178</v>
          </cell>
          <cell r="AC16">
            <v>8320.4786396852178</v>
          </cell>
          <cell r="AD16">
            <v>8320.4786396852178</v>
          </cell>
          <cell r="AE16">
            <v>8320.4786396852178</v>
          </cell>
          <cell r="AF16">
            <v>8320.4786396852178</v>
          </cell>
          <cell r="AG16">
            <v>8320.4786396852178</v>
          </cell>
          <cell r="AH16">
            <v>8320.4786396852178</v>
          </cell>
          <cell r="AI16">
            <v>8320.4786396852178</v>
          </cell>
          <cell r="AJ16">
            <v>8320.4786396852178</v>
          </cell>
          <cell r="AK16">
            <v>8320.4786396852178</v>
          </cell>
          <cell r="AL16">
            <v>99845.743676222584</v>
          </cell>
        </row>
        <row r="17">
          <cell r="C17">
            <v>210</v>
          </cell>
          <cell r="D17" t="str">
            <v>New Vehicle</v>
          </cell>
          <cell r="E17">
            <v>1</v>
          </cell>
          <cell r="Z17">
            <v>23000</v>
          </cell>
          <cell r="AA17">
            <v>23000</v>
          </cell>
          <cell r="AB17">
            <v>23000</v>
          </cell>
          <cell r="AC17">
            <v>23125</v>
          </cell>
          <cell r="AD17">
            <v>23125</v>
          </cell>
          <cell r="AE17">
            <v>23125</v>
          </cell>
          <cell r="AF17">
            <v>23125</v>
          </cell>
          <cell r="AG17">
            <v>23125</v>
          </cell>
          <cell r="AH17">
            <v>24375</v>
          </cell>
          <cell r="AI17">
            <v>24375</v>
          </cell>
          <cell r="AJ17">
            <v>24375</v>
          </cell>
          <cell r="AK17">
            <v>25625</v>
          </cell>
          <cell r="AL17">
            <v>283375</v>
          </cell>
        </row>
        <row r="18">
          <cell r="C18">
            <v>220</v>
          </cell>
          <cell r="D18" t="str">
            <v>Used Vehicle</v>
          </cell>
          <cell r="E18">
            <v>1</v>
          </cell>
          <cell r="Z18">
            <v>18900</v>
          </cell>
          <cell r="AA18">
            <v>19200</v>
          </cell>
          <cell r="AB18">
            <v>25200</v>
          </cell>
          <cell r="AC18">
            <v>18900</v>
          </cell>
          <cell r="AD18">
            <v>20250</v>
          </cell>
          <cell r="AE18">
            <v>21600</v>
          </cell>
          <cell r="AF18">
            <v>18900</v>
          </cell>
          <cell r="AG18">
            <v>28350</v>
          </cell>
          <cell r="AH18">
            <v>20250</v>
          </cell>
          <cell r="AI18">
            <v>18900</v>
          </cell>
          <cell r="AJ18">
            <v>18900</v>
          </cell>
          <cell r="AK18">
            <v>28350</v>
          </cell>
          <cell r="AL18">
            <v>257700</v>
          </cell>
        </row>
        <row r="19">
          <cell r="C19">
            <v>230</v>
          </cell>
          <cell r="D19" t="str">
            <v>Parts</v>
          </cell>
          <cell r="E19">
            <v>3</v>
          </cell>
          <cell r="Z19">
            <v>838.09511443509564</v>
          </cell>
          <cell r="AA19">
            <v>838.09511443509564</v>
          </cell>
          <cell r="AB19">
            <v>838.09511443509564</v>
          </cell>
          <cell r="AC19">
            <v>838.09511443509564</v>
          </cell>
          <cell r="AD19">
            <v>838.09511443509564</v>
          </cell>
          <cell r="AE19">
            <v>838.09511443509564</v>
          </cell>
          <cell r="AF19">
            <v>838.09511443509564</v>
          </cell>
          <cell r="AG19">
            <v>838.09511443509564</v>
          </cell>
          <cell r="AH19">
            <v>838.09511443509564</v>
          </cell>
          <cell r="AI19">
            <v>838.09511443509564</v>
          </cell>
          <cell r="AJ19">
            <v>838.09511443509564</v>
          </cell>
          <cell r="AK19">
            <v>838.09511443509564</v>
          </cell>
          <cell r="AL19">
            <v>10057.141373221148</v>
          </cell>
        </row>
        <row r="20">
          <cell r="C20">
            <v>240</v>
          </cell>
          <cell r="D20" t="str">
            <v>Service</v>
          </cell>
          <cell r="E20">
            <v>3</v>
          </cell>
          <cell r="Z20">
            <v>2599.8172523631724</v>
          </cell>
          <cell r="AA20">
            <v>2599.8172523631724</v>
          </cell>
          <cell r="AB20">
            <v>2599.8172523631724</v>
          </cell>
          <cell r="AC20">
            <v>2599.8172523631724</v>
          </cell>
          <cell r="AD20">
            <v>2599.8172523631724</v>
          </cell>
          <cell r="AE20">
            <v>2599.8172523631724</v>
          </cell>
          <cell r="AF20">
            <v>2599.8172523631724</v>
          </cell>
          <cell r="AG20">
            <v>2599.8172523631724</v>
          </cell>
          <cell r="AH20">
            <v>2599.8172523631724</v>
          </cell>
          <cell r="AI20">
            <v>2599.8172523631724</v>
          </cell>
          <cell r="AJ20">
            <v>2599.8172523631724</v>
          </cell>
          <cell r="AK20">
            <v>2599.8172523631724</v>
          </cell>
          <cell r="AL20">
            <v>31197.807028358071</v>
          </cell>
        </row>
        <row r="21">
          <cell r="C21">
            <v>260</v>
          </cell>
          <cell r="D21" t="str">
            <v>F&amp;I</v>
          </cell>
          <cell r="E21">
            <v>3</v>
          </cell>
          <cell r="Z21">
            <v>15693.865441722346</v>
          </cell>
          <cell r="AA21">
            <v>15693.865441722346</v>
          </cell>
          <cell r="AB21">
            <v>15693.865441722346</v>
          </cell>
          <cell r="AC21">
            <v>15693.865441722346</v>
          </cell>
          <cell r="AD21">
            <v>15693.865441722346</v>
          </cell>
          <cell r="AE21">
            <v>15693.865441722346</v>
          </cell>
          <cell r="AF21">
            <v>15693.865441722346</v>
          </cell>
          <cell r="AG21">
            <v>15693.865441722346</v>
          </cell>
          <cell r="AH21">
            <v>15693.865441722346</v>
          </cell>
          <cell r="AI21">
            <v>15693.865441722346</v>
          </cell>
          <cell r="AJ21">
            <v>15693.865441722346</v>
          </cell>
          <cell r="AK21">
            <v>15693.865441722346</v>
          </cell>
          <cell r="AL21">
            <v>188326.38530066819</v>
          </cell>
        </row>
        <row r="22">
          <cell r="C22">
            <v>330</v>
          </cell>
          <cell r="D22" t="str">
            <v>Parts</v>
          </cell>
          <cell r="E22">
            <v>3</v>
          </cell>
          <cell r="Z22">
            <v>301.3633097492704</v>
          </cell>
          <cell r="AA22">
            <v>301.3633097492704</v>
          </cell>
          <cell r="AB22">
            <v>301.3633097492704</v>
          </cell>
          <cell r="AC22">
            <v>301.3633097492704</v>
          </cell>
          <cell r="AD22">
            <v>301.3633097492704</v>
          </cell>
          <cell r="AE22">
            <v>301.3633097492704</v>
          </cell>
          <cell r="AF22">
            <v>301.3633097492704</v>
          </cell>
          <cell r="AG22">
            <v>301.3633097492704</v>
          </cell>
          <cell r="AH22">
            <v>301.3633097492704</v>
          </cell>
          <cell r="AI22">
            <v>301.3633097492704</v>
          </cell>
          <cell r="AJ22">
            <v>301.3633097492704</v>
          </cell>
          <cell r="AK22">
            <v>301.3633097492704</v>
          </cell>
          <cell r="AL22">
            <v>3616.3597169912441</v>
          </cell>
        </row>
        <row r="23">
          <cell r="C23">
            <v>340</v>
          </cell>
          <cell r="D23" t="str">
            <v>Service</v>
          </cell>
          <cell r="E23">
            <v>3</v>
          </cell>
          <cell r="Z23">
            <v>1408.3490368440041</v>
          </cell>
          <cell r="AA23">
            <v>1408.3490368440041</v>
          </cell>
          <cell r="AB23">
            <v>1408.3490368440041</v>
          </cell>
          <cell r="AC23">
            <v>1408.3490368440041</v>
          </cell>
          <cell r="AD23">
            <v>1408.3490368440041</v>
          </cell>
          <cell r="AE23">
            <v>1408.3490368440041</v>
          </cell>
          <cell r="AF23">
            <v>1408.3490368440041</v>
          </cell>
          <cell r="AG23">
            <v>1408.3490368440041</v>
          </cell>
          <cell r="AH23">
            <v>1408.3490368440041</v>
          </cell>
          <cell r="AI23">
            <v>1408.3490368440041</v>
          </cell>
          <cell r="AJ23">
            <v>1408.3490368440041</v>
          </cell>
          <cell r="AK23">
            <v>1408.3490368440041</v>
          </cell>
          <cell r="AL23">
            <v>16900.188442128045</v>
          </cell>
        </row>
        <row r="24">
          <cell r="C24">
            <v>430</v>
          </cell>
          <cell r="D24" t="str">
            <v>Parts</v>
          </cell>
          <cell r="E24">
            <v>3</v>
          </cell>
          <cell r="Z24">
            <v>12.857068661057442</v>
          </cell>
          <cell r="AA24">
            <v>12.857068661057442</v>
          </cell>
          <cell r="AB24">
            <v>12.857068661057442</v>
          </cell>
          <cell r="AC24">
            <v>12.857068661057442</v>
          </cell>
          <cell r="AD24">
            <v>12.857068661057442</v>
          </cell>
          <cell r="AE24">
            <v>12.857068661057442</v>
          </cell>
          <cell r="AF24">
            <v>12.857068661057442</v>
          </cell>
          <cell r="AG24">
            <v>12.857068661057442</v>
          </cell>
          <cell r="AH24">
            <v>12.857068661057442</v>
          </cell>
          <cell r="AI24">
            <v>12.857068661057442</v>
          </cell>
          <cell r="AJ24">
            <v>12.857068661057442</v>
          </cell>
          <cell r="AK24">
            <v>12.857068661057442</v>
          </cell>
          <cell r="AL24">
            <v>154.28482393268931</v>
          </cell>
        </row>
        <row r="25">
          <cell r="C25">
            <v>440</v>
          </cell>
          <cell r="D25" t="str">
            <v>Service</v>
          </cell>
          <cell r="E25">
            <v>3</v>
          </cell>
          <cell r="Z25">
            <v>2317.5584387231206</v>
          </cell>
          <cell r="AA25">
            <v>2317.5584387231206</v>
          </cell>
          <cell r="AB25">
            <v>2317.5584387231206</v>
          </cell>
          <cell r="AC25">
            <v>2317.5584387231206</v>
          </cell>
          <cell r="AD25">
            <v>2317.5584387231206</v>
          </cell>
          <cell r="AE25">
            <v>2317.5584387231206</v>
          </cell>
          <cell r="AF25">
            <v>2317.5584387231206</v>
          </cell>
          <cell r="AG25">
            <v>2317.5584387231206</v>
          </cell>
          <cell r="AH25">
            <v>2317.5584387231206</v>
          </cell>
          <cell r="AI25">
            <v>2317.5584387231206</v>
          </cell>
          <cell r="AJ25">
            <v>2317.5584387231206</v>
          </cell>
          <cell r="AK25">
            <v>2317.5584387231206</v>
          </cell>
          <cell r="AL25">
            <v>27810.701264677449</v>
          </cell>
        </row>
        <row r="26">
          <cell r="C26">
            <v>935</v>
          </cell>
          <cell r="D26" t="str">
            <v>Bridgestone</v>
          </cell>
          <cell r="E26">
            <v>3</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C27">
            <v>936</v>
          </cell>
          <cell r="D27" t="str">
            <v>Bridgestone</v>
          </cell>
          <cell r="E27">
            <v>3</v>
          </cell>
          <cell r="Z27">
            <v>174.75597852611031</v>
          </cell>
          <cell r="AA27">
            <v>174.75597852611031</v>
          </cell>
          <cell r="AB27">
            <v>174.75597852611031</v>
          </cell>
          <cell r="AC27">
            <v>174.75597852611031</v>
          </cell>
          <cell r="AD27">
            <v>174.75597852611031</v>
          </cell>
          <cell r="AE27">
            <v>174.75597852611031</v>
          </cell>
          <cell r="AF27">
            <v>174.75597852611031</v>
          </cell>
          <cell r="AG27">
            <v>174.75597852611031</v>
          </cell>
          <cell r="AH27">
            <v>174.75597852611031</v>
          </cell>
          <cell r="AI27">
            <v>174.75597852611031</v>
          </cell>
          <cell r="AJ27">
            <v>174.75597852611031</v>
          </cell>
          <cell r="AK27">
            <v>174.75597852611031</v>
          </cell>
          <cell r="AL27">
            <v>2097.0717423133237</v>
          </cell>
        </row>
        <row r="28">
          <cell r="C28">
            <v>110</v>
          </cell>
          <cell r="D28" t="str">
            <v>New Vehicle</v>
          </cell>
          <cell r="E28">
            <v>1</v>
          </cell>
          <cell r="Z28">
            <v>418.2</v>
          </cell>
          <cell r="AA28">
            <v>418.2</v>
          </cell>
          <cell r="AB28">
            <v>492.78750000000002</v>
          </cell>
          <cell r="AC28">
            <v>398.21250000000003</v>
          </cell>
          <cell r="AD28">
            <v>398.21250000000003</v>
          </cell>
          <cell r="AE28">
            <v>469.23515624999999</v>
          </cell>
          <cell r="AF28">
            <v>416.66250000000002</v>
          </cell>
          <cell r="AG28">
            <v>392.0625</v>
          </cell>
          <cell r="AH28">
            <v>371.40234375</v>
          </cell>
          <cell r="AI28">
            <v>315.1875</v>
          </cell>
          <cell r="AJ28">
            <v>315.1875</v>
          </cell>
          <cell r="AK28">
            <v>483.72890625000002</v>
          </cell>
          <cell r="AL28">
            <v>4889.0789062500007</v>
          </cell>
        </row>
        <row r="29">
          <cell r="C29">
            <v>112</v>
          </cell>
          <cell r="D29" t="str">
            <v>LEX New Vehicle</v>
          </cell>
          <cell r="E29">
            <v>1</v>
          </cell>
          <cell r="Z29">
            <v>798</v>
          </cell>
          <cell r="AA29">
            <v>798</v>
          </cell>
          <cell r="AB29">
            <v>990.78</v>
          </cell>
          <cell r="AC29">
            <v>798</v>
          </cell>
          <cell r="AD29">
            <v>798</v>
          </cell>
          <cell r="AE29">
            <v>990.78</v>
          </cell>
          <cell r="AF29">
            <v>798</v>
          </cell>
          <cell r="AG29">
            <v>798</v>
          </cell>
          <cell r="AH29">
            <v>990.78</v>
          </cell>
          <cell r="AI29">
            <v>741</v>
          </cell>
          <cell r="AJ29">
            <v>741</v>
          </cell>
          <cell r="AK29">
            <v>1073.9850000000001</v>
          </cell>
          <cell r="AL29">
            <v>10316.325000000001</v>
          </cell>
        </row>
        <row r="30">
          <cell r="C30">
            <v>120</v>
          </cell>
          <cell r="D30" t="str">
            <v>Used Vehicle</v>
          </cell>
          <cell r="E30">
            <v>1</v>
          </cell>
          <cell r="Z30">
            <v>429.99</v>
          </cell>
          <cell r="AA30">
            <v>473.88</v>
          </cell>
          <cell r="AB30">
            <v>651.16124999999988</v>
          </cell>
          <cell r="AC30">
            <v>569.72842105263157</v>
          </cell>
          <cell r="AD30">
            <v>569.72842105263157</v>
          </cell>
          <cell r="AE30">
            <v>702.81888157894741</v>
          </cell>
          <cell r="AF30">
            <v>569.72842105263157</v>
          </cell>
          <cell r="AG30">
            <v>644.72842105263157</v>
          </cell>
          <cell r="AH30">
            <v>624.22184210526325</v>
          </cell>
          <cell r="AI30">
            <v>494.72842105263163</v>
          </cell>
          <cell r="AJ30">
            <v>494.72842105263163</v>
          </cell>
          <cell r="AK30">
            <v>621.82381578947366</v>
          </cell>
          <cell r="AL30">
            <v>6847.2663157894722</v>
          </cell>
        </row>
        <row r="31">
          <cell r="C31">
            <v>121</v>
          </cell>
          <cell r="D31" t="str">
            <v>Used Vehicle</v>
          </cell>
          <cell r="E31">
            <v>1</v>
          </cell>
          <cell r="Z31">
            <v>0</v>
          </cell>
          <cell r="AA31">
            <v>0</v>
          </cell>
          <cell r="AB31">
            <v>0</v>
          </cell>
          <cell r="AC31">
            <v>0</v>
          </cell>
          <cell r="AD31">
            <v>0</v>
          </cell>
          <cell r="AE31">
            <v>0</v>
          </cell>
          <cell r="AF31">
            <v>0</v>
          </cell>
          <cell r="AG31">
            <v>0</v>
          </cell>
          <cell r="AH31">
            <v>0</v>
          </cell>
          <cell r="AI31">
            <v>0</v>
          </cell>
          <cell r="AJ31">
            <v>0</v>
          </cell>
          <cell r="AK31">
            <v>0</v>
          </cell>
          <cell r="AL31">
            <v>0</v>
          </cell>
        </row>
        <row r="32">
          <cell r="C32">
            <v>122</v>
          </cell>
          <cell r="D32" t="str">
            <v>LEX Used Vehicle</v>
          </cell>
          <cell r="E32">
            <v>1</v>
          </cell>
          <cell r="Z32">
            <v>195</v>
          </cell>
          <cell r="AA32">
            <v>195</v>
          </cell>
          <cell r="AB32">
            <v>259.26</v>
          </cell>
          <cell r="AC32">
            <v>195</v>
          </cell>
          <cell r="AD32">
            <v>195</v>
          </cell>
          <cell r="AE32">
            <v>259.26</v>
          </cell>
          <cell r="AF32">
            <v>195</v>
          </cell>
          <cell r="AG32">
            <v>195</v>
          </cell>
          <cell r="AH32">
            <v>259.26</v>
          </cell>
          <cell r="AI32">
            <v>195</v>
          </cell>
          <cell r="AJ32">
            <v>195</v>
          </cell>
          <cell r="AK32">
            <v>258.495</v>
          </cell>
          <cell r="AL32">
            <v>2596.2749999999996</v>
          </cell>
        </row>
        <row r="33">
          <cell r="C33">
            <v>200</v>
          </cell>
          <cell r="D33" t="str">
            <v>New Vehicle</v>
          </cell>
          <cell r="E33">
            <v>1</v>
          </cell>
          <cell r="Z33">
            <v>0</v>
          </cell>
          <cell r="AA33">
            <v>0</v>
          </cell>
          <cell r="AB33">
            <v>0</v>
          </cell>
          <cell r="AC33">
            <v>0</v>
          </cell>
          <cell r="AD33">
            <v>0</v>
          </cell>
          <cell r="AE33">
            <v>0</v>
          </cell>
          <cell r="AF33">
            <v>0</v>
          </cell>
          <cell r="AG33">
            <v>0</v>
          </cell>
          <cell r="AH33">
            <v>0</v>
          </cell>
          <cell r="AI33">
            <v>0</v>
          </cell>
          <cell r="AJ33">
            <v>0</v>
          </cell>
          <cell r="AK33">
            <v>0</v>
          </cell>
          <cell r="AL33">
            <v>0</v>
          </cell>
        </row>
        <row r="34">
          <cell r="C34">
            <v>210</v>
          </cell>
          <cell r="D34" t="str">
            <v>New Vehicle</v>
          </cell>
          <cell r="E34">
            <v>1</v>
          </cell>
          <cell r="Z34">
            <v>282.90000000000003</v>
          </cell>
          <cell r="AA34">
            <v>282.90000000000003</v>
          </cell>
          <cell r="AB34">
            <v>333.35624999999999</v>
          </cell>
          <cell r="AC34">
            <v>284.4375</v>
          </cell>
          <cell r="AD34">
            <v>284.4375</v>
          </cell>
          <cell r="AE34">
            <v>335.16796875</v>
          </cell>
          <cell r="AF34">
            <v>284.4375</v>
          </cell>
          <cell r="AG34">
            <v>284.4375</v>
          </cell>
          <cell r="AH34">
            <v>353.28515625</v>
          </cell>
          <cell r="AI34">
            <v>299.8125</v>
          </cell>
          <cell r="AJ34">
            <v>299.8125</v>
          </cell>
          <cell r="AK34">
            <v>371.40234375</v>
          </cell>
          <cell r="AL34">
            <v>3696.38671875</v>
          </cell>
        </row>
        <row r="35">
          <cell r="C35">
            <v>220</v>
          </cell>
          <cell r="D35" t="str">
            <v>Used Vehicle</v>
          </cell>
          <cell r="E35">
            <v>1</v>
          </cell>
          <cell r="Z35">
            <v>297.59399999999999</v>
          </cell>
          <cell r="AA35">
            <v>352.70400000000001</v>
          </cell>
          <cell r="AB35">
            <v>520.92899999999997</v>
          </cell>
          <cell r="AC35">
            <v>377.75557894736841</v>
          </cell>
          <cell r="AD35">
            <v>411.50557894736841</v>
          </cell>
          <cell r="AE35">
            <v>565.03699342105267</v>
          </cell>
          <cell r="AF35">
            <v>377.75557894736841</v>
          </cell>
          <cell r="AG35">
            <v>512.75557894736846</v>
          </cell>
          <cell r="AH35">
            <v>528.04965789473692</v>
          </cell>
          <cell r="AI35">
            <v>377.75557894736841</v>
          </cell>
          <cell r="AJ35">
            <v>377.75557894736841</v>
          </cell>
          <cell r="AK35">
            <v>627.1414342105262</v>
          </cell>
          <cell r="AL35">
            <v>5326.7385592105256</v>
          </cell>
        </row>
        <row r="36">
          <cell r="C36">
            <v>110</v>
          </cell>
          <cell r="D36" t="str">
            <v>Used Vehicle</v>
          </cell>
          <cell r="E36">
            <v>2</v>
          </cell>
          <cell r="Z36">
            <v>3485.9058565955124</v>
          </cell>
          <cell r="AA36">
            <v>3485.9058565955124</v>
          </cell>
          <cell r="AB36">
            <v>3485.9058565955124</v>
          </cell>
          <cell r="AC36">
            <v>3485.9058565955124</v>
          </cell>
          <cell r="AD36">
            <v>3485.9058565955124</v>
          </cell>
          <cell r="AE36">
            <v>3485.9058565955124</v>
          </cell>
          <cell r="AF36">
            <v>3485.9058565955124</v>
          </cell>
          <cell r="AG36">
            <v>3485.9058565955124</v>
          </cell>
          <cell r="AH36">
            <v>3485.9058565955124</v>
          </cell>
          <cell r="AI36">
            <v>3485.9058565955124</v>
          </cell>
          <cell r="AJ36">
            <v>3485.9058565955124</v>
          </cell>
          <cell r="AK36">
            <v>3485.9058565955124</v>
          </cell>
          <cell r="AL36">
            <v>41830.870279146147</v>
          </cell>
        </row>
        <row r="37">
          <cell r="C37">
            <v>112</v>
          </cell>
          <cell r="D37" t="str">
            <v>LEX New Vehicle</v>
          </cell>
          <cell r="E37">
            <v>1</v>
          </cell>
          <cell r="Z37">
            <v>1557.0379492793288</v>
          </cell>
          <cell r="AA37">
            <v>1557.0379492793288</v>
          </cell>
          <cell r="AB37">
            <v>1557.0379492793288</v>
          </cell>
          <cell r="AC37">
            <v>1557.0379492793288</v>
          </cell>
          <cell r="AD37">
            <v>1557.0379492793288</v>
          </cell>
          <cell r="AE37">
            <v>1557.0379492793288</v>
          </cell>
          <cell r="AF37">
            <v>1557.0379492793288</v>
          </cell>
          <cell r="AG37">
            <v>1557.0379492793288</v>
          </cell>
          <cell r="AH37">
            <v>1557.0379492793288</v>
          </cell>
          <cell r="AI37">
            <v>1557.0379492793288</v>
          </cell>
          <cell r="AJ37">
            <v>1557.0379492793288</v>
          </cell>
          <cell r="AK37">
            <v>1557.0379492793288</v>
          </cell>
          <cell r="AL37">
            <v>18684.455391351945</v>
          </cell>
        </row>
        <row r="38">
          <cell r="C38">
            <v>120</v>
          </cell>
          <cell r="D38" t="str">
            <v>Used Vehicle</v>
          </cell>
          <cell r="E38">
            <v>1</v>
          </cell>
          <cell r="Z38">
            <v>4810.5500821018068</v>
          </cell>
          <cell r="AA38">
            <v>4810.5500821018068</v>
          </cell>
          <cell r="AB38">
            <v>4810.5500821018068</v>
          </cell>
          <cell r="AC38">
            <v>4810.5500821018068</v>
          </cell>
          <cell r="AD38">
            <v>4810.5500821018068</v>
          </cell>
          <cell r="AE38">
            <v>4810.5500821018068</v>
          </cell>
          <cell r="AF38">
            <v>4810.5500821018068</v>
          </cell>
          <cell r="AG38">
            <v>4810.5500821018068</v>
          </cell>
          <cell r="AH38">
            <v>4810.5500821018068</v>
          </cell>
          <cell r="AI38">
            <v>4810.5500821018068</v>
          </cell>
          <cell r="AJ38">
            <v>4810.5500821018068</v>
          </cell>
          <cell r="AK38">
            <v>4810.5500821018068</v>
          </cell>
          <cell r="AL38">
            <v>57726.600985221681</v>
          </cell>
        </row>
        <row r="39">
          <cell r="C39">
            <v>121</v>
          </cell>
          <cell r="D39" t="str">
            <v>Used Vehicle</v>
          </cell>
          <cell r="E39">
            <v>1</v>
          </cell>
          <cell r="Z39">
            <v>0</v>
          </cell>
          <cell r="AA39">
            <v>0</v>
          </cell>
          <cell r="AB39">
            <v>0</v>
          </cell>
          <cell r="AC39">
            <v>0</v>
          </cell>
          <cell r="AD39">
            <v>0</v>
          </cell>
          <cell r="AE39">
            <v>0</v>
          </cell>
          <cell r="AF39">
            <v>0</v>
          </cell>
          <cell r="AG39">
            <v>0</v>
          </cell>
          <cell r="AH39">
            <v>0</v>
          </cell>
          <cell r="AI39">
            <v>0</v>
          </cell>
          <cell r="AJ39">
            <v>0</v>
          </cell>
          <cell r="AK39">
            <v>0</v>
          </cell>
          <cell r="AL39">
            <v>0</v>
          </cell>
        </row>
        <row r="40">
          <cell r="C40">
            <v>122</v>
          </cell>
          <cell r="D40" t="str">
            <v>LEX Used Vehicle</v>
          </cell>
          <cell r="E40">
            <v>1</v>
          </cell>
          <cell r="Z40">
            <v>725.0684181718666</v>
          </cell>
          <cell r="AA40">
            <v>725.0684181718666</v>
          </cell>
          <cell r="AB40">
            <v>725.0684181718666</v>
          </cell>
          <cell r="AC40">
            <v>725.0684181718666</v>
          </cell>
          <cell r="AD40">
            <v>725.0684181718666</v>
          </cell>
          <cell r="AE40">
            <v>725.0684181718666</v>
          </cell>
          <cell r="AF40">
            <v>725.0684181718666</v>
          </cell>
          <cell r="AG40">
            <v>725.0684181718666</v>
          </cell>
          <cell r="AH40">
            <v>725.0684181718666</v>
          </cell>
          <cell r="AI40">
            <v>725.0684181718666</v>
          </cell>
          <cell r="AJ40">
            <v>725.0684181718666</v>
          </cell>
          <cell r="AK40">
            <v>725.0684181718666</v>
          </cell>
          <cell r="AL40">
            <v>8700.8210180623973</v>
          </cell>
        </row>
        <row r="41">
          <cell r="C41">
            <v>210</v>
          </cell>
          <cell r="D41" t="str">
            <v>Used Vehicle</v>
          </cell>
          <cell r="E41">
            <v>2</v>
          </cell>
          <cell r="Z41">
            <v>2635.3448275862074</v>
          </cell>
          <cell r="AA41">
            <v>2635.3448275862074</v>
          </cell>
          <cell r="AB41">
            <v>2635.3448275862074</v>
          </cell>
          <cell r="AC41">
            <v>2635.3448275862074</v>
          </cell>
          <cell r="AD41">
            <v>2635.3448275862074</v>
          </cell>
          <cell r="AE41">
            <v>2635.3448275862074</v>
          </cell>
          <cell r="AF41">
            <v>2635.3448275862074</v>
          </cell>
          <cell r="AG41">
            <v>2635.3448275862074</v>
          </cell>
          <cell r="AH41">
            <v>2635.3448275862074</v>
          </cell>
          <cell r="AI41">
            <v>2635.3448275862074</v>
          </cell>
          <cell r="AJ41">
            <v>2635.3448275862074</v>
          </cell>
          <cell r="AK41">
            <v>2635.3448275862074</v>
          </cell>
          <cell r="AL41">
            <v>31624.137931034482</v>
          </cell>
        </row>
        <row r="42">
          <cell r="C42">
            <v>220</v>
          </cell>
          <cell r="D42" t="str">
            <v>Used Vehicle</v>
          </cell>
          <cell r="E42">
            <v>1</v>
          </cell>
          <cell r="Z42">
            <v>3769.4261995986139</v>
          </cell>
          <cell r="AA42">
            <v>3769.4261995986139</v>
          </cell>
          <cell r="AB42">
            <v>3769.4261995986139</v>
          </cell>
          <cell r="AC42">
            <v>3769.4261995986139</v>
          </cell>
          <cell r="AD42">
            <v>3769.4261995986139</v>
          </cell>
          <cell r="AE42">
            <v>3769.4261995986139</v>
          </cell>
          <cell r="AF42">
            <v>3769.4261995986139</v>
          </cell>
          <cell r="AG42">
            <v>3769.4261995986139</v>
          </cell>
          <cell r="AH42">
            <v>3769.4261995986139</v>
          </cell>
          <cell r="AI42">
            <v>3769.4261995986139</v>
          </cell>
          <cell r="AJ42">
            <v>3769.4261995986139</v>
          </cell>
          <cell r="AK42">
            <v>3769.4261995986139</v>
          </cell>
          <cell r="AL42">
            <v>45233.114395183373</v>
          </cell>
        </row>
        <row r="43">
          <cell r="C43">
            <v>100</v>
          </cell>
          <cell r="D43" t="str">
            <v>New Vehicle</v>
          </cell>
          <cell r="E43">
            <v>1</v>
          </cell>
          <cell r="Z43">
            <v>1625.2710903165955</v>
          </cell>
          <cell r="AA43">
            <v>1625.2710903165955</v>
          </cell>
          <cell r="AB43">
            <v>1625.2710903165955</v>
          </cell>
          <cell r="AC43">
            <v>1625.2710903165955</v>
          </cell>
          <cell r="AD43">
            <v>1625.2710903165955</v>
          </cell>
          <cell r="AE43">
            <v>1625.2710903165955</v>
          </cell>
          <cell r="AF43">
            <v>1625.2710903165955</v>
          </cell>
          <cell r="AG43">
            <v>1625.2710903165955</v>
          </cell>
          <cell r="AH43">
            <v>1625.2710903165955</v>
          </cell>
          <cell r="AI43">
            <v>1625.2710903165955</v>
          </cell>
          <cell r="AJ43">
            <v>1625.2710903165955</v>
          </cell>
          <cell r="AK43">
            <v>1625.2710903165955</v>
          </cell>
          <cell r="AL43">
            <v>19503.253083799147</v>
          </cell>
        </row>
        <row r="44">
          <cell r="C44">
            <v>110</v>
          </cell>
          <cell r="D44" t="str">
            <v>New Vehicle</v>
          </cell>
          <cell r="E44">
            <v>1</v>
          </cell>
          <cell r="Z44">
            <v>4431.1310521740761</v>
          </cell>
          <cell r="AA44">
            <v>4431.1310521740761</v>
          </cell>
          <cell r="AB44">
            <v>4431.1310521740761</v>
          </cell>
          <cell r="AC44">
            <v>4431.1310521740761</v>
          </cell>
          <cell r="AD44">
            <v>4431.1310521740761</v>
          </cell>
          <cell r="AE44">
            <v>4431.1310521740761</v>
          </cell>
          <cell r="AF44">
            <v>4431.1310521740761</v>
          </cell>
          <cell r="AG44">
            <v>4431.1310521740761</v>
          </cell>
          <cell r="AH44">
            <v>4431.1310521740761</v>
          </cell>
          <cell r="AI44">
            <v>4431.1310521740761</v>
          </cell>
          <cell r="AJ44">
            <v>4431.1310521740761</v>
          </cell>
          <cell r="AK44">
            <v>4431.1310521740761</v>
          </cell>
          <cell r="AL44">
            <v>53173.572626088899</v>
          </cell>
        </row>
        <row r="45">
          <cell r="C45">
            <v>112</v>
          </cell>
          <cell r="D45" t="str">
            <v>LEX New Vehicle</v>
          </cell>
          <cell r="E45">
            <v>1</v>
          </cell>
          <cell r="Z45">
            <v>3409.6449095188768</v>
          </cell>
          <cell r="AA45">
            <v>3409.6449095188768</v>
          </cell>
          <cell r="AB45">
            <v>3409.6449095188768</v>
          </cell>
          <cell r="AC45">
            <v>3409.6449095188768</v>
          </cell>
          <cell r="AD45">
            <v>3409.6449095188768</v>
          </cell>
          <cell r="AE45">
            <v>3409.6449095188768</v>
          </cell>
          <cell r="AF45">
            <v>3409.6449095188768</v>
          </cell>
          <cell r="AG45">
            <v>3409.6449095188768</v>
          </cell>
          <cell r="AH45">
            <v>3409.6449095188768</v>
          </cell>
          <cell r="AI45">
            <v>3409.6449095188768</v>
          </cell>
          <cell r="AJ45">
            <v>3409.6449095188768</v>
          </cell>
          <cell r="AK45">
            <v>3409.6449095188768</v>
          </cell>
          <cell r="AL45">
            <v>40915.738914226531</v>
          </cell>
        </row>
        <row r="46">
          <cell r="C46">
            <v>120</v>
          </cell>
          <cell r="D46" t="str">
            <v>Used Vehicle</v>
          </cell>
          <cell r="E46">
            <v>1</v>
          </cell>
          <cell r="Z46">
            <v>7100.2755112532659</v>
          </cell>
          <cell r="AA46">
            <v>7100.2755112532659</v>
          </cell>
          <cell r="AB46">
            <v>7100.2755112532659</v>
          </cell>
          <cell r="AC46">
            <v>7100.2755112532659</v>
          </cell>
          <cell r="AD46">
            <v>7100.2755112532659</v>
          </cell>
          <cell r="AE46">
            <v>7100.2755112532659</v>
          </cell>
          <cell r="AF46">
            <v>7100.2755112532659</v>
          </cell>
          <cell r="AG46">
            <v>7100.2755112532659</v>
          </cell>
          <cell r="AH46">
            <v>7100.2755112532659</v>
          </cell>
          <cell r="AI46">
            <v>7100.2755112532659</v>
          </cell>
          <cell r="AJ46">
            <v>7100.2755112532659</v>
          </cell>
          <cell r="AK46">
            <v>7100.2755112532659</v>
          </cell>
          <cell r="AL46">
            <v>85203.306135039194</v>
          </cell>
        </row>
        <row r="47">
          <cell r="C47">
            <v>121</v>
          </cell>
          <cell r="D47" t="str">
            <v>Used Vehicle</v>
          </cell>
          <cell r="E47">
            <v>1</v>
          </cell>
          <cell r="Z47">
            <v>176.5960255492632</v>
          </cell>
          <cell r="AA47">
            <v>176.5960255492632</v>
          </cell>
          <cell r="AB47">
            <v>176.5960255492632</v>
          </cell>
          <cell r="AC47">
            <v>176.5960255492632</v>
          </cell>
          <cell r="AD47">
            <v>176.5960255492632</v>
          </cell>
          <cell r="AE47">
            <v>176.5960255492632</v>
          </cell>
          <cell r="AF47">
            <v>176.5960255492632</v>
          </cell>
          <cell r="AG47">
            <v>176.5960255492632</v>
          </cell>
          <cell r="AH47">
            <v>176.5960255492632</v>
          </cell>
          <cell r="AI47">
            <v>176.5960255492632</v>
          </cell>
          <cell r="AJ47">
            <v>176.5960255492632</v>
          </cell>
          <cell r="AK47">
            <v>176.5960255492632</v>
          </cell>
          <cell r="AL47">
            <v>2119.1523065911583</v>
          </cell>
        </row>
        <row r="48">
          <cell r="C48">
            <v>122</v>
          </cell>
          <cell r="D48" t="str">
            <v>LEX Used Vehicle</v>
          </cell>
          <cell r="E48">
            <v>1</v>
          </cell>
          <cell r="Z48">
            <v>232.9296622764891</v>
          </cell>
          <cell r="AA48">
            <v>232.9296622764891</v>
          </cell>
          <cell r="AB48">
            <v>232.9296622764891</v>
          </cell>
          <cell r="AC48">
            <v>232.9296622764891</v>
          </cell>
          <cell r="AD48">
            <v>232.9296622764891</v>
          </cell>
          <cell r="AE48">
            <v>232.9296622764891</v>
          </cell>
          <cell r="AF48">
            <v>232.9296622764891</v>
          </cell>
          <cell r="AG48">
            <v>232.9296622764891</v>
          </cell>
          <cell r="AH48">
            <v>232.9296622764891</v>
          </cell>
          <cell r="AI48">
            <v>232.9296622764891</v>
          </cell>
          <cell r="AJ48">
            <v>232.9296622764891</v>
          </cell>
          <cell r="AK48">
            <v>232.9296622764891</v>
          </cell>
          <cell r="AL48">
            <v>2795.155947317869</v>
          </cell>
        </row>
        <row r="49">
          <cell r="C49">
            <v>130</v>
          </cell>
          <cell r="D49" t="str">
            <v>Parts</v>
          </cell>
          <cell r="E49">
            <v>3</v>
          </cell>
          <cell r="Z49">
            <v>253.19746472528411</v>
          </cell>
          <cell r="AA49">
            <v>253.19746472528411</v>
          </cell>
          <cell r="AB49">
            <v>253.19746472528411</v>
          </cell>
          <cell r="AC49">
            <v>253.19746472528411</v>
          </cell>
          <cell r="AD49">
            <v>253.19746472528411</v>
          </cell>
          <cell r="AE49">
            <v>253.19746472528411</v>
          </cell>
          <cell r="AF49">
            <v>253.19746472528411</v>
          </cell>
          <cell r="AG49">
            <v>253.19746472528411</v>
          </cell>
          <cell r="AH49">
            <v>253.19746472528411</v>
          </cell>
          <cell r="AI49">
            <v>253.19746472528411</v>
          </cell>
          <cell r="AJ49">
            <v>253.19746472528411</v>
          </cell>
          <cell r="AK49">
            <v>253.19746472528411</v>
          </cell>
          <cell r="AL49">
            <v>3038.3695767034092</v>
          </cell>
        </row>
        <row r="50">
          <cell r="C50">
            <v>140</v>
          </cell>
          <cell r="D50" t="str">
            <v>Service</v>
          </cell>
          <cell r="E50">
            <v>3</v>
          </cell>
          <cell r="Z50">
            <v>5336.8869327702478</v>
          </cell>
          <cell r="AA50">
            <v>5336.8869327702478</v>
          </cell>
          <cell r="AB50">
            <v>5336.8869327702478</v>
          </cell>
          <cell r="AC50">
            <v>5336.8869327702478</v>
          </cell>
          <cell r="AD50">
            <v>5336.8869327702478</v>
          </cell>
          <cell r="AE50">
            <v>5336.8869327702478</v>
          </cell>
          <cell r="AF50">
            <v>5336.8869327702478</v>
          </cell>
          <cell r="AG50">
            <v>5336.8869327702478</v>
          </cell>
          <cell r="AH50">
            <v>5336.8869327702478</v>
          </cell>
          <cell r="AI50">
            <v>5336.8869327702478</v>
          </cell>
          <cell r="AJ50">
            <v>5336.8869327702478</v>
          </cell>
          <cell r="AK50">
            <v>5336.8869327702478</v>
          </cell>
          <cell r="AL50">
            <v>64042.643193242977</v>
          </cell>
        </row>
        <row r="51">
          <cell r="C51">
            <v>142</v>
          </cell>
          <cell r="D51" t="str">
            <v>Lex Service</v>
          </cell>
          <cell r="E51">
            <v>3</v>
          </cell>
          <cell r="Z51">
            <v>2988.7608102592476</v>
          </cell>
          <cell r="AA51">
            <v>2988.7608102592476</v>
          </cell>
          <cell r="AB51">
            <v>2988.7608102592476</v>
          </cell>
          <cell r="AC51">
            <v>2988.7608102592476</v>
          </cell>
          <cell r="AD51">
            <v>2988.7608102592476</v>
          </cell>
          <cell r="AE51">
            <v>2988.7608102592476</v>
          </cell>
          <cell r="AF51">
            <v>2988.7608102592476</v>
          </cell>
          <cell r="AG51">
            <v>2988.7608102592476</v>
          </cell>
          <cell r="AH51">
            <v>2988.7608102592476</v>
          </cell>
          <cell r="AI51">
            <v>2988.7608102592476</v>
          </cell>
          <cell r="AJ51">
            <v>2988.7608102592476</v>
          </cell>
          <cell r="AK51">
            <v>2988.7608102592476</v>
          </cell>
          <cell r="AL51">
            <v>35865.129723110978</v>
          </cell>
        </row>
        <row r="52">
          <cell r="C52">
            <v>147</v>
          </cell>
          <cell r="D52" t="str">
            <v>Service</v>
          </cell>
          <cell r="E52">
            <v>3</v>
          </cell>
          <cell r="Z52">
            <v>251.94006336300336</v>
          </cell>
          <cell r="AA52">
            <v>251.94006336300336</v>
          </cell>
          <cell r="AB52">
            <v>251.94006336300336</v>
          </cell>
          <cell r="AC52">
            <v>251.94006336300336</v>
          </cell>
          <cell r="AD52">
            <v>251.94006336300336</v>
          </cell>
          <cell r="AE52">
            <v>251.94006336300336</v>
          </cell>
          <cell r="AF52">
            <v>251.94006336300336</v>
          </cell>
          <cell r="AG52">
            <v>251.94006336300336</v>
          </cell>
          <cell r="AH52">
            <v>251.94006336300336</v>
          </cell>
          <cell r="AI52">
            <v>251.94006336300336</v>
          </cell>
          <cell r="AJ52">
            <v>251.94006336300336</v>
          </cell>
          <cell r="AK52">
            <v>251.94006336300336</v>
          </cell>
          <cell r="AL52">
            <v>3023.2807603560409</v>
          </cell>
        </row>
        <row r="53">
          <cell r="C53">
            <v>210</v>
          </cell>
          <cell r="D53" t="str">
            <v>New Vehicle</v>
          </cell>
          <cell r="E53">
            <v>1</v>
          </cell>
          <cell r="Z53">
            <v>4994.5496473283374</v>
          </cell>
          <cell r="AA53">
            <v>4994.5496473283374</v>
          </cell>
          <cell r="AB53">
            <v>4994.5496473283374</v>
          </cell>
          <cell r="AC53">
            <v>4994.5496473283374</v>
          </cell>
          <cell r="AD53">
            <v>4994.5496473283374</v>
          </cell>
          <cell r="AE53">
            <v>4994.5496473283374</v>
          </cell>
          <cell r="AF53">
            <v>4994.5496473283374</v>
          </cell>
          <cell r="AG53">
            <v>4994.5496473283374</v>
          </cell>
          <cell r="AH53">
            <v>4994.5496473283374</v>
          </cell>
          <cell r="AI53">
            <v>4994.5496473283374</v>
          </cell>
          <cell r="AJ53">
            <v>4994.5496473283374</v>
          </cell>
          <cell r="AK53">
            <v>4994.5496473283374</v>
          </cell>
          <cell r="AL53">
            <v>59934.595767940038</v>
          </cell>
        </row>
        <row r="54">
          <cell r="C54">
            <v>220</v>
          </cell>
          <cell r="D54" t="str">
            <v>Used Vehicle</v>
          </cell>
          <cell r="E54">
            <v>1</v>
          </cell>
          <cell r="Z54">
            <v>4398.4701374428787</v>
          </cell>
          <cell r="AA54">
            <v>4398.4701374428787</v>
          </cell>
          <cell r="AB54">
            <v>4398.4701374428787</v>
          </cell>
          <cell r="AC54">
            <v>4398.4701374428787</v>
          </cell>
          <cell r="AD54">
            <v>4398.4701374428787</v>
          </cell>
          <cell r="AE54">
            <v>4398.4701374428787</v>
          </cell>
          <cell r="AF54">
            <v>4398.4701374428787</v>
          </cell>
          <cell r="AG54">
            <v>4398.4701374428787</v>
          </cell>
          <cell r="AH54">
            <v>4398.4701374428787</v>
          </cell>
          <cell r="AI54">
            <v>4398.4701374428787</v>
          </cell>
          <cell r="AJ54">
            <v>4398.4701374428787</v>
          </cell>
          <cell r="AK54">
            <v>4398.4701374428787</v>
          </cell>
          <cell r="AL54">
            <v>52781.64164931453</v>
          </cell>
        </row>
        <row r="55">
          <cell r="C55">
            <v>230</v>
          </cell>
          <cell r="D55" t="str">
            <v>Parts</v>
          </cell>
          <cell r="E55">
            <v>3</v>
          </cell>
          <cell r="Z55">
            <v>194.31956028244608</v>
          </cell>
          <cell r="AA55">
            <v>194.31956028244608</v>
          </cell>
          <cell r="AB55">
            <v>194.31956028244608</v>
          </cell>
          <cell r="AC55">
            <v>194.31956028244608</v>
          </cell>
          <cell r="AD55">
            <v>194.31956028244608</v>
          </cell>
          <cell r="AE55">
            <v>194.31956028244608</v>
          </cell>
          <cell r="AF55">
            <v>194.31956028244608</v>
          </cell>
          <cell r="AG55">
            <v>194.31956028244608</v>
          </cell>
          <cell r="AH55">
            <v>194.31956028244608</v>
          </cell>
          <cell r="AI55">
            <v>194.31956028244608</v>
          </cell>
          <cell r="AJ55">
            <v>194.31956028244608</v>
          </cell>
          <cell r="AK55">
            <v>194.31956028244608</v>
          </cell>
          <cell r="AL55">
            <v>2331.8347233893528</v>
          </cell>
        </row>
        <row r="56">
          <cell r="C56">
            <v>240</v>
          </cell>
          <cell r="D56" t="str">
            <v>Service</v>
          </cell>
          <cell r="E56">
            <v>3</v>
          </cell>
          <cell r="Z56">
            <v>2407.0437704301398</v>
          </cell>
          <cell r="AA56">
            <v>2407.0437704301398</v>
          </cell>
          <cell r="AB56">
            <v>2407.0437704301398</v>
          </cell>
          <cell r="AC56">
            <v>2407.0437704301398</v>
          </cell>
          <cell r="AD56">
            <v>2407.0437704301398</v>
          </cell>
          <cell r="AE56">
            <v>2407.0437704301398</v>
          </cell>
          <cell r="AF56">
            <v>2407.0437704301398</v>
          </cell>
          <cell r="AG56">
            <v>2407.0437704301398</v>
          </cell>
          <cell r="AH56">
            <v>2407.0437704301398</v>
          </cell>
          <cell r="AI56">
            <v>2407.0437704301398</v>
          </cell>
          <cell r="AJ56">
            <v>2407.0437704301398</v>
          </cell>
          <cell r="AK56">
            <v>2407.0437704301398</v>
          </cell>
          <cell r="AL56">
            <v>28884.52524516168</v>
          </cell>
        </row>
        <row r="57">
          <cell r="C57">
            <v>340</v>
          </cell>
          <cell r="D57" t="str">
            <v>Service</v>
          </cell>
          <cell r="E57">
            <v>3</v>
          </cell>
          <cell r="Z57">
            <v>3092.3638301876781</v>
          </cell>
          <cell r="AA57">
            <v>3092.3638301876781</v>
          </cell>
          <cell r="AB57">
            <v>3092.3638301876781</v>
          </cell>
          <cell r="AC57">
            <v>3092.3638301876781</v>
          </cell>
          <cell r="AD57">
            <v>3092.3638301876781</v>
          </cell>
          <cell r="AE57">
            <v>3092.3638301876781</v>
          </cell>
          <cell r="AF57">
            <v>3092.3638301876781</v>
          </cell>
          <cell r="AG57">
            <v>3092.3638301876781</v>
          </cell>
          <cell r="AH57">
            <v>3092.3638301876781</v>
          </cell>
          <cell r="AI57">
            <v>3092.3638301876781</v>
          </cell>
          <cell r="AJ57">
            <v>3092.3638301876781</v>
          </cell>
          <cell r="AK57">
            <v>3092.3638301876781</v>
          </cell>
          <cell r="AL57">
            <v>37108.365962252137</v>
          </cell>
        </row>
        <row r="58">
          <cell r="C58">
            <v>400</v>
          </cell>
          <cell r="D58" t="str">
            <v>New Vehicle</v>
          </cell>
          <cell r="E58">
            <v>1</v>
          </cell>
          <cell r="Z58">
            <v>0</v>
          </cell>
          <cell r="AA58">
            <v>0</v>
          </cell>
          <cell r="AB58">
            <v>0</v>
          </cell>
          <cell r="AC58">
            <v>0</v>
          </cell>
          <cell r="AD58">
            <v>0</v>
          </cell>
          <cell r="AE58">
            <v>0</v>
          </cell>
          <cell r="AF58">
            <v>0</v>
          </cell>
          <cell r="AG58">
            <v>0</v>
          </cell>
          <cell r="AH58">
            <v>0</v>
          </cell>
          <cell r="AI58">
            <v>0</v>
          </cell>
          <cell r="AJ58">
            <v>0</v>
          </cell>
          <cell r="AK58">
            <v>0</v>
          </cell>
          <cell r="AL58">
            <v>0</v>
          </cell>
        </row>
        <row r="59">
          <cell r="C59">
            <v>430</v>
          </cell>
          <cell r="D59" t="str">
            <v>Parts</v>
          </cell>
          <cell r="E59">
            <v>3</v>
          </cell>
          <cell r="Z59">
            <v>29.888464643030002</v>
          </cell>
          <cell r="AA59">
            <v>29.888464643030002</v>
          </cell>
          <cell r="AB59">
            <v>29.888464643030002</v>
          </cell>
          <cell r="AC59">
            <v>29.888464643030002</v>
          </cell>
          <cell r="AD59">
            <v>29.888464643030002</v>
          </cell>
          <cell r="AE59">
            <v>29.888464643030002</v>
          </cell>
          <cell r="AF59">
            <v>29.888464643030002</v>
          </cell>
          <cell r="AG59">
            <v>29.888464643030002</v>
          </cell>
          <cell r="AH59">
            <v>29.888464643030002</v>
          </cell>
          <cell r="AI59">
            <v>29.888464643030002</v>
          </cell>
          <cell r="AJ59">
            <v>29.888464643030002</v>
          </cell>
          <cell r="AK59">
            <v>29.888464643030002</v>
          </cell>
          <cell r="AL59">
            <v>358.66157571635995</v>
          </cell>
        </row>
        <row r="60">
          <cell r="C60">
            <v>440</v>
          </cell>
          <cell r="D60" t="str">
            <v>Service</v>
          </cell>
          <cell r="E60">
            <v>3</v>
          </cell>
          <cell r="Z60">
            <v>6995.3719203245055</v>
          </cell>
          <cell r="AA60">
            <v>6995.3719203245055</v>
          </cell>
          <cell r="AB60">
            <v>6995.3719203245055</v>
          </cell>
          <cell r="AC60">
            <v>6995.3719203245055</v>
          </cell>
          <cell r="AD60">
            <v>6995.3719203245055</v>
          </cell>
          <cell r="AE60">
            <v>6995.3719203245055</v>
          </cell>
          <cell r="AF60">
            <v>6995.3719203245055</v>
          </cell>
          <cell r="AG60">
            <v>6995.3719203245055</v>
          </cell>
          <cell r="AH60">
            <v>6995.3719203245055</v>
          </cell>
          <cell r="AI60">
            <v>6995.3719203245055</v>
          </cell>
          <cell r="AJ60">
            <v>6995.3719203245055</v>
          </cell>
          <cell r="AK60">
            <v>6995.3719203245055</v>
          </cell>
          <cell r="AL60">
            <v>83944.463043894066</v>
          </cell>
        </row>
        <row r="61">
          <cell r="C61">
            <v>935</v>
          </cell>
          <cell r="D61" t="str">
            <v>Bridgestone</v>
          </cell>
          <cell r="E61">
            <v>3</v>
          </cell>
          <cell r="Z61">
            <v>144.30308059002448</v>
          </cell>
          <cell r="AA61">
            <v>144.30308059002448</v>
          </cell>
          <cell r="AB61">
            <v>144.30308059002448</v>
          </cell>
          <cell r="AC61">
            <v>144.30308059002448</v>
          </cell>
          <cell r="AD61">
            <v>144.30308059002448</v>
          </cell>
          <cell r="AE61">
            <v>144.30308059002448</v>
          </cell>
          <cell r="AF61">
            <v>144.30308059002448</v>
          </cell>
          <cell r="AG61">
            <v>144.30308059002448</v>
          </cell>
          <cell r="AH61">
            <v>144.30308059002448</v>
          </cell>
          <cell r="AI61">
            <v>144.30308059002448</v>
          </cell>
          <cell r="AJ61">
            <v>144.30308059002448</v>
          </cell>
          <cell r="AK61">
            <v>144.30308059002448</v>
          </cell>
          <cell r="AL61">
            <v>1731.6369670802933</v>
          </cell>
        </row>
        <row r="62">
          <cell r="C62">
            <v>936</v>
          </cell>
          <cell r="D62" t="str">
            <v>Bridgestone</v>
          </cell>
          <cell r="E62">
            <v>3</v>
          </cell>
          <cell r="Z62">
            <v>132.79939989794349</v>
          </cell>
          <cell r="AA62">
            <v>132.79939989794349</v>
          </cell>
          <cell r="AB62">
            <v>132.79939989794349</v>
          </cell>
          <cell r="AC62">
            <v>132.79939989794349</v>
          </cell>
          <cell r="AD62">
            <v>132.79939989794349</v>
          </cell>
          <cell r="AE62">
            <v>132.79939989794349</v>
          </cell>
          <cell r="AF62">
            <v>132.79939989794349</v>
          </cell>
          <cell r="AG62">
            <v>132.79939989794349</v>
          </cell>
          <cell r="AH62">
            <v>132.79939989794349</v>
          </cell>
          <cell r="AI62">
            <v>132.79939989794349</v>
          </cell>
          <cell r="AJ62">
            <v>132.79939989794349</v>
          </cell>
          <cell r="AK62">
            <v>132.79939989794349</v>
          </cell>
          <cell r="AL62">
            <v>1593.5927987753214</v>
          </cell>
        </row>
        <row r="63">
          <cell r="C63">
            <v>110</v>
          </cell>
          <cell r="D63" t="str">
            <v>New Vehicle</v>
          </cell>
          <cell r="E63">
            <v>2</v>
          </cell>
          <cell r="Z63">
            <v>0</v>
          </cell>
          <cell r="AA63">
            <v>0</v>
          </cell>
          <cell r="AB63">
            <v>0</v>
          </cell>
          <cell r="AC63">
            <v>0</v>
          </cell>
          <cell r="AD63">
            <v>0</v>
          </cell>
          <cell r="AE63">
            <v>0</v>
          </cell>
          <cell r="AF63">
            <v>0</v>
          </cell>
          <cell r="AG63">
            <v>0</v>
          </cell>
          <cell r="AH63">
            <v>0</v>
          </cell>
          <cell r="AI63">
            <v>0</v>
          </cell>
          <cell r="AJ63">
            <v>0</v>
          </cell>
          <cell r="AK63">
            <v>0</v>
          </cell>
          <cell r="AL63">
            <v>0</v>
          </cell>
        </row>
        <row r="64">
          <cell r="C64">
            <v>112</v>
          </cell>
          <cell r="D64" t="str">
            <v>LEX New Vehicle</v>
          </cell>
          <cell r="E64">
            <v>2</v>
          </cell>
          <cell r="Z64">
            <v>0</v>
          </cell>
          <cell r="AA64">
            <v>0</v>
          </cell>
          <cell r="AB64">
            <v>0</v>
          </cell>
          <cell r="AC64">
            <v>0</v>
          </cell>
          <cell r="AD64">
            <v>0</v>
          </cell>
          <cell r="AE64">
            <v>0</v>
          </cell>
          <cell r="AF64">
            <v>0</v>
          </cell>
          <cell r="AG64">
            <v>0</v>
          </cell>
          <cell r="AH64">
            <v>0</v>
          </cell>
          <cell r="AI64">
            <v>0</v>
          </cell>
          <cell r="AJ64">
            <v>0</v>
          </cell>
          <cell r="AK64">
            <v>0</v>
          </cell>
          <cell r="AL64">
            <v>0</v>
          </cell>
        </row>
        <row r="65">
          <cell r="C65">
            <v>120</v>
          </cell>
          <cell r="D65" t="str">
            <v>Used Vehicle</v>
          </cell>
          <cell r="E65">
            <v>2</v>
          </cell>
          <cell r="Z65">
            <v>0</v>
          </cell>
          <cell r="AA65">
            <v>0</v>
          </cell>
          <cell r="AB65">
            <v>0</v>
          </cell>
          <cell r="AC65">
            <v>0</v>
          </cell>
          <cell r="AD65">
            <v>0</v>
          </cell>
          <cell r="AE65">
            <v>0</v>
          </cell>
          <cell r="AF65">
            <v>0</v>
          </cell>
          <cell r="AG65">
            <v>0</v>
          </cell>
          <cell r="AH65">
            <v>0</v>
          </cell>
          <cell r="AI65">
            <v>0</v>
          </cell>
          <cell r="AJ65">
            <v>0</v>
          </cell>
          <cell r="AK65">
            <v>0</v>
          </cell>
          <cell r="AL65">
            <v>0</v>
          </cell>
        </row>
        <row r="66">
          <cell r="C66">
            <v>121</v>
          </cell>
          <cell r="D66" t="str">
            <v>Used Vehicle</v>
          </cell>
          <cell r="E66">
            <v>2</v>
          </cell>
          <cell r="Z66">
            <v>0</v>
          </cell>
          <cell r="AA66">
            <v>0</v>
          </cell>
          <cell r="AB66">
            <v>0</v>
          </cell>
          <cell r="AC66">
            <v>0</v>
          </cell>
          <cell r="AD66">
            <v>0</v>
          </cell>
          <cell r="AE66">
            <v>0</v>
          </cell>
          <cell r="AF66">
            <v>0</v>
          </cell>
          <cell r="AG66">
            <v>0</v>
          </cell>
          <cell r="AH66">
            <v>0</v>
          </cell>
          <cell r="AI66">
            <v>0</v>
          </cell>
          <cell r="AJ66">
            <v>0</v>
          </cell>
          <cell r="AK66">
            <v>0</v>
          </cell>
          <cell r="AL66">
            <v>0</v>
          </cell>
        </row>
        <row r="67">
          <cell r="C67">
            <v>122</v>
          </cell>
          <cell r="D67" t="str">
            <v>LEX Used Vehicle</v>
          </cell>
          <cell r="E67">
            <v>2</v>
          </cell>
          <cell r="Z67">
            <v>0</v>
          </cell>
          <cell r="AA67">
            <v>0</v>
          </cell>
          <cell r="AB67">
            <v>0</v>
          </cell>
          <cell r="AC67">
            <v>0</v>
          </cell>
          <cell r="AD67">
            <v>0</v>
          </cell>
          <cell r="AE67">
            <v>0</v>
          </cell>
          <cell r="AF67">
            <v>0</v>
          </cell>
          <cell r="AG67">
            <v>0</v>
          </cell>
          <cell r="AH67">
            <v>0</v>
          </cell>
          <cell r="AI67">
            <v>0</v>
          </cell>
          <cell r="AJ67">
            <v>0</v>
          </cell>
          <cell r="AK67">
            <v>0</v>
          </cell>
          <cell r="AL67">
            <v>0</v>
          </cell>
        </row>
        <row r="68">
          <cell r="C68">
            <v>130</v>
          </cell>
          <cell r="D68" t="str">
            <v>Parts</v>
          </cell>
          <cell r="E68">
            <v>3</v>
          </cell>
          <cell r="Z68">
            <v>0</v>
          </cell>
          <cell r="AA68">
            <v>0</v>
          </cell>
          <cell r="AB68">
            <v>0</v>
          </cell>
          <cell r="AC68">
            <v>0</v>
          </cell>
          <cell r="AD68">
            <v>0</v>
          </cell>
          <cell r="AE68">
            <v>0</v>
          </cell>
          <cell r="AF68">
            <v>0</v>
          </cell>
          <cell r="AG68">
            <v>0</v>
          </cell>
          <cell r="AH68">
            <v>0</v>
          </cell>
          <cell r="AI68">
            <v>0</v>
          </cell>
          <cell r="AJ68">
            <v>0</v>
          </cell>
          <cell r="AK68">
            <v>0</v>
          </cell>
          <cell r="AL68">
            <v>0</v>
          </cell>
        </row>
        <row r="69">
          <cell r="C69">
            <v>140</v>
          </cell>
          <cell r="D69" t="str">
            <v>Service</v>
          </cell>
          <cell r="E69">
            <v>3</v>
          </cell>
          <cell r="Z69">
            <v>0</v>
          </cell>
          <cell r="AA69">
            <v>0</v>
          </cell>
          <cell r="AB69">
            <v>0</v>
          </cell>
          <cell r="AC69">
            <v>0</v>
          </cell>
          <cell r="AD69">
            <v>0</v>
          </cell>
          <cell r="AE69">
            <v>0</v>
          </cell>
          <cell r="AF69">
            <v>0</v>
          </cell>
          <cell r="AG69">
            <v>0</v>
          </cell>
          <cell r="AH69">
            <v>0</v>
          </cell>
          <cell r="AI69">
            <v>0</v>
          </cell>
          <cell r="AJ69">
            <v>0</v>
          </cell>
          <cell r="AK69">
            <v>0</v>
          </cell>
          <cell r="AL69">
            <v>0</v>
          </cell>
        </row>
        <row r="70">
          <cell r="C70">
            <v>160</v>
          </cell>
          <cell r="D70" t="str">
            <v>F&amp;I</v>
          </cell>
          <cell r="E70">
            <v>3</v>
          </cell>
          <cell r="Z70">
            <v>0</v>
          </cell>
          <cell r="AA70">
            <v>0</v>
          </cell>
          <cell r="AB70">
            <v>0</v>
          </cell>
          <cell r="AC70">
            <v>0</v>
          </cell>
          <cell r="AD70">
            <v>0</v>
          </cell>
          <cell r="AE70">
            <v>0</v>
          </cell>
          <cell r="AF70">
            <v>0</v>
          </cell>
          <cell r="AG70">
            <v>0</v>
          </cell>
          <cell r="AH70">
            <v>0</v>
          </cell>
          <cell r="AI70">
            <v>0</v>
          </cell>
          <cell r="AJ70">
            <v>0</v>
          </cell>
          <cell r="AK70">
            <v>0</v>
          </cell>
          <cell r="AL70">
            <v>0</v>
          </cell>
        </row>
        <row r="71">
          <cell r="C71">
            <v>210</v>
          </cell>
          <cell r="D71" t="str">
            <v>New Vehicle</v>
          </cell>
          <cell r="E71">
            <v>2</v>
          </cell>
          <cell r="Z71">
            <v>0</v>
          </cell>
          <cell r="AA71">
            <v>0</v>
          </cell>
          <cell r="AB71">
            <v>0</v>
          </cell>
          <cell r="AC71">
            <v>0</v>
          </cell>
          <cell r="AD71">
            <v>0</v>
          </cell>
          <cell r="AE71">
            <v>0</v>
          </cell>
          <cell r="AF71">
            <v>0</v>
          </cell>
          <cell r="AG71">
            <v>0</v>
          </cell>
          <cell r="AH71">
            <v>0</v>
          </cell>
          <cell r="AI71">
            <v>0</v>
          </cell>
          <cell r="AJ71">
            <v>0</v>
          </cell>
          <cell r="AK71">
            <v>0</v>
          </cell>
          <cell r="AL71">
            <v>0</v>
          </cell>
        </row>
        <row r="72">
          <cell r="C72">
            <v>220</v>
          </cell>
          <cell r="D72" t="str">
            <v>Used Vehicle</v>
          </cell>
          <cell r="E72">
            <v>2</v>
          </cell>
          <cell r="Z72">
            <v>0</v>
          </cell>
          <cell r="AA72">
            <v>0</v>
          </cell>
          <cell r="AB72">
            <v>0</v>
          </cell>
          <cell r="AC72">
            <v>0</v>
          </cell>
          <cell r="AD72">
            <v>0</v>
          </cell>
          <cell r="AE72">
            <v>0</v>
          </cell>
          <cell r="AF72">
            <v>0</v>
          </cell>
          <cell r="AG72">
            <v>0</v>
          </cell>
          <cell r="AH72">
            <v>0</v>
          </cell>
          <cell r="AI72">
            <v>0</v>
          </cell>
          <cell r="AJ72">
            <v>0</v>
          </cell>
          <cell r="AK72">
            <v>0</v>
          </cell>
          <cell r="AL72">
            <v>0</v>
          </cell>
        </row>
        <row r="73">
          <cell r="C73">
            <v>230</v>
          </cell>
          <cell r="D73" t="str">
            <v>Parts</v>
          </cell>
          <cell r="E73">
            <v>3</v>
          </cell>
          <cell r="Z73">
            <v>0</v>
          </cell>
          <cell r="AA73">
            <v>0</v>
          </cell>
          <cell r="AB73">
            <v>0</v>
          </cell>
          <cell r="AC73">
            <v>0</v>
          </cell>
          <cell r="AD73">
            <v>0</v>
          </cell>
          <cell r="AE73">
            <v>0</v>
          </cell>
          <cell r="AF73">
            <v>0</v>
          </cell>
          <cell r="AG73">
            <v>0</v>
          </cell>
          <cell r="AH73">
            <v>0</v>
          </cell>
          <cell r="AI73">
            <v>0</v>
          </cell>
          <cell r="AJ73">
            <v>0</v>
          </cell>
          <cell r="AK73">
            <v>0</v>
          </cell>
          <cell r="AL73">
            <v>0</v>
          </cell>
        </row>
        <row r="74">
          <cell r="C74">
            <v>240</v>
          </cell>
          <cell r="D74" t="str">
            <v>Service</v>
          </cell>
          <cell r="E74">
            <v>3</v>
          </cell>
          <cell r="Z74">
            <v>0</v>
          </cell>
          <cell r="AA74">
            <v>0</v>
          </cell>
          <cell r="AB74">
            <v>0</v>
          </cell>
          <cell r="AC74">
            <v>0</v>
          </cell>
          <cell r="AD74">
            <v>0</v>
          </cell>
          <cell r="AE74">
            <v>0</v>
          </cell>
          <cell r="AF74">
            <v>0</v>
          </cell>
          <cell r="AG74">
            <v>0</v>
          </cell>
          <cell r="AH74">
            <v>0</v>
          </cell>
          <cell r="AI74">
            <v>0</v>
          </cell>
          <cell r="AJ74">
            <v>0</v>
          </cell>
          <cell r="AK74">
            <v>0</v>
          </cell>
          <cell r="AL74">
            <v>0</v>
          </cell>
        </row>
        <row r="75">
          <cell r="C75">
            <v>340</v>
          </cell>
          <cell r="D75" t="str">
            <v>Service</v>
          </cell>
          <cell r="E75">
            <v>3</v>
          </cell>
          <cell r="Z75">
            <v>0</v>
          </cell>
          <cell r="AA75">
            <v>0</v>
          </cell>
          <cell r="AB75">
            <v>0</v>
          </cell>
          <cell r="AC75">
            <v>0</v>
          </cell>
          <cell r="AD75">
            <v>0</v>
          </cell>
          <cell r="AE75">
            <v>0</v>
          </cell>
          <cell r="AF75">
            <v>0</v>
          </cell>
          <cell r="AG75">
            <v>0</v>
          </cell>
          <cell r="AH75">
            <v>0</v>
          </cell>
          <cell r="AI75">
            <v>0</v>
          </cell>
          <cell r="AJ75">
            <v>0</v>
          </cell>
          <cell r="AK75">
            <v>0</v>
          </cell>
          <cell r="AL75">
            <v>0</v>
          </cell>
        </row>
        <row r="76">
          <cell r="C76">
            <v>440</v>
          </cell>
          <cell r="D76" t="str">
            <v>Service</v>
          </cell>
          <cell r="E76">
            <v>3</v>
          </cell>
          <cell r="Z76">
            <v>0</v>
          </cell>
          <cell r="AA76">
            <v>0</v>
          </cell>
          <cell r="AB76">
            <v>0</v>
          </cell>
          <cell r="AC76">
            <v>0</v>
          </cell>
          <cell r="AD76">
            <v>0</v>
          </cell>
          <cell r="AE76">
            <v>0</v>
          </cell>
          <cell r="AF76">
            <v>0</v>
          </cell>
          <cell r="AG76">
            <v>0</v>
          </cell>
          <cell r="AH76">
            <v>0</v>
          </cell>
          <cell r="AI76">
            <v>0</v>
          </cell>
          <cell r="AJ76">
            <v>0</v>
          </cell>
          <cell r="AK76">
            <v>0</v>
          </cell>
          <cell r="AL76">
            <v>0</v>
          </cell>
        </row>
        <row r="77">
          <cell r="C77">
            <v>935</v>
          </cell>
          <cell r="D77" t="str">
            <v>Bridgestone</v>
          </cell>
          <cell r="E77">
            <v>3</v>
          </cell>
          <cell r="Z77">
            <v>0</v>
          </cell>
          <cell r="AA77">
            <v>0</v>
          </cell>
          <cell r="AB77">
            <v>0</v>
          </cell>
          <cell r="AC77">
            <v>0</v>
          </cell>
          <cell r="AD77">
            <v>0</v>
          </cell>
          <cell r="AE77">
            <v>0</v>
          </cell>
          <cell r="AF77">
            <v>0</v>
          </cell>
          <cell r="AG77">
            <v>0</v>
          </cell>
          <cell r="AH77">
            <v>0</v>
          </cell>
          <cell r="AI77">
            <v>0</v>
          </cell>
          <cell r="AJ77">
            <v>0</v>
          </cell>
          <cell r="AK77">
            <v>0</v>
          </cell>
          <cell r="AL77">
            <v>0</v>
          </cell>
        </row>
        <row r="78">
          <cell r="C78">
            <v>936</v>
          </cell>
          <cell r="D78" t="str">
            <v>Bridgestone</v>
          </cell>
          <cell r="E78">
            <v>3</v>
          </cell>
          <cell r="Z78">
            <v>0</v>
          </cell>
          <cell r="AA78">
            <v>0</v>
          </cell>
          <cell r="AB78">
            <v>0</v>
          </cell>
          <cell r="AC78">
            <v>0</v>
          </cell>
          <cell r="AD78">
            <v>0</v>
          </cell>
          <cell r="AE78">
            <v>0</v>
          </cell>
          <cell r="AF78">
            <v>0</v>
          </cell>
          <cell r="AG78">
            <v>0</v>
          </cell>
          <cell r="AH78">
            <v>0</v>
          </cell>
          <cell r="AI78">
            <v>0</v>
          </cell>
          <cell r="AJ78">
            <v>0</v>
          </cell>
          <cell r="AK78">
            <v>0</v>
          </cell>
          <cell r="AL78">
            <v>0</v>
          </cell>
        </row>
        <row r="79">
          <cell r="C79">
            <v>110</v>
          </cell>
          <cell r="D79" t="str">
            <v>New Vehicle</v>
          </cell>
          <cell r="E79">
            <v>2</v>
          </cell>
          <cell r="Z79">
            <v>24000</v>
          </cell>
          <cell r="AA79">
            <v>24000</v>
          </cell>
          <cell r="AB79">
            <v>24000</v>
          </cell>
          <cell r="AC79">
            <v>24000</v>
          </cell>
          <cell r="AD79">
            <v>24000</v>
          </cell>
          <cell r="AE79">
            <v>24000</v>
          </cell>
          <cell r="AF79">
            <v>24000</v>
          </cell>
          <cell r="AG79">
            <v>24000</v>
          </cell>
          <cell r="AH79">
            <v>24000</v>
          </cell>
          <cell r="AI79">
            <v>24000</v>
          </cell>
          <cell r="AJ79">
            <v>24000</v>
          </cell>
          <cell r="AK79">
            <v>24000</v>
          </cell>
          <cell r="AL79">
            <v>288000</v>
          </cell>
        </row>
        <row r="80">
          <cell r="C80">
            <v>112</v>
          </cell>
          <cell r="D80" t="str">
            <v>LEX New Vehicle</v>
          </cell>
          <cell r="E80">
            <v>2</v>
          </cell>
          <cell r="Z80">
            <v>14280</v>
          </cell>
          <cell r="AA80">
            <v>14280</v>
          </cell>
          <cell r="AB80">
            <v>14280</v>
          </cell>
          <cell r="AC80">
            <v>14280</v>
          </cell>
          <cell r="AD80">
            <v>14280</v>
          </cell>
          <cell r="AE80">
            <v>14280</v>
          </cell>
          <cell r="AF80">
            <v>14280</v>
          </cell>
          <cell r="AG80">
            <v>14280</v>
          </cell>
          <cell r="AH80">
            <v>14280</v>
          </cell>
          <cell r="AI80">
            <v>14280</v>
          </cell>
          <cell r="AJ80">
            <v>14280</v>
          </cell>
          <cell r="AK80">
            <v>14280</v>
          </cell>
          <cell r="AL80">
            <v>171360</v>
          </cell>
        </row>
        <row r="81">
          <cell r="C81">
            <v>120</v>
          </cell>
          <cell r="D81" t="str">
            <v>Used Vehicle</v>
          </cell>
          <cell r="E81">
            <v>2</v>
          </cell>
          <cell r="Z81">
            <v>22000</v>
          </cell>
          <cell r="AA81">
            <v>22000</v>
          </cell>
          <cell r="AB81">
            <v>22000</v>
          </cell>
          <cell r="AC81">
            <v>22000</v>
          </cell>
          <cell r="AD81">
            <v>22000</v>
          </cell>
          <cell r="AE81">
            <v>22000</v>
          </cell>
          <cell r="AF81">
            <v>22000</v>
          </cell>
          <cell r="AG81">
            <v>22000</v>
          </cell>
          <cell r="AH81">
            <v>22000</v>
          </cell>
          <cell r="AI81">
            <v>22000</v>
          </cell>
          <cell r="AJ81">
            <v>22000</v>
          </cell>
          <cell r="AK81">
            <v>22000</v>
          </cell>
          <cell r="AL81">
            <v>264000</v>
          </cell>
        </row>
        <row r="82">
          <cell r="C82">
            <v>121</v>
          </cell>
          <cell r="D82" t="str">
            <v>Used Vehicle</v>
          </cell>
          <cell r="E82">
            <v>2</v>
          </cell>
          <cell r="Z82">
            <v>0</v>
          </cell>
          <cell r="AA82">
            <v>0</v>
          </cell>
          <cell r="AB82">
            <v>0</v>
          </cell>
          <cell r="AC82">
            <v>0</v>
          </cell>
          <cell r="AD82">
            <v>0</v>
          </cell>
          <cell r="AE82">
            <v>0</v>
          </cell>
          <cell r="AF82">
            <v>0</v>
          </cell>
          <cell r="AG82">
            <v>0</v>
          </cell>
          <cell r="AH82">
            <v>0</v>
          </cell>
          <cell r="AI82">
            <v>0</v>
          </cell>
          <cell r="AJ82">
            <v>0</v>
          </cell>
          <cell r="AK82">
            <v>0</v>
          </cell>
          <cell r="AL82">
            <v>0</v>
          </cell>
        </row>
        <row r="83">
          <cell r="C83">
            <v>122</v>
          </cell>
          <cell r="D83" t="str">
            <v>LEX Used Vehicle</v>
          </cell>
          <cell r="E83">
            <v>2</v>
          </cell>
          <cell r="Z83">
            <v>6120</v>
          </cell>
          <cell r="AA83">
            <v>6120</v>
          </cell>
          <cell r="AB83">
            <v>6120</v>
          </cell>
          <cell r="AC83">
            <v>6120</v>
          </cell>
          <cell r="AD83">
            <v>6120</v>
          </cell>
          <cell r="AE83">
            <v>6120</v>
          </cell>
          <cell r="AF83">
            <v>6120</v>
          </cell>
          <cell r="AG83">
            <v>6120</v>
          </cell>
          <cell r="AH83">
            <v>6120</v>
          </cell>
          <cell r="AI83">
            <v>6120</v>
          </cell>
          <cell r="AJ83">
            <v>6120</v>
          </cell>
          <cell r="AK83">
            <v>6120</v>
          </cell>
          <cell r="AL83">
            <v>73440</v>
          </cell>
        </row>
        <row r="84">
          <cell r="C84">
            <v>140</v>
          </cell>
          <cell r="D84" t="str">
            <v>Service</v>
          </cell>
          <cell r="E84">
            <v>3</v>
          </cell>
          <cell r="Z84">
            <v>0</v>
          </cell>
          <cell r="AA84">
            <v>0</v>
          </cell>
          <cell r="AB84">
            <v>0</v>
          </cell>
          <cell r="AC84">
            <v>0</v>
          </cell>
          <cell r="AD84">
            <v>0</v>
          </cell>
          <cell r="AE84">
            <v>0</v>
          </cell>
          <cell r="AF84">
            <v>0</v>
          </cell>
          <cell r="AG84">
            <v>0</v>
          </cell>
          <cell r="AH84">
            <v>0</v>
          </cell>
          <cell r="AI84">
            <v>0</v>
          </cell>
          <cell r="AJ84">
            <v>0</v>
          </cell>
          <cell r="AK84">
            <v>0</v>
          </cell>
          <cell r="AL84">
            <v>0</v>
          </cell>
        </row>
        <row r="85">
          <cell r="C85">
            <v>150</v>
          </cell>
          <cell r="D85" t="str">
            <v>Retail Detailing</v>
          </cell>
          <cell r="E85">
            <v>3</v>
          </cell>
          <cell r="Z85">
            <v>0</v>
          </cell>
          <cell r="AA85">
            <v>0</v>
          </cell>
          <cell r="AB85">
            <v>0</v>
          </cell>
          <cell r="AC85">
            <v>0</v>
          </cell>
          <cell r="AD85">
            <v>0</v>
          </cell>
          <cell r="AE85">
            <v>0</v>
          </cell>
          <cell r="AF85">
            <v>0</v>
          </cell>
          <cell r="AG85">
            <v>0</v>
          </cell>
          <cell r="AH85">
            <v>0</v>
          </cell>
          <cell r="AI85">
            <v>0</v>
          </cell>
          <cell r="AJ85">
            <v>0</v>
          </cell>
          <cell r="AK85">
            <v>0</v>
          </cell>
          <cell r="AL85">
            <v>0</v>
          </cell>
        </row>
        <row r="86">
          <cell r="C86">
            <v>160</v>
          </cell>
          <cell r="D86" t="str">
            <v>F&amp;I</v>
          </cell>
          <cell r="E86">
            <v>3</v>
          </cell>
          <cell r="Z86">
            <v>0</v>
          </cell>
          <cell r="AA86">
            <v>0</v>
          </cell>
          <cell r="AB86">
            <v>0</v>
          </cell>
          <cell r="AC86">
            <v>0</v>
          </cell>
          <cell r="AD86">
            <v>0</v>
          </cell>
          <cell r="AE86">
            <v>0</v>
          </cell>
          <cell r="AF86">
            <v>0</v>
          </cell>
          <cell r="AG86">
            <v>0</v>
          </cell>
          <cell r="AH86">
            <v>0</v>
          </cell>
          <cell r="AI86">
            <v>0</v>
          </cell>
          <cell r="AJ86">
            <v>0</v>
          </cell>
          <cell r="AK86">
            <v>0</v>
          </cell>
          <cell r="AL86">
            <v>0</v>
          </cell>
        </row>
        <row r="87">
          <cell r="C87">
            <v>210</v>
          </cell>
          <cell r="D87" t="str">
            <v>New Vehicle</v>
          </cell>
          <cell r="E87">
            <v>2</v>
          </cell>
          <cell r="Z87">
            <v>9600</v>
          </cell>
          <cell r="AA87">
            <v>9600</v>
          </cell>
          <cell r="AB87">
            <v>9600</v>
          </cell>
          <cell r="AC87">
            <v>9600</v>
          </cell>
          <cell r="AD87">
            <v>9600</v>
          </cell>
          <cell r="AE87">
            <v>9600</v>
          </cell>
          <cell r="AF87">
            <v>9600</v>
          </cell>
          <cell r="AG87">
            <v>9600</v>
          </cell>
          <cell r="AH87">
            <v>9600</v>
          </cell>
          <cell r="AI87">
            <v>9600</v>
          </cell>
          <cell r="AJ87">
            <v>9600</v>
          </cell>
          <cell r="AK87">
            <v>9600</v>
          </cell>
          <cell r="AL87">
            <v>115200</v>
          </cell>
        </row>
        <row r="88">
          <cell r="C88">
            <v>220</v>
          </cell>
          <cell r="D88" t="str">
            <v>Used Vehicle</v>
          </cell>
          <cell r="E88">
            <v>2</v>
          </cell>
          <cell r="Z88">
            <v>18400</v>
          </cell>
          <cell r="AA88">
            <v>18400</v>
          </cell>
          <cell r="AB88">
            <v>18400</v>
          </cell>
          <cell r="AC88">
            <v>18400</v>
          </cell>
          <cell r="AD88">
            <v>18400</v>
          </cell>
          <cell r="AE88">
            <v>18400</v>
          </cell>
          <cell r="AF88">
            <v>18400</v>
          </cell>
          <cell r="AG88">
            <v>18400</v>
          </cell>
          <cell r="AH88">
            <v>18400</v>
          </cell>
          <cell r="AI88">
            <v>18400</v>
          </cell>
          <cell r="AJ88">
            <v>18400</v>
          </cell>
          <cell r="AK88">
            <v>18400</v>
          </cell>
          <cell r="AL88">
            <v>220800</v>
          </cell>
        </row>
        <row r="89">
          <cell r="C89">
            <v>260</v>
          </cell>
          <cell r="D89" t="str">
            <v>F&amp;I</v>
          </cell>
          <cell r="E89">
            <v>3</v>
          </cell>
          <cell r="Z89">
            <v>0</v>
          </cell>
          <cell r="AA89">
            <v>0</v>
          </cell>
          <cell r="AB89">
            <v>0</v>
          </cell>
          <cell r="AC89">
            <v>0</v>
          </cell>
          <cell r="AD89">
            <v>0</v>
          </cell>
          <cell r="AE89">
            <v>0</v>
          </cell>
          <cell r="AF89">
            <v>0</v>
          </cell>
          <cell r="AG89">
            <v>0</v>
          </cell>
          <cell r="AH89">
            <v>0</v>
          </cell>
          <cell r="AI89">
            <v>0</v>
          </cell>
          <cell r="AJ89">
            <v>0</v>
          </cell>
          <cell r="AK89">
            <v>0</v>
          </cell>
          <cell r="AL89">
            <v>0</v>
          </cell>
        </row>
        <row r="90">
          <cell r="C90">
            <v>110</v>
          </cell>
          <cell r="D90" t="str">
            <v>New Vehicle</v>
          </cell>
          <cell r="E90">
            <v>2</v>
          </cell>
          <cell r="Z90">
            <v>8507.4639999999999</v>
          </cell>
          <cell r="AA90">
            <v>8507.4639999999999</v>
          </cell>
          <cell r="AB90">
            <v>8507.4639999999999</v>
          </cell>
          <cell r="AC90">
            <v>8507.4639999999999</v>
          </cell>
          <cell r="AD90">
            <v>8507.4639999999999</v>
          </cell>
          <cell r="AE90">
            <v>8507.4639999999999</v>
          </cell>
          <cell r="AF90">
            <v>8507.4639999999999</v>
          </cell>
          <cell r="AG90">
            <v>8507.4639999999999</v>
          </cell>
          <cell r="AH90">
            <v>8507.4639999999999</v>
          </cell>
          <cell r="AI90">
            <v>8507.4639999999999</v>
          </cell>
          <cell r="AJ90">
            <v>8507.4639999999999</v>
          </cell>
          <cell r="AK90">
            <v>8507.4639999999999</v>
          </cell>
          <cell r="AL90">
            <v>102089.56800000003</v>
          </cell>
        </row>
        <row r="91">
          <cell r="C91">
            <v>112</v>
          </cell>
          <cell r="D91" t="str">
            <v>LEX New Vehicle</v>
          </cell>
          <cell r="E91">
            <v>2</v>
          </cell>
          <cell r="Z91">
            <v>2336.4615999999996</v>
          </cell>
          <cell r="AA91">
            <v>2336.4615999999996</v>
          </cell>
          <cell r="AB91">
            <v>2336.4615999999996</v>
          </cell>
          <cell r="AC91">
            <v>2336.4615999999996</v>
          </cell>
          <cell r="AD91">
            <v>2336.4615999999996</v>
          </cell>
          <cell r="AE91">
            <v>2336.4615999999996</v>
          </cell>
          <cell r="AF91">
            <v>2336.4615999999996</v>
          </cell>
          <cell r="AG91">
            <v>2336.4615999999996</v>
          </cell>
          <cell r="AH91">
            <v>2336.4615999999996</v>
          </cell>
          <cell r="AI91">
            <v>2336.4615999999996</v>
          </cell>
          <cell r="AJ91">
            <v>2336.4615999999996</v>
          </cell>
          <cell r="AK91">
            <v>2336.4615999999996</v>
          </cell>
          <cell r="AL91">
            <v>28037.539199999988</v>
          </cell>
        </row>
        <row r="92">
          <cell r="C92">
            <v>120</v>
          </cell>
          <cell r="D92" t="str">
            <v>Used Vehicle</v>
          </cell>
          <cell r="E92">
            <v>2</v>
          </cell>
          <cell r="Z92">
            <v>9427.76</v>
          </cell>
          <cell r="AA92">
            <v>9427.76</v>
          </cell>
          <cell r="AB92">
            <v>9427.76</v>
          </cell>
          <cell r="AC92">
            <v>9427.76</v>
          </cell>
          <cell r="AD92">
            <v>9427.76</v>
          </cell>
          <cell r="AE92">
            <v>9427.76</v>
          </cell>
          <cell r="AF92">
            <v>9427.76</v>
          </cell>
          <cell r="AG92">
            <v>9427.76</v>
          </cell>
          <cell r="AH92">
            <v>9427.76</v>
          </cell>
          <cell r="AI92">
            <v>9427.76</v>
          </cell>
          <cell r="AJ92">
            <v>9427.76</v>
          </cell>
          <cell r="AK92">
            <v>9427.76</v>
          </cell>
          <cell r="AL92">
            <v>113133.11999999998</v>
          </cell>
        </row>
        <row r="93">
          <cell r="C93">
            <v>121</v>
          </cell>
          <cell r="D93" t="str">
            <v>Used Vehicle</v>
          </cell>
          <cell r="E93">
            <v>2</v>
          </cell>
          <cell r="Z93">
            <v>0</v>
          </cell>
          <cell r="AA93">
            <v>0</v>
          </cell>
          <cell r="AB93">
            <v>0</v>
          </cell>
          <cell r="AC93">
            <v>0</v>
          </cell>
          <cell r="AD93">
            <v>0</v>
          </cell>
          <cell r="AE93">
            <v>0</v>
          </cell>
          <cell r="AF93">
            <v>0</v>
          </cell>
          <cell r="AG93">
            <v>0</v>
          </cell>
          <cell r="AH93">
            <v>0</v>
          </cell>
          <cell r="AI93">
            <v>0</v>
          </cell>
          <cell r="AJ93">
            <v>0</v>
          </cell>
          <cell r="AK93">
            <v>0</v>
          </cell>
          <cell r="AL93">
            <v>0</v>
          </cell>
        </row>
        <row r="94">
          <cell r="C94">
            <v>122</v>
          </cell>
          <cell r="D94" t="str">
            <v>LEX Used Vehicle</v>
          </cell>
          <cell r="E94">
            <v>2</v>
          </cell>
          <cell r="Z94">
            <v>0</v>
          </cell>
          <cell r="AA94">
            <v>0</v>
          </cell>
          <cell r="AB94">
            <v>0</v>
          </cell>
          <cell r="AC94">
            <v>0</v>
          </cell>
          <cell r="AD94">
            <v>0</v>
          </cell>
          <cell r="AE94">
            <v>0</v>
          </cell>
          <cell r="AF94">
            <v>0</v>
          </cell>
          <cell r="AG94">
            <v>0</v>
          </cell>
          <cell r="AH94">
            <v>0</v>
          </cell>
          <cell r="AI94">
            <v>0</v>
          </cell>
          <cell r="AJ94">
            <v>0</v>
          </cell>
          <cell r="AK94">
            <v>0</v>
          </cell>
          <cell r="AL94">
            <v>0</v>
          </cell>
        </row>
        <row r="95">
          <cell r="C95">
            <v>130</v>
          </cell>
          <cell r="D95" t="str">
            <v>Parts</v>
          </cell>
          <cell r="E95">
            <v>3</v>
          </cell>
          <cell r="Z95">
            <v>37211.669077645769</v>
          </cell>
          <cell r="AA95">
            <v>37211.669077645769</v>
          </cell>
          <cell r="AB95">
            <v>37211.669077645769</v>
          </cell>
          <cell r="AC95">
            <v>37211.669077645769</v>
          </cell>
          <cell r="AD95">
            <v>37211.669077645769</v>
          </cell>
          <cell r="AE95">
            <v>37211.669077645769</v>
          </cell>
          <cell r="AF95">
            <v>37211.669077645769</v>
          </cell>
          <cell r="AG95">
            <v>37211.669077645769</v>
          </cell>
          <cell r="AH95">
            <v>37211.669077645769</v>
          </cell>
          <cell r="AI95">
            <v>37211.669077645769</v>
          </cell>
          <cell r="AJ95">
            <v>37211.669077645769</v>
          </cell>
          <cell r="AK95">
            <v>37211.669077645769</v>
          </cell>
          <cell r="AL95">
            <v>446540.02893174911</v>
          </cell>
        </row>
        <row r="96">
          <cell r="C96">
            <v>132</v>
          </cell>
          <cell r="D96" t="str">
            <v>LEX Parts</v>
          </cell>
          <cell r="E96">
            <v>3</v>
          </cell>
          <cell r="Z96">
            <v>4134.6298975161963</v>
          </cell>
          <cell r="AA96">
            <v>4134.6298975161963</v>
          </cell>
          <cell r="AB96">
            <v>4134.6298975161963</v>
          </cell>
          <cell r="AC96">
            <v>4134.6298975161963</v>
          </cell>
          <cell r="AD96">
            <v>4134.6298975161963</v>
          </cell>
          <cell r="AE96">
            <v>4134.6298975161963</v>
          </cell>
          <cell r="AF96">
            <v>4134.6298975161963</v>
          </cell>
          <cell r="AG96">
            <v>4134.6298975161963</v>
          </cell>
          <cell r="AH96">
            <v>4134.6298975161963</v>
          </cell>
          <cell r="AI96">
            <v>4134.6298975161963</v>
          </cell>
          <cell r="AJ96">
            <v>4134.6298975161963</v>
          </cell>
          <cell r="AK96">
            <v>4134.6298975161963</v>
          </cell>
          <cell r="AL96">
            <v>49615.558770194366</v>
          </cell>
        </row>
        <row r="97">
          <cell r="C97">
            <v>140</v>
          </cell>
          <cell r="D97" t="str">
            <v>Service</v>
          </cell>
          <cell r="E97">
            <v>3</v>
          </cell>
          <cell r="Z97">
            <v>65330.714257488093</v>
          </cell>
          <cell r="AA97">
            <v>65330.714257488093</v>
          </cell>
          <cell r="AB97">
            <v>65330.714257488093</v>
          </cell>
          <cell r="AC97">
            <v>65330.714257488093</v>
          </cell>
          <cell r="AD97">
            <v>65330.714257488093</v>
          </cell>
          <cell r="AE97">
            <v>65330.714257488093</v>
          </cell>
          <cell r="AF97">
            <v>65330.714257488093</v>
          </cell>
          <cell r="AG97">
            <v>65330.714257488093</v>
          </cell>
          <cell r="AH97">
            <v>65330.714257488093</v>
          </cell>
          <cell r="AI97">
            <v>65330.714257488093</v>
          </cell>
          <cell r="AJ97">
            <v>65330.714257488093</v>
          </cell>
          <cell r="AK97">
            <v>65330.714257488093</v>
          </cell>
          <cell r="AL97">
            <v>783968.57108985726</v>
          </cell>
        </row>
        <row r="98">
          <cell r="C98">
            <v>142</v>
          </cell>
          <cell r="D98" t="str">
            <v>Lex Service</v>
          </cell>
          <cell r="E98">
            <v>3</v>
          </cell>
          <cell r="Z98">
            <v>22529.808897637791</v>
          </cell>
          <cell r="AA98">
            <v>22529.808897637791</v>
          </cell>
          <cell r="AB98">
            <v>22529.808897637791</v>
          </cell>
          <cell r="AC98">
            <v>22529.808897637791</v>
          </cell>
          <cell r="AD98">
            <v>22529.808897637791</v>
          </cell>
          <cell r="AE98">
            <v>22529.808897637791</v>
          </cell>
          <cell r="AF98">
            <v>22529.808897637791</v>
          </cell>
          <cell r="AG98">
            <v>22529.808897637791</v>
          </cell>
          <cell r="AH98">
            <v>22529.808897637791</v>
          </cell>
          <cell r="AI98">
            <v>22529.808897637791</v>
          </cell>
          <cell r="AJ98">
            <v>22529.808897637791</v>
          </cell>
          <cell r="AK98">
            <v>22529.808897637791</v>
          </cell>
          <cell r="AL98">
            <v>270357.70677165349</v>
          </cell>
        </row>
        <row r="99">
          <cell r="C99">
            <v>147</v>
          </cell>
          <cell r="D99" t="str">
            <v>Service</v>
          </cell>
          <cell r="E99">
            <v>3</v>
          </cell>
          <cell r="Z99">
            <v>0</v>
          </cell>
          <cell r="AA99">
            <v>0</v>
          </cell>
          <cell r="AB99">
            <v>0</v>
          </cell>
          <cell r="AC99">
            <v>0</v>
          </cell>
          <cell r="AD99">
            <v>0</v>
          </cell>
          <cell r="AE99">
            <v>0</v>
          </cell>
          <cell r="AF99">
            <v>0</v>
          </cell>
          <cell r="AG99">
            <v>0</v>
          </cell>
          <cell r="AH99">
            <v>0</v>
          </cell>
          <cell r="AI99">
            <v>0</v>
          </cell>
          <cell r="AJ99">
            <v>0</v>
          </cell>
          <cell r="AK99">
            <v>0</v>
          </cell>
          <cell r="AL99">
            <v>0</v>
          </cell>
        </row>
        <row r="100">
          <cell r="C100">
            <v>150</v>
          </cell>
          <cell r="D100" t="str">
            <v>Retail Detailing</v>
          </cell>
          <cell r="E100">
            <v>3</v>
          </cell>
          <cell r="Z100">
            <v>33166.485827951736</v>
          </cell>
          <cell r="AA100">
            <v>33166.485827951736</v>
          </cell>
          <cell r="AB100">
            <v>33166.485827951736</v>
          </cell>
          <cell r="AC100">
            <v>33166.485827951736</v>
          </cell>
          <cell r="AD100">
            <v>33166.485827951736</v>
          </cell>
          <cell r="AE100">
            <v>33166.485827951736</v>
          </cell>
          <cell r="AF100">
            <v>33166.485827951736</v>
          </cell>
          <cell r="AG100">
            <v>33166.485827951736</v>
          </cell>
          <cell r="AH100">
            <v>33166.485827951736</v>
          </cell>
          <cell r="AI100">
            <v>33166.485827951736</v>
          </cell>
          <cell r="AJ100">
            <v>33166.485827951736</v>
          </cell>
          <cell r="AK100">
            <v>33166.485827951736</v>
          </cell>
          <cell r="AL100">
            <v>397997.82993542094</v>
          </cell>
        </row>
        <row r="101">
          <cell r="C101">
            <v>160</v>
          </cell>
          <cell r="D101" t="str">
            <v>F&amp;I</v>
          </cell>
          <cell r="E101">
            <v>3</v>
          </cell>
          <cell r="Z101">
            <v>11440</v>
          </cell>
          <cell r="AA101">
            <v>11440</v>
          </cell>
          <cell r="AB101">
            <v>11440</v>
          </cell>
          <cell r="AC101">
            <v>11440</v>
          </cell>
          <cell r="AD101">
            <v>11440</v>
          </cell>
          <cell r="AE101">
            <v>11440</v>
          </cell>
          <cell r="AF101">
            <v>11440</v>
          </cell>
          <cell r="AG101">
            <v>11440</v>
          </cell>
          <cell r="AH101">
            <v>11440</v>
          </cell>
          <cell r="AI101">
            <v>11440</v>
          </cell>
          <cell r="AJ101">
            <v>11440</v>
          </cell>
          <cell r="AK101">
            <v>11440</v>
          </cell>
          <cell r="AL101">
            <v>137280</v>
          </cell>
        </row>
        <row r="102">
          <cell r="C102">
            <v>162</v>
          </cell>
          <cell r="D102" t="str">
            <v>LEX F&amp;I</v>
          </cell>
          <cell r="E102">
            <v>3</v>
          </cell>
          <cell r="Z102">
            <v>2860</v>
          </cell>
          <cell r="AA102">
            <v>2860</v>
          </cell>
          <cell r="AB102">
            <v>2860</v>
          </cell>
          <cell r="AC102">
            <v>2860</v>
          </cell>
          <cell r="AD102">
            <v>2860</v>
          </cell>
          <cell r="AE102">
            <v>2860</v>
          </cell>
          <cell r="AF102">
            <v>2860</v>
          </cell>
          <cell r="AG102">
            <v>2860</v>
          </cell>
          <cell r="AH102">
            <v>2860</v>
          </cell>
          <cell r="AI102">
            <v>2860</v>
          </cell>
          <cell r="AJ102">
            <v>2860</v>
          </cell>
          <cell r="AK102">
            <v>2860</v>
          </cell>
          <cell r="AL102">
            <v>34320</v>
          </cell>
        </row>
        <row r="103">
          <cell r="C103">
            <v>210</v>
          </cell>
          <cell r="D103" t="str">
            <v>New Vehicle</v>
          </cell>
          <cell r="E103">
            <v>2</v>
          </cell>
          <cell r="Z103">
            <v>9034.4</v>
          </cell>
          <cell r="AA103">
            <v>9034.4</v>
          </cell>
          <cell r="AB103">
            <v>9034.4</v>
          </cell>
          <cell r="AC103">
            <v>9034.4</v>
          </cell>
          <cell r="AD103">
            <v>9034.4</v>
          </cell>
          <cell r="AE103">
            <v>9034.4</v>
          </cell>
          <cell r="AF103">
            <v>9034.4</v>
          </cell>
          <cell r="AG103">
            <v>9034.4</v>
          </cell>
          <cell r="AH103">
            <v>9034.4</v>
          </cell>
          <cell r="AI103">
            <v>9034.4</v>
          </cell>
          <cell r="AJ103">
            <v>9034.4</v>
          </cell>
          <cell r="AK103">
            <v>9034.4</v>
          </cell>
          <cell r="AL103">
            <v>108412.79999999997</v>
          </cell>
        </row>
        <row r="104">
          <cell r="C104">
            <v>220</v>
          </cell>
          <cell r="D104" t="str">
            <v>Used Vehicle</v>
          </cell>
          <cell r="E104">
            <v>2</v>
          </cell>
          <cell r="Z104">
            <v>4399.0080000000007</v>
          </cell>
          <cell r="AA104">
            <v>4399.0080000000007</v>
          </cell>
          <cell r="AB104">
            <v>4399.0080000000007</v>
          </cell>
          <cell r="AC104">
            <v>4399.0080000000007</v>
          </cell>
          <cell r="AD104">
            <v>4399.0080000000007</v>
          </cell>
          <cell r="AE104">
            <v>4399.0080000000007</v>
          </cell>
          <cell r="AF104">
            <v>4399.0080000000007</v>
          </cell>
          <cell r="AG104">
            <v>4399.0080000000007</v>
          </cell>
          <cell r="AH104">
            <v>4399.0080000000007</v>
          </cell>
          <cell r="AI104">
            <v>4399.0080000000007</v>
          </cell>
          <cell r="AJ104">
            <v>4399.0080000000007</v>
          </cell>
          <cell r="AK104">
            <v>4399.0080000000007</v>
          </cell>
          <cell r="AL104">
            <v>52788.096000000012</v>
          </cell>
        </row>
        <row r="105">
          <cell r="C105">
            <v>230</v>
          </cell>
          <cell r="D105" t="str">
            <v>Parts</v>
          </cell>
          <cell r="E105">
            <v>3</v>
          </cell>
          <cell r="Z105">
            <v>14487.935356808977</v>
          </cell>
          <cell r="AA105">
            <v>14487.935356808977</v>
          </cell>
          <cell r="AB105">
            <v>14487.935356808977</v>
          </cell>
          <cell r="AC105">
            <v>14487.935356808977</v>
          </cell>
          <cell r="AD105">
            <v>14487.935356808977</v>
          </cell>
          <cell r="AE105">
            <v>14487.935356808977</v>
          </cell>
          <cell r="AF105">
            <v>14487.935356808977</v>
          </cell>
          <cell r="AG105">
            <v>14487.935356808977</v>
          </cell>
          <cell r="AH105">
            <v>14487.935356808977</v>
          </cell>
          <cell r="AI105">
            <v>14487.935356808977</v>
          </cell>
          <cell r="AJ105">
            <v>14487.935356808977</v>
          </cell>
          <cell r="AK105">
            <v>14487.935356808977</v>
          </cell>
          <cell r="AL105">
            <v>173855.22428170769</v>
          </cell>
        </row>
        <row r="106">
          <cell r="C106">
            <v>240</v>
          </cell>
          <cell r="D106" t="str">
            <v>Service</v>
          </cell>
          <cell r="E106">
            <v>3</v>
          </cell>
          <cell r="Z106">
            <v>32247.446164475055</v>
          </cell>
          <cell r="AA106">
            <v>32247.446164475055</v>
          </cell>
          <cell r="AB106">
            <v>32247.446164475055</v>
          </cell>
          <cell r="AC106">
            <v>32247.446164475055</v>
          </cell>
          <cell r="AD106">
            <v>32247.446164475055</v>
          </cell>
          <cell r="AE106">
            <v>32247.446164475055</v>
          </cell>
          <cell r="AF106">
            <v>32247.446164475055</v>
          </cell>
          <cell r="AG106">
            <v>32247.446164475055</v>
          </cell>
          <cell r="AH106">
            <v>32247.446164475055</v>
          </cell>
          <cell r="AI106">
            <v>32247.446164475055</v>
          </cell>
          <cell r="AJ106">
            <v>32247.446164475055</v>
          </cell>
          <cell r="AK106">
            <v>32247.446164475055</v>
          </cell>
          <cell r="AL106">
            <v>386969.35397370066</v>
          </cell>
        </row>
        <row r="107">
          <cell r="C107">
            <v>260</v>
          </cell>
          <cell r="D107" t="str">
            <v>F&amp;I</v>
          </cell>
          <cell r="E107">
            <v>3</v>
          </cell>
          <cell r="Z107">
            <v>8800</v>
          </cell>
          <cell r="AA107">
            <v>8800</v>
          </cell>
          <cell r="AB107">
            <v>8800</v>
          </cell>
          <cell r="AC107">
            <v>8800</v>
          </cell>
          <cell r="AD107">
            <v>8800</v>
          </cell>
          <cell r="AE107">
            <v>8800</v>
          </cell>
          <cell r="AF107">
            <v>8800</v>
          </cell>
          <cell r="AG107">
            <v>8800</v>
          </cell>
          <cell r="AH107">
            <v>8800</v>
          </cell>
          <cell r="AI107">
            <v>8800</v>
          </cell>
          <cell r="AJ107">
            <v>8800</v>
          </cell>
          <cell r="AK107">
            <v>8800</v>
          </cell>
          <cell r="AL107">
            <v>105600</v>
          </cell>
        </row>
        <row r="108">
          <cell r="C108">
            <v>330</v>
          </cell>
          <cell r="D108" t="str">
            <v>Parts</v>
          </cell>
          <cell r="E108">
            <v>3</v>
          </cell>
          <cell r="Z108">
            <v>5810.7178893073678</v>
          </cell>
          <cell r="AA108">
            <v>5810.7178893073678</v>
          </cell>
          <cell r="AB108">
            <v>5810.7178893073678</v>
          </cell>
          <cell r="AC108">
            <v>5810.7178893073678</v>
          </cell>
          <cell r="AD108">
            <v>5810.7178893073678</v>
          </cell>
          <cell r="AE108">
            <v>5810.7178893073678</v>
          </cell>
          <cell r="AF108">
            <v>5810.7178893073678</v>
          </cell>
          <cell r="AG108">
            <v>5810.7178893073678</v>
          </cell>
          <cell r="AH108">
            <v>5810.7178893073678</v>
          </cell>
          <cell r="AI108">
            <v>5810.7178893073678</v>
          </cell>
          <cell r="AJ108">
            <v>5810.7178893073678</v>
          </cell>
          <cell r="AK108">
            <v>5810.7178893073678</v>
          </cell>
          <cell r="AL108">
            <v>69728.614671688396</v>
          </cell>
        </row>
        <row r="109">
          <cell r="C109">
            <v>340</v>
          </cell>
          <cell r="D109" t="str">
            <v>Service</v>
          </cell>
          <cell r="E109">
            <v>3</v>
          </cell>
          <cell r="Z109">
            <v>23743.183999999997</v>
          </cell>
          <cell r="AA109">
            <v>23743.183999999997</v>
          </cell>
          <cell r="AB109">
            <v>23743.183999999997</v>
          </cell>
          <cell r="AC109">
            <v>23743.183999999997</v>
          </cell>
          <cell r="AD109">
            <v>23743.183999999997</v>
          </cell>
          <cell r="AE109">
            <v>23743.183999999997</v>
          </cell>
          <cell r="AF109">
            <v>23743.183999999997</v>
          </cell>
          <cell r="AG109">
            <v>23743.183999999997</v>
          </cell>
          <cell r="AH109">
            <v>23743.183999999997</v>
          </cell>
          <cell r="AI109">
            <v>23743.183999999997</v>
          </cell>
          <cell r="AJ109">
            <v>23743.183999999997</v>
          </cell>
          <cell r="AK109">
            <v>23743.183999999997</v>
          </cell>
          <cell r="AL109">
            <v>284918.20800000004</v>
          </cell>
        </row>
        <row r="110">
          <cell r="C110">
            <v>410</v>
          </cell>
          <cell r="D110" t="str">
            <v>Used Vehicle</v>
          </cell>
          <cell r="E110">
            <v>2</v>
          </cell>
          <cell r="Z110">
            <v>0</v>
          </cell>
          <cell r="AA110">
            <v>0</v>
          </cell>
          <cell r="AB110">
            <v>0</v>
          </cell>
          <cell r="AC110">
            <v>0</v>
          </cell>
          <cell r="AD110">
            <v>0</v>
          </cell>
          <cell r="AE110">
            <v>0</v>
          </cell>
          <cell r="AF110">
            <v>0</v>
          </cell>
          <cell r="AG110">
            <v>0</v>
          </cell>
          <cell r="AH110">
            <v>0</v>
          </cell>
          <cell r="AI110">
            <v>0</v>
          </cell>
          <cell r="AJ110">
            <v>0</v>
          </cell>
          <cell r="AK110">
            <v>0</v>
          </cell>
          <cell r="AL110">
            <v>0</v>
          </cell>
        </row>
        <row r="111">
          <cell r="C111">
            <v>430</v>
          </cell>
          <cell r="D111" t="str">
            <v>Parts</v>
          </cell>
          <cell r="E111">
            <v>3</v>
          </cell>
          <cell r="Z111">
            <v>6779.8172140853849</v>
          </cell>
          <cell r="AA111">
            <v>6779.8172140853849</v>
          </cell>
          <cell r="AB111">
            <v>6779.8172140853849</v>
          </cell>
          <cell r="AC111">
            <v>6779.8172140853849</v>
          </cell>
          <cell r="AD111">
            <v>6779.8172140853849</v>
          </cell>
          <cell r="AE111">
            <v>6779.8172140853849</v>
          </cell>
          <cell r="AF111">
            <v>6779.8172140853849</v>
          </cell>
          <cell r="AG111">
            <v>6779.8172140853849</v>
          </cell>
          <cell r="AH111">
            <v>6779.8172140853849</v>
          </cell>
          <cell r="AI111">
            <v>6779.8172140853849</v>
          </cell>
          <cell r="AJ111">
            <v>6779.8172140853849</v>
          </cell>
          <cell r="AK111">
            <v>6779.8172140853849</v>
          </cell>
          <cell r="AL111">
            <v>81357.806569024615</v>
          </cell>
        </row>
        <row r="112">
          <cell r="C112">
            <v>440</v>
          </cell>
          <cell r="D112" t="str">
            <v>Service</v>
          </cell>
          <cell r="E112">
            <v>3</v>
          </cell>
          <cell r="Z112">
            <v>23467.061333333331</v>
          </cell>
          <cell r="AA112">
            <v>23467.061333333331</v>
          </cell>
          <cell r="AB112">
            <v>23467.061333333331</v>
          </cell>
          <cell r="AC112">
            <v>23467.061333333331</v>
          </cell>
          <cell r="AD112">
            <v>23467.061333333331</v>
          </cell>
          <cell r="AE112">
            <v>23467.061333333331</v>
          </cell>
          <cell r="AF112">
            <v>23467.061333333331</v>
          </cell>
          <cell r="AG112">
            <v>23467.061333333331</v>
          </cell>
          <cell r="AH112">
            <v>23467.061333333331</v>
          </cell>
          <cell r="AI112">
            <v>23467.061333333331</v>
          </cell>
          <cell r="AJ112">
            <v>23467.061333333331</v>
          </cell>
          <cell r="AK112">
            <v>23467.061333333331</v>
          </cell>
          <cell r="AL112">
            <v>281604.73599999992</v>
          </cell>
        </row>
        <row r="113">
          <cell r="C113">
            <v>935</v>
          </cell>
          <cell r="D113" t="str">
            <v>Bridgestone</v>
          </cell>
          <cell r="E113">
            <v>3</v>
          </cell>
          <cell r="Z113">
            <v>20679.36</v>
          </cell>
          <cell r="AA113">
            <v>20679.36</v>
          </cell>
          <cell r="AB113">
            <v>20679.36</v>
          </cell>
          <cell r="AC113">
            <v>20679.36</v>
          </cell>
          <cell r="AD113">
            <v>20679.36</v>
          </cell>
          <cell r="AE113">
            <v>20679.36</v>
          </cell>
          <cell r="AF113">
            <v>20679.36</v>
          </cell>
          <cell r="AG113">
            <v>20679.36</v>
          </cell>
          <cell r="AH113">
            <v>20679.36</v>
          </cell>
          <cell r="AI113">
            <v>20679.36</v>
          </cell>
          <cell r="AJ113">
            <v>20679.36</v>
          </cell>
          <cell r="AK113">
            <v>20679.36</v>
          </cell>
          <cell r="AL113">
            <v>248152.31999999995</v>
          </cell>
        </row>
        <row r="114">
          <cell r="C114">
            <v>936</v>
          </cell>
          <cell r="D114" t="str">
            <v>Bridgestone</v>
          </cell>
          <cell r="E114">
            <v>3</v>
          </cell>
          <cell r="Z114">
            <v>5561.434260614933</v>
          </cell>
          <cell r="AA114">
            <v>5561.434260614933</v>
          </cell>
          <cell r="AB114">
            <v>5561.434260614933</v>
          </cell>
          <cell r="AC114">
            <v>5561.434260614933</v>
          </cell>
          <cell r="AD114">
            <v>5561.434260614933</v>
          </cell>
          <cell r="AE114">
            <v>5561.434260614933</v>
          </cell>
          <cell r="AF114">
            <v>5561.434260614933</v>
          </cell>
          <cell r="AG114">
            <v>5561.434260614933</v>
          </cell>
          <cell r="AH114">
            <v>5561.434260614933</v>
          </cell>
          <cell r="AI114">
            <v>5561.434260614933</v>
          </cell>
          <cell r="AJ114">
            <v>5561.434260614933</v>
          </cell>
          <cell r="AK114">
            <v>5561.434260614933</v>
          </cell>
          <cell r="AL114">
            <v>66737.211127379182</v>
          </cell>
        </row>
        <row r="115">
          <cell r="C115">
            <v>110</v>
          </cell>
          <cell r="D115" t="str">
            <v>New Vehicle</v>
          </cell>
          <cell r="E115">
            <v>2</v>
          </cell>
          <cell r="Z115">
            <v>1757.9776666666664</v>
          </cell>
          <cell r="AA115">
            <v>1757.9776666666664</v>
          </cell>
          <cell r="AB115">
            <v>1757.9776666666664</v>
          </cell>
          <cell r="AC115">
            <v>1757.9776666666664</v>
          </cell>
          <cell r="AD115">
            <v>1757.9776666666664</v>
          </cell>
          <cell r="AE115">
            <v>1757.9776666666664</v>
          </cell>
          <cell r="AF115">
            <v>1757.9776666666664</v>
          </cell>
          <cell r="AG115">
            <v>1757.9776666666664</v>
          </cell>
          <cell r="AH115">
            <v>1757.9776666666664</v>
          </cell>
          <cell r="AI115">
            <v>1757.9776666666664</v>
          </cell>
          <cell r="AJ115">
            <v>1757.9776666666664</v>
          </cell>
          <cell r="AK115">
            <v>1757.9776666666664</v>
          </cell>
          <cell r="AL115">
            <v>21095.731999999993</v>
          </cell>
        </row>
        <row r="116">
          <cell r="C116">
            <v>112</v>
          </cell>
          <cell r="D116" t="str">
            <v>LEX New Vehicle</v>
          </cell>
          <cell r="E116">
            <v>2</v>
          </cell>
          <cell r="Z116">
            <v>885.51923333333332</v>
          </cell>
          <cell r="AA116">
            <v>885.51923333333332</v>
          </cell>
          <cell r="AB116">
            <v>885.51923333333332</v>
          </cell>
          <cell r="AC116">
            <v>885.51923333333332</v>
          </cell>
          <cell r="AD116">
            <v>885.51923333333332</v>
          </cell>
          <cell r="AE116">
            <v>885.51923333333332</v>
          </cell>
          <cell r="AF116">
            <v>885.51923333333332</v>
          </cell>
          <cell r="AG116">
            <v>885.51923333333332</v>
          </cell>
          <cell r="AH116">
            <v>885.51923333333332</v>
          </cell>
          <cell r="AI116">
            <v>885.51923333333332</v>
          </cell>
          <cell r="AJ116">
            <v>885.51923333333332</v>
          </cell>
          <cell r="AK116">
            <v>885.51923333333332</v>
          </cell>
          <cell r="AL116">
            <v>10626.230799999998</v>
          </cell>
        </row>
        <row r="117">
          <cell r="C117">
            <v>120</v>
          </cell>
          <cell r="D117" t="str">
            <v>Used Vehicle</v>
          </cell>
          <cell r="E117">
            <v>2</v>
          </cell>
          <cell r="Z117">
            <v>1769.6566666666665</v>
          </cell>
          <cell r="AA117">
            <v>1769.6566666666665</v>
          </cell>
          <cell r="AB117">
            <v>1769.6566666666665</v>
          </cell>
          <cell r="AC117">
            <v>1769.6566666666665</v>
          </cell>
          <cell r="AD117">
            <v>1769.6566666666665</v>
          </cell>
          <cell r="AE117">
            <v>1769.6566666666665</v>
          </cell>
          <cell r="AF117">
            <v>1769.6566666666665</v>
          </cell>
          <cell r="AG117">
            <v>1769.6566666666665</v>
          </cell>
          <cell r="AH117">
            <v>1769.6566666666665</v>
          </cell>
          <cell r="AI117">
            <v>1769.6566666666665</v>
          </cell>
          <cell r="AJ117">
            <v>1769.6566666666665</v>
          </cell>
          <cell r="AK117">
            <v>1769.6566666666665</v>
          </cell>
          <cell r="AL117">
            <v>21235.879999999994</v>
          </cell>
        </row>
        <row r="118">
          <cell r="C118">
            <v>121</v>
          </cell>
          <cell r="D118" t="str">
            <v>Used Vehicle</v>
          </cell>
          <cell r="E118">
            <v>2</v>
          </cell>
          <cell r="Z118">
            <v>0</v>
          </cell>
          <cell r="AA118">
            <v>0</v>
          </cell>
          <cell r="AB118">
            <v>0</v>
          </cell>
          <cell r="AC118">
            <v>0</v>
          </cell>
          <cell r="AD118">
            <v>0</v>
          </cell>
          <cell r="AE118">
            <v>0</v>
          </cell>
          <cell r="AF118">
            <v>0</v>
          </cell>
          <cell r="AG118">
            <v>0</v>
          </cell>
          <cell r="AH118">
            <v>0</v>
          </cell>
          <cell r="AI118">
            <v>0</v>
          </cell>
          <cell r="AJ118">
            <v>0</v>
          </cell>
          <cell r="AK118">
            <v>0</v>
          </cell>
          <cell r="AL118">
            <v>0</v>
          </cell>
        </row>
        <row r="119">
          <cell r="C119">
            <v>122</v>
          </cell>
          <cell r="D119" t="str">
            <v>LEX Used Vehicle</v>
          </cell>
          <cell r="E119">
            <v>2</v>
          </cell>
          <cell r="Z119">
            <v>255</v>
          </cell>
          <cell r="AA119">
            <v>255</v>
          </cell>
          <cell r="AB119">
            <v>255</v>
          </cell>
          <cell r="AC119">
            <v>255</v>
          </cell>
          <cell r="AD119">
            <v>255</v>
          </cell>
          <cell r="AE119">
            <v>255</v>
          </cell>
          <cell r="AF119">
            <v>255</v>
          </cell>
          <cell r="AG119">
            <v>255</v>
          </cell>
          <cell r="AH119">
            <v>255</v>
          </cell>
          <cell r="AI119">
            <v>255</v>
          </cell>
          <cell r="AJ119">
            <v>255</v>
          </cell>
          <cell r="AK119">
            <v>255</v>
          </cell>
          <cell r="AL119">
            <v>3060</v>
          </cell>
        </row>
        <row r="120">
          <cell r="C120">
            <v>130</v>
          </cell>
          <cell r="D120" t="str">
            <v>Parts</v>
          </cell>
          <cell r="E120">
            <v>3</v>
          </cell>
          <cell r="Z120">
            <v>2088.8069017428593</v>
          </cell>
          <cell r="AA120">
            <v>2088.8069017428593</v>
          </cell>
          <cell r="AB120">
            <v>2088.8069017428593</v>
          </cell>
          <cell r="AC120">
            <v>2088.8069017428593</v>
          </cell>
          <cell r="AD120">
            <v>2088.8069017428593</v>
          </cell>
          <cell r="AE120">
            <v>2088.8069017428593</v>
          </cell>
          <cell r="AF120">
            <v>2088.8069017428593</v>
          </cell>
          <cell r="AG120">
            <v>2088.8069017428593</v>
          </cell>
          <cell r="AH120">
            <v>2088.8069017428593</v>
          </cell>
          <cell r="AI120">
            <v>2088.8069017428593</v>
          </cell>
          <cell r="AJ120">
            <v>2088.8069017428593</v>
          </cell>
          <cell r="AK120">
            <v>2088.8069017428593</v>
          </cell>
          <cell r="AL120">
            <v>25065.682820914317</v>
          </cell>
        </row>
        <row r="121">
          <cell r="C121">
            <v>140</v>
          </cell>
          <cell r="D121" t="str">
            <v>Service</v>
          </cell>
          <cell r="E121">
            <v>3</v>
          </cell>
          <cell r="Z121">
            <v>7280.5548196308773</v>
          </cell>
          <cell r="AA121">
            <v>7280.5548196308773</v>
          </cell>
          <cell r="AB121">
            <v>7280.5548196308773</v>
          </cell>
          <cell r="AC121">
            <v>7280.5548196308773</v>
          </cell>
          <cell r="AD121">
            <v>7280.5548196308773</v>
          </cell>
          <cell r="AE121">
            <v>7280.5548196308773</v>
          </cell>
          <cell r="AF121">
            <v>7280.5548196308773</v>
          </cell>
          <cell r="AG121">
            <v>7280.5548196308773</v>
          </cell>
          <cell r="AH121">
            <v>7280.5548196308773</v>
          </cell>
          <cell r="AI121">
            <v>7280.5548196308773</v>
          </cell>
          <cell r="AJ121">
            <v>7280.5548196308773</v>
          </cell>
          <cell r="AK121">
            <v>7280.5548196308773</v>
          </cell>
          <cell r="AL121">
            <v>87366.657835570557</v>
          </cell>
        </row>
        <row r="122">
          <cell r="C122">
            <v>142</v>
          </cell>
          <cell r="D122" t="str">
            <v>Lex Service</v>
          </cell>
          <cell r="E122">
            <v>3</v>
          </cell>
          <cell r="Z122">
            <v>1856.3582540462519</v>
          </cell>
          <cell r="AA122">
            <v>1856.3582540462519</v>
          </cell>
          <cell r="AB122">
            <v>1856.3582540462519</v>
          </cell>
          <cell r="AC122">
            <v>1856.3582540462519</v>
          </cell>
          <cell r="AD122">
            <v>1856.3582540462519</v>
          </cell>
          <cell r="AE122">
            <v>1856.3582540462519</v>
          </cell>
          <cell r="AF122">
            <v>1856.3582540462519</v>
          </cell>
          <cell r="AG122">
            <v>1856.3582540462519</v>
          </cell>
          <cell r="AH122">
            <v>1856.3582540462519</v>
          </cell>
          <cell r="AI122">
            <v>1856.3582540462519</v>
          </cell>
          <cell r="AJ122">
            <v>1856.3582540462519</v>
          </cell>
          <cell r="AK122">
            <v>1856.3582540462519</v>
          </cell>
          <cell r="AL122">
            <v>22276.299048555022</v>
          </cell>
        </row>
        <row r="123">
          <cell r="C123">
            <v>147</v>
          </cell>
          <cell r="D123" t="str">
            <v>Service</v>
          </cell>
          <cell r="E123">
            <v>3</v>
          </cell>
          <cell r="Z123">
            <v>0</v>
          </cell>
          <cell r="AA123">
            <v>0</v>
          </cell>
          <cell r="AB123">
            <v>0</v>
          </cell>
          <cell r="AC123">
            <v>0</v>
          </cell>
          <cell r="AD123">
            <v>0</v>
          </cell>
          <cell r="AE123">
            <v>0</v>
          </cell>
          <cell r="AF123">
            <v>0</v>
          </cell>
          <cell r="AG123">
            <v>0</v>
          </cell>
          <cell r="AH123">
            <v>0</v>
          </cell>
          <cell r="AI123">
            <v>0</v>
          </cell>
          <cell r="AJ123">
            <v>0</v>
          </cell>
          <cell r="AK123">
            <v>0</v>
          </cell>
          <cell r="AL123">
            <v>0</v>
          </cell>
        </row>
        <row r="124">
          <cell r="C124">
            <v>150</v>
          </cell>
          <cell r="D124" t="str">
            <v>Retail Detailing</v>
          </cell>
          <cell r="E124">
            <v>3</v>
          </cell>
          <cell r="Z124">
            <v>1705.2702428313221</v>
          </cell>
          <cell r="AA124">
            <v>1705.2702428313221</v>
          </cell>
          <cell r="AB124">
            <v>1705.2702428313221</v>
          </cell>
          <cell r="AC124">
            <v>1705.2702428313221</v>
          </cell>
          <cell r="AD124">
            <v>1705.2702428313221</v>
          </cell>
          <cell r="AE124">
            <v>1705.2702428313221</v>
          </cell>
          <cell r="AF124">
            <v>1705.2702428313221</v>
          </cell>
          <cell r="AG124">
            <v>1705.2702428313221</v>
          </cell>
          <cell r="AH124">
            <v>1705.2702428313221</v>
          </cell>
          <cell r="AI124">
            <v>1705.2702428313221</v>
          </cell>
          <cell r="AJ124">
            <v>1705.2702428313221</v>
          </cell>
          <cell r="AK124">
            <v>1705.2702428313221</v>
          </cell>
          <cell r="AL124">
            <v>20463.242913975861</v>
          </cell>
        </row>
        <row r="125">
          <cell r="C125">
            <v>160</v>
          </cell>
          <cell r="D125" t="str">
            <v>F&amp;I</v>
          </cell>
          <cell r="E125">
            <v>3</v>
          </cell>
          <cell r="Z125">
            <v>732.33333333333337</v>
          </cell>
          <cell r="AA125">
            <v>732.33333333333337</v>
          </cell>
          <cell r="AB125">
            <v>732.33333333333337</v>
          </cell>
          <cell r="AC125">
            <v>732.33333333333337</v>
          </cell>
          <cell r="AD125">
            <v>732.33333333333337</v>
          </cell>
          <cell r="AE125">
            <v>732.33333333333337</v>
          </cell>
          <cell r="AF125">
            <v>732.33333333333337</v>
          </cell>
          <cell r="AG125">
            <v>732.33333333333337</v>
          </cell>
          <cell r="AH125">
            <v>732.33333333333337</v>
          </cell>
          <cell r="AI125">
            <v>732.33333333333337</v>
          </cell>
          <cell r="AJ125">
            <v>732.33333333333337</v>
          </cell>
          <cell r="AK125">
            <v>732.33333333333337</v>
          </cell>
          <cell r="AL125">
            <v>8787.9999999999982</v>
          </cell>
        </row>
        <row r="126">
          <cell r="C126">
            <v>210</v>
          </cell>
          <cell r="D126" t="str">
            <v>New Vehicle</v>
          </cell>
          <cell r="E126">
            <v>2</v>
          </cell>
          <cell r="Z126">
            <v>939.76666666666677</v>
          </cell>
          <cell r="AA126">
            <v>939.76666666666677</v>
          </cell>
          <cell r="AB126">
            <v>939.76666666666677</v>
          </cell>
          <cell r="AC126">
            <v>939.76666666666677</v>
          </cell>
          <cell r="AD126">
            <v>939.76666666666677</v>
          </cell>
          <cell r="AE126">
            <v>939.76666666666677</v>
          </cell>
          <cell r="AF126">
            <v>939.76666666666677</v>
          </cell>
          <cell r="AG126">
            <v>939.76666666666677</v>
          </cell>
          <cell r="AH126">
            <v>939.76666666666677</v>
          </cell>
          <cell r="AI126">
            <v>939.76666666666677</v>
          </cell>
          <cell r="AJ126">
            <v>939.76666666666677</v>
          </cell>
          <cell r="AK126">
            <v>939.76666666666677</v>
          </cell>
          <cell r="AL126">
            <v>11277.199999999999</v>
          </cell>
        </row>
        <row r="127">
          <cell r="C127">
            <v>220</v>
          </cell>
          <cell r="D127" t="str">
            <v>Used Vehicle</v>
          </cell>
          <cell r="E127">
            <v>2</v>
          </cell>
          <cell r="Z127">
            <v>1159.9586666666667</v>
          </cell>
          <cell r="AA127">
            <v>1159.9586666666667</v>
          </cell>
          <cell r="AB127">
            <v>1159.9586666666667</v>
          </cell>
          <cell r="AC127">
            <v>1159.9586666666667</v>
          </cell>
          <cell r="AD127">
            <v>1159.9586666666667</v>
          </cell>
          <cell r="AE127">
            <v>1159.9586666666667</v>
          </cell>
          <cell r="AF127">
            <v>1159.9586666666667</v>
          </cell>
          <cell r="AG127">
            <v>1159.9586666666667</v>
          </cell>
          <cell r="AH127">
            <v>1159.9586666666667</v>
          </cell>
          <cell r="AI127">
            <v>1159.9586666666667</v>
          </cell>
          <cell r="AJ127">
            <v>1159.9586666666667</v>
          </cell>
          <cell r="AK127">
            <v>1159.9586666666667</v>
          </cell>
          <cell r="AL127">
            <v>13919.504000000003</v>
          </cell>
        </row>
        <row r="128">
          <cell r="C128">
            <v>230</v>
          </cell>
          <cell r="D128" t="str">
            <v>Parts</v>
          </cell>
          <cell r="E128">
            <v>3</v>
          </cell>
          <cell r="Z128">
            <v>936.99730653370716</v>
          </cell>
          <cell r="AA128">
            <v>936.99730653370716</v>
          </cell>
          <cell r="AB128">
            <v>936.99730653370716</v>
          </cell>
          <cell r="AC128">
            <v>936.99730653370716</v>
          </cell>
          <cell r="AD128">
            <v>936.99730653370716</v>
          </cell>
          <cell r="AE128">
            <v>936.99730653370716</v>
          </cell>
          <cell r="AF128">
            <v>936.99730653370716</v>
          </cell>
          <cell r="AG128">
            <v>936.99730653370716</v>
          </cell>
          <cell r="AH128">
            <v>936.99730653370716</v>
          </cell>
          <cell r="AI128">
            <v>936.99730653370716</v>
          </cell>
          <cell r="AJ128">
            <v>936.99730653370716</v>
          </cell>
          <cell r="AK128">
            <v>936.99730653370716</v>
          </cell>
          <cell r="AL128">
            <v>11243.967678404486</v>
          </cell>
        </row>
        <row r="129">
          <cell r="C129">
            <v>240</v>
          </cell>
          <cell r="D129" t="str">
            <v>Service</v>
          </cell>
          <cell r="E129">
            <v>3</v>
          </cell>
          <cell r="Z129">
            <v>3991.4627543499168</v>
          </cell>
          <cell r="AA129">
            <v>3991.4627543499168</v>
          </cell>
          <cell r="AB129">
            <v>3991.4627543499168</v>
          </cell>
          <cell r="AC129">
            <v>3991.4627543499168</v>
          </cell>
          <cell r="AD129">
            <v>3991.4627543499168</v>
          </cell>
          <cell r="AE129">
            <v>3991.4627543499168</v>
          </cell>
          <cell r="AF129">
            <v>3991.4627543499168</v>
          </cell>
          <cell r="AG129">
            <v>3991.4627543499168</v>
          </cell>
          <cell r="AH129">
            <v>3991.4627543499168</v>
          </cell>
          <cell r="AI129">
            <v>3991.4627543499168</v>
          </cell>
          <cell r="AJ129">
            <v>3991.4627543499168</v>
          </cell>
          <cell r="AK129">
            <v>3991.4627543499168</v>
          </cell>
          <cell r="AL129">
            <v>47897.553052198993</v>
          </cell>
        </row>
        <row r="130">
          <cell r="C130">
            <v>260</v>
          </cell>
          <cell r="D130" t="str">
            <v>F&amp;I</v>
          </cell>
          <cell r="E130">
            <v>3</v>
          </cell>
          <cell r="Z130">
            <v>460</v>
          </cell>
          <cell r="AA130">
            <v>460</v>
          </cell>
          <cell r="AB130">
            <v>460</v>
          </cell>
          <cell r="AC130">
            <v>460</v>
          </cell>
          <cell r="AD130">
            <v>460</v>
          </cell>
          <cell r="AE130">
            <v>460</v>
          </cell>
          <cell r="AF130">
            <v>460</v>
          </cell>
          <cell r="AG130">
            <v>460</v>
          </cell>
          <cell r="AH130">
            <v>460</v>
          </cell>
          <cell r="AI130">
            <v>460</v>
          </cell>
          <cell r="AJ130">
            <v>460</v>
          </cell>
          <cell r="AK130">
            <v>460</v>
          </cell>
          <cell r="AL130">
            <v>5520</v>
          </cell>
        </row>
        <row r="131">
          <cell r="C131">
            <v>330</v>
          </cell>
          <cell r="D131" t="str">
            <v>Parts</v>
          </cell>
          <cell r="E131">
            <v>3</v>
          </cell>
          <cell r="Z131">
            <v>353.44657872114027</v>
          </cell>
          <cell r="AA131">
            <v>353.44657872114027</v>
          </cell>
          <cell r="AB131">
            <v>353.44657872114027</v>
          </cell>
          <cell r="AC131">
            <v>353.44657872114027</v>
          </cell>
          <cell r="AD131">
            <v>353.44657872114027</v>
          </cell>
          <cell r="AE131">
            <v>353.44657872114027</v>
          </cell>
          <cell r="AF131">
            <v>353.44657872114027</v>
          </cell>
          <cell r="AG131">
            <v>353.44657872114027</v>
          </cell>
          <cell r="AH131">
            <v>353.44657872114027</v>
          </cell>
          <cell r="AI131">
            <v>353.44657872114027</v>
          </cell>
          <cell r="AJ131">
            <v>353.44657872114027</v>
          </cell>
          <cell r="AK131">
            <v>353.44657872114027</v>
          </cell>
          <cell r="AL131">
            <v>4241.3589446536835</v>
          </cell>
        </row>
        <row r="132">
          <cell r="C132">
            <v>340</v>
          </cell>
          <cell r="D132" t="str">
            <v>Service</v>
          </cell>
          <cell r="E132">
            <v>3</v>
          </cell>
          <cell r="Z132">
            <v>2348.6264829706843</v>
          </cell>
          <cell r="AA132">
            <v>2348.6264829706843</v>
          </cell>
          <cell r="AB132">
            <v>2348.6264829706843</v>
          </cell>
          <cell r="AC132">
            <v>2348.6264829706843</v>
          </cell>
          <cell r="AD132">
            <v>2348.6264829706843</v>
          </cell>
          <cell r="AE132">
            <v>2348.6264829706843</v>
          </cell>
          <cell r="AF132">
            <v>2348.6264829706843</v>
          </cell>
          <cell r="AG132">
            <v>2348.6264829706843</v>
          </cell>
          <cell r="AH132">
            <v>2348.6264829706843</v>
          </cell>
          <cell r="AI132">
            <v>2348.6264829706843</v>
          </cell>
          <cell r="AJ132">
            <v>2348.6264829706843</v>
          </cell>
          <cell r="AK132">
            <v>2348.6264829706843</v>
          </cell>
          <cell r="AL132">
            <v>28183.517795648218</v>
          </cell>
        </row>
        <row r="133">
          <cell r="C133">
            <v>430</v>
          </cell>
          <cell r="D133" t="str">
            <v>Parts</v>
          </cell>
          <cell r="E133">
            <v>3</v>
          </cell>
          <cell r="Z133">
            <v>380.65905058689106</v>
          </cell>
          <cell r="AA133">
            <v>380.65905058689106</v>
          </cell>
          <cell r="AB133">
            <v>380.65905058689106</v>
          </cell>
          <cell r="AC133">
            <v>380.65905058689106</v>
          </cell>
          <cell r="AD133">
            <v>380.65905058689106</v>
          </cell>
          <cell r="AE133">
            <v>380.65905058689106</v>
          </cell>
          <cell r="AF133">
            <v>380.65905058689106</v>
          </cell>
          <cell r="AG133">
            <v>380.65905058689106</v>
          </cell>
          <cell r="AH133">
            <v>380.65905058689106</v>
          </cell>
          <cell r="AI133">
            <v>380.65905058689106</v>
          </cell>
          <cell r="AJ133">
            <v>380.65905058689106</v>
          </cell>
          <cell r="AK133">
            <v>380.65905058689106</v>
          </cell>
          <cell r="AL133">
            <v>4567.9086070426929</v>
          </cell>
        </row>
        <row r="134">
          <cell r="C134">
            <v>440</v>
          </cell>
          <cell r="D134" t="str">
            <v>Service</v>
          </cell>
          <cell r="E134">
            <v>3</v>
          </cell>
          <cell r="Z134">
            <v>3025.6613291177418</v>
          </cell>
          <cell r="AA134">
            <v>3025.6613291177418</v>
          </cell>
          <cell r="AB134">
            <v>3025.6613291177418</v>
          </cell>
          <cell r="AC134">
            <v>3025.6613291177418</v>
          </cell>
          <cell r="AD134">
            <v>3025.6613291177418</v>
          </cell>
          <cell r="AE134">
            <v>3025.6613291177418</v>
          </cell>
          <cell r="AF134">
            <v>3025.6613291177418</v>
          </cell>
          <cell r="AG134">
            <v>3025.6613291177418</v>
          </cell>
          <cell r="AH134">
            <v>3025.6613291177418</v>
          </cell>
          <cell r="AI134">
            <v>3025.6613291177418</v>
          </cell>
          <cell r="AJ134">
            <v>3025.6613291177418</v>
          </cell>
          <cell r="AK134">
            <v>3025.6613291177418</v>
          </cell>
          <cell r="AL134">
            <v>36307.935949412902</v>
          </cell>
        </row>
        <row r="135">
          <cell r="C135">
            <v>935</v>
          </cell>
          <cell r="D135" t="str">
            <v>Bridgestone</v>
          </cell>
          <cell r="E135">
            <v>3</v>
          </cell>
          <cell r="Z135">
            <v>1150.9733333333334</v>
          </cell>
          <cell r="AA135">
            <v>1150.9733333333334</v>
          </cell>
          <cell r="AB135">
            <v>1150.9733333333334</v>
          </cell>
          <cell r="AC135">
            <v>1150.9733333333334</v>
          </cell>
          <cell r="AD135">
            <v>1150.9733333333334</v>
          </cell>
          <cell r="AE135">
            <v>1150.9733333333334</v>
          </cell>
          <cell r="AF135">
            <v>1150.9733333333334</v>
          </cell>
          <cell r="AG135">
            <v>1150.9733333333334</v>
          </cell>
          <cell r="AH135">
            <v>1150.9733333333334</v>
          </cell>
          <cell r="AI135">
            <v>1150.9733333333334</v>
          </cell>
          <cell r="AJ135">
            <v>1150.9733333333334</v>
          </cell>
          <cell r="AK135">
            <v>1150.9733333333334</v>
          </cell>
          <cell r="AL135">
            <v>13811.68</v>
          </cell>
        </row>
        <row r="136">
          <cell r="C136">
            <v>936</v>
          </cell>
          <cell r="D136" t="str">
            <v>Bridgestone</v>
          </cell>
          <cell r="E136">
            <v>3</v>
          </cell>
          <cell r="Z136">
            <v>297.39309419228891</v>
          </cell>
          <cell r="AA136">
            <v>297.39309419228891</v>
          </cell>
          <cell r="AB136">
            <v>297.39309419228891</v>
          </cell>
          <cell r="AC136">
            <v>297.39309419228891</v>
          </cell>
          <cell r="AD136">
            <v>297.39309419228891</v>
          </cell>
          <cell r="AE136">
            <v>297.39309419228891</v>
          </cell>
          <cell r="AF136">
            <v>297.39309419228891</v>
          </cell>
          <cell r="AG136">
            <v>297.39309419228891</v>
          </cell>
          <cell r="AH136">
            <v>297.39309419228891</v>
          </cell>
          <cell r="AI136">
            <v>297.39309419228891</v>
          </cell>
          <cell r="AJ136">
            <v>297.39309419228891</v>
          </cell>
          <cell r="AK136">
            <v>297.39309419228891</v>
          </cell>
          <cell r="AL136">
            <v>3568.7171303074679</v>
          </cell>
        </row>
        <row r="137">
          <cell r="C137">
            <v>110</v>
          </cell>
          <cell r="D137" t="str">
            <v>New Vehicle</v>
          </cell>
          <cell r="E137">
            <v>2</v>
          </cell>
          <cell r="Z137">
            <v>527.60797968752536</v>
          </cell>
          <cell r="AA137">
            <v>527.60797968752536</v>
          </cell>
          <cell r="AB137">
            <v>527.60797968752536</v>
          </cell>
          <cell r="AC137">
            <v>527.60797968752536</v>
          </cell>
          <cell r="AD137">
            <v>527.60797968752536</v>
          </cell>
          <cell r="AE137">
            <v>527.60797968752536</v>
          </cell>
          <cell r="AF137">
            <v>527.60797968752536</v>
          </cell>
          <cell r="AG137">
            <v>527.60797968752536</v>
          </cell>
          <cell r="AH137">
            <v>527.60797968752536</v>
          </cell>
          <cell r="AI137">
            <v>527.60797968752536</v>
          </cell>
          <cell r="AJ137">
            <v>527.60797968752536</v>
          </cell>
          <cell r="AK137">
            <v>527.60797968752536</v>
          </cell>
          <cell r="AL137">
            <v>6331.2957562503061</v>
          </cell>
        </row>
        <row r="138">
          <cell r="C138">
            <v>112</v>
          </cell>
          <cell r="D138" t="str">
            <v>LEX New Vehicle</v>
          </cell>
          <cell r="E138">
            <v>2</v>
          </cell>
          <cell r="Z138">
            <v>529.76350241011562</v>
          </cell>
          <cell r="AA138">
            <v>529.76350241011562</v>
          </cell>
          <cell r="AB138">
            <v>529.76350241011562</v>
          </cell>
          <cell r="AC138">
            <v>529.76350241011562</v>
          </cell>
          <cell r="AD138">
            <v>529.76350241011562</v>
          </cell>
          <cell r="AE138">
            <v>529.76350241011562</v>
          </cell>
          <cell r="AF138">
            <v>529.76350241011562</v>
          </cell>
          <cell r="AG138">
            <v>529.76350241011562</v>
          </cell>
          <cell r="AH138">
            <v>529.76350241011562</v>
          </cell>
          <cell r="AI138">
            <v>529.76350241011562</v>
          </cell>
          <cell r="AJ138">
            <v>529.76350241011562</v>
          </cell>
          <cell r="AK138">
            <v>529.76350241011562</v>
          </cell>
          <cell r="AL138">
            <v>6357.162028921387</v>
          </cell>
        </row>
        <row r="139">
          <cell r="C139">
            <v>120</v>
          </cell>
          <cell r="D139" t="str">
            <v>Used Vehicle</v>
          </cell>
          <cell r="E139">
            <v>2</v>
          </cell>
          <cell r="Z139">
            <v>1048.6432480429096</v>
          </cell>
          <cell r="AA139">
            <v>1048.6432480429096</v>
          </cell>
          <cell r="AB139">
            <v>1048.6432480429096</v>
          </cell>
          <cell r="AC139">
            <v>1048.6432480429096</v>
          </cell>
          <cell r="AD139">
            <v>1048.6432480429096</v>
          </cell>
          <cell r="AE139">
            <v>1048.6432480429096</v>
          </cell>
          <cell r="AF139">
            <v>1048.6432480429096</v>
          </cell>
          <cell r="AG139">
            <v>1048.6432480429096</v>
          </cell>
          <cell r="AH139">
            <v>1048.6432480429096</v>
          </cell>
          <cell r="AI139">
            <v>1048.6432480429096</v>
          </cell>
          <cell r="AJ139">
            <v>1048.6432480429096</v>
          </cell>
          <cell r="AK139">
            <v>1048.6432480429096</v>
          </cell>
          <cell r="AL139">
            <v>12583.718976514918</v>
          </cell>
        </row>
        <row r="140">
          <cell r="C140">
            <v>121</v>
          </cell>
          <cell r="D140" t="str">
            <v>Used Vehicle</v>
          </cell>
          <cell r="E140">
            <v>2</v>
          </cell>
          <cell r="Z140">
            <v>0</v>
          </cell>
          <cell r="AA140">
            <v>0</v>
          </cell>
          <cell r="AB140">
            <v>0</v>
          </cell>
          <cell r="AC140">
            <v>0</v>
          </cell>
          <cell r="AD140">
            <v>0</v>
          </cell>
          <cell r="AE140">
            <v>0</v>
          </cell>
          <cell r="AF140">
            <v>0</v>
          </cell>
          <cell r="AG140">
            <v>0</v>
          </cell>
          <cell r="AH140">
            <v>0</v>
          </cell>
          <cell r="AI140">
            <v>0</v>
          </cell>
          <cell r="AJ140">
            <v>0</v>
          </cell>
          <cell r="AK140">
            <v>0</v>
          </cell>
          <cell r="AL140">
            <v>0</v>
          </cell>
        </row>
        <row r="141">
          <cell r="C141">
            <v>130</v>
          </cell>
          <cell r="D141" t="str">
            <v>Parts</v>
          </cell>
          <cell r="E141">
            <v>3</v>
          </cell>
          <cell r="Z141">
            <v>314.11473636529547</v>
          </cell>
          <cell r="AA141">
            <v>314.11473636529547</v>
          </cell>
          <cell r="AB141">
            <v>314.11473636529547</v>
          </cell>
          <cell r="AC141">
            <v>314.11473636529547</v>
          </cell>
          <cell r="AD141">
            <v>314.11473636529547</v>
          </cell>
          <cell r="AE141">
            <v>314.11473636529547</v>
          </cell>
          <cell r="AF141">
            <v>314.11473636529547</v>
          </cell>
          <cell r="AG141">
            <v>314.11473636529547</v>
          </cell>
          <cell r="AH141">
            <v>314.11473636529547</v>
          </cell>
          <cell r="AI141">
            <v>314.11473636529547</v>
          </cell>
          <cell r="AJ141">
            <v>314.11473636529547</v>
          </cell>
          <cell r="AK141">
            <v>314.11473636529547</v>
          </cell>
          <cell r="AL141">
            <v>3769.3768363835447</v>
          </cell>
        </row>
        <row r="142">
          <cell r="C142">
            <v>140</v>
          </cell>
          <cell r="D142" t="str">
            <v>Service</v>
          </cell>
          <cell r="E142">
            <v>3</v>
          </cell>
          <cell r="Z142">
            <v>5325.7614781394195</v>
          </cell>
          <cell r="AA142">
            <v>5325.7614781394195</v>
          </cell>
          <cell r="AB142">
            <v>5325.7614781394195</v>
          </cell>
          <cell r="AC142">
            <v>5325.7614781394195</v>
          </cell>
          <cell r="AD142">
            <v>5325.7614781394195</v>
          </cell>
          <cell r="AE142">
            <v>5325.7614781394195</v>
          </cell>
          <cell r="AF142">
            <v>5325.7614781394195</v>
          </cell>
          <cell r="AG142">
            <v>5325.7614781394195</v>
          </cell>
          <cell r="AH142">
            <v>5325.7614781394195</v>
          </cell>
          <cell r="AI142">
            <v>5325.7614781394195</v>
          </cell>
          <cell r="AJ142">
            <v>5325.7614781394195</v>
          </cell>
          <cell r="AK142">
            <v>5325.7614781394195</v>
          </cell>
          <cell r="AL142">
            <v>63909.137737673045</v>
          </cell>
        </row>
        <row r="143">
          <cell r="C143">
            <v>142</v>
          </cell>
          <cell r="D143" t="str">
            <v>Lex Service</v>
          </cell>
          <cell r="E143">
            <v>3</v>
          </cell>
          <cell r="Z143">
            <v>1654.6509441657499</v>
          </cell>
          <cell r="AA143">
            <v>1654.6509441657499</v>
          </cell>
          <cell r="AB143">
            <v>1654.6509441657499</v>
          </cell>
          <cell r="AC143">
            <v>1654.6509441657499</v>
          </cell>
          <cell r="AD143">
            <v>1654.6509441657499</v>
          </cell>
          <cell r="AE143">
            <v>1654.6509441657499</v>
          </cell>
          <cell r="AF143">
            <v>1654.6509441657499</v>
          </cell>
          <cell r="AG143">
            <v>1654.6509441657499</v>
          </cell>
          <cell r="AH143">
            <v>1654.6509441657499</v>
          </cell>
          <cell r="AI143">
            <v>1654.6509441657499</v>
          </cell>
          <cell r="AJ143">
            <v>1654.6509441657499</v>
          </cell>
          <cell r="AK143">
            <v>1654.6509441657499</v>
          </cell>
          <cell r="AL143">
            <v>19855.811329989006</v>
          </cell>
        </row>
        <row r="144">
          <cell r="C144">
            <v>147</v>
          </cell>
          <cell r="D144" t="str">
            <v>Service</v>
          </cell>
          <cell r="E144">
            <v>3</v>
          </cell>
          <cell r="Z144">
            <v>0</v>
          </cell>
          <cell r="AA144">
            <v>0</v>
          </cell>
          <cell r="AB144">
            <v>0</v>
          </cell>
          <cell r="AC144">
            <v>0</v>
          </cell>
          <cell r="AD144">
            <v>0</v>
          </cell>
          <cell r="AE144">
            <v>0</v>
          </cell>
          <cell r="AF144">
            <v>0</v>
          </cell>
          <cell r="AG144">
            <v>0</v>
          </cell>
          <cell r="AH144">
            <v>0</v>
          </cell>
          <cell r="AI144">
            <v>0</v>
          </cell>
          <cell r="AJ144">
            <v>0</v>
          </cell>
          <cell r="AK144">
            <v>0</v>
          </cell>
          <cell r="AL144">
            <v>0</v>
          </cell>
        </row>
        <row r="145">
          <cell r="C145">
            <v>150</v>
          </cell>
          <cell r="D145" t="str">
            <v>Retail Detailing</v>
          </cell>
          <cell r="E145">
            <v>3</v>
          </cell>
          <cell r="Z145">
            <v>0</v>
          </cell>
          <cell r="AA145">
            <v>0</v>
          </cell>
          <cell r="AB145">
            <v>0</v>
          </cell>
          <cell r="AC145">
            <v>0</v>
          </cell>
          <cell r="AD145">
            <v>0</v>
          </cell>
          <cell r="AE145">
            <v>0</v>
          </cell>
          <cell r="AF145">
            <v>0</v>
          </cell>
          <cell r="AG145">
            <v>0</v>
          </cell>
          <cell r="AH145">
            <v>0</v>
          </cell>
          <cell r="AI145">
            <v>0</v>
          </cell>
          <cell r="AJ145">
            <v>0</v>
          </cell>
          <cell r="AK145">
            <v>0</v>
          </cell>
          <cell r="AL145">
            <v>0</v>
          </cell>
        </row>
        <row r="146">
          <cell r="C146">
            <v>160</v>
          </cell>
          <cell r="D146" t="str">
            <v>F&amp;I</v>
          </cell>
          <cell r="E146">
            <v>3</v>
          </cell>
          <cell r="Z146">
            <v>0</v>
          </cell>
          <cell r="AA146">
            <v>0</v>
          </cell>
          <cell r="AB146">
            <v>0</v>
          </cell>
          <cell r="AC146">
            <v>0</v>
          </cell>
          <cell r="AD146">
            <v>0</v>
          </cell>
          <cell r="AE146">
            <v>0</v>
          </cell>
          <cell r="AF146">
            <v>0</v>
          </cell>
          <cell r="AG146">
            <v>0</v>
          </cell>
          <cell r="AH146">
            <v>0</v>
          </cell>
          <cell r="AI146">
            <v>0</v>
          </cell>
          <cell r="AJ146">
            <v>0</v>
          </cell>
          <cell r="AK146">
            <v>0</v>
          </cell>
          <cell r="AL146">
            <v>0</v>
          </cell>
        </row>
        <row r="147">
          <cell r="C147">
            <v>210</v>
          </cell>
          <cell r="D147" t="str">
            <v>New Vehicle</v>
          </cell>
          <cell r="E147">
            <v>2</v>
          </cell>
          <cell r="Z147">
            <v>598.44629461628813</v>
          </cell>
          <cell r="AA147">
            <v>598.44629461628813</v>
          </cell>
          <cell r="AB147">
            <v>598.44629461628813</v>
          </cell>
          <cell r="AC147">
            <v>598.44629461628813</v>
          </cell>
          <cell r="AD147">
            <v>598.44629461628813</v>
          </cell>
          <cell r="AE147">
            <v>598.44629461628813</v>
          </cell>
          <cell r="AF147">
            <v>598.44629461628813</v>
          </cell>
          <cell r="AG147">
            <v>598.44629461628813</v>
          </cell>
          <cell r="AH147">
            <v>598.44629461628813</v>
          </cell>
          <cell r="AI147">
            <v>598.44629461628813</v>
          </cell>
          <cell r="AJ147">
            <v>598.44629461628813</v>
          </cell>
          <cell r="AK147">
            <v>598.44629461628813</v>
          </cell>
          <cell r="AL147">
            <v>7181.3555353954589</v>
          </cell>
        </row>
        <row r="148">
          <cell r="C148">
            <v>220</v>
          </cell>
          <cell r="D148" t="str">
            <v>Used Vehicle</v>
          </cell>
          <cell r="E148">
            <v>2</v>
          </cell>
          <cell r="Z148">
            <v>1027.7597660180895</v>
          </cell>
          <cell r="AA148">
            <v>1027.7597660180895</v>
          </cell>
          <cell r="AB148">
            <v>1027.7597660180895</v>
          </cell>
          <cell r="AC148">
            <v>1027.7597660180895</v>
          </cell>
          <cell r="AD148">
            <v>1027.7597660180895</v>
          </cell>
          <cell r="AE148">
            <v>1027.7597660180895</v>
          </cell>
          <cell r="AF148">
            <v>1027.7597660180895</v>
          </cell>
          <cell r="AG148">
            <v>1027.7597660180895</v>
          </cell>
          <cell r="AH148">
            <v>1027.7597660180895</v>
          </cell>
          <cell r="AI148">
            <v>1027.7597660180895</v>
          </cell>
          <cell r="AJ148">
            <v>1027.7597660180895</v>
          </cell>
          <cell r="AK148">
            <v>1027.7597660180895</v>
          </cell>
          <cell r="AL148">
            <v>12333.117192217071</v>
          </cell>
        </row>
        <row r="149">
          <cell r="C149">
            <v>230</v>
          </cell>
          <cell r="D149" t="str">
            <v>Parts</v>
          </cell>
          <cell r="E149">
            <v>3</v>
          </cell>
          <cell r="Z149">
            <v>235.43964151053123</v>
          </cell>
          <cell r="AA149">
            <v>235.43964151053123</v>
          </cell>
          <cell r="AB149">
            <v>235.43964151053123</v>
          </cell>
          <cell r="AC149">
            <v>235.43964151053123</v>
          </cell>
          <cell r="AD149">
            <v>235.43964151053123</v>
          </cell>
          <cell r="AE149">
            <v>235.43964151053123</v>
          </cell>
          <cell r="AF149">
            <v>235.43964151053123</v>
          </cell>
          <cell r="AG149">
            <v>235.43964151053123</v>
          </cell>
          <cell r="AH149">
            <v>235.43964151053123</v>
          </cell>
          <cell r="AI149">
            <v>235.43964151053123</v>
          </cell>
          <cell r="AJ149">
            <v>235.43964151053123</v>
          </cell>
          <cell r="AK149">
            <v>235.43964151053123</v>
          </cell>
          <cell r="AL149">
            <v>2825.2756981263742</v>
          </cell>
        </row>
        <row r="150">
          <cell r="C150">
            <v>240</v>
          </cell>
          <cell r="D150" t="str">
            <v>Service</v>
          </cell>
          <cell r="E150">
            <v>3</v>
          </cell>
          <cell r="Z150">
            <v>3527.6138828641488</v>
          </cell>
          <cell r="AA150">
            <v>3527.6138828641488</v>
          </cell>
          <cell r="AB150">
            <v>3527.6138828641488</v>
          </cell>
          <cell r="AC150">
            <v>3527.6138828641488</v>
          </cell>
          <cell r="AD150">
            <v>3527.6138828641488</v>
          </cell>
          <cell r="AE150">
            <v>3527.6138828641488</v>
          </cell>
          <cell r="AF150">
            <v>3527.6138828641488</v>
          </cell>
          <cell r="AG150">
            <v>3527.6138828641488</v>
          </cell>
          <cell r="AH150">
            <v>3527.6138828641488</v>
          </cell>
          <cell r="AI150">
            <v>3527.6138828641488</v>
          </cell>
          <cell r="AJ150">
            <v>3527.6138828641488</v>
          </cell>
          <cell r="AK150">
            <v>3527.6138828641488</v>
          </cell>
          <cell r="AL150">
            <v>42331.366594369785</v>
          </cell>
        </row>
        <row r="151">
          <cell r="C151">
            <v>260</v>
          </cell>
          <cell r="D151" t="str">
            <v>F&amp;I</v>
          </cell>
          <cell r="E151">
            <v>3</v>
          </cell>
          <cell r="Z151">
            <v>0</v>
          </cell>
          <cell r="AA151">
            <v>0</v>
          </cell>
          <cell r="AB151">
            <v>0</v>
          </cell>
          <cell r="AC151">
            <v>0</v>
          </cell>
          <cell r="AD151">
            <v>0</v>
          </cell>
          <cell r="AE151">
            <v>0</v>
          </cell>
          <cell r="AF151">
            <v>0</v>
          </cell>
          <cell r="AG151">
            <v>0</v>
          </cell>
          <cell r="AH151">
            <v>0</v>
          </cell>
          <cell r="AI151">
            <v>0</v>
          </cell>
          <cell r="AJ151">
            <v>0</v>
          </cell>
          <cell r="AK151">
            <v>0</v>
          </cell>
          <cell r="AL151">
            <v>0</v>
          </cell>
        </row>
        <row r="152">
          <cell r="C152">
            <v>330</v>
          </cell>
          <cell r="D152" t="str">
            <v>Parts</v>
          </cell>
          <cell r="E152">
            <v>3</v>
          </cell>
          <cell r="Z152">
            <v>29.783178114302856</v>
          </cell>
          <cell r="AA152">
            <v>29.783178114302856</v>
          </cell>
          <cell r="AB152">
            <v>29.783178114302856</v>
          </cell>
          <cell r="AC152">
            <v>29.783178114302856</v>
          </cell>
          <cell r="AD152">
            <v>29.783178114302856</v>
          </cell>
          <cell r="AE152">
            <v>29.783178114302856</v>
          </cell>
          <cell r="AF152">
            <v>29.783178114302856</v>
          </cell>
          <cell r="AG152">
            <v>29.783178114302856</v>
          </cell>
          <cell r="AH152">
            <v>29.783178114302856</v>
          </cell>
          <cell r="AI152">
            <v>29.783178114302856</v>
          </cell>
          <cell r="AJ152">
            <v>29.783178114302856</v>
          </cell>
          <cell r="AK152">
            <v>29.783178114302856</v>
          </cell>
          <cell r="AL152">
            <v>357.39813737163439</v>
          </cell>
        </row>
        <row r="153">
          <cell r="C153">
            <v>340</v>
          </cell>
          <cell r="D153" t="str">
            <v>Service</v>
          </cell>
          <cell r="E153">
            <v>3</v>
          </cell>
          <cell r="Z153">
            <v>3645.6153912479344</v>
          </cell>
          <cell r="AA153">
            <v>3645.6153912479344</v>
          </cell>
          <cell r="AB153">
            <v>3645.6153912479344</v>
          </cell>
          <cell r="AC153">
            <v>3645.6153912479344</v>
          </cell>
          <cell r="AD153">
            <v>3645.6153912479344</v>
          </cell>
          <cell r="AE153">
            <v>3645.6153912479344</v>
          </cell>
          <cell r="AF153">
            <v>3645.6153912479344</v>
          </cell>
          <cell r="AG153">
            <v>3645.6153912479344</v>
          </cell>
          <cell r="AH153">
            <v>3645.6153912479344</v>
          </cell>
          <cell r="AI153">
            <v>3645.6153912479344</v>
          </cell>
          <cell r="AJ153">
            <v>3645.6153912479344</v>
          </cell>
          <cell r="AK153">
            <v>3645.6153912479344</v>
          </cell>
          <cell r="AL153">
            <v>43747.384694975211</v>
          </cell>
        </row>
        <row r="154">
          <cell r="C154">
            <v>430</v>
          </cell>
          <cell r="D154" t="str">
            <v>Parts</v>
          </cell>
          <cell r="E154">
            <v>3</v>
          </cell>
          <cell r="Z154">
            <v>96.651887147606658</v>
          </cell>
          <cell r="AA154">
            <v>96.651887147606658</v>
          </cell>
          <cell r="AB154">
            <v>96.651887147606658</v>
          </cell>
          <cell r="AC154">
            <v>96.651887147606658</v>
          </cell>
          <cell r="AD154">
            <v>96.651887147606658</v>
          </cell>
          <cell r="AE154">
            <v>96.651887147606658</v>
          </cell>
          <cell r="AF154">
            <v>96.651887147606658</v>
          </cell>
          <cell r="AG154">
            <v>96.651887147606658</v>
          </cell>
          <cell r="AH154">
            <v>96.651887147606658</v>
          </cell>
          <cell r="AI154">
            <v>96.651887147606658</v>
          </cell>
          <cell r="AJ154">
            <v>96.651887147606658</v>
          </cell>
          <cell r="AK154">
            <v>96.651887147606658</v>
          </cell>
          <cell r="AL154">
            <v>1159.8226457712799</v>
          </cell>
        </row>
        <row r="155">
          <cell r="C155">
            <v>440</v>
          </cell>
          <cell r="D155" t="str">
            <v>Service</v>
          </cell>
          <cell r="E155">
            <v>3</v>
          </cell>
          <cell r="Z155">
            <v>1375.6480696700867</v>
          </cell>
          <cell r="AA155">
            <v>1375.6480696700867</v>
          </cell>
          <cell r="AB155">
            <v>1375.6480696700867</v>
          </cell>
          <cell r="AC155">
            <v>1375.6480696700867</v>
          </cell>
          <cell r="AD155">
            <v>1375.6480696700867</v>
          </cell>
          <cell r="AE155">
            <v>1375.6480696700867</v>
          </cell>
          <cell r="AF155">
            <v>1375.6480696700867</v>
          </cell>
          <cell r="AG155">
            <v>1375.6480696700867</v>
          </cell>
          <cell r="AH155">
            <v>1375.6480696700867</v>
          </cell>
          <cell r="AI155">
            <v>1375.6480696700867</v>
          </cell>
          <cell r="AJ155">
            <v>1375.6480696700867</v>
          </cell>
          <cell r="AK155">
            <v>1375.6480696700867</v>
          </cell>
          <cell r="AL155">
            <v>16507.776836041045</v>
          </cell>
        </row>
        <row r="156">
          <cell r="C156">
            <v>935</v>
          </cell>
          <cell r="D156" t="str">
            <v>Bridgestone</v>
          </cell>
          <cell r="E156">
            <v>3</v>
          </cell>
          <cell r="Z156">
            <v>0</v>
          </cell>
          <cell r="AA156">
            <v>0</v>
          </cell>
          <cell r="AB156">
            <v>0</v>
          </cell>
          <cell r="AC156">
            <v>0</v>
          </cell>
          <cell r="AD156">
            <v>0</v>
          </cell>
          <cell r="AE156">
            <v>0</v>
          </cell>
          <cell r="AF156">
            <v>0</v>
          </cell>
          <cell r="AG156">
            <v>0</v>
          </cell>
          <cell r="AH156">
            <v>0</v>
          </cell>
          <cell r="AI156">
            <v>0</v>
          </cell>
          <cell r="AJ156">
            <v>0</v>
          </cell>
          <cell r="AK156">
            <v>0</v>
          </cell>
          <cell r="AL156">
            <v>0</v>
          </cell>
        </row>
        <row r="157">
          <cell r="C157">
            <v>936</v>
          </cell>
          <cell r="D157" t="str">
            <v>Bridgestone</v>
          </cell>
          <cell r="E157">
            <v>3</v>
          </cell>
          <cell r="Z157">
            <v>0</v>
          </cell>
          <cell r="AA157">
            <v>0</v>
          </cell>
          <cell r="AB157">
            <v>0</v>
          </cell>
          <cell r="AC157">
            <v>0</v>
          </cell>
          <cell r="AD157">
            <v>0</v>
          </cell>
          <cell r="AE157">
            <v>0</v>
          </cell>
          <cell r="AF157">
            <v>0</v>
          </cell>
          <cell r="AG157">
            <v>0</v>
          </cell>
          <cell r="AH157">
            <v>0</v>
          </cell>
          <cell r="AI157">
            <v>0</v>
          </cell>
          <cell r="AJ157">
            <v>0</v>
          </cell>
          <cell r="AK157">
            <v>0</v>
          </cell>
          <cell r="AL157">
            <v>0</v>
          </cell>
        </row>
        <row r="158">
          <cell r="C158">
            <v>110</v>
          </cell>
          <cell r="D158" t="str">
            <v>Used Vehicle</v>
          </cell>
          <cell r="E158">
            <v>2</v>
          </cell>
          <cell r="Z158">
            <v>107.21166666666666</v>
          </cell>
          <cell r="AA158">
            <v>107.21166666666666</v>
          </cell>
          <cell r="AB158">
            <v>107.21166666666666</v>
          </cell>
          <cell r="AC158">
            <v>107.21166666666666</v>
          </cell>
          <cell r="AD158">
            <v>107.21166666666666</v>
          </cell>
          <cell r="AE158">
            <v>107.21166666666666</v>
          </cell>
          <cell r="AF158">
            <v>107.21166666666666</v>
          </cell>
          <cell r="AG158">
            <v>107.21166666666666</v>
          </cell>
          <cell r="AH158">
            <v>107.21166666666666</v>
          </cell>
          <cell r="AI158">
            <v>107.21166666666666</v>
          </cell>
          <cell r="AJ158">
            <v>107.21166666666666</v>
          </cell>
          <cell r="AK158">
            <v>107.21166666666666</v>
          </cell>
          <cell r="AL158">
            <v>1286.54</v>
          </cell>
        </row>
        <row r="159">
          <cell r="C159">
            <v>112</v>
          </cell>
          <cell r="D159" t="str">
            <v>LEX New Vehicle</v>
          </cell>
          <cell r="E159">
            <v>2</v>
          </cell>
          <cell r="Z159">
            <v>12.2875</v>
          </cell>
          <cell r="AA159">
            <v>12.2875</v>
          </cell>
          <cell r="AB159">
            <v>12.2875</v>
          </cell>
          <cell r="AC159">
            <v>12.2875</v>
          </cell>
          <cell r="AD159">
            <v>12.2875</v>
          </cell>
          <cell r="AE159">
            <v>12.2875</v>
          </cell>
          <cell r="AF159">
            <v>12.2875</v>
          </cell>
          <cell r="AG159">
            <v>12.2875</v>
          </cell>
          <cell r="AH159">
            <v>12.2875</v>
          </cell>
          <cell r="AI159">
            <v>12.2875</v>
          </cell>
          <cell r="AJ159">
            <v>12.2875</v>
          </cell>
          <cell r="AK159">
            <v>12.2875</v>
          </cell>
          <cell r="AL159">
            <v>147.44999999999996</v>
          </cell>
        </row>
        <row r="160">
          <cell r="C160">
            <v>121</v>
          </cell>
          <cell r="D160" t="str">
            <v>Used Vehicle</v>
          </cell>
          <cell r="E160">
            <v>2</v>
          </cell>
          <cell r="Z160">
            <v>2.8766666666666669</v>
          </cell>
          <cell r="AA160">
            <v>2.8766666666666669</v>
          </cell>
          <cell r="AB160">
            <v>2.8766666666666669</v>
          </cell>
          <cell r="AC160">
            <v>2.8766666666666669</v>
          </cell>
          <cell r="AD160">
            <v>2.8766666666666669</v>
          </cell>
          <cell r="AE160">
            <v>2.8766666666666669</v>
          </cell>
          <cell r="AF160">
            <v>2.8766666666666669</v>
          </cell>
          <cell r="AG160">
            <v>2.8766666666666669</v>
          </cell>
          <cell r="AH160">
            <v>2.8766666666666669</v>
          </cell>
          <cell r="AI160">
            <v>2.8766666666666669</v>
          </cell>
          <cell r="AJ160">
            <v>2.8766666666666669</v>
          </cell>
          <cell r="AK160">
            <v>2.8766666666666669</v>
          </cell>
          <cell r="AL160">
            <v>34.519999999999996</v>
          </cell>
        </row>
        <row r="161">
          <cell r="C161">
            <v>122</v>
          </cell>
          <cell r="D161" t="str">
            <v>LEX Used Vehicle</v>
          </cell>
          <cell r="E161">
            <v>2</v>
          </cell>
          <cell r="Z161">
            <v>3.7891666666666666</v>
          </cell>
          <cell r="AA161">
            <v>3.7891666666666666</v>
          </cell>
          <cell r="AB161">
            <v>3.7891666666666666</v>
          </cell>
          <cell r="AC161">
            <v>3.7891666666666666</v>
          </cell>
          <cell r="AD161">
            <v>3.7891666666666666</v>
          </cell>
          <cell r="AE161">
            <v>3.7891666666666666</v>
          </cell>
          <cell r="AF161">
            <v>3.7891666666666666</v>
          </cell>
          <cell r="AG161">
            <v>3.7891666666666666</v>
          </cell>
          <cell r="AH161">
            <v>3.7891666666666666</v>
          </cell>
          <cell r="AI161">
            <v>3.7891666666666666</v>
          </cell>
          <cell r="AJ161">
            <v>3.7891666666666666</v>
          </cell>
          <cell r="AK161">
            <v>3.7891666666666666</v>
          </cell>
          <cell r="AL161">
            <v>45.47</v>
          </cell>
        </row>
        <row r="162">
          <cell r="C162">
            <v>130</v>
          </cell>
          <cell r="D162" t="str">
            <v>Parts</v>
          </cell>
          <cell r="E162">
            <v>3</v>
          </cell>
          <cell r="Z162">
            <v>71.266666666666666</v>
          </cell>
          <cell r="AA162">
            <v>71.266666666666666</v>
          </cell>
          <cell r="AB162">
            <v>71.266666666666666</v>
          </cell>
          <cell r="AC162">
            <v>71.266666666666666</v>
          </cell>
          <cell r="AD162">
            <v>71.266666666666666</v>
          </cell>
          <cell r="AE162">
            <v>71.266666666666666</v>
          </cell>
          <cell r="AF162">
            <v>71.266666666666666</v>
          </cell>
          <cell r="AG162">
            <v>71.266666666666666</v>
          </cell>
          <cell r="AH162">
            <v>71.266666666666666</v>
          </cell>
          <cell r="AI162">
            <v>71.266666666666666</v>
          </cell>
          <cell r="AJ162">
            <v>71.266666666666666</v>
          </cell>
          <cell r="AK162">
            <v>71.266666666666666</v>
          </cell>
          <cell r="AL162">
            <v>855.19999999999993</v>
          </cell>
        </row>
        <row r="163">
          <cell r="C163">
            <v>140</v>
          </cell>
          <cell r="D163" t="str">
            <v>Service</v>
          </cell>
          <cell r="E163">
            <v>3</v>
          </cell>
          <cell r="Z163">
            <v>0</v>
          </cell>
          <cell r="AA163">
            <v>0</v>
          </cell>
          <cell r="AB163">
            <v>0</v>
          </cell>
          <cell r="AC163">
            <v>0</v>
          </cell>
          <cell r="AD163">
            <v>0</v>
          </cell>
          <cell r="AE163">
            <v>0</v>
          </cell>
          <cell r="AF163">
            <v>0</v>
          </cell>
          <cell r="AG163">
            <v>0</v>
          </cell>
          <cell r="AH163">
            <v>0</v>
          </cell>
          <cell r="AI163">
            <v>0</v>
          </cell>
          <cell r="AJ163">
            <v>0</v>
          </cell>
          <cell r="AK163">
            <v>0</v>
          </cell>
          <cell r="AL163">
            <v>0</v>
          </cell>
        </row>
        <row r="164">
          <cell r="C164">
            <v>142</v>
          </cell>
          <cell r="D164" t="str">
            <v>Lex Service</v>
          </cell>
          <cell r="E164">
            <v>3</v>
          </cell>
          <cell r="Z164">
            <v>246.91416666666669</v>
          </cell>
          <cell r="AA164">
            <v>246.91416666666669</v>
          </cell>
          <cell r="AB164">
            <v>246.91416666666669</v>
          </cell>
          <cell r="AC164">
            <v>246.91416666666669</v>
          </cell>
          <cell r="AD164">
            <v>246.91416666666669</v>
          </cell>
          <cell r="AE164">
            <v>246.91416666666669</v>
          </cell>
          <cell r="AF164">
            <v>246.91416666666669</v>
          </cell>
          <cell r="AG164">
            <v>246.91416666666669</v>
          </cell>
          <cell r="AH164">
            <v>246.91416666666669</v>
          </cell>
          <cell r="AI164">
            <v>246.91416666666669</v>
          </cell>
          <cell r="AJ164">
            <v>246.91416666666669</v>
          </cell>
          <cell r="AK164">
            <v>246.91416666666669</v>
          </cell>
          <cell r="AL164">
            <v>2962.9699999999993</v>
          </cell>
        </row>
        <row r="165">
          <cell r="C165">
            <v>147</v>
          </cell>
          <cell r="D165" t="str">
            <v>Service</v>
          </cell>
          <cell r="E165">
            <v>3</v>
          </cell>
          <cell r="Z165">
            <v>0</v>
          </cell>
          <cell r="AA165">
            <v>0</v>
          </cell>
          <cell r="AB165">
            <v>0</v>
          </cell>
          <cell r="AC165">
            <v>0</v>
          </cell>
          <cell r="AD165">
            <v>0</v>
          </cell>
          <cell r="AE165">
            <v>0</v>
          </cell>
          <cell r="AF165">
            <v>0</v>
          </cell>
          <cell r="AG165">
            <v>0</v>
          </cell>
          <cell r="AH165">
            <v>0</v>
          </cell>
          <cell r="AI165">
            <v>0</v>
          </cell>
          <cell r="AJ165">
            <v>0</v>
          </cell>
          <cell r="AK165">
            <v>0</v>
          </cell>
          <cell r="AL165">
            <v>0</v>
          </cell>
        </row>
        <row r="166">
          <cell r="C166">
            <v>210</v>
          </cell>
          <cell r="D166" t="str">
            <v>Used Vehicle</v>
          </cell>
          <cell r="E166">
            <v>2</v>
          </cell>
          <cell r="Z166">
            <v>12.114166666666668</v>
          </cell>
          <cell r="AA166">
            <v>12.114166666666668</v>
          </cell>
          <cell r="AB166">
            <v>12.114166666666668</v>
          </cell>
          <cell r="AC166">
            <v>12.114166666666668</v>
          </cell>
          <cell r="AD166">
            <v>12.114166666666668</v>
          </cell>
          <cell r="AE166">
            <v>12.114166666666668</v>
          </cell>
          <cell r="AF166">
            <v>12.114166666666668</v>
          </cell>
          <cell r="AG166">
            <v>12.114166666666668</v>
          </cell>
          <cell r="AH166">
            <v>12.114166666666668</v>
          </cell>
          <cell r="AI166">
            <v>12.114166666666668</v>
          </cell>
          <cell r="AJ166">
            <v>12.114166666666668</v>
          </cell>
          <cell r="AK166">
            <v>12.114166666666668</v>
          </cell>
          <cell r="AL166">
            <v>145.37</v>
          </cell>
        </row>
        <row r="167">
          <cell r="C167">
            <v>220</v>
          </cell>
          <cell r="D167" t="str">
            <v>Used Vehicle</v>
          </cell>
          <cell r="E167">
            <v>2</v>
          </cell>
          <cell r="Z167">
            <v>5.71</v>
          </cell>
          <cell r="AA167">
            <v>5.71</v>
          </cell>
          <cell r="AB167">
            <v>5.71</v>
          </cell>
          <cell r="AC167">
            <v>5.71</v>
          </cell>
          <cell r="AD167">
            <v>5.71</v>
          </cell>
          <cell r="AE167">
            <v>5.71</v>
          </cell>
          <cell r="AF167">
            <v>5.71</v>
          </cell>
          <cell r="AG167">
            <v>5.71</v>
          </cell>
          <cell r="AH167">
            <v>5.71</v>
          </cell>
          <cell r="AI167">
            <v>5.71</v>
          </cell>
          <cell r="AJ167">
            <v>5.71</v>
          </cell>
          <cell r="AK167">
            <v>5.71</v>
          </cell>
          <cell r="AL167">
            <v>68.52</v>
          </cell>
        </row>
        <row r="168">
          <cell r="C168">
            <v>230</v>
          </cell>
          <cell r="D168" t="str">
            <v>Parts</v>
          </cell>
          <cell r="E168">
            <v>3</v>
          </cell>
          <cell r="Z168">
            <v>0</v>
          </cell>
          <cell r="AA168">
            <v>0</v>
          </cell>
          <cell r="AB168">
            <v>0</v>
          </cell>
          <cell r="AC168">
            <v>0</v>
          </cell>
          <cell r="AD168">
            <v>0</v>
          </cell>
          <cell r="AE168">
            <v>0</v>
          </cell>
          <cell r="AF168">
            <v>0</v>
          </cell>
          <cell r="AG168">
            <v>0</v>
          </cell>
          <cell r="AH168">
            <v>0</v>
          </cell>
          <cell r="AI168">
            <v>0</v>
          </cell>
          <cell r="AJ168">
            <v>0</v>
          </cell>
          <cell r="AK168">
            <v>0</v>
          </cell>
          <cell r="AL168">
            <v>0</v>
          </cell>
        </row>
        <row r="169">
          <cell r="C169">
            <v>430</v>
          </cell>
          <cell r="D169" t="str">
            <v>Parts</v>
          </cell>
          <cell r="E169">
            <v>3</v>
          </cell>
          <cell r="Z169">
            <v>17.999166666666667</v>
          </cell>
          <cell r="AA169">
            <v>17.999166666666667</v>
          </cell>
          <cell r="AB169">
            <v>17.999166666666667</v>
          </cell>
          <cell r="AC169">
            <v>17.999166666666667</v>
          </cell>
          <cell r="AD169">
            <v>17.999166666666667</v>
          </cell>
          <cell r="AE169">
            <v>17.999166666666667</v>
          </cell>
          <cell r="AF169">
            <v>17.999166666666667</v>
          </cell>
          <cell r="AG169">
            <v>17.999166666666667</v>
          </cell>
          <cell r="AH169">
            <v>17.999166666666667</v>
          </cell>
          <cell r="AI169">
            <v>17.999166666666667</v>
          </cell>
          <cell r="AJ169">
            <v>17.999166666666667</v>
          </cell>
          <cell r="AK169">
            <v>17.999166666666667</v>
          </cell>
          <cell r="AL169">
            <v>215.99</v>
          </cell>
        </row>
        <row r="170">
          <cell r="C170">
            <v>440</v>
          </cell>
          <cell r="D170" t="str">
            <v>Service</v>
          </cell>
          <cell r="E170">
            <v>3</v>
          </cell>
          <cell r="Z170">
            <v>4.2583333333333337</v>
          </cell>
          <cell r="AA170">
            <v>4.2583333333333337</v>
          </cell>
          <cell r="AB170">
            <v>4.2583333333333337</v>
          </cell>
          <cell r="AC170">
            <v>4.2583333333333337</v>
          </cell>
          <cell r="AD170">
            <v>4.2583333333333337</v>
          </cell>
          <cell r="AE170">
            <v>4.2583333333333337</v>
          </cell>
          <cell r="AF170">
            <v>4.2583333333333337</v>
          </cell>
          <cell r="AG170">
            <v>4.2583333333333337</v>
          </cell>
          <cell r="AH170">
            <v>4.2583333333333337</v>
          </cell>
          <cell r="AI170">
            <v>4.2583333333333337</v>
          </cell>
          <cell r="AJ170">
            <v>4.2583333333333337</v>
          </cell>
          <cell r="AK170">
            <v>4.2583333333333337</v>
          </cell>
          <cell r="AL170">
            <v>51.1</v>
          </cell>
        </row>
        <row r="171">
          <cell r="C171">
            <v>110</v>
          </cell>
          <cell r="D171" t="str">
            <v>New Vehicle</v>
          </cell>
          <cell r="E171">
            <v>2</v>
          </cell>
          <cell r="Z171">
            <v>1208.4508333333331</v>
          </cell>
          <cell r="AA171">
            <v>1208.4508333333331</v>
          </cell>
          <cell r="AB171">
            <v>1208.4508333333331</v>
          </cell>
          <cell r="AC171">
            <v>1208.4508333333331</v>
          </cell>
          <cell r="AD171">
            <v>1208.4508333333331</v>
          </cell>
          <cell r="AE171">
            <v>1208.4508333333331</v>
          </cell>
          <cell r="AF171">
            <v>1208.4508333333331</v>
          </cell>
          <cell r="AG171">
            <v>1208.4508333333331</v>
          </cell>
          <cell r="AH171">
            <v>1208.4508333333331</v>
          </cell>
          <cell r="AI171">
            <v>1208.4508333333331</v>
          </cell>
          <cell r="AJ171">
            <v>1208.4508333333331</v>
          </cell>
          <cell r="AK171">
            <v>1208.4508333333331</v>
          </cell>
          <cell r="AL171">
            <v>14501.409999999994</v>
          </cell>
        </row>
        <row r="172">
          <cell r="C172">
            <v>112</v>
          </cell>
          <cell r="D172" t="str">
            <v>LEX New Vehicle</v>
          </cell>
          <cell r="E172">
            <v>2</v>
          </cell>
          <cell r="Z172">
            <v>5662.0791666666664</v>
          </cell>
          <cell r="AA172">
            <v>5662.0791666666664</v>
          </cell>
          <cell r="AB172">
            <v>5662.0791666666664</v>
          </cell>
          <cell r="AC172">
            <v>5662.0791666666664</v>
          </cell>
          <cell r="AD172">
            <v>5662.0791666666664</v>
          </cell>
          <cell r="AE172">
            <v>5662.0791666666664</v>
          </cell>
          <cell r="AF172">
            <v>5662.0791666666664</v>
          </cell>
          <cell r="AG172">
            <v>5662.0791666666664</v>
          </cell>
          <cell r="AH172">
            <v>5662.0791666666664</v>
          </cell>
          <cell r="AI172">
            <v>5662.0791666666664</v>
          </cell>
          <cell r="AJ172">
            <v>5662.0791666666664</v>
          </cell>
          <cell r="AK172">
            <v>5662.0791666666664</v>
          </cell>
          <cell r="AL172">
            <v>67944.949999999983</v>
          </cell>
        </row>
        <row r="173">
          <cell r="C173">
            <v>120</v>
          </cell>
          <cell r="D173" t="str">
            <v>Used Vehicle</v>
          </cell>
          <cell r="E173">
            <v>2</v>
          </cell>
          <cell r="Z173">
            <v>7110.3291666666673</v>
          </cell>
          <cell r="AA173">
            <v>7110.3291666666673</v>
          </cell>
          <cell r="AB173">
            <v>7110.3291666666673</v>
          </cell>
          <cell r="AC173">
            <v>7110.3291666666673</v>
          </cell>
          <cell r="AD173">
            <v>7110.3291666666673</v>
          </cell>
          <cell r="AE173">
            <v>7110.3291666666673</v>
          </cell>
          <cell r="AF173">
            <v>7110.3291666666673</v>
          </cell>
          <cell r="AG173">
            <v>7110.3291666666673</v>
          </cell>
          <cell r="AH173">
            <v>7110.3291666666673</v>
          </cell>
          <cell r="AI173">
            <v>7110.3291666666673</v>
          </cell>
          <cell r="AJ173">
            <v>7110.3291666666673</v>
          </cell>
          <cell r="AK173">
            <v>7110.3291666666673</v>
          </cell>
          <cell r="AL173">
            <v>85323.950000000012</v>
          </cell>
        </row>
        <row r="174">
          <cell r="C174">
            <v>121</v>
          </cell>
          <cell r="D174" t="str">
            <v>Used Vehicle</v>
          </cell>
          <cell r="E174">
            <v>2</v>
          </cell>
          <cell r="Z174">
            <v>-1257.8708333333334</v>
          </cell>
          <cell r="AA174">
            <v>-1257.8708333333334</v>
          </cell>
          <cell r="AB174">
            <v>-1257.8708333333334</v>
          </cell>
          <cell r="AC174">
            <v>-1257.8708333333334</v>
          </cell>
          <cell r="AD174">
            <v>-1257.8708333333334</v>
          </cell>
          <cell r="AE174">
            <v>-1257.8708333333334</v>
          </cell>
          <cell r="AF174">
            <v>-1257.8708333333334</v>
          </cell>
          <cell r="AG174">
            <v>-1257.8708333333334</v>
          </cell>
          <cell r="AH174">
            <v>-1257.8708333333334</v>
          </cell>
          <cell r="AI174">
            <v>-1257.8708333333334</v>
          </cell>
          <cell r="AJ174">
            <v>-1257.8708333333334</v>
          </cell>
          <cell r="AK174">
            <v>-1257.8708333333334</v>
          </cell>
          <cell r="AL174">
            <v>-15094.450000000004</v>
          </cell>
        </row>
        <row r="175">
          <cell r="C175">
            <v>122</v>
          </cell>
          <cell r="D175" t="str">
            <v>LEX Used Vehicle</v>
          </cell>
          <cell r="E175">
            <v>1</v>
          </cell>
          <cell r="Z175">
            <v>-326.92750000000001</v>
          </cell>
          <cell r="AA175">
            <v>-326.92750000000001</v>
          </cell>
          <cell r="AB175">
            <v>-326.92750000000001</v>
          </cell>
          <cell r="AC175">
            <v>-326.92750000000001</v>
          </cell>
          <cell r="AD175">
            <v>-326.92750000000001</v>
          </cell>
          <cell r="AE175">
            <v>-326.92750000000001</v>
          </cell>
          <cell r="AF175">
            <v>-326.92750000000001</v>
          </cell>
          <cell r="AG175">
            <v>-326.92750000000001</v>
          </cell>
          <cell r="AH175">
            <v>-326.92750000000001</v>
          </cell>
          <cell r="AI175">
            <v>-326.92750000000001</v>
          </cell>
          <cell r="AJ175">
            <v>-326.92750000000001</v>
          </cell>
          <cell r="AK175">
            <v>-326.92750000000001</v>
          </cell>
          <cell r="AL175">
            <v>-3923.1299999999992</v>
          </cell>
        </row>
        <row r="176">
          <cell r="C176">
            <v>130</v>
          </cell>
          <cell r="D176" t="str">
            <v>Parts</v>
          </cell>
          <cell r="E176">
            <v>3</v>
          </cell>
          <cell r="Z176">
            <v>1309.7174999999997</v>
          </cell>
          <cell r="AA176">
            <v>1309.7174999999997</v>
          </cell>
          <cell r="AB176">
            <v>1309.7174999999997</v>
          </cell>
          <cell r="AC176">
            <v>1309.7174999999997</v>
          </cell>
          <cell r="AD176">
            <v>1309.7174999999997</v>
          </cell>
          <cell r="AE176">
            <v>1309.7174999999997</v>
          </cell>
          <cell r="AF176">
            <v>1309.7174999999997</v>
          </cell>
          <cell r="AG176">
            <v>1309.7174999999997</v>
          </cell>
          <cell r="AH176">
            <v>1309.7174999999997</v>
          </cell>
          <cell r="AI176">
            <v>1309.7174999999997</v>
          </cell>
          <cell r="AJ176">
            <v>1309.7174999999997</v>
          </cell>
          <cell r="AK176">
            <v>1309.7174999999997</v>
          </cell>
          <cell r="AL176">
            <v>15716.609999999993</v>
          </cell>
        </row>
        <row r="177">
          <cell r="C177">
            <v>140</v>
          </cell>
          <cell r="D177" t="str">
            <v>Service</v>
          </cell>
          <cell r="E177">
            <v>3</v>
          </cell>
          <cell r="Z177">
            <v>4204.7499999999991</v>
          </cell>
          <cell r="AA177">
            <v>4204.7499999999991</v>
          </cell>
          <cell r="AB177">
            <v>4204.7499999999991</v>
          </cell>
          <cell r="AC177">
            <v>4204.7499999999991</v>
          </cell>
          <cell r="AD177">
            <v>4204.7499999999991</v>
          </cell>
          <cell r="AE177">
            <v>4204.7499999999991</v>
          </cell>
          <cell r="AF177">
            <v>4204.7499999999991</v>
          </cell>
          <cell r="AG177">
            <v>4204.7499999999991</v>
          </cell>
          <cell r="AH177">
            <v>4204.7499999999991</v>
          </cell>
          <cell r="AI177">
            <v>4204.7499999999991</v>
          </cell>
          <cell r="AJ177">
            <v>4204.7499999999991</v>
          </cell>
          <cell r="AK177">
            <v>4204.7499999999991</v>
          </cell>
          <cell r="AL177">
            <v>50456.999999999993</v>
          </cell>
        </row>
        <row r="178">
          <cell r="C178">
            <v>142</v>
          </cell>
          <cell r="D178" t="str">
            <v>Lex Service</v>
          </cell>
          <cell r="E178">
            <v>3</v>
          </cell>
          <cell r="Z178">
            <v>112.26249999999999</v>
          </cell>
          <cell r="AA178">
            <v>112.26249999999999</v>
          </cell>
          <cell r="AB178">
            <v>112.26249999999999</v>
          </cell>
          <cell r="AC178">
            <v>112.26249999999999</v>
          </cell>
          <cell r="AD178">
            <v>112.26249999999999</v>
          </cell>
          <cell r="AE178">
            <v>112.26249999999999</v>
          </cell>
          <cell r="AF178">
            <v>112.26249999999999</v>
          </cell>
          <cell r="AG178">
            <v>112.26249999999999</v>
          </cell>
          <cell r="AH178">
            <v>112.26249999999999</v>
          </cell>
          <cell r="AI178">
            <v>112.26249999999999</v>
          </cell>
          <cell r="AJ178">
            <v>112.26249999999999</v>
          </cell>
          <cell r="AK178">
            <v>112.26249999999999</v>
          </cell>
          <cell r="AL178">
            <v>1347.1500000000003</v>
          </cell>
        </row>
        <row r="179">
          <cell r="C179">
            <v>147</v>
          </cell>
          <cell r="D179" t="str">
            <v>Service</v>
          </cell>
          <cell r="E179">
            <v>3</v>
          </cell>
          <cell r="Z179">
            <v>154.46083333333331</v>
          </cell>
          <cell r="AA179">
            <v>154.46083333333331</v>
          </cell>
          <cell r="AB179">
            <v>154.46083333333331</v>
          </cell>
          <cell r="AC179">
            <v>154.46083333333331</v>
          </cell>
          <cell r="AD179">
            <v>154.46083333333331</v>
          </cell>
          <cell r="AE179">
            <v>154.46083333333331</v>
          </cell>
          <cell r="AF179">
            <v>154.46083333333331</v>
          </cell>
          <cell r="AG179">
            <v>154.46083333333331</v>
          </cell>
          <cell r="AH179">
            <v>154.46083333333331</v>
          </cell>
          <cell r="AI179">
            <v>154.46083333333331</v>
          </cell>
          <cell r="AJ179">
            <v>154.46083333333331</v>
          </cell>
          <cell r="AK179">
            <v>154.46083333333331</v>
          </cell>
          <cell r="AL179">
            <v>1853.5299999999997</v>
          </cell>
        </row>
        <row r="180">
          <cell r="C180">
            <v>150</v>
          </cell>
          <cell r="D180" t="str">
            <v>Retail Detailing</v>
          </cell>
          <cell r="E180">
            <v>3</v>
          </cell>
          <cell r="Z180">
            <v>177.6925</v>
          </cell>
          <cell r="AA180">
            <v>177.6925</v>
          </cell>
          <cell r="AB180">
            <v>177.6925</v>
          </cell>
          <cell r="AC180">
            <v>177.6925</v>
          </cell>
          <cell r="AD180">
            <v>177.6925</v>
          </cell>
          <cell r="AE180">
            <v>177.6925</v>
          </cell>
          <cell r="AF180">
            <v>177.6925</v>
          </cell>
          <cell r="AG180">
            <v>177.6925</v>
          </cell>
          <cell r="AH180">
            <v>177.6925</v>
          </cell>
          <cell r="AI180">
            <v>177.6925</v>
          </cell>
          <cell r="AJ180">
            <v>177.6925</v>
          </cell>
          <cell r="AK180">
            <v>177.6925</v>
          </cell>
          <cell r="AL180">
            <v>2132.3100000000004</v>
          </cell>
        </row>
        <row r="181">
          <cell r="C181">
            <v>160</v>
          </cell>
          <cell r="D181" t="str">
            <v>F&amp;I</v>
          </cell>
          <cell r="E181">
            <v>3</v>
          </cell>
          <cell r="Z181">
            <v>822.12833333333344</v>
          </cell>
          <cell r="AA181">
            <v>822.12833333333344</v>
          </cell>
          <cell r="AB181">
            <v>822.12833333333344</v>
          </cell>
          <cell r="AC181">
            <v>822.12833333333344</v>
          </cell>
          <cell r="AD181">
            <v>822.12833333333344</v>
          </cell>
          <cell r="AE181">
            <v>822.12833333333344</v>
          </cell>
          <cell r="AF181">
            <v>822.12833333333344</v>
          </cell>
          <cell r="AG181">
            <v>822.12833333333344</v>
          </cell>
          <cell r="AH181">
            <v>822.12833333333344</v>
          </cell>
          <cell r="AI181">
            <v>822.12833333333344</v>
          </cell>
          <cell r="AJ181">
            <v>822.12833333333344</v>
          </cell>
          <cell r="AK181">
            <v>822.12833333333344</v>
          </cell>
          <cell r="AL181">
            <v>9865.5400000000009</v>
          </cell>
        </row>
        <row r="182">
          <cell r="C182">
            <v>210</v>
          </cell>
          <cell r="D182" t="str">
            <v>New Vehicle</v>
          </cell>
          <cell r="E182">
            <v>2</v>
          </cell>
          <cell r="Z182">
            <v>-166.56166666666667</v>
          </cell>
          <cell r="AA182">
            <v>-166.56166666666667</v>
          </cell>
          <cell r="AB182">
            <v>-166.56166666666667</v>
          </cell>
          <cell r="AC182">
            <v>-166.56166666666667</v>
          </cell>
          <cell r="AD182">
            <v>-166.56166666666667</v>
          </cell>
          <cell r="AE182">
            <v>-166.56166666666667</v>
          </cell>
          <cell r="AF182">
            <v>-166.56166666666667</v>
          </cell>
          <cell r="AG182">
            <v>-166.56166666666667</v>
          </cell>
          <cell r="AH182">
            <v>-166.56166666666667</v>
          </cell>
          <cell r="AI182">
            <v>-166.56166666666667</v>
          </cell>
          <cell r="AJ182">
            <v>-166.56166666666667</v>
          </cell>
          <cell r="AK182">
            <v>-166.56166666666667</v>
          </cell>
          <cell r="AL182">
            <v>-1998.7400000000005</v>
          </cell>
        </row>
        <row r="183">
          <cell r="C183">
            <v>220</v>
          </cell>
          <cell r="D183" t="str">
            <v>Used Vehicle</v>
          </cell>
          <cell r="E183">
            <v>2</v>
          </cell>
          <cell r="Z183">
            <v>6598.2716666666674</v>
          </cell>
          <cell r="AA183">
            <v>6598.2716666666674</v>
          </cell>
          <cell r="AB183">
            <v>6598.2716666666674</v>
          </cell>
          <cell r="AC183">
            <v>6598.2716666666674</v>
          </cell>
          <cell r="AD183">
            <v>6598.2716666666674</v>
          </cell>
          <cell r="AE183">
            <v>6598.2716666666674</v>
          </cell>
          <cell r="AF183">
            <v>6598.2716666666674</v>
          </cell>
          <cell r="AG183">
            <v>6598.2716666666674</v>
          </cell>
          <cell r="AH183">
            <v>6598.2716666666674</v>
          </cell>
          <cell r="AI183">
            <v>6598.2716666666674</v>
          </cell>
          <cell r="AJ183">
            <v>6598.2716666666674</v>
          </cell>
          <cell r="AK183">
            <v>6598.2716666666674</v>
          </cell>
          <cell r="AL183">
            <v>79179.260000000009</v>
          </cell>
        </row>
        <row r="184">
          <cell r="C184">
            <v>230</v>
          </cell>
          <cell r="D184" t="str">
            <v>Parts</v>
          </cell>
          <cell r="E184">
            <v>3</v>
          </cell>
          <cell r="Z184">
            <v>599.49416666666673</v>
          </cell>
          <cell r="AA184">
            <v>599.49416666666673</v>
          </cell>
          <cell r="AB184">
            <v>599.49416666666673</v>
          </cell>
          <cell r="AC184">
            <v>599.49416666666673</v>
          </cell>
          <cell r="AD184">
            <v>599.49416666666673</v>
          </cell>
          <cell r="AE184">
            <v>599.49416666666673</v>
          </cell>
          <cell r="AF184">
            <v>599.49416666666673</v>
          </cell>
          <cell r="AG184">
            <v>599.49416666666673</v>
          </cell>
          <cell r="AH184">
            <v>599.49416666666673</v>
          </cell>
          <cell r="AI184">
            <v>599.49416666666673</v>
          </cell>
          <cell r="AJ184">
            <v>599.49416666666673</v>
          </cell>
          <cell r="AK184">
            <v>599.49416666666673</v>
          </cell>
          <cell r="AL184">
            <v>7193.9299999999994</v>
          </cell>
        </row>
        <row r="185">
          <cell r="C185">
            <v>240</v>
          </cell>
          <cell r="D185" t="str">
            <v>Service</v>
          </cell>
          <cell r="E185">
            <v>3</v>
          </cell>
          <cell r="Z185">
            <v>938.29750000000001</v>
          </cell>
          <cell r="AA185">
            <v>938.29750000000001</v>
          </cell>
          <cell r="AB185">
            <v>938.29750000000001</v>
          </cell>
          <cell r="AC185">
            <v>938.29750000000001</v>
          </cell>
          <cell r="AD185">
            <v>938.29750000000001</v>
          </cell>
          <cell r="AE185">
            <v>938.29750000000001</v>
          </cell>
          <cell r="AF185">
            <v>938.29750000000001</v>
          </cell>
          <cell r="AG185">
            <v>938.29750000000001</v>
          </cell>
          <cell r="AH185">
            <v>938.29750000000001</v>
          </cell>
          <cell r="AI185">
            <v>938.29750000000001</v>
          </cell>
          <cell r="AJ185">
            <v>938.29750000000001</v>
          </cell>
          <cell r="AK185">
            <v>938.29750000000001</v>
          </cell>
          <cell r="AL185">
            <v>11259.570000000002</v>
          </cell>
        </row>
        <row r="186">
          <cell r="C186">
            <v>260</v>
          </cell>
          <cell r="D186" t="str">
            <v>F&amp;I</v>
          </cell>
          <cell r="E186">
            <v>3</v>
          </cell>
          <cell r="Z186">
            <v>432.85500000000002</v>
          </cell>
          <cell r="AA186">
            <v>432.85500000000002</v>
          </cell>
          <cell r="AB186">
            <v>432.85500000000002</v>
          </cell>
          <cell r="AC186">
            <v>432.85500000000002</v>
          </cell>
          <cell r="AD186">
            <v>432.85500000000002</v>
          </cell>
          <cell r="AE186">
            <v>432.85500000000002</v>
          </cell>
          <cell r="AF186">
            <v>432.85500000000002</v>
          </cell>
          <cell r="AG186">
            <v>432.85500000000002</v>
          </cell>
          <cell r="AH186">
            <v>432.85500000000002</v>
          </cell>
          <cell r="AI186">
            <v>432.85500000000002</v>
          </cell>
          <cell r="AJ186">
            <v>432.85500000000002</v>
          </cell>
          <cell r="AK186">
            <v>432.85500000000002</v>
          </cell>
          <cell r="AL186">
            <v>5194.26</v>
          </cell>
        </row>
        <row r="187">
          <cell r="C187">
            <v>330</v>
          </cell>
          <cell r="D187" t="str">
            <v>Parts</v>
          </cell>
          <cell r="E187">
            <v>3</v>
          </cell>
          <cell r="Z187">
            <v>329.08250000000004</v>
          </cell>
          <cell r="AA187">
            <v>329.08250000000004</v>
          </cell>
          <cell r="AB187">
            <v>329.08250000000004</v>
          </cell>
          <cell r="AC187">
            <v>329.08250000000004</v>
          </cell>
          <cell r="AD187">
            <v>329.08250000000004</v>
          </cell>
          <cell r="AE187">
            <v>329.08250000000004</v>
          </cell>
          <cell r="AF187">
            <v>329.08250000000004</v>
          </cell>
          <cell r="AG187">
            <v>329.08250000000004</v>
          </cell>
          <cell r="AH187">
            <v>329.08250000000004</v>
          </cell>
          <cell r="AI187">
            <v>329.08250000000004</v>
          </cell>
          <cell r="AJ187">
            <v>329.08250000000004</v>
          </cell>
          <cell r="AK187">
            <v>329.08250000000004</v>
          </cell>
          <cell r="AL187">
            <v>3948.9900000000002</v>
          </cell>
        </row>
        <row r="188">
          <cell r="C188">
            <v>340</v>
          </cell>
          <cell r="D188" t="str">
            <v>Service</v>
          </cell>
          <cell r="E188">
            <v>3</v>
          </cell>
          <cell r="Z188">
            <v>2072.8783333333336</v>
          </cell>
          <cell r="AA188">
            <v>2072.8783333333336</v>
          </cell>
          <cell r="AB188">
            <v>2072.8783333333336</v>
          </cell>
          <cell r="AC188">
            <v>2072.8783333333336</v>
          </cell>
          <cell r="AD188">
            <v>2072.8783333333336</v>
          </cell>
          <cell r="AE188">
            <v>2072.8783333333336</v>
          </cell>
          <cell r="AF188">
            <v>2072.8783333333336</v>
          </cell>
          <cell r="AG188">
            <v>2072.8783333333336</v>
          </cell>
          <cell r="AH188">
            <v>2072.8783333333336</v>
          </cell>
          <cell r="AI188">
            <v>2072.8783333333336</v>
          </cell>
          <cell r="AJ188">
            <v>2072.8783333333336</v>
          </cell>
          <cell r="AK188">
            <v>2072.8783333333336</v>
          </cell>
          <cell r="AL188">
            <v>24874.540000000005</v>
          </cell>
        </row>
        <row r="189">
          <cell r="C189">
            <v>430</v>
          </cell>
          <cell r="D189" t="str">
            <v>Parts</v>
          </cell>
          <cell r="E189">
            <v>3</v>
          </cell>
          <cell r="Z189">
            <v>312.82250000000005</v>
          </cell>
          <cell r="AA189">
            <v>312.82250000000005</v>
          </cell>
          <cell r="AB189">
            <v>312.82250000000005</v>
          </cell>
          <cell r="AC189">
            <v>312.82250000000005</v>
          </cell>
          <cell r="AD189">
            <v>312.82250000000005</v>
          </cell>
          <cell r="AE189">
            <v>312.82250000000005</v>
          </cell>
          <cell r="AF189">
            <v>312.82250000000005</v>
          </cell>
          <cell r="AG189">
            <v>312.82250000000005</v>
          </cell>
          <cell r="AH189">
            <v>312.82250000000005</v>
          </cell>
          <cell r="AI189">
            <v>312.82250000000005</v>
          </cell>
          <cell r="AJ189">
            <v>312.82250000000005</v>
          </cell>
          <cell r="AK189">
            <v>312.82250000000005</v>
          </cell>
          <cell r="AL189">
            <v>3753.8700000000013</v>
          </cell>
        </row>
        <row r="190">
          <cell r="C190">
            <v>440</v>
          </cell>
          <cell r="D190" t="str">
            <v>Service</v>
          </cell>
          <cell r="E190">
            <v>3</v>
          </cell>
          <cell r="Z190">
            <v>541.53</v>
          </cell>
          <cell r="AA190">
            <v>541.53</v>
          </cell>
          <cell r="AB190">
            <v>541.53</v>
          </cell>
          <cell r="AC190">
            <v>541.53</v>
          </cell>
          <cell r="AD190">
            <v>541.53</v>
          </cell>
          <cell r="AE190">
            <v>541.53</v>
          </cell>
          <cell r="AF190">
            <v>541.53</v>
          </cell>
          <cell r="AG190">
            <v>541.53</v>
          </cell>
          <cell r="AH190">
            <v>541.53</v>
          </cell>
          <cell r="AI190">
            <v>541.53</v>
          </cell>
          <cell r="AJ190">
            <v>541.53</v>
          </cell>
          <cell r="AK190">
            <v>541.53</v>
          </cell>
          <cell r="AL190">
            <v>6498.3599999999979</v>
          </cell>
        </row>
        <row r="191">
          <cell r="C191">
            <v>935</v>
          </cell>
          <cell r="D191" t="str">
            <v>Bridgestone</v>
          </cell>
          <cell r="E191">
            <v>3</v>
          </cell>
          <cell r="Z191">
            <v>650.64166666666665</v>
          </cell>
          <cell r="AA191">
            <v>650.64166666666665</v>
          </cell>
          <cell r="AB191">
            <v>650.64166666666665</v>
          </cell>
          <cell r="AC191">
            <v>650.64166666666665</v>
          </cell>
          <cell r="AD191">
            <v>650.64166666666665</v>
          </cell>
          <cell r="AE191">
            <v>650.64166666666665</v>
          </cell>
          <cell r="AF191">
            <v>650.64166666666665</v>
          </cell>
          <cell r="AG191">
            <v>650.64166666666665</v>
          </cell>
          <cell r="AH191">
            <v>650.64166666666665</v>
          </cell>
          <cell r="AI191">
            <v>650.64166666666665</v>
          </cell>
          <cell r="AJ191">
            <v>650.64166666666665</v>
          </cell>
          <cell r="AK191">
            <v>650.64166666666665</v>
          </cell>
          <cell r="AL191">
            <v>7807.699999999998</v>
          </cell>
        </row>
        <row r="192">
          <cell r="C192">
            <v>936</v>
          </cell>
          <cell r="D192" t="str">
            <v>Bridgestone</v>
          </cell>
          <cell r="E192">
            <v>3</v>
          </cell>
          <cell r="Z192">
            <v>587.01333333333332</v>
          </cell>
          <cell r="AA192">
            <v>587.01333333333332</v>
          </cell>
          <cell r="AB192">
            <v>587.01333333333332</v>
          </cell>
          <cell r="AC192">
            <v>587.01333333333332</v>
          </cell>
          <cell r="AD192">
            <v>587.01333333333332</v>
          </cell>
          <cell r="AE192">
            <v>587.01333333333332</v>
          </cell>
          <cell r="AF192">
            <v>587.01333333333332</v>
          </cell>
          <cell r="AG192">
            <v>587.01333333333332</v>
          </cell>
          <cell r="AH192">
            <v>587.01333333333332</v>
          </cell>
          <cell r="AI192">
            <v>587.01333333333332</v>
          </cell>
          <cell r="AJ192">
            <v>587.01333333333332</v>
          </cell>
          <cell r="AK192">
            <v>587.01333333333332</v>
          </cell>
          <cell r="AL192">
            <v>7044.16</v>
          </cell>
        </row>
        <row r="193">
          <cell r="C193">
            <v>110</v>
          </cell>
          <cell r="D193" t="str">
            <v>New Vehicle</v>
          </cell>
          <cell r="E193">
            <v>2</v>
          </cell>
          <cell r="Z193">
            <v>1589.4366666666665</v>
          </cell>
          <cell r="AA193">
            <v>1589.4366666666665</v>
          </cell>
          <cell r="AB193">
            <v>1589.4366666666665</v>
          </cell>
          <cell r="AC193">
            <v>1589.4366666666665</v>
          </cell>
          <cell r="AD193">
            <v>1589.4366666666665</v>
          </cell>
          <cell r="AE193">
            <v>1589.4366666666665</v>
          </cell>
          <cell r="AF193">
            <v>1589.4366666666665</v>
          </cell>
          <cell r="AG193">
            <v>1589.4366666666665</v>
          </cell>
          <cell r="AH193">
            <v>1589.4366666666665</v>
          </cell>
          <cell r="AI193">
            <v>1589.4366666666665</v>
          </cell>
          <cell r="AJ193">
            <v>1589.4366666666665</v>
          </cell>
          <cell r="AK193">
            <v>1589.4366666666665</v>
          </cell>
          <cell r="AL193">
            <v>19073.239999999998</v>
          </cell>
        </row>
        <row r="194">
          <cell r="C194">
            <v>112</v>
          </cell>
          <cell r="D194" t="str">
            <v>LEX New Vehicle</v>
          </cell>
          <cell r="E194">
            <v>2</v>
          </cell>
          <cell r="Z194">
            <v>2145.9158333333335</v>
          </cell>
          <cell r="AA194">
            <v>2145.9158333333335</v>
          </cell>
          <cell r="AB194">
            <v>2145.9158333333335</v>
          </cell>
          <cell r="AC194">
            <v>2145.9158333333335</v>
          </cell>
          <cell r="AD194">
            <v>2145.9158333333335</v>
          </cell>
          <cell r="AE194">
            <v>2145.9158333333335</v>
          </cell>
          <cell r="AF194">
            <v>2145.9158333333335</v>
          </cell>
          <cell r="AG194">
            <v>2145.9158333333335</v>
          </cell>
          <cell r="AH194">
            <v>2145.9158333333335</v>
          </cell>
          <cell r="AI194">
            <v>2145.9158333333335</v>
          </cell>
          <cell r="AJ194">
            <v>2145.9158333333335</v>
          </cell>
          <cell r="AK194">
            <v>2145.9158333333335</v>
          </cell>
          <cell r="AL194">
            <v>25750.989999999994</v>
          </cell>
        </row>
        <row r="195">
          <cell r="C195">
            <v>120</v>
          </cell>
          <cell r="D195" t="str">
            <v>Used Vehicle</v>
          </cell>
          <cell r="E195">
            <v>2</v>
          </cell>
          <cell r="Z195">
            <v>910.96416666666664</v>
          </cell>
          <cell r="AA195">
            <v>910.96416666666664</v>
          </cell>
          <cell r="AB195">
            <v>910.96416666666664</v>
          </cell>
          <cell r="AC195">
            <v>910.96416666666664</v>
          </cell>
          <cell r="AD195">
            <v>910.96416666666664</v>
          </cell>
          <cell r="AE195">
            <v>910.96416666666664</v>
          </cell>
          <cell r="AF195">
            <v>910.96416666666664</v>
          </cell>
          <cell r="AG195">
            <v>910.96416666666664</v>
          </cell>
          <cell r="AH195">
            <v>910.96416666666664</v>
          </cell>
          <cell r="AI195">
            <v>910.96416666666664</v>
          </cell>
          <cell r="AJ195">
            <v>910.96416666666664</v>
          </cell>
          <cell r="AK195">
            <v>910.96416666666664</v>
          </cell>
          <cell r="AL195">
            <v>10931.57</v>
          </cell>
        </row>
        <row r="196">
          <cell r="C196">
            <v>121</v>
          </cell>
          <cell r="D196" t="str">
            <v>Used Vehicle</v>
          </cell>
          <cell r="E196">
            <v>2</v>
          </cell>
          <cell r="Z196">
            <v>322.05</v>
          </cell>
          <cell r="AA196">
            <v>322.05</v>
          </cell>
          <cell r="AB196">
            <v>322.05</v>
          </cell>
          <cell r="AC196">
            <v>322.05</v>
          </cell>
          <cell r="AD196">
            <v>322.05</v>
          </cell>
          <cell r="AE196">
            <v>322.05</v>
          </cell>
          <cell r="AF196">
            <v>322.05</v>
          </cell>
          <cell r="AG196">
            <v>322.05</v>
          </cell>
          <cell r="AH196">
            <v>322.05</v>
          </cell>
          <cell r="AI196">
            <v>322.05</v>
          </cell>
          <cell r="AJ196">
            <v>322.05</v>
          </cell>
          <cell r="AK196">
            <v>322.05</v>
          </cell>
          <cell r="AL196">
            <v>3864.6000000000008</v>
          </cell>
        </row>
        <row r="197">
          <cell r="C197">
            <v>122</v>
          </cell>
          <cell r="D197" t="str">
            <v>LEX Used Vehicle</v>
          </cell>
          <cell r="E197">
            <v>2</v>
          </cell>
          <cell r="Z197">
            <v>153.40666666666667</v>
          </cell>
          <cell r="AA197">
            <v>153.40666666666667</v>
          </cell>
          <cell r="AB197">
            <v>153.40666666666667</v>
          </cell>
          <cell r="AC197">
            <v>153.40666666666667</v>
          </cell>
          <cell r="AD197">
            <v>153.40666666666667</v>
          </cell>
          <cell r="AE197">
            <v>153.40666666666667</v>
          </cell>
          <cell r="AF197">
            <v>153.40666666666667</v>
          </cell>
          <cell r="AG197">
            <v>153.40666666666667</v>
          </cell>
          <cell r="AH197">
            <v>153.40666666666667</v>
          </cell>
          <cell r="AI197">
            <v>153.40666666666667</v>
          </cell>
          <cell r="AJ197">
            <v>153.40666666666667</v>
          </cell>
          <cell r="AK197">
            <v>153.40666666666667</v>
          </cell>
          <cell r="AL197">
            <v>1840.8800000000003</v>
          </cell>
        </row>
        <row r="198">
          <cell r="C198">
            <v>130</v>
          </cell>
          <cell r="D198" t="str">
            <v>Parts</v>
          </cell>
          <cell r="E198">
            <v>3</v>
          </cell>
          <cell r="Z198">
            <v>713.94416666666677</v>
          </cell>
          <cell r="AA198">
            <v>713.94416666666677</v>
          </cell>
          <cell r="AB198">
            <v>713.94416666666677</v>
          </cell>
          <cell r="AC198">
            <v>713.94416666666677</v>
          </cell>
          <cell r="AD198">
            <v>713.94416666666677</v>
          </cell>
          <cell r="AE198">
            <v>713.94416666666677</v>
          </cell>
          <cell r="AF198">
            <v>713.94416666666677</v>
          </cell>
          <cell r="AG198">
            <v>713.94416666666677</v>
          </cell>
          <cell r="AH198">
            <v>713.94416666666677</v>
          </cell>
          <cell r="AI198">
            <v>713.94416666666677</v>
          </cell>
          <cell r="AJ198">
            <v>713.94416666666677</v>
          </cell>
          <cell r="AK198">
            <v>713.94416666666677</v>
          </cell>
          <cell r="AL198">
            <v>8567.3300000000036</v>
          </cell>
        </row>
        <row r="199">
          <cell r="C199">
            <v>140</v>
          </cell>
          <cell r="D199" t="str">
            <v>Service</v>
          </cell>
          <cell r="E199">
            <v>3</v>
          </cell>
          <cell r="Z199">
            <v>2724.7266666666665</v>
          </cell>
          <cell r="AA199">
            <v>2724.7266666666665</v>
          </cell>
          <cell r="AB199">
            <v>2724.7266666666665</v>
          </cell>
          <cell r="AC199">
            <v>2724.7266666666665</v>
          </cell>
          <cell r="AD199">
            <v>2724.7266666666665</v>
          </cell>
          <cell r="AE199">
            <v>2724.7266666666665</v>
          </cell>
          <cell r="AF199">
            <v>2724.7266666666665</v>
          </cell>
          <cell r="AG199">
            <v>2724.7266666666665</v>
          </cell>
          <cell r="AH199">
            <v>2724.7266666666665</v>
          </cell>
          <cell r="AI199">
            <v>2724.7266666666665</v>
          </cell>
          <cell r="AJ199">
            <v>2724.7266666666665</v>
          </cell>
          <cell r="AK199">
            <v>2724.7266666666665</v>
          </cell>
          <cell r="AL199">
            <v>32696.71999999999</v>
          </cell>
        </row>
        <row r="200">
          <cell r="C200">
            <v>142</v>
          </cell>
          <cell r="D200" t="str">
            <v>Lex Service</v>
          </cell>
          <cell r="E200">
            <v>3</v>
          </cell>
          <cell r="Z200">
            <v>190.21416666666667</v>
          </cell>
          <cell r="AA200">
            <v>190.21416666666667</v>
          </cell>
          <cell r="AB200">
            <v>190.21416666666667</v>
          </cell>
          <cell r="AC200">
            <v>190.21416666666667</v>
          </cell>
          <cell r="AD200">
            <v>190.21416666666667</v>
          </cell>
          <cell r="AE200">
            <v>190.21416666666667</v>
          </cell>
          <cell r="AF200">
            <v>190.21416666666667</v>
          </cell>
          <cell r="AG200">
            <v>190.21416666666667</v>
          </cell>
          <cell r="AH200">
            <v>190.21416666666667</v>
          </cell>
          <cell r="AI200">
            <v>190.21416666666667</v>
          </cell>
          <cell r="AJ200">
            <v>190.21416666666667</v>
          </cell>
          <cell r="AK200">
            <v>190.21416666666667</v>
          </cell>
          <cell r="AL200">
            <v>2282.5700000000002</v>
          </cell>
        </row>
        <row r="201">
          <cell r="C201">
            <v>147</v>
          </cell>
          <cell r="D201" t="str">
            <v>Service</v>
          </cell>
          <cell r="E201">
            <v>3</v>
          </cell>
          <cell r="Z201">
            <v>18.922499999999999</v>
          </cell>
          <cell r="AA201">
            <v>18.922499999999999</v>
          </cell>
          <cell r="AB201">
            <v>18.922499999999999</v>
          </cell>
          <cell r="AC201">
            <v>18.922499999999999</v>
          </cell>
          <cell r="AD201">
            <v>18.922499999999999</v>
          </cell>
          <cell r="AE201">
            <v>18.922499999999999</v>
          </cell>
          <cell r="AF201">
            <v>18.922499999999999</v>
          </cell>
          <cell r="AG201">
            <v>18.922499999999999</v>
          </cell>
          <cell r="AH201">
            <v>18.922499999999999</v>
          </cell>
          <cell r="AI201">
            <v>18.922499999999999</v>
          </cell>
          <cell r="AJ201">
            <v>18.922499999999999</v>
          </cell>
          <cell r="AK201">
            <v>18.922499999999999</v>
          </cell>
          <cell r="AL201">
            <v>227.07000000000005</v>
          </cell>
        </row>
        <row r="202">
          <cell r="C202">
            <v>150</v>
          </cell>
          <cell r="D202" t="str">
            <v>Retail Detailing</v>
          </cell>
          <cell r="E202">
            <v>3</v>
          </cell>
          <cell r="Z202">
            <v>133.31083333333333</v>
          </cell>
          <cell r="AA202">
            <v>133.31083333333333</v>
          </cell>
          <cell r="AB202">
            <v>133.31083333333333</v>
          </cell>
          <cell r="AC202">
            <v>133.31083333333333</v>
          </cell>
          <cell r="AD202">
            <v>133.31083333333333</v>
          </cell>
          <cell r="AE202">
            <v>133.31083333333333</v>
          </cell>
          <cell r="AF202">
            <v>133.31083333333333</v>
          </cell>
          <cell r="AG202">
            <v>133.31083333333333</v>
          </cell>
          <cell r="AH202">
            <v>133.31083333333333</v>
          </cell>
          <cell r="AI202">
            <v>133.31083333333333</v>
          </cell>
          <cell r="AJ202">
            <v>133.31083333333333</v>
          </cell>
          <cell r="AK202">
            <v>133.31083333333333</v>
          </cell>
          <cell r="AL202">
            <v>1599.7300000000005</v>
          </cell>
        </row>
        <row r="203">
          <cell r="C203">
            <v>160</v>
          </cell>
          <cell r="D203" t="str">
            <v>F&amp;I</v>
          </cell>
          <cell r="E203">
            <v>3</v>
          </cell>
          <cell r="Z203">
            <v>6.666666666666667</v>
          </cell>
          <cell r="AA203">
            <v>6.666666666666667</v>
          </cell>
          <cell r="AB203">
            <v>6.666666666666667</v>
          </cell>
          <cell r="AC203">
            <v>6.666666666666667</v>
          </cell>
          <cell r="AD203">
            <v>6.666666666666667</v>
          </cell>
          <cell r="AE203">
            <v>6.666666666666667</v>
          </cell>
          <cell r="AF203">
            <v>6.666666666666667</v>
          </cell>
          <cell r="AG203">
            <v>6.666666666666667</v>
          </cell>
          <cell r="AH203">
            <v>6.666666666666667</v>
          </cell>
          <cell r="AI203">
            <v>6.666666666666667</v>
          </cell>
          <cell r="AJ203">
            <v>6.666666666666667</v>
          </cell>
          <cell r="AK203">
            <v>6.666666666666667</v>
          </cell>
          <cell r="AL203">
            <v>80</v>
          </cell>
        </row>
        <row r="204">
          <cell r="C204">
            <v>210</v>
          </cell>
          <cell r="D204" t="str">
            <v>Used Vehicle</v>
          </cell>
          <cell r="E204">
            <v>2</v>
          </cell>
          <cell r="Z204">
            <v>64.405000000000001</v>
          </cell>
          <cell r="AA204">
            <v>64.405000000000001</v>
          </cell>
          <cell r="AB204">
            <v>64.405000000000001</v>
          </cell>
          <cell r="AC204">
            <v>64.405000000000001</v>
          </cell>
          <cell r="AD204">
            <v>64.405000000000001</v>
          </cell>
          <cell r="AE204">
            <v>64.405000000000001</v>
          </cell>
          <cell r="AF204">
            <v>64.405000000000001</v>
          </cell>
          <cell r="AG204">
            <v>64.405000000000001</v>
          </cell>
          <cell r="AH204">
            <v>64.405000000000001</v>
          </cell>
          <cell r="AI204">
            <v>64.405000000000001</v>
          </cell>
          <cell r="AJ204">
            <v>64.405000000000001</v>
          </cell>
          <cell r="AK204">
            <v>64.405000000000001</v>
          </cell>
          <cell r="AL204">
            <v>772.85999999999979</v>
          </cell>
        </row>
        <row r="205">
          <cell r="C205">
            <v>220</v>
          </cell>
          <cell r="D205" t="str">
            <v>Used Vehicle</v>
          </cell>
          <cell r="E205">
            <v>2</v>
          </cell>
          <cell r="Z205">
            <v>179.98499999999999</v>
          </cell>
          <cell r="AA205">
            <v>179.98499999999999</v>
          </cell>
          <cell r="AB205">
            <v>179.98499999999999</v>
          </cell>
          <cell r="AC205">
            <v>179.98499999999999</v>
          </cell>
          <cell r="AD205">
            <v>179.98499999999999</v>
          </cell>
          <cell r="AE205">
            <v>179.98499999999999</v>
          </cell>
          <cell r="AF205">
            <v>179.98499999999999</v>
          </cell>
          <cell r="AG205">
            <v>179.98499999999999</v>
          </cell>
          <cell r="AH205">
            <v>179.98499999999999</v>
          </cell>
          <cell r="AI205">
            <v>179.98499999999999</v>
          </cell>
          <cell r="AJ205">
            <v>179.98499999999999</v>
          </cell>
          <cell r="AK205">
            <v>179.98499999999999</v>
          </cell>
          <cell r="AL205">
            <v>2159.8199999999993</v>
          </cell>
        </row>
        <row r="206">
          <cell r="C206">
            <v>230</v>
          </cell>
          <cell r="D206" t="str">
            <v>Parts</v>
          </cell>
          <cell r="E206">
            <v>3</v>
          </cell>
          <cell r="Z206">
            <v>44.381666666666661</v>
          </cell>
          <cell r="AA206">
            <v>44.381666666666661</v>
          </cell>
          <cell r="AB206">
            <v>44.381666666666661</v>
          </cell>
          <cell r="AC206">
            <v>44.381666666666661</v>
          </cell>
          <cell r="AD206">
            <v>44.381666666666661</v>
          </cell>
          <cell r="AE206">
            <v>44.381666666666661</v>
          </cell>
          <cell r="AF206">
            <v>44.381666666666661</v>
          </cell>
          <cell r="AG206">
            <v>44.381666666666661</v>
          </cell>
          <cell r="AH206">
            <v>44.381666666666661</v>
          </cell>
          <cell r="AI206">
            <v>44.381666666666661</v>
          </cell>
          <cell r="AJ206">
            <v>44.381666666666661</v>
          </cell>
          <cell r="AK206">
            <v>44.381666666666661</v>
          </cell>
          <cell r="AL206">
            <v>532.57999999999993</v>
          </cell>
        </row>
        <row r="207">
          <cell r="C207">
            <v>240</v>
          </cell>
          <cell r="D207" t="str">
            <v>Service</v>
          </cell>
          <cell r="E207">
            <v>3</v>
          </cell>
          <cell r="Z207">
            <v>910.79250000000002</v>
          </cell>
          <cell r="AA207">
            <v>910.79250000000002</v>
          </cell>
          <cell r="AB207">
            <v>910.79250000000002</v>
          </cell>
          <cell r="AC207">
            <v>910.79250000000002</v>
          </cell>
          <cell r="AD207">
            <v>910.79250000000002</v>
          </cell>
          <cell r="AE207">
            <v>910.79250000000002</v>
          </cell>
          <cell r="AF207">
            <v>910.79250000000002</v>
          </cell>
          <cell r="AG207">
            <v>910.79250000000002</v>
          </cell>
          <cell r="AH207">
            <v>910.79250000000002</v>
          </cell>
          <cell r="AI207">
            <v>910.79250000000002</v>
          </cell>
          <cell r="AJ207">
            <v>910.79250000000002</v>
          </cell>
          <cell r="AK207">
            <v>910.79250000000002</v>
          </cell>
          <cell r="AL207">
            <v>10929.509999999997</v>
          </cell>
        </row>
        <row r="208">
          <cell r="C208">
            <v>340</v>
          </cell>
          <cell r="D208" t="str">
            <v>Service</v>
          </cell>
          <cell r="E208">
            <v>3</v>
          </cell>
          <cell r="Z208">
            <v>992.26249999999993</v>
          </cell>
          <cell r="AA208">
            <v>992.26249999999993</v>
          </cell>
          <cell r="AB208">
            <v>992.26249999999993</v>
          </cell>
          <cell r="AC208">
            <v>992.26249999999993</v>
          </cell>
          <cell r="AD208">
            <v>992.26249999999993</v>
          </cell>
          <cell r="AE208">
            <v>992.26249999999993</v>
          </cell>
          <cell r="AF208">
            <v>992.26249999999993</v>
          </cell>
          <cell r="AG208">
            <v>992.26249999999993</v>
          </cell>
          <cell r="AH208">
            <v>992.26249999999993</v>
          </cell>
          <cell r="AI208">
            <v>992.26249999999993</v>
          </cell>
          <cell r="AJ208">
            <v>992.26249999999993</v>
          </cell>
          <cell r="AK208">
            <v>992.26249999999993</v>
          </cell>
          <cell r="AL208">
            <v>11907.150000000001</v>
          </cell>
        </row>
        <row r="209">
          <cell r="C209">
            <v>430</v>
          </cell>
          <cell r="D209" t="str">
            <v>Parts</v>
          </cell>
          <cell r="E209">
            <v>3</v>
          </cell>
          <cell r="Z209">
            <v>69.63333333333334</v>
          </cell>
          <cell r="AA209">
            <v>69.63333333333334</v>
          </cell>
          <cell r="AB209">
            <v>69.63333333333334</v>
          </cell>
          <cell r="AC209">
            <v>69.63333333333334</v>
          </cell>
          <cell r="AD209">
            <v>69.63333333333334</v>
          </cell>
          <cell r="AE209">
            <v>69.63333333333334</v>
          </cell>
          <cell r="AF209">
            <v>69.63333333333334</v>
          </cell>
          <cell r="AG209">
            <v>69.63333333333334</v>
          </cell>
          <cell r="AH209">
            <v>69.63333333333334</v>
          </cell>
          <cell r="AI209">
            <v>69.63333333333334</v>
          </cell>
          <cell r="AJ209">
            <v>69.63333333333334</v>
          </cell>
          <cell r="AK209">
            <v>69.63333333333334</v>
          </cell>
          <cell r="AL209">
            <v>835.6</v>
          </cell>
        </row>
        <row r="210">
          <cell r="C210">
            <v>440</v>
          </cell>
          <cell r="D210" t="str">
            <v>Service</v>
          </cell>
          <cell r="E210">
            <v>3</v>
          </cell>
          <cell r="Z210">
            <v>1023.1249999999999</v>
          </cell>
          <cell r="AA210">
            <v>1023.1249999999999</v>
          </cell>
          <cell r="AB210">
            <v>1023.1249999999999</v>
          </cell>
          <cell r="AC210">
            <v>1023.1249999999999</v>
          </cell>
          <cell r="AD210">
            <v>1023.1249999999999</v>
          </cell>
          <cell r="AE210">
            <v>1023.1249999999999</v>
          </cell>
          <cell r="AF210">
            <v>1023.1249999999999</v>
          </cell>
          <cell r="AG210">
            <v>1023.1249999999999</v>
          </cell>
          <cell r="AH210">
            <v>1023.1249999999999</v>
          </cell>
          <cell r="AI210">
            <v>1023.1249999999999</v>
          </cell>
          <cell r="AJ210">
            <v>1023.1249999999999</v>
          </cell>
          <cell r="AK210">
            <v>1023.1249999999999</v>
          </cell>
          <cell r="AL210">
            <v>12277.499999999998</v>
          </cell>
        </row>
        <row r="211">
          <cell r="C211">
            <v>935</v>
          </cell>
          <cell r="D211" t="str">
            <v>Bridgestone</v>
          </cell>
          <cell r="E211">
            <v>3</v>
          </cell>
          <cell r="Z211">
            <v>1357.7375</v>
          </cell>
          <cell r="AA211">
            <v>1357.7375</v>
          </cell>
          <cell r="AB211">
            <v>1357.7375</v>
          </cell>
          <cell r="AC211">
            <v>1357.7375</v>
          </cell>
          <cell r="AD211">
            <v>1357.7375</v>
          </cell>
          <cell r="AE211">
            <v>1357.7375</v>
          </cell>
          <cell r="AF211">
            <v>1357.7375</v>
          </cell>
          <cell r="AG211">
            <v>1357.7375</v>
          </cell>
          <cell r="AH211">
            <v>1357.7375</v>
          </cell>
          <cell r="AI211">
            <v>1357.7375</v>
          </cell>
          <cell r="AJ211">
            <v>1357.7375</v>
          </cell>
          <cell r="AK211">
            <v>1357.7375</v>
          </cell>
          <cell r="AL211">
            <v>16292.849999999997</v>
          </cell>
        </row>
        <row r="212">
          <cell r="C212">
            <v>936</v>
          </cell>
          <cell r="D212" t="str">
            <v>Bridgestone</v>
          </cell>
          <cell r="E212">
            <v>3</v>
          </cell>
          <cell r="Z212">
            <v>54.341666666666669</v>
          </cell>
          <cell r="AA212">
            <v>54.341666666666669</v>
          </cell>
          <cell r="AB212">
            <v>54.341666666666669</v>
          </cell>
          <cell r="AC212">
            <v>54.341666666666669</v>
          </cell>
          <cell r="AD212">
            <v>54.341666666666669</v>
          </cell>
          <cell r="AE212">
            <v>54.341666666666669</v>
          </cell>
          <cell r="AF212">
            <v>54.341666666666669</v>
          </cell>
          <cell r="AG212">
            <v>54.341666666666669</v>
          </cell>
          <cell r="AH212">
            <v>54.341666666666669</v>
          </cell>
          <cell r="AI212">
            <v>54.341666666666669</v>
          </cell>
          <cell r="AJ212">
            <v>54.341666666666669</v>
          </cell>
          <cell r="AK212">
            <v>54.341666666666669</v>
          </cell>
          <cell r="AL212">
            <v>652.10000000000025</v>
          </cell>
        </row>
        <row r="213">
          <cell r="C213">
            <v>110</v>
          </cell>
          <cell r="D213" t="str">
            <v>Used Vehicle</v>
          </cell>
          <cell r="E213">
            <v>2</v>
          </cell>
          <cell r="Z213">
            <v>0</v>
          </cell>
          <cell r="AA213">
            <v>0</v>
          </cell>
          <cell r="AB213">
            <v>0</v>
          </cell>
          <cell r="AC213">
            <v>0</v>
          </cell>
          <cell r="AD213">
            <v>0</v>
          </cell>
          <cell r="AE213">
            <v>0</v>
          </cell>
          <cell r="AF213">
            <v>0</v>
          </cell>
          <cell r="AG213">
            <v>0</v>
          </cell>
          <cell r="AH213">
            <v>0</v>
          </cell>
          <cell r="AI213">
            <v>0</v>
          </cell>
          <cell r="AJ213">
            <v>0</v>
          </cell>
          <cell r="AK213">
            <v>0</v>
          </cell>
          <cell r="AL213">
            <v>0</v>
          </cell>
        </row>
        <row r="214">
          <cell r="C214">
            <v>112</v>
          </cell>
          <cell r="D214" t="str">
            <v>LEX New Vehicle</v>
          </cell>
          <cell r="E214">
            <v>2</v>
          </cell>
          <cell r="Z214">
            <v>0</v>
          </cell>
          <cell r="AA214">
            <v>0</v>
          </cell>
          <cell r="AB214">
            <v>0</v>
          </cell>
          <cell r="AC214">
            <v>0</v>
          </cell>
          <cell r="AD214">
            <v>0</v>
          </cell>
          <cell r="AE214">
            <v>0</v>
          </cell>
          <cell r="AF214">
            <v>0</v>
          </cell>
          <cell r="AG214">
            <v>0</v>
          </cell>
          <cell r="AH214">
            <v>0</v>
          </cell>
          <cell r="AI214">
            <v>0</v>
          </cell>
          <cell r="AJ214">
            <v>0</v>
          </cell>
          <cell r="AK214">
            <v>0</v>
          </cell>
          <cell r="AL214">
            <v>0</v>
          </cell>
        </row>
        <row r="215">
          <cell r="C215">
            <v>120</v>
          </cell>
          <cell r="D215" t="str">
            <v>Used Vehicle</v>
          </cell>
          <cell r="E215">
            <v>2</v>
          </cell>
          <cell r="Z215">
            <v>0</v>
          </cell>
          <cell r="AA215">
            <v>0</v>
          </cell>
          <cell r="AB215">
            <v>0</v>
          </cell>
          <cell r="AC215">
            <v>0</v>
          </cell>
          <cell r="AD215">
            <v>0</v>
          </cell>
          <cell r="AE215">
            <v>0</v>
          </cell>
          <cell r="AF215">
            <v>0</v>
          </cell>
          <cell r="AG215">
            <v>0</v>
          </cell>
          <cell r="AH215">
            <v>0</v>
          </cell>
          <cell r="AI215">
            <v>0</v>
          </cell>
          <cell r="AJ215">
            <v>0</v>
          </cell>
          <cell r="AK215">
            <v>0</v>
          </cell>
          <cell r="AL215">
            <v>0</v>
          </cell>
        </row>
        <row r="216">
          <cell r="C216">
            <v>121</v>
          </cell>
          <cell r="D216" t="str">
            <v>Used Vehicle</v>
          </cell>
          <cell r="E216">
            <v>2</v>
          </cell>
          <cell r="Z216">
            <v>0</v>
          </cell>
          <cell r="AA216">
            <v>0</v>
          </cell>
          <cell r="AB216">
            <v>0</v>
          </cell>
          <cell r="AC216">
            <v>0</v>
          </cell>
          <cell r="AD216">
            <v>0</v>
          </cell>
          <cell r="AE216">
            <v>0</v>
          </cell>
          <cell r="AF216">
            <v>0</v>
          </cell>
          <cell r="AG216">
            <v>0</v>
          </cell>
          <cell r="AH216">
            <v>0</v>
          </cell>
          <cell r="AI216">
            <v>0</v>
          </cell>
          <cell r="AJ216">
            <v>0</v>
          </cell>
          <cell r="AK216">
            <v>0</v>
          </cell>
          <cell r="AL216">
            <v>0</v>
          </cell>
        </row>
        <row r="217">
          <cell r="C217">
            <v>130</v>
          </cell>
          <cell r="D217" t="str">
            <v>Parts</v>
          </cell>
          <cell r="E217">
            <v>3</v>
          </cell>
          <cell r="Z217">
            <v>0</v>
          </cell>
          <cell r="AA217">
            <v>0</v>
          </cell>
          <cell r="AB217">
            <v>0</v>
          </cell>
          <cell r="AC217">
            <v>0</v>
          </cell>
          <cell r="AD217">
            <v>0</v>
          </cell>
          <cell r="AE217">
            <v>0</v>
          </cell>
          <cell r="AF217">
            <v>0</v>
          </cell>
          <cell r="AG217">
            <v>0</v>
          </cell>
          <cell r="AH217">
            <v>0</v>
          </cell>
          <cell r="AI217">
            <v>0</v>
          </cell>
          <cell r="AJ217">
            <v>0</v>
          </cell>
          <cell r="AK217">
            <v>0</v>
          </cell>
          <cell r="AL217">
            <v>0</v>
          </cell>
        </row>
        <row r="218">
          <cell r="C218">
            <v>140</v>
          </cell>
          <cell r="D218" t="str">
            <v>Service</v>
          </cell>
          <cell r="E218">
            <v>3</v>
          </cell>
          <cell r="Z218">
            <v>0</v>
          </cell>
          <cell r="AA218">
            <v>0</v>
          </cell>
          <cell r="AB218">
            <v>0</v>
          </cell>
          <cell r="AC218">
            <v>0</v>
          </cell>
          <cell r="AD218">
            <v>0</v>
          </cell>
          <cell r="AE218">
            <v>0</v>
          </cell>
          <cell r="AF218">
            <v>0</v>
          </cell>
          <cell r="AG218">
            <v>0</v>
          </cell>
          <cell r="AH218">
            <v>0</v>
          </cell>
          <cell r="AI218">
            <v>0</v>
          </cell>
          <cell r="AJ218">
            <v>0</v>
          </cell>
          <cell r="AK218">
            <v>0</v>
          </cell>
          <cell r="AL218">
            <v>0</v>
          </cell>
        </row>
        <row r="219">
          <cell r="C219">
            <v>160</v>
          </cell>
          <cell r="D219" t="str">
            <v>F&amp;I</v>
          </cell>
          <cell r="E219">
            <v>3</v>
          </cell>
          <cell r="Z219">
            <v>0</v>
          </cell>
          <cell r="AA219">
            <v>0</v>
          </cell>
          <cell r="AB219">
            <v>0</v>
          </cell>
          <cell r="AC219">
            <v>0</v>
          </cell>
          <cell r="AD219">
            <v>0</v>
          </cell>
          <cell r="AE219">
            <v>0</v>
          </cell>
          <cell r="AF219">
            <v>0</v>
          </cell>
          <cell r="AG219">
            <v>0</v>
          </cell>
          <cell r="AH219">
            <v>0</v>
          </cell>
          <cell r="AI219">
            <v>0</v>
          </cell>
          <cell r="AJ219">
            <v>0</v>
          </cell>
          <cell r="AK219">
            <v>0</v>
          </cell>
          <cell r="AL219">
            <v>0</v>
          </cell>
        </row>
        <row r="220">
          <cell r="C220">
            <v>210</v>
          </cell>
          <cell r="D220" t="str">
            <v>New Vehicle</v>
          </cell>
          <cell r="E220">
            <v>2</v>
          </cell>
          <cell r="Z220">
            <v>0</v>
          </cell>
          <cell r="AA220">
            <v>0</v>
          </cell>
          <cell r="AB220">
            <v>0</v>
          </cell>
          <cell r="AC220">
            <v>0</v>
          </cell>
          <cell r="AD220">
            <v>0</v>
          </cell>
          <cell r="AE220">
            <v>0</v>
          </cell>
          <cell r="AF220">
            <v>0</v>
          </cell>
          <cell r="AG220">
            <v>0</v>
          </cell>
          <cell r="AH220">
            <v>0</v>
          </cell>
          <cell r="AI220">
            <v>0</v>
          </cell>
          <cell r="AJ220">
            <v>0</v>
          </cell>
          <cell r="AK220">
            <v>0</v>
          </cell>
          <cell r="AL220">
            <v>0</v>
          </cell>
        </row>
        <row r="221">
          <cell r="C221">
            <v>220</v>
          </cell>
          <cell r="D221" t="str">
            <v>Used Vehicle</v>
          </cell>
          <cell r="E221">
            <v>2</v>
          </cell>
          <cell r="Z221">
            <v>0</v>
          </cell>
          <cell r="AA221">
            <v>0</v>
          </cell>
          <cell r="AB221">
            <v>0</v>
          </cell>
          <cell r="AC221">
            <v>0</v>
          </cell>
          <cell r="AD221">
            <v>0</v>
          </cell>
          <cell r="AE221">
            <v>0</v>
          </cell>
          <cell r="AF221">
            <v>0</v>
          </cell>
          <cell r="AG221">
            <v>0</v>
          </cell>
          <cell r="AH221">
            <v>0</v>
          </cell>
          <cell r="AI221">
            <v>0</v>
          </cell>
          <cell r="AJ221">
            <v>0</v>
          </cell>
          <cell r="AK221">
            <v>0</v>
          </cell>
          <cell r="AL221">
            <v>0</v>
          </cell>
        </row>
        <row r="222">
          <cell r="C222">
            <v>230</v>
          </cell>
          <cell r="D222" t="str">
            <v>Parts</v>
          </cell>
          <cell r="E222">
            <v>3</v>
          </cell>
          <cell r="Z222">
            <v>0</v>
          </cell>
          <cell r="AA222">
            <v>0</v>
          </cell>
          <cell r="AB222">
            <v>0</v>
          </cell>
          <cell r="AC222">
            <v>0</v>
          </cell>
          <cell r="AD222">
            <v>0</v>
          </cell>
          <cell r="AE222">
            <v>0</v>
          </cell>
          <cell r="AF222">
            <v>0</v>
          </cell>
          <cell r="AG222">
            <v>0</v>
          </cell>
          <cell r="AH222">
            <v>0</v>
          </cell>
          <cell r="AI222">
            <v>0</v>
          </cell>
          <cell r="AJ222">
            <v>0</v>
          </cell>
          <cell r="AK222">
            <v>0</v>
          </cell>
          <cell r="AL222">
            <v>0</v>
          </cell>
        </row>
        <row r="223">
          <cell r="C223">
            <v>240</v>
          </cell>
          <cell r="D223" t="str">
            <v>Service</v>
          </cell>
          <cell r="E223">
            <v>3</v>
          </cell>
          <cell r="Z223">
            <v>0</v>
          </cell>
          <cell r="AA223">
            <v>0</v>
          </cell>
          <cell r="AB223">
            <v>0</v>
          </cell>
          <cell r="AC223">
            <v>0</v>
          </cell>
          <cell r="AD223">
            <v>0</v>
          </cell>
          <cell r="AE223">
            <v>0</v>
          </cell>
          <cell r="AF223">
            <v>0</v>
          </cell>
          <cell r="AG223">
            <v>0</v>
          </cell>
          <cell r="AH223">
            <v>0</v>
          </cell>
          <cell r="AI223">
            <v>0</v>
          </cell>
          <cell r="AJ223">
            <v>0</v>
          </cell>
          <cell r="AK223">
            <v>0</v>
          </cell>
          <cell r="AL223">
            <v>0</v>
          </cell>
        </row>
        <row r="224">
          <cell r="C224">
            <v>340</v>
          </cell>
          <cell r="D224" t="str">
            <v>Service</v>
          </cell>
          <cell r="E224">
            <v>3</v>
          </cell>
          <cell r="Z224">
            <v>0</v>
          </cell>
          <cell r="AA224">
            <v>0</v>
          </cell>
          <cell r="AB224">
            <v>0</v>
          </cell>
          <cell r="AC224">
            <v>0</v>
          </cell>
          <cell r="AD224">
            <v>0</v>
          </cell>
          <cell r="AE224">
            <v>0</v>
          </cell>
          <cell r="AF224">
            <v>0</v>
          </cell>
          <cell r="AG224">
            <v>0</v>
          </cell>
          <cell r="AH224">
            <v>0</v>
          </cell>
          <cell r="AI224">
            <v>0</v>
          </cell>
          <cell r="AJ224">
            <v>0</v>
          </cell>
          <cell r="AK224">
            <v>0</v>
          </cell>
          <cell r="AL224">
            <v>0</v>
          </cell>
        </row>
        <row r="225">
          <cell r="C225">
            <v>935</v>
          </cell>
          <cell r="D225" t="str">
            <v>Bridgestone</v>
          </cell>
          <cell r="E225">
            <v>3</v>
          </cell>
          <cell r="Z225">
            <v>0</v>
          </cell>
          <cell r="AA225">
            <v>0</v>
          </cell>
          <cell r="AB225">
            <v>0</v>
          </cell>
          <cell r="AC225">
            <v>0</v>
          </cell>
          <cell r="AD225">
            <v>0</v>
          </cell>
          <cell r="AE225">
            <v>0</v>
          </cell>
          <cell r="AF225">
            <v>0</v>
          </cell>
          <cell r="AG225">
            <v>0</v>
          </cell>
          <cell r="AH225">
            <v>0</v>
          </cell>
          <cell r="AI225">
            <v>0</v>
          </cell>
          <cell r="AJ225">
            <v>0</v>
          </cell>
          <cell r="AK225">
            <v>0</v>
          </cell>
          <cell r="AL225">
            <v>0</v>
          </cell>
        </row>
        <row r="226">
          <cell r="C226">
            <v>130</v>
          </cell>
          <cell r="D226" t="str">
            <v>Parts</v>
          </cell>
          <cell r="E226">
            <v>3</v>
          </cell>
          <cell r="Z226">
            <v>473.2208333333333</v>
          </cell>
          <cell r="AA226">
            <v>473.2208333333333</v>
          </cell>
          <cell r="AB226">
            <v>473.2208333333333</v>
          </cell>
          <cell r="AC226">
            <v>473.2208333333333</v>
          </cell>
          <cell r="AD226">
            <v>473.2208333333333</v>
          </cell>
          <cell r="AE226">
            <v>473.2208333333333</v>
          </cell>
          <cell r="AF226">
            <v>473.2208333333333</v>
          </cell>
          <cell r="AG226">
            <v>473.2208333333333</v>
          </cell>
          <cell r="AH226">
            <v>473.2208333333333</v>
          </cell>
          <cell r="AI226">
            <v>473.2208333333333</v>
          </cell>
          <cell r="AJ226">
            <v>473.2208333333333</v>
          </cell>
          <cell r="AK226">
            <v>473.2208333333333</v>
          </cell>
          <cell r="AL226">
            <v>5678.6499999999978</v>
          </cell>
        </row>
        <row r="227">
          <cell r="C227">
            <v>140</v>
          </cell>
          <cell r="D227" t="str">
            <v>Service</v>
          </cell>
          <cell r="E227">
            <v>3</v>
          </cell>
          <cell r="Z227">
            <v>1049.4516666666666</v>
          </cell>
          <cell r="AA227">
            <v>1049.4516666666666</v>
          </cell>
          <cell r="AB227">
            <v>1049.4516666666666</v>
          </cell>
          <cell r="AC227">
            <v>1049.4516666666666</v>
          </cell>
          <cell r="AD227">
            <v>1049.4516666666666</v>
          </cell>
          <cell r="AE227">
            <v>1049.4516666666666</v>
          </cell>
          <cell r="AF227">
            <v>1049.4516666666666</v>
          </cell>
          <cell r="AG227">
            <v>1049.4516666666666</v>
          </cell>
          <cell r="AH227">
            <v>1049.4516666666666</v>
          </cell>
          <cell r="AI227">
            <v>1049.4516666666666</v>
          </cell>
          <cell r="AJ227">
            <v>1049.4516666666666</v>
          </cell>
          <cell r="AK227">
            <v>1049.4516666666666</v>
          </cell>
          <cell r="AL227">
            <v>12593.419999999996</v>
          </cell>
        </row>
        <row r="228">
          <cell r="C228">
            <v>142</v>
          </cell>
          <cell r="D228" t="str">
            <v>Lex Service</v>
          </cell>
          <cell r="E228">
            <v>3</v>
          </cell>
          <cell r="Z228">
            <v>23.231666666666666</v>
          </cell>
          <cell r="AA228">
            <v>23.231666666666666</v>
          </cell>
          <cell r="AB228">
            <v>23.231666666666666</v>
          </cell>
          <cell r="AC228">
            <v>23.231666666666666</v>
          </cell>
          <cell r="AD228">
            <v>23.231666666666666</v>
          </cell>
          <cell r="AE228">
            <v>23.231666666666666</v>
          </cell>
          <cell r="AF228">
            <v>23.231666666666666</v>
          </cell>
          <cell r="AG228">
            <v>23.231666666666666</v>
          </cell>
          <cell r="AH228">
            <v>23.231666666666666</v>
          </cell>
          <cell r="AI228">
            <v>23.231666666666666</v>
          </cell>
          <cell r="AJ228">
            <v>23.231666666666666</v>
          </cell>
          <cell r="AK228">
            <v>23.231666666666666</v>
          </cell>
          <cell r="AL228">
            <v>278.77999999999992</v>
          </cell>
        </row>
        <row r="229">
          <cell r="C229">
            <v>230</v>
          </cell>
          <cell r="D229" t="str">
            <v>Parts</v>
          </cell>
          <cell r="E229">
            <v>3</v>
          </cell>
          <cell r="Z229">
            <v>141.68333333333337</v>
          </cell>
          <cell r="AA229">
            <v>141.68333333333337</v>
          </cell>
          <cell r="AB229">
            <v>141.68333333333337</v>
          </cell>
          <cell r="AC229">
            <v>141.68333333333337</v>
          </cell>
          <cell r="AD229">
            <v>141.68333333333337</v>
          </cell>
          <cell r="AE229">
            <v>141.68333333333337</v>
          </cell>
          <cell r="AF229">
            <v>141.68333333333337</v>
          </cell>
          <cell r="AG229">
            <v>141.68333333333337</v>
          </cell>
          <cell r="AH229">
            <v>141.68333333333337</v>
          </cell>
          <cell r="AI229">
            <v>141.68333333333337</v>
          </cell>
          <cell r="AJ229">
            <v>141.68333333333337</v>
          </cell>
          <cell r="AK229">
            <v>141.68333333333337</v>
          </cell>
          <cell r="AL229">
            <v>1700.2000000000005</v>
          </cell>
        </row>
        <row r="230">
          <cell r="C230">
            <v>240</v>
          </cell>
          <cell r="D230" t="str">
            <v>Service</v>
          </cell>
          <cell r="E230">
            <v>3</v>
          </cell>
          <cell r="Z230">
            <v>367.60666666666663</v>
          </cell>
          <cell r="AA230">
            <v>367.60666666666663</v>
          </cell>
          <cell r="AB230">
            <v>367.60666666666663</v>
          </cell>
          <cell r="AC230">
            <v>367.60666666666663</v>
          </cell>
          <cell r="AD230">
            <v>367.60666666666663</v>
          </cell>
          <cell r="AE230">
            <v>367.60666666666663</v>
          </cell>
          <cell r="AF230">
            <v>367.60666666666663</v>
          </cell>
          <cell r="AG230">
            <v>367.60666666666663</v>
          </cell>
          <cell r="AH230">
            <v>367.60666666666663</v>
          </cell>
          <cell r="AI230">
            <v>367.60666666666663</v>
          </cell>
          <cell r="AJ230">
            <v>367.60666666666663</v>
          </cell>
          <cell r="AK230">
            <v>367.60666666666663</v>
          </cell>
          <cell r="AL230">
            <v>4411.28</v>
          </cell>
        </row>
        <row r="231">
          <cell r="C231">
            <v>340</v>
          </cell>
          <cell r="D231" t="str">
            <v>Service</v>
          </cell>
          <cell r="E231">
            <v>3</v>
          </cell>
          <cell r="Z231">
            <v>31.140000000000004</v>
          </cell>
          <cell r="AA231">
            <v>31.140000000000004</v>
          </cell>
          <cell r="AB231">
            <v>31.140000000000004</v>
          </cell>
          <cell r="AC231">
            <v>31.140000000000004</v>
          </cell>
          <cell r="AD231">
            <v>31.140000000000004</v>
          </cell>
          <cell r="AE231">
            <v>31.140000000000004</v>
          </cell>
          <cell r="AF231">
            <v>31.140000000000004</v>
          </cell>
          <cell r="AG231">
            <v>31.140000000000004</v>
          </cell>
          <cell r="AH231">
            <v>31.140000000000004</v>
          </cell>
          <cell r="AI231">
            <v>31.140000000000004</v>
          </cell>
          <cell r="AJ231">
            <v>31.140000000000004</v>
          </cell>
          <cell r="AK231">
            <v>31.140000000000004</v>
          </cell>
          <cell r="AL231">
            <v>373.68</v>
          </cell>
        </row>
        <row r="232">
          <cell r="C232">
            <v>440</v>
          </cell>
          <cell r="D232" t="str">
            <v>Service</v>
          </cell>
          <cell r="E232">
            <v>3</v>
          </cell>
          <cell r="Z232">
            <v>908.90999999999985</v>
          </cell>
          <cell r="AA232">
            <v>908.90999999999985</v>
          </cell>
          <cell r="AB232">
            <v>908.90999999999985</v>
          </cell>
          <cell r="AC232">
            <v>908.90999999999985</v>
          </cell>
          <cell r="AD232">
            <v>908.90999999999985</v>
          </cell>
          <cell r="AE232">
            <v>908.90999999999985</v>
          </cell>
          <cell r="AF232">
            <v>908.90999999999985</v>
          </cell>
          <cell r="AG232">
            <v>908.90999999999985</v>
          </cell>
          <cell r="AH232">
            <v>908.90999999999985</v>
          </cell>
          <cell r="AI232">
            <v>908.90999999999985</v>
          </cell>
          <cell r="AJ232">
            <v>908.90999999999985</v>
          </cell>
          <cell r="AK232">
            <v>908.90999999999985</v>
          </cell>
          <cell r="AL232">
            <v>10906.919999999998</v>
          </cell>
        </row>
        <row r="233">
          <cell r="C233">
            <v>110</v>
          </cell>
          <cell r="D233" t="str">
            <v>New Vehicle</v>
          </cell>
          <cell r="E233">
            <v>2</v>
          </cell>
          <cell r="Z233">
            <v>902.14332432922117</v>
          </cell>
          <cell r="AA233">
            <v>902.14332432922117</v>
          </cell>
          <cell r="AB233">
            <v>902.14332432922117</v>
          </cell>
          <cell r="AC233">
            <v>902.14332432922117</v>
          </cell>
          <cell r="AD233">
            <v>902.14332432922117</v>
          </cell>
          <cell r="AE233">
            <v>902.14332432922117</v>
          </cell>
          <cell r="AF233">
            <v>902.14332432922117</v>
          </cell>
          <cell r="AG233">
            <v>902.14332432922117</v>
          </cell>
          <cell r="AH233">
            <v>902.14332432922117</v>
          </cell>
          <cell r="AI233">
            <v>902.14332432922117</v>
          </cell>
          <cell r="AJ233">
            <v>902.14332432922117</v>
          </cell>
          <cell r="AK233">
            <v>902.14332432922117</v>
          </cell>
          <cell r="AL233">
            <v>10825.719891950654</v>
          </cell>
        </row>
        <row r="234">
          <cell r="C234">
            <v>112</v>
          </cell>
          <cell r="D234" t="str">
            <v>LEX New Vehicle</v>
          </cell>
          <cell r="E234">
            <v>2</v>
          </cell>
          <cell r="Z234">
            <v>668.54419097348921</v>
          </cell>
          <cell r="AA234">
            <v>668.54419097348921</v>
          </cell>
          <cell r="AB234">
            <v>668.54419097348921</v>
          </cell>
          <cell r="AC234">
            <v>668.54419097348921</v>
          </cell>
          <cell r="AD234">
            <v>668.54419097348921</v>
          </cell>
          <cell r="AE234">
            <v>668.54419097348921</v>
          </cell>
          <cell r="AF234">
            <v>668.54419097348921</v>
          </cell>
          <cell r="AG234">
            <v>668.54419097348921</v>
          </cell>
          <cell r="AH234">
            <v>668.54419097348921</v>
          </cell>
          <cell r="AI234">
            <v>668.54419097348921</v>
          </cell>
          <cell r="AJ234">
            <v>668.54419097348921</v>
          </cell>
          <cell r="AK234">
            <v>668.54419097348921</v>
          </cell>
          <cell r="AL234">
            <v>8022.53029168187</v>
          </cell>
        </row>
        <row r="235">
          <cell r="C235">
            <v>120</v>
          </cell>
          <cell r="D235" t="str">
            <v>Used Vehicle</v>
          </cell>
          <cell r="E235">
            <v>2</v>
          </cell>
          <cell r="Z235">
            <v>427.61209811962453</v>
          </cell>
          <cell r="AA235">
            <v>427.61209811962453</v>
          </cell>
          <cell r="AB235">
            <v>427.61209811962453</v>
          </cell>
          <cell r="AC235">
            <v>427.61209811962453</v>
          </cell>
          <cell r="AD235">
            <v>427.61209811962453</v>
          </cell>
          <cell r="AE235">
            <v>427.61209811962453</v>
          </cell>
          <cell r="AF235">
            <v>427.61209811962453</v>
          </cell>
          <cell r="AG235">
            <v>427.61209811962453</v>
          </cell>
          <cell r="AH235">
            <v>427.61209811962453</v>
          </cell>
          <cell r="AI235">
            <v>427.61209811962453</v>
          </cell>
          <cell r="AJ235">
            <v>427.61209811962453</v>
          </cell>
          <cell r="AK235">
            <v>427.61209811962453</v>
          </cell>
          <cell r="AL235">
            <v>5131.3451774354944</v>
          </cell>
        </row>
        <row r="236">
          <cell r="C236">
            <v>121</v>
          </cell>
          <cell r="D236" t="str">
            <v>Used Vehicle</v>
          </cell>
          <cell r="E236">
            <v>2</v>
          </cell>
          <cell r="Z236">
            <v>0</v>
          </cell>
          <cell r="AA236">
            <v>0</v>
          </cell>
          <cell r="AB236">
            <v>0</v>
          </cell>
          <cell r="AC236">
            <v>0</v>
          </cell>
          <cell r="AD236">
            <v>0</v>
          </cell>
          <cell r="AE236">
            <v>0</v>
          </cell>
          <cell r="AF236">
            <v>0</v>
          </cell>
          <cell r="AG236">
            <v>0</v>
          </cell>
          <cell r="AH236">
            <v>0</v>
          </cell>
          <cell r="AI236">
            <v>0</v>
          </cell>
          <cell r="AJ236">
            <v>0</v>
          </cell>
          <cell r="AK236">
            <v>0</v>
          </cell>
          <cell r="AL236">
            <v>0</v>
          </cell>
        </row>
        <row r="237">
          <cell r="C237">
            <v>130</v>
          </cell>
          <cell r="D237" t="str">
            <v>Parts</v>
          </cell>
          <cell r="E237">
            <v>3</v>
          </cell>
          <cell r="Z237">
            <v>393.66119228956751</v>
          </cell>
          <cell r="AA237">
            <v>393.66119228956751</v>
          </cell>
          <cell r="AB237">
            <v>393.66119228956751</v>
          </cell>
          <cell r="AC237">
            <v>393.66119228956751</v>
          </cell>
          <cell r="AD237">
            <v>393.66119228956751</v>
          </cell>
          <cell r="AE237">
            <v>393.66119228956751</v>
          </cell>
          <cell r="AF237">
            <v>393.66119228956751</v>
          </cell>
          <cell r="AG237">
            <v>393.66119228956751</v>
          </cell>
          <cell r="AH237">
            <v>393.66119228956751</v>
          </cell>
          <cell r="AI237">
            <v>393.66119228956751</v>
          </cell>
          <cell r="AJ237">
            <v>393.66119228956751</v>
          </cell>
          <cell r="AK237">
            <v>393.66119228956751</v>
          </cell>
          <cell r="AL237">
            <v>4723.9343074748103</v>
          </cell>
        </row>
        <row r="238">
          <cell r="C238">
            <v>140</v>
          </cell>
          <cell r="D238" t="str">
            <v>Service</v>
          </cell>
          <cell r="E238">
            <v>3</v>
          </cell>
          <cell r="Z238">
            <v>1266.5207623652229</v>
          </cell>
          <cell r="AA238">
            <v>1266.5207623652229</v>
          </cell>
          <cell r="AB238">
            <v>1266.5207623652229</v>
          </cell>
          <cell r="AC238">
            <v>1266.5207623652229</v>
          </cell>
          <cell r="AD238">
            <v>1266.5207623652229</v>
          </cell>
          <cell r="AE238">
            <v>1266.5207623652229</v>
          </cell>
          <cell r="AF238">
            <v>1266.5207623652229</v>
          </cell>
          <cell r="AG238">
            <v>1266.5207623652229</v>
          </cell>
          <cell r="AH238">
            <v>1266.5207623652229</v>
          </cell>
          <cell r="AI238">
            <v>1266.5207623652229</v>
          </cell>
          <cell r="AJ238">
            <v>1266.5207623652229</v>
          </cell>
          <cell r="AK238">
            <v>1266.5207623652229</v>
          </cell>
          <cell r="AL238">
            <v>15198.249148382673</v>
          </cell>
        </row>
        <row r="239">
          <cell r="C239">
            <v>142</v>
          </cell>
          <cell r="D239" t="str">
            <v>Lex Service</v>
          </cell>
          <cell r="E239">
            <v>3</v>
          </cell>
          <cell r="Z239">
            <v>1323.2800193975984</v>
          </cell>
          <cell r="AA239">
            <v>1323.2800193975984</v>
          </cell>
          <cell r="AB239">
            <v>1323.2800193975984</v>
          </cell>
          <cell r="AC239">
            <v>1323.2800193975984</v>
          </cell>
          <cell r="AD239">
            <v>1323.2800193975984</v>
          </cell>
          <cell r="AE239">
            <v>1323.2800193975984</v>
          </cell>
          <cell r="AF239">
            <v>1323.2800193975984</v>
          </cell>
          <cell r="AG239">
            <v>1323.2800193975984</v>
          </cell>
          <cell r="AH239">
            <v>1323.2800193975984</v>
          </cell>
          <cell r="AI239">
            <v>1323.2800193975984</v>
          </cell>
          <cell r="AJ239">
            <v>1323.2800193975984</v>
          </cell>
          <cell r="AK239">
            <v>1323.2800193975984</v>
          </cell>
          <cell r="AL239">
            <v>15879.36023277118</v>
          </cell>
        </row>
        <row r="240">
          <cell r="C240">
            <v>147</v>
          </cell>
          <cell r="D240" t="str">
            <v>Service</v>
          </cell>
          <cell r="E240">
            <v>3</v>
          </cell>
          <cell r="Z240">
            <v>0</v>
          </cell>
          <cell r="AA240">
            <v>0</v>
          </cell>
          <cell r="AB240">
            <v>0</v>
          </cell>
          <cell r="AC240">
            <v>0</v>
          </cell>
          <cell r="AD240">
            <v>0</v>
          </cell>
          <cell r="AE240">
            <v>0</v>
          </cell>
          <cell r="AF240">
            <v>0</v>
          </cell>
          <cell r="AG240">
            <v>0</v>
          </cell>
          <cell r="AH240">
            <v>0</v>
          </cell>
          <cell r="AI240">
            <v>0</v>
          </cell>
          <cell r="AJ240">
            <v>0</v>
          </cell>
          <cell r="AK240">
            <v>0</v>
          </cell>
          <cell r="AL240">
            <v>0</v>
          </cell>
        </row>
        <row r="241">
          <cell r="C241">
            <v>150</v>
          </cell>
          <cell r="D241" t="str">
            <v>Retail Detailing</v>
          </cell>
          <cell r="E241">
            <v>3</v>
          </cell>
          <cell r="Z241">
            <v>2.0740371814730598</v>
          </cell>
          <cell r="AA241">
            <v>2.0740371814730598</v>
          </cell>
          <cell r="AB241">
            <v>2.0740371814730598</v>
          </cell>
          <cell r="AC241">
            <v>2.0740371814730598</v>
          </cell>
          <cell r="AD241">
            <v>2.0740371814730598</v>
          </cell>
          <cell r="AE241">
            <v>2.0740371814730598</v>
          </cell>
          <cell r="AF241">
            <v>2.0740371814730598</v>
          </cell>
          <cell r="AG241">
            <v>2.0740371814730598</v>
          </cell>
          <cell r="AH241">
            <v>2.0740371814730598</v>
          </cell>
          <cell r="AI241">
            <v>2.0740371814730598</v>
          </cell>
          <cell r="AJ241">
            <v>2.0740371814730598</v>
          </cell>
          <cell r="AK241">
            <v>2.0740371814730598</v>
          </cell>
          <cell r="AL241">
            <v>24.888446177676716</v>
          </cell>
        </row>
        <row r="242">
          <cell r="C242">
            <v>160</v>
          </cell>
          <cell r="D242" t="str">
            <v>F&amp;I</v>
          </cell>
          <cell r="E242">
            <v>3</v>
          </cell>
          <cell r="Z242">
            <v>50.210024618151017</v>
          </cell>
          <cell r="AA242">
            <v>50.210024618151017</v>
          </cell>
          <cell r="AB242">
            <v>50.210024618151017</v>
          </cell>
          <cell r="AC242">
            <v>50.210024618151017</v>
          </cell>
          <cell r="AD242">
            <v>50.210024618151017</v>
          </cell>
          <cell r="AE242">
            <v>50.210024618151017</v>
          </cell>
          <cell r="AF242">
            <v>50.210024618151017</v>
          </cell>
          <cell r="AG242">
            <v>50.210024618151017</v>
          </cell>
          <cell r="AH242">
            <v>50.210024618151017</v>
          </cell>
          <cell r="AI242">
            <v>50.210024618151017</v>
          </cell>
          <cell r="AJ242">
            <v>50.210024618151017</v>
          </cell>
          <cell r="AK242">
            <v>50.210024618151017</v>
          </cell>
          <cell r="AL242">
            <v>602.52029541781224</v>
          </cell>
        </row>
        <row r="243">
          <cell r="C243">
            <v>210</v>
          </cell>
          <cell r="D243" t="str">
            <v>Used Vehicle</v>
          </cell>
          <cell r="E243">
            <v>2</v>
          </cell>
          <cell r="Z243">
            <v>440.67497340899718</v>
          </cell>
          <cell r="AA243">
            <v>440.67497340899718</v>
          </cell>
          <cell r="AB243">
            <v>440.67497340899718</v>
          </cell>
          <cell r="AC243">
            <v>440.67497340899718</v>
          </cell>
          <cell r="AD243">
            <v>440.67497340899718</v>
          </cell>
          <cell r="AE243">
            <v>440.67497340899718</v>
          </cell>
          <cell r="AF243">
            <v>440.67497340899718</v>
          </cell>
          <cell r="AG243">
            <v>440.67497340899718</v>
          </cell>
          <cell r="AH243">
            <v>440.67497340899718</v>
          </cell>
          <cell r="AI243">
            <v>440.67497340899718</v>
          </cell>
          <cell r="AJ243">
            <v>440.67497340899718</v>
          </cell>
          <cell r="AK243">
            <v>440.67497340899718</v>
          </cell>
          <cell r="AL243">
            <v>5288.0996809079661</v>
          </cell>
        </row>
        <row r="244">
          <cell r="C244">
            <v>220</v>
          </cell>
          <cell r="D244" t="str">
            <v>Used Vehicle</v>
          </cell>
          <cell r="E244">
            <v>2</v>
          </cell>
          <cell r="Z244">
            <v>377.07152392032918</v>
          </cell>
          <cell r="AA244">
            <v>377.07152392032918</v>
          </cell>
          <cell r="AB244">
            <v>377.07152392032918</v>
          </cell>
          <cell r="AC244">
            <v>377.07152392032918</v>
          </cell>
          <cell r="AD244">
            <v>377.07152392032918</v>
          </cell>
          <cell r="AE244">
            <v>377.07152392032918</v>
          </cell>
          <cell r="AF244">
            <v>377.07152392032918</v>
          </cell>
          <cell r="AG244">
            <v>377.07152392032918</v>
          </cell>
          <cell r="AH244">
            <v>377.07152392032918</v>
          </cell>
          <cell r="AI244">
            <v>377.07152392032918</v>
          </cell>
          <cell r="AJ244">
            <v>377.07152392032918</v>
          </cell>
          <cell r="AK244">
            <v>377.07152392032918</v>
          </cell>
          <cell r="AL244">
            <v>4524.8582870439504</v>
          </cell>
        </row>
        <row r="245">
          <cell r="C245">
            <v>230</v>
          </cell>
          <cell r="D245" t="str">
            <v>Parts</v>
          </cell>
          <cell r="E245">
            <v>3</v>
          </cell>
          <cell r="Z245">
            <v>503.24441200159271</v>
          </cell>
          <cell r="AA245">
            <v>503.24441200159271</v>
          </cell>
          <cell r="AB245">
            <v>503.24441200159271</v>
          </cell>
          <cell r="AC245">
            <v>503.24441200159271</v>
          </cell>
          <cell r="AD245">
            <v>503.24441200159271</v>
          </cell>
          <cell r="AE245">
            <v>503.24441200159271</v>
          </cell>
          <cell r="AF245">
            <v>503.24441200159271</v>
          </cell>
          <cell r="AG245">
            <v>503.24441200159271</v>
          </cell>
          <cell r="AH245">
            <v>503.24441200159271</v>
          </cell>
          <cell r="AI245">
            <v>503.24441200159271</v>
          </cell>
          <cell r="AJ245">
            <v>503.24441200159271</v>
          </cell>
          <cell r="AK245">
            <v>503.24441200159271</v>
          </cell>
          <cell r="AL245">
            <v>6038.9329440191113</v>
          </cell>
        </row>
        <row r="246">
          <cell r="C246">
            <v>240</v>
          </cell>
          <cell r="D246" t="str">
            <v>Service</v>
          </cell>
          <cell r="E246">
            <v>3</v>
          </cell>
          <cell r="Z246">
            <v>5761.4110188739141</v>
          </cell>
          <cell r="AA246">
            <v>5761.4110188739141</v>
          </cell>
          <cell r="AB246">
            <v>5761.4110188739141</v>
          </cell>
          <cell r="AC246">
            <v>5761.4110188739141</v>
          </cell>
          <cell r="AD246">
            <v>5761.4110188739141</v>
          </cell>
          <cell r="AE246">
            <v>5761.4110188739141</v>
          </cell>
          <cell r="AF246">
            <v>5761.4110188739141</v>
          </cell>
          <cell r="AG246">
            <v>5761.4110188739141</v>
          </cell>
          <cell r="AH246">
            <v>5761.4110188739141</v>
          </cell>
          <cell r="AI246">
            <v>5761.4110188739141</v>
          </cell>
          <cell r="AJ246">
            <v>5761.4110188739141</v>
          </cell>
          <cell r="AK246">
            <v>5761.4110188739141</v>
          </cell>
          <cell r="AL246">
            <v>69136.93222648697</v>
          </cell>
        </row>
        <row r="247">
          <cell r="C247">
            <v>260</v>
          </cell>
          <cell r="D247" t="str">
            <v>F&amp;I</v>
          </cell>
          <cell r="E247">
            <v>3</v>
          </cell>
          <cell r="Z247">
            <v>33.5</v>
          </cell>
          <cell r="AA247">
            <v>33.5</v>
          </cell>
          <cell r="AB247">
            <v>33.5</v>
          </cell>
          <cell r="AC247">
            <v>33.5</v>
          </cell>
          <cell r="AD247">
            <v>33.5</v>
          </cell>
          <cell r="AE247">
            <v>33.5</v>
          </cell>
          <cell r="AF247">
            <v>33.5</v>
          </cell>
          <cell r="AG247">
            <v>33.5</v>
          </cell>
          <cell r="AH247">
            <v>33.5</v>
          </cell>
          <cell r="AI247">
            <v>33.5</v>
          </cell>
          <cell r="AJ247">
            <v>33.5</v>
          </cell>
          <cell r="AK247">
            <v>33.5</v>
          </cell>
          <cell r="AL247">
            <v>402</v>
          </cell>
        </row>
        <row r="248">
          <cell r="C248">
            <v>330</v>
          </cell>
          <cell r="D248" t="str">
            <v>Parts</v>
          </cell>
          <cell r="E248">
            <v>3</v>
          </cell>
          <cell r="Z248">
            <v>178.50198352063066</v>
          </cell>
          <cell r="AA248">
            <v>178.50198352063066</v>
          </cell>
          <cell r="AB248">
            <v>178.50198352063066</v>
          </cell>
          <cell r="AC248">
            <v>178.50198352063066</v>
          </cell>
          <cell r="AD248">
            <v>178.50198352063066</v>
          </cell>
          <cell r="AE248">
            <v>178.50198352063066</v>
          </cell>
          <cell r="AF248">
            <v>178.50198352063066</v>
          </cell>
          <cell r="AG248">
            <v>178.50198352063066</v>
          </cell>
          <cell r="AH248">
            <v>178.50198352063066</v>
          </cell>
          <cell r="AI248">
            <v>178.50198352063066</v>
          </cell>
          <cell r="AJ248">
            <v>178.50198352063066</v>
          </cell>
          <cell r="AK248">
            <v>178.50198352063066</v>
          </cell>
          <cell r="AL248">
            <v>2142.0238022475673</v>
          </cell>
        </row>
        <row r="249">
          <cell r="C249">
            <v>340</v>
          </cell>
          <cell r="D249" t="str">
            <v>Service</v>
          </cell>
          <cell r="E249">
            <v>3</v>
          </cell>
          <cell r="Z249">
            <v>3785.4813238214515</v>
          </cell>
          <cell r="AA249">
            <v>3785.4813238214515</v>
          </cell>
          <cell r="AB249">
            <v>3785.4813238214515</v>
          </cell>
          <cell r="AC249">
            <v>3785.4813238214515</v>
          </cell>
          <cell r="AD249">
            <v>3785.4813238214515</v>
          </cell>
          <cell r="AE249">
            <v>3785.4813238214515</v>
          </cell>
          <cell r="AF249">
            <v>3785.4813238214515</v>
          </cell>
          <cell r="AG249">
            <v>3785.4813238214515</v>
          </cell>
          <cell r="AH249">
            <v>3785.4813238214515</v>
          </cell>
          <cell r="AI249">
            <v>3785.4813238214515</v>
          </cell>
          <cell r="AJ249">
            <v>3785.4813238214515</v>
          </cell>
          <cell r="AK249">
            <v>3785.4813238214515</v>
          </cell>
          <cell r="AL249">
            <v>45425.775885857409</v>
          </cell>
        </row>
        <row r="250">
          <cell r="C250">
            <v>430</v>
          </cell>
          <cell r="D250" t="str">
            <v>Parts</v>
          </cell>
          <cell r="E250">
            <v>3</v>
          </cell>
          <cell r="Z250">
            <v>58.042752111819276</v>
          </cell>
          <cell r="AA250">
            <v>58.042752111819276</v>
          </cell>
          <cell r="AB250">
            <v>58.042752111819276</v>
          </cell>
          <cell r="AC250">
            <v>58.042752111819276</v>
          </cell>
          <cell r="AD250">
            <v>58.042752111819276</v>
          </cell>
          <cell r="AE250">
            <v>58.042752111819276</v>
          </cell>
          <cell r="AF250">
            <v>58.042752111819276</v>
          </cell>
          <cell r="AG250">
            <v>58.042752111819276</v>
          </cell>
          <cell r="AH250">
            <v>58.042752111819276</v>
          </cell>
          <cell r="AI250">
            <v>58.042752111819276</v>
          </cell>
          <cell r="AJ250">
            <v>58.042752111819276</v>
          </cell>
          <cell r="AK250">
            <v>58.042752111819276</v>
          </cell>
          <cell r="AL250">
            <v>696.51302534183117</v>
          </cell>
        </row>
        <row r="251">
          <cell r="C251">
            <v>440</v>
          </cell>
          <cell r="D251" t="str">
            <v>Service</v>
          </cell>
          <cell r="E251">
            <v>3</v>
          </cell>
          <cell r="Z251">
            <v>460.03113932094112</v>
          </cell>
          <cell r="AA251">
            <v>460.03113932094112</v>
          </cell>
          <cell r="AB251">
            <v>460.03113932094112</v>
          </cell>
          <cell r="AC251">
            <v>460.03113932094112</v>
          </cell>
          <cell r="AD251">
            <v>460.03113932094112</v>
          </cell>
          <cell r="AE251">
            <v>460.03113932094112</v>
          </cell>
          <cell r="AF251">
            <v>460.03113932094112</v>
          </cell>
          <cell r="AG251">
            <v>460.03113932094112</v>
          </cell>
          <cell r="AH251">
            <v>460.03113932094112</v>
          </cell>
          <cell r="AI251">
            <v>460.03113932094112</v>
          </cell>
          <cell r="AJ251">
            <v>460.03113932094112</v>
          </cell>
          <cell r="AK251">
            <v>460.03113932094112</v>
          </cell>
          <cell r="AL251">
            <v>5520.3736718512946</v>
          </cell>
        </row>
        <row r="252">
          <cell r="C252">
            <v>935</v>
          </cell>
          <cell r="D252" t="str">
            <v>Bridgestone</v>
          </cell>
          <cell r="E252">
            <v>3</v>
          </cell>
          <cell r="Z252">
            <v>35.725082214208648</v>
          </cell>
          <cell r="AA252">
            <v>35.725082214208648</v>
          </cell>
          <cell r="AB252">
            <v>35.725082214208648</v>
          </cell>
          <cell r="AC252">
            <v>35.725082214208648</v>
          </cell>
          <cell r="AD252">
            <v>35.725082214208648</v>
          </cell>
          <cell r="AE252">
            <v>35.725082214208648</v>
          </cell>
          <cell r="AF252">
            <v>35.725082214208648</v>
          </cell>
          <cell r="AG252">
            <v>35.725082214208648</v>
          </cell>
          <cell r="AH252">
            <v>35.725082214208648</v>
          </cell>
          <cell r="AI252">
            <v>35.725082214208648</v>
          </cell>
          <cell r="AJ252">
            <v>35.725082214208648</v>
          </cell>
          <cell r="AK252">
            <v>35.725082214208648</v>
          </cell>
          <cell r="AL252">
            <v>428.70098657050386</v>
          </cell>
        </row>
        <row r="253">
          <cell r="C253">
            <v>936</v>
          </cell>
          <cell r="D253" t="str">
            <v>Bridgestone</v>
          </cell>
          <cell r="E253">
            <v>3</v>
          </cell>
          <cell r="Z253">
            <v>82.270141531764708</v>
          </cell>
          <cell r="AA253">
            <v>82.270141531764708</v>
          </cell>
          <cell r="AB253">
            <v>82.270141531764708</v>
          </cell>
          <cell r="AC253">
            <v>82.270141531764708</v>
          </cell>
          <cell r="AD253">
            <v>82.270141531764708</v>
          </cell>
          <cell r="AE253">
            <v>82.270141531764708</v>
          </cell>
          <cell r="AF253">
            <v>82.270141531764708</v>
          </cell>
          <cell r="AG253">
            <v>82.270141531764708</v>
          </cell>
          <cell r="AH253">
            <v>82.270141531764708</v>
          </cell>
          <cell r="AI253">
            <v>82.270141531764708</v>
          </cell>
          <cell r="AJ253">
            <v>82.270141531764708</v>
          </cell>
          <cell r="AK253">
            <v>82.270141531764708</v>
          </cell>
          <cell r="AL253">
            <v>987.24169838117643</v>
          </cell>
        </row>
        <row r="254">
          <cell r="C254">
            <v>140</v>
          </cell>
          <cell r="D254" t="str">
            <v>Service</v>
          </cell>
          <cell r="E254">
            <v>3</v>
          </cell>
          <cell r="Z254">
            <v>563.64583333333337</v>
          </cell>
          <cell r="AA254">
            <v>563.64583333333337</v>
          </cell>
          <cell r="AB254">
            <v>563.64583333333337</v>
          </cell>
          <cell r="AC254">
            <v>563.64583333333337</v>
          </cell>
          <cell r="AD254">
            <v>563.64583333333337</v>
          </cell>
          <cell r="AE254">
            <v>563.64583333333337</v>
          </cell>
          <cell r="AF254">
            <v>563.64583333333337</v>
          </cell>
          <cell r="AG254">
            <v>563.64583333333337</v>
          </cell>
          <cell r="AH254">
            <v>563.64583333333337</v>
          </cell>
          <cell r="AI254">
            <v>563.64583333333337</v>
          </cell>
          <cell r="AJ254">
            <v>563.64583333333337</v>
          </cell>
          <cell r="AK254">
            <v>563.64583333333337</v>
          </cell>
          <cell r="AL254">
            <v>6763.7499999999991</v>
          </cell>
        </row>
        <row r="255">
          <cell r="C255">
            <v>142</v>
          </cell>
          <cell r="D255" t="str">
            <v>Lex Service</v>
          </cell>
          <cell r="E255">
            <v>3</v>
          </cell>
          <cell r="Z255">
            <v>83.21</v>
          </cell>
          <cell r="AA255">
            <v>83.21</v>
          </cell>
          <cell r="AB255">
            <v>83.21</v>
          </cell>
          <cell r="AC255">
            <v>83.21</v>
          </cell>
          <cell r="AD255">
            <v>83.21</v>
          </cell>
          <cell r="AE255">
            <v>83.21</v>
          </cell>
          <cell r="AF255">
            <v>83.21</v>
          </cell>
          <cell r="AG255">
            <v>83.21</v>
          </cell>
          <cell r="AH255">
            <v>83.21</v>
          </cell>
          <cell r="AI255">
            <v>83.21</v>
          </cell>
          <cell r="AJ255">
            <v>83.21</v>
          </cell>
          <cell r="AK255">
            <v>83.21</v>
          </cell>
          <cell r="AL255">
            <v>998.5200000000001</v>
          </cell>
        </row>
        <row r="256">
          <cell r="C256">
            <v>150</v>
          </cell>
          <cell r="D256" t="str">
            <v>Retail Detailing</v>
          </cell>
          <cell r="E256">
            <v>3</v>
          </cell>
          <cell r="Z256">
            <v>65.366666666666674</v>
          </cell>
          <cell r="AA256">
            <v>65.366666666666674</v>
          </cell>
          <cell r="AB256">
            <v>65.366666666666674</v>
          </cell>
          <cell r="AC256">
            <v>65.366666666666674</v>
          </cell>
          <cell r="AD256">
            <v>65.366666666666674</v>
          </cell>
          <cell r="AE256">
            <v>65.366666666666674</v>
          </cell>
          <cell r="AF256">
            <v>65.366666666666674</v>
          </cell>
          <cell r="AG256">
            <v>65.366666666666674</v>
          </cell>
          <cell r="AH256">
            <v>65.366666666666674</v>
          </cell>
          <cell r="AI256">
            <v>65.366666666666674</v>
          </cell>
          <cell r="AJ256">
            <v>65.366666666666674</v>
          </cell>
          <cell r="AK256">
            <v>65.366666666666674</v>
          </cell>
          <cell r="AL256">
            <v>784.40000000000009</v>
          </cell>
        </row>
        <row r="257">
          <cell r="C257">
            <v>240</v>
          </cell>
          <cell r="D257" t="str">
            <v>Service</v>
          </cell>
          <cell r="E257">
            <v>3</v>
          </cell>
          <cell r="Z257">
            <v>536.80000000000007</v>
          </cell>
          <cell r="AA257">
            <v>536.80000000000007</v>
          </cell>
          <cell r="AB257">
            <v>536.80000000000007</v>
          </cell>
          <cell r="AC257">
            <v>536.80000000000007</v>
          </cell>
          <cell r="AD257">
            <v>536.80000000000007</v>
          </cell>
          <cell r="AE257">
            <v>536.80000000000007</v>
          </cell>
          <cell r="AF257">
            <v>536.80000000000007</v>
          </cell>
          <cell r="AG257">
            <v>536.80000000000007</v>
          </cell>
          <cell r="AH257">
            <v>536.80000000000007</v>
          </cell>
          <cell r="AI257">
            <v>536.80000000000007</v>
          </cell>
          <cell r="AJ257">
            <v>536.80000000000007</v>
          </cell>
          <cell r="AK257">
            <v>536.80000000000007</v>
          </cell>
          <cell r="AL257">
            <v>6441.6000000000013</v>
          </cell>
        </row>
        <row r="258">
          <cell r="C258">
            <v>340</v>
          </cell>
          <cell r="D258" t="str">
            <v>Service</v>
          </cell>
          <cell r="E258">
            <v>3</v>
          </cell>
          <cell r="Z258">
            <v>343.56</v>
          </cell>
          <cell r="AA258">
            <v>343.56</v>
          </cell>
          <cell r="AB258">
            <v>343.56</v>
          </cell>
          <cell r="AC258">
            <v>343.56</v>
          </cell>
          <cell r="AD258">
            <v>343.56</v>
          </cell>
          <cell r="AE258">
            <v>343.56</v>
          </cell>
          <cell r="AF258">
            <v>343.56</v>
          </cell>
          <cell r="AG258">
            <v>343.56</v>
          </cell>
          <cell r="AH258">
            <v>343.56</v>
          </cell>
          <cell r="AI258">
            <v>343.56</v>
          </cell>
          <cell r="AJ258">
            <v>343.56</v>
          </cell>
          <cell r="AK258">
            <v>343.56</v>
          </cell>
          <cell r="AL258">
            <v>4122.72</v>
          </cell>
        </row>
        <row r="259">
          <cell r="C259">
            <v>440</v>
          </cell>
          <cell r="D259" t="str">
            <v>Service</v>
          </cell>
          <cell r="E259">
            <v>3</v>
          </cell>
          <cell r="Z259">
            <v>865.6825</v>
          </cell>
          <cell r="AA259">
            <v>865.6825</v>
          </cell>
          <cell r="AB259">
            <v>865.6825</v>
          </cell>
          <cell r="AC259">
            <v>865.6825</v>
          </cell>
          <cell r="AD259">
            <v>865.6825</v>
          </cell>
          <cell r="AE259">
            <v>865.6825</v>
          </cell>
          <cell r="AF259">
            <v>865.6825</v>
          </cell>
          <cell r="AG259">
            <v>865.6825</v>
          </cell>
          <cell r="AH259">
            <v>865.6825</v>
          </cell>
          <cell r="AI259">
            <v>865.6825</v>
          </cell>
          <cell r="AJ259">
            <v>865.6825</v>
          </cell>
          <cell r="AK259">
            <v>865.6825</v>
          </cell>
          <cell r="AL259">
            <v>10388.190000000002</v>
          </cell>
        </row>
        <row r="260">
          <cell r="C260">
            <v>935</v>
          </cell>
          <cell r="D260" t="str">
            <v>Bridgestone</v>
          </cell>
          <cell r="E260">
            <v>3</v>
          </cell>
          <cell r="Z260">
            <v>172.77666666666664</v>
          </cell>
          <cell r="AA260">
            <v>172.77666666666664</v>
          </cell>
          <cell r="AB260">
            <v>172.77666666666664</v>
          </cell>
          <cell r="AC260">
            <v>172.77666666666664</v>
          </cell>
          <cell r="AD260">
            <v>172.77666666666664</v>
          </cell>
          <cell r="AE260">
            <v>172.77666666666664</v>
          </cell>
          <cell r="AF260">
            <v>172.77666666666664</v>
          </cell>
          <cell r="AG260">
            <v>172.77666666666664</v>
          </cell>
          <cell r="AH260">
            <v>172.77666666666664</v>
          </cell>
          <cell r="AI260">
            <v>172.77666666666664</v>
          </cell>
          <cell r="AJ260">
            <v>172.77666666666664</v>
          </cell>
          <cell r="AK260">
            <v>172.77666666666664</v>
          </cell>
          <cell r="AL260">
            <v>2073.3199999999997</v>
          </cell>
        </row>
        <row r="261">
          <cell r="C261">
            <v>936</v>
          </cell>
          <cell r="D261" t="str">
            <v>Bridgestone</v>
          </cell>
          <cell r="E261">
            <v>3</v>
          </cell>
          <cell r="Z261">
            <v>189.08500000000001</v>
          </cell>
          <cell r="AA261">
            <v>189.08500000000001</v>
          </cell>
          <cell r="AB261">
            <v>189.08500000000001</v>
          </cell>
          <cell r="AC261">
            <v>189.08500000000001</v>
          </cell>
          <cell r="AD261">
            <v>189.08500000000001</v>
          </cell>
          <cell r="AE261">
            <v>189.08500000000001</v>
          </cell>
          <cell r="AF261">
            <v>189.08500000000001</v>
          </cell>
          <cell r="AG261">
            <v>189.08500000000001</v>
          </cell>
          <cell r="AH261">
            <v>189.08500000000001</v>
          </cell>
          <cell r="AI261">
            <v>189.08500000000001</v>
          </cell>
          <cell r="AJ261">
            <v>189.08500000000001</v>
          </cell>
          <cell r="AK261">
            <v>189.08500000000001</v>
          </cell>
          <cell r="AL261">
            <v>2269.02</v>
          </cell>
        </row>
        <row r="262">
          <cell r="C262">
            <v>140</v>
          </cell>
          <cell r="D262" t="str">
            <v>Service</v>
          </cell>
          <cell r="E262">
            <v>3</v>
          </cell>
          <cell r="Z262">
            <v>60.794166666666662</v>
          </cell>
          <cell r="AA262">
            <v>60.794166666666662</v>
          </cell>
          <cell r="AB262">
            <v>60.794166666666662</v>
          </cell>
          <cell r="AC262">
            <v>60.794166666666662</v>
          </cell>
          <cell r="AD262">
            <v>60.794166666666662</v>
          </cell>
          <cell r="AE262">
            <v>60.794166666666662</v>
          </cell>
          <cell r="AF262">
            <v>60.794166666666662</v>
          </cell>
          <cell r="AG262">
            <v>60.794166666666662</v>
          </cell>
          <cell r="AH262">
            <v>60.794166666666662</v>
          </cell>
          <cell r="AI262">
            <v>60.794166666666662</v>
          </cell>
          <cell r="AJ262">
            <v>60.794166666666662</v>
          </cell>
          <cell r="AK262">
            <v>60.794166666666662</v>
          </cell>
          <cell r="AL262">
            <v>729.53000000000009</v>
          </cell>
        </row>
        <row r="263">
          <cell r="C263">
            <v>147</v>
          </cell>
          <cell r="D263" t="str">
            <v>Service</v>
          </cell>
          <cell r="E263">
            <v>3</v>
          </cell>
          <cell r="Z263">
            <v>4.4125000000000005</v>
          </cell>
          <cell r="AA263">
            <v>4.4125000000000005</v>
          </cell>
          <cell r="AB263">
            <v>4.4125000000000005</v>
          </cell>
          <cell r="AC263">
            <v>4.4125000000000005</v>
          </cell>
          <cell r="AD263">
            <v>4.4125000000000005</v>
          </cell>
          <cell r="AE263">
            <v>4.4125000000000005</v>
          </cell>
          <cell r="AF263">
            <v>4.4125000000000005</v>
          </cell>
          <cell r="AG263">
            <v>4.4125000000000005</v>
          </cell>
          <cell r="AH263">
            <v>4.4125000000000005</v>
          </cell>
          <cell r="AI263">
            <v>4.4125000000000005</v>
          </cell>
          <cell r="AJ263">
            <v>4.4125000000000005</v>
          </cell>
          <cell r="AK263">
            <v>4.4125000000000005</v>
          </cell>
          <cell r="AL263">
            <v>52.95000000000001</v>
          </cell>
        </row>
        <row r="264">
          <cell r="C264">
            <v>240</v>
          </cell>
          <cell r="D264" t="str">
            <v>Service</v>
          </cell>
          <cell r="E264">
            <v>3</v>
          </cell>
          <cell r="Z264">
            <v>134.54166666666666</v>
          </cell>
          <cell r="AA264">
            <v>134.54166666666666</v>
          </cell>
          <cell r="AB264">
            <v>134.54166666666666</v>
          </cell>
          <cell r="AC264">
            <v>134.54166666666666</v>
          </cell>
          <cell r="AD264">
            <v>134.54166666666666</v>
          </cell>
          <cell r="AE264">
            <v>134.54166666666666</v>
          </cell>
          <cell r="AF264">
            <v>134.54166666666666</v>
          </cell>
          <cell r="AG264">
            <v>134.54166666666666</v>
          </cell>
          <cell r="AH264">
            <v>134.54166666666666</v>
          </cell>
          <cell r="AI264">
            <v>134.54166666666666</v>
          </cell>
          <cell r="AJ264">
            <v>134.54166666666666</v>
          </cell>
          <cell r="AK264">
            <v>134.54166666666666</v>
          </cell>
          <cell r="AL264">
            <v>1614.5000000000002</v>
          </cell>
        </row>
        <row r="265">
          <cell r="C265">
            <v>340</v>
          </cell>
          <cell r="D265" t="str">
            <v>Service</v>
          </cell>
          <cell r="E265">
            <v>3</v>
          </cell>
          <cell r="Z265">
            <v>152.15</v>
          </cell>
          <cell r="AA265">
            <v>152.15</v>
          </cell>
          <cell r="AB265">
            <v>152.15</v>
          </cell>
          <cell r="AC265">
            <v>152.15</v>
          </cell>
          <cell r="AD265">
            <v>152.15</v>
          </cell>
          <cell r="AE265">
            <v>152.15</v>
          </cell>
          <cell r="AF265">
            <v>152.15</v>
          </cell>
          <cell r="AG265">
            <v>152.15</v>
          </cell>
          <cell r="AH265">
            <v>152.15</v>
          </cell>
          <cell r="AI265">
            <v>152.15</v>
          </cell>
          <cell r="AJ265">
            <v>152.15</v>
          </cell>
          <cell r="AK265">
            <v>152.15</v>
          </cell>
          <cell r="AL265">
            <v>1825.8000000000004</v>
          </cell>
        </row>
        <row r="266">
          <cell r="C266">
            <v>440</v>
          </cell>
          <cell r="D266" t="str">
            <v>Service</v>
          </cell>
          <cell r="E266">
            <v>3</v>
          </cell>
          <cell r="Z266">
            <v>308.83249999999998</v>
          </cell>
          <cell r="AA266">
            <v>308.83249999999998</v>
          </cell>
          <cell r="AB266">
            <v>308.83249999999998</v>
          </cell>
          <cell r="AC266">
            <v>308.83249999999998</v>
          </cell>
          <cell r="AD266">
            <v>308.83249999999998</v>
          </cell>
          <cell r="AE266">
            <v>308.83249999999998</v>
          </cell>
          <cell r="AF266">
            <v>308.83249999999998</v>
          </cell>
          <cell r="AG266">
            <v>308.83249999999998</v>
          </cell>
          <cell r="AH266">
            <v>308.83249999999998</v>
          </cell>
          <cell r="AI266">
            <v>308.83249999999998</v>
          </cell>
          <cell r="AJ266">
            <v>308.83249999999998</v>
          </cell>
          <cell r="AK266">
            <v>308.83249999999998</v>
          </cell>
          <cell r="AL266">
            <v>3705.99</v>
          </cell>
        </row>
        <row r="267">
          <cell r="C267">
            <v>935</v>
          </cell>
          <cell r="D267" t="str">
            <v>Bridgestone</v>
          </cell>
          <cell r="E267">
            <v>3</v>
          </cell>
          <cell r="Z267">
            <v>54.59</v>
          </cell>
          <cell r="AA267">
            <v>54.59</v>
          </cell>
          <cell r="AB267">
            <v>54.59</v>
          </cell>
          <cell r="AC267">
            <v>54.59</v>
          </cell>
          <cell r="AD267">
            <v>54.59</v>
          </cell>
          <cell r="AE267">
            <v>54.59</v>
          </cell>
          <cell r="AF267">
            <v>54.59</v>
          </cell>
          <cell r="AG267">
            <v>54.59</v>
          </cell>
          <cell r="AH267">
            <v>54.59</v>
          </cell>
          <cell r="AI267">
            <v>54.59</v>
          </cell>
          <cell r="AJ267">
            <v>54.59</v>
          </cell>
          <cell r="AK267">
            <v>54.59</v>
          </cell>
          <cell r="AL267">
            <v>655.08000000000027</v>
          </cell>
        </row>
        <row r="268">
          <cell r="C268">
            <v>936</v>
          </cell>
          <cell r="D268" t="str">
            <v>Bridgestone</v>
          </cell>
          <cell r="E268">
            <v>3</v>
          </cell>
          <cell r="Z268">
            <v>2.9058333333333333</v>
          </cell>
          <cell r="AA268">
            <v>2.9058333333333333</v>
          </cell>
          <cell r="AB268">
            <v>2.9058333333333333</v>
          </cell>
          <cell r="AC268">
            <v>2.9058333333333333</v>
          </cell>
          <cell r="AD268">
            <v>2.9058333333333333</v>
          </cell>
          <cell r="AE268">
            <v>2.9058333333333333</v>
          </cell>
          <cell r="AF268">
            <v>2.9058333333333333</v>
          </cell>
          <cell r="AG268">
            <v>2.9058333333333333</v>
          </cell>
          <cell r="AH268">
            <v>2.9058333333333333</v>
          </cell>
          <cell r="AI268">
            <v>2.9058333333333333</v>
          </cell>
          <cell r="AJ268">
            <v>2.9058333333333333</v>
          </cell>
          <cell r="AK268">
            <v>2.9058333333333333</v>
          </cell>
          <cell r="AL268">
            <v>34.869999999999997</v>
          </cell>
        </row>
        <row r="269">
          <cell r="C269">
            <v>130</v>
          </cell>
          <cell r="D269" t="str">
            <v>Parts</v>
          </cell>
          <cell r="E269">
            <v>3</v>
          </cell>
          <cell r="Z269">
            <v>-12451.547500000001</v>
          </cell>
          <cell r="AA269">
            <v>-12451.547500000001</v>
          </cell>
          <cell r="AB269">
            <v>-12451.547500000001</v>
          </cell>
          <cell r="AC269">
            <v>-12451.547500000001</v>
          </cell>
          <cell r="AD269">
            <v>-12451.547500000001</v>
          </cell>
          <cell r="AE269">
            <v>-12451.547500000001</v>
          </cell>
          <cell r="AF269">
            <v>-12451.547500000001</v>
          </cell>
          <cell r="AG269">
            <v>-12451.547500000001</v>
          </cell>
          <cell r="AH269">
            <v>-12451.547500000001</v>
          </cell>
          <cell r="AI269">
            <v>-12451.547500000001</v>
          </cell>
          <cell r="AJ269">
            <v>-12451.547500000001</v>
          </cell>
          <cell r="AK269">
            <v>-12451.547500000001</v>
          </cell>
          <cell r="AL269">
            <v>-149418.57</v>
          </cell>
        </row>
        <row r="270">
          <cell r="C270">
            <v>230</v>
          </cell>
          <cell r="D270" t="str">
            <v>Parts</v>
          </cell>
          <cell r="E270">
            <v>3</v>
          </cell>
          <cell r="Z270">
            <v>-5691.1433333333334</v>
          </cell>
          <cell r="AA270">
            <v>-5691.1433333333334</v>
          </cell>
          <cell r="AB270">
            <v>-5691.1433333333334</v>
          </cell>
          <cell r="AC270">
            <v>-5691.1433333333334</v>
          </cell>
          <cell r="AD270">
            <v>-5691.1433333333334</v>
          </cell>
          <cell r="AE270">
            <v>-5691.1433333333334</v>
          </cell>
          <cell r="AF270">
            <v>-5691.1433333333334</v>
          </cell>
          <cell r="AG270">
            <v>-5691.1433333333334</v>
          </cell>
          <cell r="AH270">
            <v>-5691.1433333333334</v>
          </cell>
          <cell r="AI270">
            <v>-5691.1433333333334</v>
          </cell>
          <cell r="AJ270">
            <v>-5691.1433333333334</v>
          </cell>
          <cell r="AK270">
            <v>-5691.1433333333334</v>
          </cell>
          <cell r="AL270">
            <v>-68293.72</v>
          </cell>
        </row>
        <row r="271">
          <cell r="C271">
            <v>330</v>
          </cell>
          <cell r="D271" t="str">
            <v>Parts</v>
          </cell>
          <cell r="E271">
            <v>3</v>
          </cell>
          <cell r="Z271">
            <v>-937.6883333333335</v>
          </cell>
          <cell r="AA271">
            <v>-937.6883333333335</v>
          </cell>
          <cell r="AB271">
            <v>-937.6883333333335</v>
          </cell>
          <cell r="AC271">
            <v>-937.6883333333335</v>
          </cell>
          <cell r="AD271">
            <v>-937.6883333333335</v>
          </cell>
          <cell r="AE271">
            <v>-937.6883333333335</v>
          </cell>
          <cell r="AF271">
            <v>-937.6883333333335</v>
          </cell>
          <cell r="AG271">
            <v>-937.6883333333335</v>
          </cell>
          <cell r="AH271">
            <v>-937.6883333333335</v>
          </cell>
          <cell r="AI271">
            <v>-937.6883333333335</v>
          </cell>
          <cell r="AJ271">
            <v>-937.6883333333335</v>
          </cell>
          <cell r="AK271">
            <v>-937.6883333333335</v>
          </cell>
          <cell r="AL271">
            <v>-11252.260000000002</v>
          </cell>
        </row>
        <row r="272">
          <cell r="C272">
            <v>430</v>
          </cell>
          <cell r="D272" t="str">
            <v>Parts</v>
          </cell>
          <cell r="E272">
            <v>3</v>
          </cell>
          <cell r="Z272">
            <v>-489.57666666666665</v>
          </cell>
          <cell r="AA272">
            <v>-489.57666666666665</v>
          </cell>
          <cell r="AB272">
            <v>-489.57666666666665</v>
          </cell>
          <cell r="AC272">
            <v>-489.57666666666665</v>
          </cell>
          <cell r="AD272">
            <v>-489.57666666666665</v>
          </cell>
          <cell r="AE272">
            <v>-489.57666666666665</v>
          </cell>
          <cell r="AF272">
            <v>-489.57666666666665</v>
          </cell>
          <cell r="AG272">
            <v>-489.57666666666665</v>
          </cell>
          <cell r="AH272">
            <v>-489.57666666666665</v>
          </cell>
          <cell r="AI272">
            <v>-489.57666666666665</v>
          </cell>
          <cell r="AJ272">
            <v>-489.57666666666665</v>
          </cell>
          <cell r="AK272">
            <v>-489.57666666666665</v>
          </cell>
          <cell r="AL272">
            <v>-5874.920000000001</v>
          </cell>
        </row>
        <row r="273">
          <cell r="C273">
            <v>935</v>
          </cell>
          <cell r="D273" t="str">
            <v>Bridgestone</v>
          </cell>
          <cell r="E273">
            <v>3</v>
          </cell>
          <cell r="Z273">
            <v>3082.0149999999994</v>
          </cell>
          <cell r="AA273">
            <v>3082.0149999999994</v>
          </cell>
          <cell r="AB273">
            <v>3082.0149999999994</v>
          </cell>
          <cell r="AC273">
            <v>3082.0149999999994</v>
          </cell>
          <cell r="AD273">
            <v>3082.0149999999994</v>
          </cell>
          <cell r="AE273">
            <v>3082.0149999999994</v>
          </cell>
          <cell r="AF273">
            <v>3082.0149999999994</v>
          </cell>
          <cell r="AG273">
            <v>3082.0149999999994</v>
          </cell>
          <cell r="AH273">
            <v>3082.0149999999994</v>
          </cell>
          <cell r="AI273">
            <v>3082.0149999999994</v>
          </cell>
          <cell r="AJ273">
            <v>3082.0149999999994</v>
          </cell>
          <cell r="AK273">
            <v>3082.0149999999994</v>
          </cell>
          <cell r="AL273">
            <v>36984.179999999993</v>
          </cell>
        </row>
        <row r="274">
          <cell r="C274">
            <v>130</v>
          </cell>
          <cell r="D274" t="str">
            <v>Parts</v>
          </cell>
          <cell r="E274">
            <v>3</v>
          </cell>
          <cell r="Z274">
            <v>10437.080833333335</v>
          </cell>
          <cell r="AA274">
            <v>10437.080833333335</v>
          </cell>
          <cell r="AB274">
            <v>10437.080833333335</v>
          </cell>
          <cell r="AC274">
            <v>10437.080833333335</v>
          </cell>
          <cell r="AD274">
            <v>10437.080833333335</v>
          </cell>
          <cell r="AE274">
            <v>10437.080833333335</v>
          </cell>
          <cell r="AF274">
            <v>10437.080833333335</v>
          </cell>
          <cell r="AG274">
            <v>10437.080833333335</v>
          </cell>
          <cell r="AH274">
            <v>10437.080833333335</v>
          </cell>
          <cell r="AI274">
            <v>10437.080833333335</v>
          </cell>
          <cell r="AJ274">
            <v>10437.080833333335</v>
          </cell>
          <cell r="AK274">
            <v>10437.080833333335</v>
          </cell>
          <cell r="AL274">
            <v>125244.97000000004</v>
          </cell>
        </row>
        <row r="275">
          <cell r="C275">
            <v>220</v>
          </cell>
          <cell r="D275" t="str">
            <v>Used Vehicle</v>
          </cell>
          <cell r="E275">
            <v>2</v>
          </cell>
          <cell r="Z275">
            <v>0</v>
          </cell>
          <cell r="AA275">
            <v>0</v>
          </cell>
          <cell r="AB275">
            <v>0</v>
          </cell>
          <cell r="AC275">
            <v>0</v>
          </cell>
          <cell r="AD275">
            <v>0</v>
          </cell>
          <cell r="AE275">
            <v>0</v>
          </cell>
          <cell r="AF275">
            <v>0</v>
          </cell>
          <cell r="AG275">
            <v>0</v>
          </cell>
          <cell r="AH275">
            <v>0</v>
          </cell>
          <cell r="AI275">
            <v>0</v>
          </cell>
          <cell r="AJ275">
            <v>0</v>
          </cell>
          <cell r="AK275">
            <v>0</v>
          </cell>
          <cell r="AL275">
            <v>0</v>
          </cell>
        </row>
        <row r="276">
          <cell r="C276">
            <v>230</v>
          </cell>
          <cell r="D276" t="str">
            <v>Parts</v>
          </cell>
          <cell r="E276">
            <v>3</v>
          </cell>
          <cell r="Z276">
            <v>4720.0325000000003</v>
          </cell>
          <cell r="AA276">
            <v>4720.0325000000003</v>
          </cell>
          <cell r="AB276">
            <v>4720.0325000000003</v>
          </cell>
          <cell r="AC276">
            <v>4720.0325000000003</v>
          </cell>
          <cell r="AD276">
            <v>4720.0325000000003</v>
          </cell>
          <cell r="AE276">
            <v>4720.0325000000003</v>
          </cell>
          <cell r="AF276">
            <v>4720.0325000000003</v>
          </cell>
          <cell r="AG276">
            <v>4720.0325000000003</v>
          </cell>
          <cell r="AH276">
            <v>4720.0325000000003</v>
          </cell>
          <cell r="AI276">
            <v>4720.0325000000003</v>
          </cell>
          <cell r="AJ276">
            <v>4720.0325000000003</v>
          </cell>
          <cell r="AK276">
            <v>4720.0325000000003</v>
          </cell>
          <cell r="AL276">
            <v>56640.390000000007</v>
          </cell>
        </row>
        <row r="277">
          <cell r="C277">
            <v>330</v>
          </cell>
          <cell r="D277" t="str">
            <v>Parts</v>
          </cell>
          <cell r="E277">
            <v>3</v>
          </cell>
          <cell r="Z277">
            <v>1269</v>
          </cell>
          <cell r="AA277">
            <v>1269</v>
          </cell>
          <cell r="AB277">
            <v>1269</v>
          </cell>
          <cell r="AC277">
            <v>1269</v>
          </cell>
          <cell r="AD277">
            <v>1269</v>
          </cell>
          <cell r="AE277">
            <v>1269</v>
          </cell>
          <cell r="AF277">
            <v>1269</v>
          </cell>
          <cell r="AG277">
            <v>1269</v>
          </cell>
          <cell r="AH277">
            <v>1269</v>
          </cell>
          <cell r="AI277">
            <v>1269</v>
          </cell>
          <cell r="AJ277">
            <v>1269</v>
          </cell>
          <cell r="AK277">
            <v>1269</v>
          </cell>
          <cell r="AL277">
            <v>15228</v>
          </cell>
        </row>
        <row r="278">
          <cell r="C278">
            <v>430</v>
          </cell>
          <cell r="D278" t="str">
            <v>Parts</v>
          </cell>
          <cell r="E278">
            <v>3</v>
          </cell>
          <cell r="Z278">
            <v>955.36666666666679</v>
          </cell>
          <cell r="AA278">
            <v>955.36666666666679</v>
          </cell>
          <cell r="AB278">
            <v>955.36666666666679</v>
          </cell>
          <cell r="AC278">
            <v>955.36666666666679</v>
          </cell>
          <cell r="AD278">
            <v>955.36666666666679</v>
          </cell>
          <cell r="AE278">
            <v>955.36666666666679</v>
          </cell>
          <cell r="AF278">
            <v>955.36666666666679</v>
          </cell>
          <cell r="AG278">
            <v>955.36666666666679</v>
          </cell>
          <cell r="AH278">
            <v>955.36666666666679</v>
          </cell>
          <cell r="AI278">
            <v>955.36666666666679</v>
          </cell>
          <cell r="AJ278">
            <v>955.36666666666679</v>
          </cell>
          <cell r="AK278">
            <v>955.36666666666679</v>
          </cell>
          <cell r="AL278">
            <v>11464.400000000001</v>
          </cell>
        </row>
        <row r="279">
          <cell r="C279">
            <v>110</v>
          </cell>
          <cell r="D279" t="str">
            <v>New Vehicle</v>
          </cell>
          <cell r="E279">
            <v>2</v>
          </cell>
          <cell r="Z279">
            <v>7428.3012151255234</v>
          </cell>
          <cell r="AA279">
            <v>7428.3012151255234</v>
          </cell>
          <cell r="AB279">
            <v>7428.3012151255234</v>
          </cell>
          <cell r="AC279">
            <v>7428.3012151255234</v>
          </cell>
          <cell r="AD279">
            <v>7428.3012151255234</v>
          </cell>
          <cell r="AE279">
            <v>7428.3012151255234</v>
          </cell>
          <cell r="AF279">
            <v>7428.3012151255234</v>
          </cell>
          <cell r="AG279">
            <v>7428.3012151255234</v>
          </cell>
          <cell r="AH279">
            <v>7428.3012151255234</v>
          </cell>
          <cell r="AI279">
            <v>7428.3012151255234</v>
          </cell>
          <cell r="AJ279">
            <v>7428.3012151255234</v>
          </cell>
          <cell r="AK279">
            <v>7428.3012151255234</v>
          </cell>
          <cell r="AL279">
            <v>89139.614581506277</v>
          </cell>
        </row>
        <row r="280">
          <cell r="C280">
            <v>112</v>
          </cell>
          <cell r="D280" t="str">
            <v>LEX New Vehicle</v>
          </cell>
          <cell r="E280">
            <v>2</v>
          </cell>
          <cell r="Z280">
            <v>23635.503866308485</v>
          </cell>
          <cell r="AA280">
            <v>23635.503866308485</v>
          </cell>
          <cell r="AB280">
            <v>23635.503866308485</v>
          </cell>
          <cell r="AC280">
            <v>23635.503866308485</v>
          </cell>
          <cell r="AD280">
            <v>23635.503866308485</v>
          </cell>
          <cell r="AE280">
            <v>23635.503866308485</v>
          </cell>
          <cell r="AF280">
            <v>23635.503866308485</v>
          </cell>
          <cell r="AG280">
            <v>23635.503866308485</v>
          </cell>
          <cell r="AH280">
            <v>23635.503866308485</v>
          </cell>
          <cell r="AI280">
            <v>23635.503866308485</v>
          </cell>
          <cell r="AJ280">
            <v>23635.503866308485</v>
          </cell>
          <cell r="AK280">
            <v>23635.503866308485</v>
          </cell>
          <cell r="AL280">
            <v>283626.04639570182</v>
          </cell>
        </row>
        <row r="281">
          <cell r="C281">
            <v>120</v>
          </cell>
          <cell r="D281" t="str">
            <v>Used Vehicle</v>
          </cell>
          <cell r="E281">
            <v>2</v>
          </cell>
          <cell r="Z281">
            <v>13506.002209319136</v>
          </cell>
          <cell r="AA281">
            <v>13506.002209319136</v>
          </cell>
          <cell r="AB281">
            <v>13506.002209319136</v>
          </cell>
          <cell r="AC281">
            <v>13506.002209319136</v>
          </cell>
          <cell r="AD281">
            <v>13506.002209319136</v>
          </cell>
          <cell r="AE281">
            <v>13506.002209319136</v>
          </cell>
          <cell r="AF281">
            <v>13506.002209319136</v>
          </cell>
          <cell r="AG281">
            <v>13506.002209319136</v>
          </cell>
          <cell r="AH281">
            <v>13506.002209319136</v>
          </cell>
          <cell r="AI281">
            <v>13506.002209319136</v>
          </cell>
          <cell r="AJ281">
            <v>13506.002209319136</v>
          </cell>
          <cell r="AK281">
            <v>13506.002209319136</v>
          </cell>
          <cell r="AL281">
            <v>162072.02651182964</v>
          </cell>
        </row>
        <row r="282">
          <cell r="C282">
            <v>121</v>
          </cell>
          <cell r="D282" t="str">
            <v>Used Vehicle</v>
          </cell>
          <cell r="E282">
            <v>2</v>
          </cell>
          <cell r="Z282">
            <v>0</v>
          </cell>
          <cell r="AA282">
            <v>0</v>
          </cell>
          <cell r="AB282">
            <v>0</v>
          </cell>
          <cell r="AC282">
            <v>0</v>
          </cell>
          <cell r="AD282">
            <v>0</v>
          </cell>
          <cell r="AE282">
            <v>0</v>
          </cell>
          <cell r="AF282">
            <v>0</v>
          </cell>
          <cell r="AG282">
            <v>0</v>
          </cell>
          <cell r="AH282">
            <v>0</v>
          </cell>
          <cell r="AI282">
            <v>0</v>
          </cell>
          <cell r="AJ282">
            <v>0</v>
          </cell>
          <cell r="AK282">
            <v>0</v>
          </cell>
          <cell r="AL282">
            <v>0</v>
          </cell>
        </row>
        <row r="283">
          <cell r="C283">
            <v>122</v>
          </cell>
          <cell r="D283" t="str">
            <v>LEX Used Vehicle</v>
          </cell>
          <cell r="E283">
            <v>2</v>
          </cell>
          <cell r="Z283">
            <v>10129.501656989349</v>
          </cell>
          <cell r="AA283">
            <v>10129.501656989349</v>
          </cell>
          <cell r="AB283">
            <v>10129.501656989349</v>
          </cell>
          <cell r="AC283">
            <v>10129.501656989349</v>
          </cell>
          <cell r="AD283">
            <v>10129.501656989349</v>
          </cell>
          <cell r="AE283">
            <v>10129.501656989349</v>
          </cell>
          <cell r="AF283">
            <v>10129.501656989349</v>
          </cell>
          <cell r="AG283">
            <v>10129.501656989349</v>
          </cell>
          <cell r="AH283">
            <v>10129.501656989349</v>
          </cell>
          <cell r="AI283">
            <v>10129.501656989349</v>
          </cell>
          <cell r="AJ283">
            <v>10129.501656989349</v>
          </cell>
          <cell r="AK283">
            <v>10129.501656989349</v>
          </cell>
          <cell r="AL283">
            <v>121554.01988387218</v>
          </cell>
        </row>
        <row r="284">
          <cell r="C284">
            <v>210</v>
          </cell>
          <cell r="D284" t="str">
            <v>New Vehicle</v>
          </cell>
          <cell r="E284">
            <v>2</v>
          </cell>
          <cell r="Z284">
            <v>6077.7009941936103</v>
          </cell>
          <cell r="AA284">
            <v>6077.7009941936103</v>
          </cell>
          <cell r="AB284">
            <v>6077.7009941936103</v>
          </cell>
          <cell r="AC284">
            <v>6077.7009941936103</v>
          </cell>
          <cell r="AD284">
            <v>6077.7009941936103</v>
          </cell>
          <cell r="AE284">
            <v>6077.7009941936103</v>
          </cell>
          <cell r="AF284">
            <v>6077.7009941936103</v>
          </cell>
          <cell r="AG284">
            <v>6077.7009941936103</v>
          </cell>
          <cell r="AH284">
            <v>6077.7009941936103</v>
          </cell>
          <cell r="AI284">
            <v>6077.7009941936103</v>
          </cell>
          <cell r="AJ284">
            <v>6077.7009941936103</v>
          </cell>
          <cell r="AK284">
            <v>6077.7009941936103</v>
          </cell>
          <cell r="AL284">
            <v>72932.411930323331</v>
          </cell>
        </row>
        <row r="285">
          <cell r="C285">
            <v>220</v>
          </cell>
          <cell r="D285" t="str">
            <v>Used Vehicle</v>
          </cell>
          <cell r="E285">
            <v>2</v>
          </cell>
          <cell r="Z285">
            <v>6753.0011046595682</v>
          </cell>
          <cell r="AA285">
            <v>6753.0011046595682</v>
          </cell>
          <cell r="AB285">
            <v>6753.0011046595682</v>
          </cell>
          <cell r="AC285">
            <v>6753.0011046595682</v>
          </cell>
          <cell r="AD285">
            <v>6753.0011046595682</v>
          </cell>
          <cell r="AE285">
            <v>6753.0011046595682</v>
          </cell>
          <cell r="AF285">
            <v>6753.0011046595682</v>
          </cell>
          <cell r="AG285">
            <v>6753.0011046595682</v>
          </cell>
          <cell r="AH285">
            <v>6753.0011046595682</v>
          </cell>
          <cell r="AI285">
            <v>6753.0011046595682</v>
          </cell>
          <cell r="AJ285">
            <v>6753.0011046595682</v>
          </cell>
          <cell r="AK285">
            <v>6753.0011046595682</v>
          </cell>
          <cell r="AL285">
            <v>81036.013255914819</v>
          </cell>
        </row>
        <row r="286">
          <cell r="C286">
            <v>140</v>
          </cell>
          <cell r="D286" t="str">
            <v>Service</v>
          </cell>
          <cell r="E286">
            <v>3</v>
          </cell>
          <cell r="Z286">
            <v>0</v>
          </cell>
          <cell r="AA286">
            <v>0</v>
          </cell>
          <cell r="AB286">
            <v>0</v>
          </cell>
          <cell r="AC286">
            <v>0</v>
          </cell>
          <cell r="AD286">
            <v>0</v>
          </cell>
          <cell r="AE286">
            <v>0</v>
          </cell>
          <cell r="AF286">
            <v>0</v>
          </cell>
          <cell r="AG286">
            <v>0</v>
          </cell>
          <cell r="AH286">
            <v>0</v>
          </cell>
          <cell r="AI286">
            <v>0</v>
          </cell>
          <cell r="AJ286">
            <v>0</v>
          </cell>
          <cell r="AK286">
            <v>0</v>
          </cell>
          <cell r="AL286">
            <v>0</v>
          </cell>
        </row>
        <row r="287">
          <cell r="C287">
            <v>340</v>
          </cell>
          <cell r="D287" t="str">
            <v>Service</v>
          </cell>
          <cell r="E287">
            <v>3</v>
          </cell>
          <cell r="Z287">
            <v>0</v>
          </cell>
          <cell r="AA287">
            <v>0</v>
          </cell>
          <cell r="AB287">
            <v>0</v>
          </cell>
          <cell r="AC287">
            <v>0</v>
          </cell>
          <cell r="AD287">
            <v>0</v>
          </cell>
          <cell r="AE287">
            <v>0</v>
          </cell>
          <cell r="AF287">
            <v>0</v>
          </cell>
          <cell r="AG287">
            <v>0</v>
          </cell>
          <cell r="AH287">
            <v>0</v>
          </cell>
          <cell r="AI287">
            <v>0</v>
          </cell>
          <cell r="AJ287">
            <v>0</v>
          </cell>
          <cell r="AK287">
            <v>0</v>
          </cell>
          <cell r="AL287">
            <v>0</v>
          </cell>
        </row>
        <row r="288">
          <cell r="C288">
            <v>110</v>
          </cell>
          <cell r="D288" t="str">
            <v>Used Vehicle</v>
          </cell>
          <cell r="E288">
            <v>2</v>
          </cell>
          <cell r="Z288">
            <v>0</v>
          </cell>
          <cell r="AA288">
            <v>0</v>
          </cell>
          <cell r="AB288">
            <v>0</v>
          </cell>
          <cell r="AC288">
            <v>0</v>
          </cell>
          <cell r="AD288">
            <v>0</v>
          </cell>
          <cell r="AE288">
            <v>0</v>
          </cell>
          <cell r="AF288">
            <v>0</v>
          </cell>
          <cell r="AG288">
            <v>0</v>
          </cell>
          <cell r="AH288">
            <v>0</v>
          </cell>
          <cell r="AI288">
            <v>0</v>
          </cell>
          <cell r="AJ288">
            <v>0</v>
          </cell>
          <cell r="AK288">
            <v>0</v>
          </cell>
          <cell r="AL288">
            <v>0</v>
          </cell>
        </row>
        <row r="289">
          <cell r="C289">
            <v>112</v>
          </cell>
          <cell r="D289" t="str">
            <v>LEX New Vehicle</v>
          </cell>
          <cell r="E289">
            <v>2</v>
          </cell>
          <cell r="Z289">
            <v>0</v>
          </cell>
          <cell r="AA289">
            <v>0</v>
          </cell>
          <cell r="AB289">
            <v>0</v>
          </cell>
          <cell r="AC289">
            <v>0</v>
          </cell>
          <cell r="AD289">
            <v>0</v>
          </cell>
          <cell r="AE289">
            <v>0</v>
          </cell>
          <cell r="AF289">
            <v>0</v>
          </cell>
          <cell r="AG289">
            <v>0</v>
          </cell>
          <cell r="AH289">
            <v>0</v>
          </cell>
          <cell r="AI289">
            <v>0</v>
          </cell>
          <cell r="AJ289">
            <v>0</v>
          </cell>
          <cell r="AK289">
            <v>0</v>
          </cell>
          <cell r="AL289">
            <v>0</v>
          </cell>
        </row>
        <row r="290">
          <cell r="C290">
            <v>120</v>
          </cell>
          <cell r="D290" t="str">
            <v>Used Vehicle</v>
          </cell>
          <cell r="E290">
            <v>2</v>
          </cell>
          <cell r="Z290">
            <v>0</v>
          </cell>
          <cell r="AA290">
            <v>0</v>
          </cell>
          <cell r="AB290">
            <v>0</v>
          </cell>
          <cell r="AC290">
            <v>0</v>
          </cell>
          <cell r="AD290">
            <v>0</v>
          </cell>
          <cell r="AE290">
            <v>0</v>
          </cell>
          <cell r="AF290">
            <v>0</v>
          </cell>
          <cell r="AG290">
            <v>0</v>
          </cell>
          <cell r="AH290">
            <v>0</v>
          </cell>
          <cell r="AI290">
            <v>0</v>
          </cell>
          <cell r="AJ290">
            <v>0</v>
          </cell>
          <cell r="AK290">
            <v>0</v>
          </cell>
          <cell r="AL290">
            <v>0</v>
          </cell>
        </row>
        <row r="291">
          <cell r="C291">
            <v>130</v>
          </cell>
          <cell r="D291" t="str">
            <v>Parts</v>
          </cell>
          <cell r="E291">
            <v>3</v>
          </cell>
          <cell r="Z291">
            <v>0</v>
          </cell>
          <cell r="AA291">
            <v>0</v>
          </cell>
          <cell r="AB291">
            <v>0</v>
          </cell>
          <cell r="AC291">
            <v>0</v>
          </cell>
          <cell r="AD291">
            <v>0</v>
          </cell>
          <cell r="AE291">
            <v>0</v>
          </cell>
          <cell r="AF291">
            <v>0</v>
          </cell>
          <cell r="AG291">
            <v>0</v>
          </cell>
          <cell r="AH291">
            <v>0</v>
          </cell>
          <cell r="AI291">
            <v>0</v>
          </cell>
          <cell r="AJ291">
            <v>0</v>
          </cell>
          <cell r="AK291">
            <v>0</v>
          </cell>
          <cell r="AL291">
            <v>0</v>
          </cell>
        </row>
        <row r="292">
          <cell r="C292">
            <v>140</v>
          </cell>
          <cell r="D292" t="str">
            <v>Service</v>
          </cell>
          <cell r="E292">
            <v>3</v>
          </cell>
          <cell r="Z292">
            <v>0</v>
          </cell>
          <cell r="AA292">
            <v>0</v>
          </cell>
          <cell r="AB292">
            <v>0</v>
          </cell>
          <cell r="AC292">
            <v>0</v>
          </cell>
          <cell r="AD292">
            <v>0</v>
          </cell>
          <cell r="AE292">
            <v>0</v>
          </cell>
          <cell r="AF292">
            <v>0</v>
          </cell>
          <cell r="AG292">
            <v>0</v>
          </cell>
          <cell r="AH292">
            <v>0</v>
          </cell>
          <cell r="AI292">
            <v>0</v>
          </cell>
          <cell r="AJ292">
            <v>0</v>
          </cell>
          <cell r="AK292">
            <v>0</v>
          </cell>
          <cell r="AL292">
            <v>0</v>
          </cell>
        </row>
        <row r="293">
          <cell r="C293">
            <v>160</v>
          </cell>
          <cell r="D293" t="str">
            <v>F&amp;I</v>
          </cell>
          <cell r="E293">
            <v>3</v>
          </cell>
          <cell r="Z293">
            <v>0</v>
          </cell>
          <cell r="AA293">
            <v>0</v>
          </cell>
          <cell r="AB293">
            <v>0</v>
          </cell>
          <cell r="AC293">
            <v>0</v>
          </cell>
          <cell r="AD293">
            <v>0</v>
          </cell>
          <cell r="AE293">
            <v>0</v>
          </cell>
          <cell r="AF293">
            <v>0</v>
          </cell>
          <cell r="AG293">
            <v>0</v>
          </cell>
          <cell r="AH293">
            <v>0</v>
          </cell>
          <cell r="AI293">
            <v>0</v>
          </cell>
          <cell r="AJ293">
            <v>0</v>
          </cell>
          <cell r="AK293">
            <v>0</v>
          </cell>
          <cell r="AL293">
            <v>0</v>
          </cell>
        </row>
        <row r="294">
          <cell r="C294">
            <v>210</v>
          </cell>
          <cell r="D294" t="str">
            <v>Used Vehicle</v>
          </cell>
          <cell r="E294">
            <v>2</v>
          </cell>
          <cell r="Z294">
            <v>0</v>
          </cell>
          <cell r="AA294">
            <v>0</v>
          </cell>
          <cell r="AB294">
            <v>0</v>
          </cell>
          <cell r="AC294">
            <v>0</v>
          </cell>
          <cell r="AD294">
            <v>0</v>
          </cell>
          <cell r="AE294">
            <v>0</v>
          </cell>
          <cell r="AF294">
            <v>0</v>
          </cell>
          <cell r="AG294">
            <v>0</v>
          </cell>
          <cell r="AH294">
            <v>0</v>
          </cell>
          <cell r="AI294">
            <v>0</v>
          </cell>
          <cell r="AJ294">
            <v>0</v>
          </cell>
          <cell r="AK294">
            <v>0</v>
          </cell>
          <cell r="AL294">
            <v>0</v>
          </cell>
        </row>
        <row r="295">
          <cell r="C295">
            <v>220</v>
          </cell>
          <cell r="D295" t="str">
            <v>Used Vehicle</v>
          </cell>
          <cell r="E295">
            <v>2</v>
          </cell>
          <cell r="Z295">
            <v>0</v>
          </cell>
          <cell r="AA295">
            <v>0</v>
          </cell>
          <cell r="AB295">
            <v>0</v>
          </cell>
          <cell r="AC295">
            <v>0</v>
          </cell>
          <cell r="AD295">
            <v>0</v>
          </cell>
          <cell r="AE295">
            <v>0</v>
          </cell>
          <cell r="AF295">
            <v>0</v>
          </cell>
          <cell r="AG295">
            <v>0</v>
          </cell>
          <cell r="AH295">
            <v>0</v>
          </cell>
          <cell r="AI295">
            <v>0</v>
          </cell>
          <cell r="AJ295">
            <v>0</v>
          </cell>
          <cell r="AK295">
            <v>0</v>
          </cell>
          <cell r="AL295">
            <v>0</v>
          </cell>
        </row>
        <row r="296">
          <cell r="C296">
            <v>230</v>
          </cell>
          <cell r="D296" t="str">
            <v>Parts</v>
          </cell>
          <cell r="E296">
            <v>3</v>
          </cell>
          <cell r="Z296">
            <v>0</v>
          </cell>
          <cell r="AA296">
            <v>0</v>
          </cell>
          <cell r="AB296">
            <v>0</v>
          </cell>
          <cell r="AC296">
            <v>0</v>
          </cell>
          <cell r="AD296">
            <v>0</v>
          </cell>
          <cell r="AE296">
            <v>0</v>
          </cell>
          <cell r="AF296">
            <v>0</v>
          </cell>
          <cell r="AG296">
            <v>0</v>
          </cell>
          <cell r="AH296">
            <v>0</v>
          </cell>
          <cell r="AI296">
            <v>0</v>
          </cell>
          <cell r="AJ296">
            <v>0</v>
          </cell>
          <cell r="AK296">
            <v>0</v>
          </cell>
          <cell r="AL296">
            <v>0</v>
          </cell>
        </row>
        <row r="297">
          <cell r="C297">
            <v>240</v>
          </cell>
          <cell r="D297" t="str">
            <v>Service</v>
          </cell>
          <cell r="E297">
            <v>3</v>
          </cell>
          <cell r="Z297">
            <v>0</v>
          </cell>
          <cell r="AA297">
            <v>0</v>
          </cell>
          <cell r="AB297">
            <v>0</v>
          </cell>
          <cell r="AC297">
            <v>0</v>
          </cell>
          <cell r="AD297">
            <v>0</v>
          </cell>
          <cell r="AE297">
            <v>0</v>
          </cell>
          <cell r="AF297">
            <v>0</v>
          </cell>
          <cell r="AG297">
            <v>0</v>
          </cell>
          <cell r="AH297">
            <v>0</v>
          </cell>
          <cell r="AI297">
            <v>0</v>
          </cell>
          <cell r="AJ297">
            <v>0</v>
          </cell>
          <cell r="AK297">
            <v>0</v>
          </cell>
          <cell r="AL297">
            <v>0</v>
          </cell>
        </row>
        <row r="298">
          <cell r="C298">
            <v>330</v>
          </cell>
          <cell r="D298" t="str">
            <v>Parts</v>
          </cell>
          <cell r="E298">
            <v>3</v>
          </cell>
          <cell r="Z298">
            <v>0</v>
          </cell>
          <cell r="AA298">
            <v>0</v>
          </cell>
          <cell r="AB298">
            <v>0</v>
          </cell>
          <cell r="AC298">
            <v>0</v>
          </cell>
          <cell r="AD298">
            <v>0</v>
          </cell>
          <cell r="AE298">
            <v>0</v>
          </cell>
          <cell r="AF298">
            <v>0</v>
          </cell>
          <cell r="AG298">
            <v>0</v>
          </cell>
          <cell r="AH298">
            <v>0</v>
          </cell>
          <cell r="AI298">
            <v>0</v>
          </cell>
          <cell r="AJ298">
            <v>0</v>
          </cell>
          <cell r="AK298">
            <v>0</v>
          </cell>
          <cell r="AL298">
            <v>0</v>
          </cell>
        </row>
        <row r="299">
          <cell r="C299">
            <v>340</v>
          </cell>
          <cell r="D299" t="str">
            <v>Service</v>
          </cell>
          <cell r="E299">
            <v>3</v>
          </cell>
          <cell r="Z299">
            <v>0</v>
          </cell>
          <cell r="AA299">
            <v>0</v>
          </cell>
          <cell r="AB299">
            <v>0</v>
          </cell>
          <cell r="AC299">
            <v>0</v>
          </cell>
          <cell r="AD299">
            <v>0</v>
          </cell>
          <cell r="AE299">
            <v>0</v>
          </cell>
          <cell r="AF299">
            <v>0</v>
          </cell>
          <cell r="AG299">
            <v>0</v>
          </cell>
          <cell r="AH299">
            <v>0</v>
          </cell>
          <cell r="AI299">
            <v>0</v>
          </cell>
          <cell r="AJ299">
            <v>0</v>
          </cell>
          <cell r="AK299">
            <v>0</v>
          </cell>
          <cell r="AL299">
            <v>0</v>
          </cell>
        </row>
        <row r="300">
          <cell r="C300">
            <v>430</v>
          </cell>
          <cell r="D300" t="str">
            <v>Parts</v>
          </cell>
          <cell r="E300">
            <v>3</v>
          </cell>
          <cell r="Z300">
            <v>0</v>
          </cell>
          <cell r="AA300">
            <v>0</v>
          </cell>
          <cell r="AB300">
            <v>0</v>
          </cell>
          <cell r="AC300">
            <v>0</v>
          </cell>
          <cell r="AD300">
            <v>0</v>
          </cell>
          <cell r="AE300">
            <v>0</v>
          </cell>
          <cell r="AF300">
            <v>0</v>
          </cell>
          <cell r="AG300">
            <v>0</v>
          </cell>
          <cell r="AH300">
            <v>0</v>
          </cell>
          <cell r="AI300">
            <v>0</v>
          </cell>
          <cell r="AJ300">
            <v>0</v>
          </cell>
          <cell r="AK300">
            <v>0</v>
          </cell>
          <cell r="AL300">
            <v>0</v>
          </cell>
        </row>
        <row r="301">
          <cell r="C301">
            <v>935</v>
          </cell>
          <cell r="D301" t="str">
            <v>Bridgestone</v>
          </cell>
          <cell r="E301">
            <v>3</v>
          </cell>
          <cell r="Z301">
            <v>0</v>
          </cell>
          <cell r="AA301">
            <v>0</v>
          </cell>
          <cell r="AB301">
            <v>0</v>
          </cell>
          <cell r="AC301">
            <v>0</v>
          </cell>
          <cell r="AD301">
            <v>0</v>
          </cell>
          <cell r="AE301">
            <v>0</v>
          </cell>
          <cell r="AF301">
            <v>0</v>
          </cell>
          <cell r="AG301">
            <v>0</v>
          </cell>
          <cell r="AH301">
            <v>0</v>
          </cell>
          <cell r="AI301">
            <v>0</v>
          </cell>
          <cell r="AJ301">
            <v>0</v>
          </cell>
          <cell r="AK301">
            <v>0</v>
          </cell>
          <cell r="AL301">
            <v>0</v>
          </cell>
        </row>
        <row r="302">
          <cell r="C302">
            <v>936</v>
          </cell>
          <cell r="D302" t="str">
            <v>Bridgestone</v>
          </cell>
          <cell r="E302">
            <v>3</v>
          </cell>
          <cell r="Z302">
            <v>0</v>
          </cell>
          <cell r="AA302">
            <v>0</v>
          </cell>
          <cell r="AB302">
            <v>0</v>
          </cell>
          <cell r="AC302">
            <v>0</v>
          </cell>
          <cell r="AD302">
            <v>0</v>
          </cell>
          <cell r="AE302">
            <v>0</v>
          </cell>
          <cell r="AF302">
            <v>0</v>
          </cell>
          <cell r="AG302">
            <v>0</v>
          </cell>
          <cell r="AH302">
            <v>0</v>
          </cell>
          <cell r="AI302">
            <v>0</v>
          </cell>
          <cell r="AJ302">
            <v>0</v>
          </cell>
          <cell r="AK302">
            <v>0</v>
          </cell>
          <cell r="AL302">
            <v>0</v>
          </cell>
        </row>
        <row r="303">
          <cell r="C303">
            <v>110</v>
          </cell>
          <cell r="D303" t="str">
            <v>New Vehicle</v>
          </cell>
          <cell r="E303">
            <v>2</v>
          </cell>
          <cell r="Z303">
            <v>9684</v>
          </cell>
          <cell r="AA303">
            <v>9684</v>
          </cell>
          <cell r="AB303">
            <v>9684</v>
          </cell>
          <cell r="AC303">
            <v>9684</v>
          </cell>
          <cell r="AD303">
            <v>9684</v>
          </cell>
          <cell r="AE303">
            <v>9684</v>
          </cell>
          <cell r="AF303">
            <v>9684</v>
          </cell>
          <cell r="AG303">
            <v>9684</v>
          </cell>
          <cell r="AH303">
            <v>9684</v>
          </cell>
          <cell r="AI303">
            <v>9684</v>
          </cell>
          <cell r="AJ303">
            <v>9684</v>
          </cell>
          <cell r="AK303">
            <v>9684</v>
          </cell>
          <cell r="AL303">
            <v>116208</v>
          </cell>
        </row>
        <row r="304">
          <cell r="C304">
            <v>112</v>
          </cell>
          <cell r="D304" t="str">
            <v>LEX New Vehicle</v>
          </cell>
          <cell r="E304">
            <v>2</v>
          </cell>
          <cell r="Z304">
            <v>4636</v>
          </cell>
          <cell r="AA304">
            <v>4636</v>
          </cell>
          <cell r="AB304">
            <v>4636</v>
          </cell>
          <cell r="AC304">
            <v>4636</v>
          </cell>
          <cell r="AD304">
            <v>4636</v>
          </cell>
          <cell r="AE304">
            <v>4636</v>
          </cell>
          <cell r="AF304">
            <v>4636</v>
          </cell>
          <cell r="AG304">
            <v>4636</v>
          </cell>
          <cell r="AH304">
            <v>4636</v>
          </cell>
          <cell r="AI304">
            <v>4636</v>
          </cell>
          <cell r="AJ304">
            <v>4636</v>
          </cell>
          <cell r="AK304">
            <v>4636</v>
          </cell>
          <cell r="AL304">
            <v>55632</v>
          </cell>
        </row>
        <row r="305">
          <cell r="C305">
            <v>120</v>
          </cell>
          <cell r="D305" t="str">
            <v>Used Vehicle</v>
          </cell>
          <cell r="E305">
            <v>2</v>
          </cell>
          <cell r="Z305">
            <v>11044</v>
          </cell>
          <cell r="AA305">
            <v>11044</v>
          </cell>
          <cell r="AB305">
            <v>11044</v>
          </cell>
          <cell r="AC305">
            <v>11044</v>
          </cell>
          <cell r="AD305">
            <v>11044</v>
          </cell>
          <cell r="AE305">
            <v>11044</v>
          </cell>
          <cell r="AF305">
            <v>11044</v>
          </cell>
          <cell r="AG305">
            <v>11044</v>
          </cell>
          <cell r="AH305">
            <v>11044</v>
          </cell>
          <cell r="AI305">
            <v>11044</v>
          </cell>
          <cell r="AJ305">
            <v>11044</v>
          </cell>
          <cell r="AK305">
            <v>11044</v>
          </cell>
          <cell r="AL305">
            <v>132528</v>
          </cell>
        </row>
        <row r="306">
          <cell r="C306">
            <v>121</v>
          </cell>
          <cell r="D306" t="str">
            <v>Used Vehicle</v>
          </cell>
          <cell r="E306">
            <v>2</v>
          </cell>
          <cell r="Z306">
            <v>0</v>
          </cell>
          <cell r="AA306">
            <v>0</v>
          </cell>
          <cell r="AB306">
            <v>0</v>
          </cell>
          <cell r="AC306">
            <v>0</v>
          </cell>
          <cell r="AD306">
            <v>0</v>
          </cell>
          <cell r="AE306">
            <v>0</v>
          </cell>
          <cell r="AF306">
            <v>0</v>
          </cell>
          <cell r="AG306">
            <v>0</v>
          </cell>
          <cell r="AH306">
            <v>0</v>
          </cell>
          <cell r="AI306">
            <v>0</v>
          </cell>
          <cell r="AJ306">
            <v>0</v>
          </cell>
          <cell r="AK306">
            <v>0</v>
          </cell>
          <cell r="AL306">
            <v>0</v>
          </cell>
        </row>
        <row r="307">
          <cell r="C307">
            <v>122</v>
          </cell>
          <cell r="D307" t="str">
            <v>LEX Used Vehicle</v>
          </cell>
          <cell r="E307">
            <v>2</v>
          </cell>
          <cell r="Z307">
            <v>0</v>
          </cell>
          <cell r="AA307">
            <v>0</v>
          </cell>
          <cell r="AB307">
            <v>0</v>
          </cell>
          <cell r="AC307">
            <v>0</v>
          </cell>
          <cell r="AD307">
            <v>0</v>
          </cell>
          <cell r="AE307">
            <v>0</v>
          </cell>
          <cell r="AF307">
            <v>0</v>
          </cell>
          <cell r="AG307">
            <v>0</v>
          </cell>
          <cell r="AH307">
            <v>0</v>
          </cell>
          <cell r="AI307">
            <v>0</v>
          </cell>
          <cell r="AJ307">
            <v>0</v>
          </cell>
          <cell r="AK307">
            <v>0</v>
          </cell>
          <cell r="AL307">
            <v>0</v>
          </cell>
        </row>
        <row r="308">
          <cell r="C308">
            <v>130</v>
          </cell>
          <cell r="D308" t="str">
            <v>Parts</v>
          </cell>
          <cell r="E308">
            <v>3</v>
          </cell>
          <cell r="Z308">
            <v>7906.5599999999986</v>
          </cell>
          <cell r="AA308">
            <v>7906.5599999999986</v>
          </cell>
          <cell r="AB308">
            <v>7906.5599999999986</v>
          </cell>
          <cell r="AC308">
            <v>7906.5599999999986</v>
          </cell>
          <cell r="AD308">
            <v>7906.5599999999986</v>
          </cell>
          <cell r="AE308">
            <v>7906.5599999999986</v>
          </cell>
          <cell r="AF308">
            <v>7906.5599999999986</v>
          </cell>
          <cell r="AG308">
            <v>7906.5599999999986</v>
          </cell>
          <cell r="AH308">
            <v>7906.5599999999986</v>
          </cell>
          <cell r="AI308">
            <v>7906.5599999999986</v>
          </cell>
          <cell r="AJ308">
            <v>7906.5599999999986</v>
          </cell>
          <cell r="AK308">
            <v>7906.5599999999986</v>
          </cell>
          <cell r="AL308">
            <v>94878.719999999987</v>
          </cell>
        </row>
        <row r="309">
          <cell r="C309">
            <v>132</v>
          </cell>
          <cell r="D309" t="str">
            <v>LEX Parts</v>
          </cell>
          <cell r="E309">
            <v>3</v>
          </cell>
          <cell r="Z309">
            <v>878.50666666666666</v>
          </cell>
          <cell r="AA309">
            <v>878.50666666666666</v>
          </cell>
          <cell r="AB309">
            <v>878.50666666666666</v>
          </cell>
          <cell r="AC309">
            <v>878.50666666666666</v>
          </cell>
          <cell r="AD309">
            <v>878.50666666666666</v>
          </cell>
          <cell r="AE309">
            <v>878.50666666666666</v>
          </cell>
          <cell r="AF309">
            <v>878.50666666666666</v>
          </cell>
          <cell r="AG309">
            <v>878.50666666666666</v>
          </cell>
          <cell r="AH309">
            <v>878.50666666666666</v>
          </cell>
          <cell r="AI309">
            <v>878.50666666666666</v>
          </cell>
          <cell r="AJ309">
            <v>878.50666666666666</v>
          </cell>
          <cell r="AK309">
            <v>878.50666666666666</v>
          </cell>
          <cell r="AL309">
            <v>10542.079999999996</v>
          </cell>
        </row>
        <row r="310">
          <cell r="C310">
            <v>140</v>
          </cell>
          <cell r="D310" t="str">
            <v>Service</v>
          </cell>
          <cell r="E310">
            <v>3</v>
          </cell>
          <cell r="Z310">
            <v>20137.600000000002</v>
          </cell>
          <cell r="AA310">
            <v>20137.600000000002</v>
          </cell>
          <cell r="AB310">
            <v>20137.600000000002</v>
          </cell>
          <cell r="AC310">
            <v>20137.600000000002</v>
          </cell>
          <cell r="AD310">
            <v>20137.600000000002</v>
          </cell>
          <cell r="AE310">
            <v>20137.600000000002</v>
          </cell>
          <cell r="AF310">
            <v>20137.600000000002</v>
          </cell>
          <cell r="AG310">
            <v>20137.600000000002</v>
          </cell>
          <cell r="AH310">
            <v>20137.600000000002</v>
          </cell>
          <cell r="AI310">
            <v>20137.600000000002</v>
          </cell>
          <cell r="AJ310">
            <v>20137.600000000002</v>
          </cell>
          <cell r="AK310">
            <v>20137.600000000002</v>
          </cell>
          <cell r="AL310">
            <v>241651.20000000004</v>
          </cell>
        </row>
        <row r="311">
          <cell r="C311">
            <v>142</v>
          </cell>
          <cell r="D311" t="str">
            <v>Lex Service</v>
          </cell>
          <cell r="E311">
            <v>3</v>
          </cell>
          <cell r="Z311">
            <v>3168</v>
          </cell>
          <cell r="AA311">
            <v>3168</v>
          </cell>
          <cell r="AB311">
            <v>3168</v>
          </cell>
          <cell r="AC311">
            <v>3168</v>
          </cell>
          <cell r="AD311">
            <v>3168</v>
          </cell>
          <cell r="AE311">
            <v>3168</v>
          </cell>
          <cell r="AF311">
            <v>3168</v>
          </cell>
          <cell r="AG311">
            <v>3168</v>
          </cell>
          <cell r="AH311">
            <v>3168</v>
          </cell>
          <cell r="AI311">
            <v>3168</v>
          </cell>
          <cell r="AJ311">
            <v>3168</v>
          </cell>
          <cell r="AK311">
            <v>3168</v>
          </cell>
          <cell r="AL311">
            <v>38016</v>
          </cell>
        </row>
        <row r="312">
          <cell r="C312">
            <v>147</v>
          </cell>
          <cell r="D312" t="str">
            <v>Service</v>
          </cell>
          <cell r="E312">
            <v>3</v>
          </cell>
          <cell r="Z312">
            <v>0</v>
          </cell>
          <cell r="AA312">
            <v>0</v>
          </cell>
          <cell r="AB312">
            <v>0</v>
          </cell>
          <cell r="AC312">
            <v>0</v>
          </cell>
          <cell r="AD312">
            <v>0</v>
          </cell>
          <cell r="AE312">
            <v>0</v>
          </cell>
          <cell r="AF312">
            <v>0</v>
          </cell>
          <cell r="AG312">
            <v>0</v>
          </cell>
          <cell r="AH312">
            <v>0</v>
          </cell>
          <cell r="AI312">
            <v>0</v>
          </cell>
          <cell r="AJ312">
            <v>0</v>
          </cell>
          <cell r="AK312">
            <v>0</v>
          </cell>
          <cell r="AL312">
            <v>0</v>
          </cell>
        </row>
        <row r="313">
          <cell r="C313">
            <v>150</v>
          </cell>
          <cell r="D313" t="str">
            <v>Retail Detailing</v>
          </cell>
          <cell r="E313">
            <v>3</v>
          </cell>
          <cell r="Z313">
            <v>7760</v>
          </cell>
          <cell r="AA313">
            <v>7760</v>
          </cell>
          <cell r="AB313">
            <v>7760</v>
          </cell>
          <cell r="AC313">
            <v>7760</v>
          </cell>
          <cell r="AD313">
            <v>7760</v>
          </cell>
          <cell r="AE313">
            <v>7760</v>
          </cell>
          <cell r="AF313">
            <v>7760</v>
          </cell>
          <cell r="AG313">
            <v>7760</v>
          </cell>
          <cell r="AH313">
            <v>7760</v>
          </cell>
          <cell r="AI313">
            <v>7760</v>
          </cell>
          <cell r="AJ313">
            <v>7760</v>
          </cell>
          <cell r="AK313">
            <v>7760</v>
          </cell>
          <cell r="AL313">
            <v>93120</v>
          </cell>
        </row>
        <row r="314">
          <cell r="C314">
            <v>160</v>
          </cell>
          <cell r="D314" t="str">
            <v>F&amp;I</v>
          </cell>
          <cell r="E314">
            <v>3</v>
          </cell>
          <cell r="Z314">
            <v>2620.8000000000002</v>
          </cell>
          <cell r="AA314">
            <v>2620.8000000000002</v>
          </cell>
          <cell r="AB314">
            <v>2620.8000000000002</v>
          </cell>
          <cell r="AC314">
            <v>2620.8000000000002</v>
          </cell>
          <cell r="AD314">
            <v>2620.8000000000002</v>
          </cell>
          <cell r="AE314">
            <v>2620.8000000000002</v>
          </cell>
          <cell r="AF314">
            <v>2620.8000000000002</v>
          </cell>
          <cell r="AG314">
            <v>2620.8000000000002</v>
          </cell>
          <cell r="AH314">
            <v>2620.8000000000002</v>
          </cell>
          <cell r="AI314">
            <v>2620.8000000000002</v>
          </cell>
          <cell r="AJ314">
            <v>2620.8000000000002</v>
          </cell>
          <cell r="AK314">
            <v>2620.8000000000002</v>
          </cell>
          <cell r="AL314">
            <v>31449.599999999995</v>
          </cell>
        </row>
        <row r="315">
          <cell r="C315">
            <v>162</v>
          </cell>
          <cell r="D315" t="str">
            <v>LEX F&amp;I</v>
          </cell>
          <cell r="E315">
            <v>3</v>
          </cell>
          <cell r="Z315">
            <v>655.20000000000005</v>
          </cell>
          <cell r="AA315">
            <v>655.20000000000005</v>
          </cell>
          <cell r="AB315">
            <v>655.20000000000005</v>
          </cell>
          <cell r="AC315">
            <v>655.20000000000005</v>
          </cell>
          <cell r="AD315">
            <v>655.20000000000005</v>
          </cell>
          <cell r="AE315">
            <v>655.20000000000005</v>
          </cell>
          <cell r="AF315">
            <v>655.20000000000005</v>
          </cell>
          <cell r="AG315">
            <v>655.20000000000005</v>
          </cell>
          <cell r="AH315">
            <v>655.20000000000005</v>
          </cell>
          <cell r="AI315">
            <v>655.20000000000005</v>
          </cell>
          <cell r="AJ315">
            <v>655.20000000000005</v>
          </cell>
          <cell r="AK315">
            <v>655.20000000000005</v>
          </cell>
          <cell r="AL315">
            <v>7862.3999999999987</v>
          </cell>
        </row>
        <row r="316">
          <cell r="C316">
            <v>210</v>
          </cell>
          <cell r="D316" t="str">
            <v>New Vehicle</v>
          </cell>
          <cell r="E316">
            <v>2</v>
          </cell>
          <cell r="Z316">
            <v>3920</v>
          </cell>
          <cell r="AA316">
            <v>3920</v>
          </cell>
          <cell r="AB316">
            <v>3920</v>
          </cell>
          <cell r="AC316">
            <v>3920</v>
          </cell>
          <cell r="AD316">
            <v>3920</v>
          </cell>
          <cell r="AE316">
            <v>3920</v>
          </cell>
          <cell r="AF316">
            <v>3920</v>
          </cell>
          <cell r="AG316">
            <v>3920</v>
          </cell>
          <cell r="AH316">
            <v>3920</v>
          </cell>
          <cell r="AI316">
            <v>3920</v>
          </cell>
          <cell r="AJ316">
            <v>3920</v>
          </cell>
          <cell r="AK316">
            <v>3920</v>
          </cell>
          <cell r="AL316">
            <v>47040</v>
          </cell>
        </row>
        <row r="317">
          <cell r="C317">
            <v>220</v>
          </cell>
          <cell r="D317" t="str">
            <v>Used Vehicle</v>
          </cell>
          <cell r="E317">
            <v>2</v>
          </cell>
          <cell r="Z317">
            <v>5040</v>
          </cell>
          <cell r="AA317">
            <v>5040</v>
          </cell>
          <cell r="AB317">
            <v>5040</v>
          </cell>
          <cell r="AC317">
            <v>5040</v>
          </cell>
          <cell r="AD317">
            <v>5040</v>
          </cell>
          <cell r="AE317">
            <v>5040</v>
          </cell>
          <cell r="AF317">
            <v>5040</v>
          </cell>
          <cell r="AG317">
            <v>5040</v>
          </cell>
          <cell r="AH317">
            <v>5040</v>
          </cell>
          <cell r="AI317">
            <v>5040</v>
          </cell>
          <cell r="AJ317">
            <v>5040</v>
          </cell>
          <cell r="AK317">
            <v>5040</v>
          </cell>
          <cell r="AL317">
            <v>60480</v>
          </cell>
        </row>
        <row r="318">
          <cell r="C318">
            <v>230</v>
          </cell>
          <cell r="D318" t="str">
            <v>Parts</v>
          </cell>
          <cell r="E318">
            <v>3</v>
          </cell>
          <cell r="Z318">
            <v>8000</v>
          </cell>
          <cell r="AA318">
            <v>8000</v>
          </cell>
          <cell r="AB318">
            <v>8000</v>
          </cell>
          <cell r="AC318">
            <v>8000</v>
          </cell>
          <cell r="AD318">
            <v>8000</v>
          </cell>
          <cell r="AE318">
            <v>8000</v>
          </cell>
          <cell r="AF318">
            <v>8000</v>
          </cell>
          <cell r="AG318">
            <v>8000</v>
          </cell>
          <cell r="AH318">
            <v>8000</v>
          </cell>
          <cell r="AI318">
            <v>8000</v>
          </cell>
          <cell r="AJ318">
            <v>8000</v>
          </cell>
          <cell r="AK318">
            <v>8000</v>
          </cell>
          <cell r="AL318">
            <v>96000</v>
          </cell>
        </row>
        <row r="319">
          <cell r="C319">
            <v>240</v>
          </cell>
          <cell r="D319" t="str">
            <v>Service</v>
          </cell>
          <cell r="E319">
            <v>3</v>
          </cell>
          <cell r="Z319">
            <v>11893.333333333334</v>
          </cell>
          <cell r="AA319">
            <v>11893.333333333334</v>
          </cell>
          <cell r="AB319">
            <v>11893.333333333334</v>
          </cell>
          <cell r="AC319">
            <v>11893.333333333334</v>
          </cell>
          <cell r="AD319">
            <v>11893.333333333334</v>
          </cell>
          <cell r="AE319">
            <v>11893.333333333334</v>
          </cell>
          <cell r="AF319">
            <v>11893.333333333334</v>
          </cell>
          <cell r="AG319">
            <v>11893.333333333334</v>
          </cell>
          <cell r="AH319">
            <v>11893.333333333334</v>
          </cell>
          <cell r="AI319">
            <v>11893.333333333334</v>
          </cell>
          <cell r="AJ319">
            <v>11893.333333333334</v>
          </cell>
          <cell r="AK319">
            <v>11893.333333333334</v>
          </cell>
          <cell r="AL319">
            <v>142719.99999999997</v>
          </cell>
        </row>
        <row r="320">
          <cell r="C320">
            <v>260</v>
          </cell>
          <cell r="D320" t="str">
            <v>F&amp;I</v>
          </cell>
          <cell r="E320">
            <v>3</v>
          </cell>
          <cell r="Z320">
            <v>2240</v>
          </cell>
          <cell r="AA320">
            <v>2240</v>
          </cell>
          <cell r="AB320">
            <v>2240</v>
          </cell>
          <cell r="AC320">
            <v>2240</v>
          </cell>
          <cell r="AD320">
            <v>2240</v>
          </cell>
          <cell r="AE320">
            <v>2240</v>
          </cell>
          <cell r="AF320">
            <v>2240</v>
          </cell>
          <cell r="AG320">
            <v>2240</v>
          </cell>
          <cell r="AH320">
            <v>2240</v>
          </cell>
          <cell r="AI320">
            <v>2240</v>
          </cell>
          <cell r="AJ320">
            <v>2240</v>
          </cell>
          <cell r="AK320">
            <v>2240</v>
          </cell>
          <cell r="AL320">
            <v>26880</v>
          </cell>
        </row>
        <row r="321">
          <cell r="C321">
            <v>330</v>
          </cell>
          <cell r="D321" t="str">
            <v>Parts</v>
          </cell>
          <cell r="E321">
            <v>3</v>
          </cell>
          <cell r="Z321">
            <v>2672.0000000000005</v>
          </cell>
          <cell r="AA321">
            <v>2672.0000000000005</v>
          </cell>
          <cell r="AB321">
            <v>2672.0000000000005</v>
          </cell>
          <cell r="AC321">
            <v>2672.0000000000005</v>
          </cell>
          <cell r="AD321">
            <v>2672.0000000000005</v>
          </cell>
          <cell r="AE321">
            <v>2672.0000000000005</v>
          </cell>
          <cell r="AF321">
            <v>2672.0000000000005</v>
          </cell>
          <cell r="AG321">
            <v>2672.0000000000005</v>
          </cell>
          <cell r="AH321">
            <v>2672.0000000000005</v>
          </cell>
          <cell r="AI321">
            <v>2672.0000000000005</v>
          </cell>
          <cell r="AJ321">
            <v>2672.0000000000005</v>
          </cell>
          <cell r="AK321">
            <v>2672.0000000000005</v>
          </cell>
          <cell r="AL321">
            <v>32064.000000000004</v>
          </cell>
        </row>
        <row r="322">
          <cell r="C322">
            <v>340</v>
          </cell>
          <cell r="D322" t="str">
            <v>Service</v>
          </cell>
          <cell r="E322">
            <v>3</v>
          </cell>
          <cell r="Z322">
            <v>5938.666666666667</v>
          </cell>
          <cell r="AA322">
            <v>5938.666666666667</v>
          </cell>
          <cell r="AB322">
            <v>5938.666666666667</v>
          </cell>
          <cell r="AC322">
            <v>5938.666666666667</v>
          </cell>
          <cell r="AD322">
            <v>5938.666666666667</v>
          </cell>
          <cell r="AE322">
            <v>5938.666666666667</v>
          </cell>
          <cell r="AF322">
            <v>5938.666666666667</v>
          </cell>
          <cell r="AG322">
            <v>5938.666666666667</v>
          </cell>
          <cell r="AH322">
            <v>5938.666666666667</v>
          </cell>
          <cell r="AI322">
            <v>5938.666666666667</v>
          </cell>
          <cell r="AJ322">
            <v>5938.666666666667</v>
          </cell>
          <cell r="AK322">
            <v>5938.666666666667</v>
          </cell>
          <cell r="AL322">
            <v>71263.999999999985</v>
          </cell>
        </row>
        <row r="323">
          <cell r="C323">
            <v>430</v>
          </cell>
          <cell r="D323" t="str">
            <v>Parts</v>
          </cell>
          <cell r="E323">
            <v>3</v>
          </cell>
          <cell r="Z323">
            <v>2356</v>
          </cell>
          <cell r="AA323">
            <v>2356</v>
          </cell>
          <cell r="AB323">
            <v>2356</v>
          </cell>
          <cell r="AC323">
            <v>2356</v>
          </cell>
          <cell r="AD323">
            <v>2356</v>
          </cell>
          <cell r="AE323">
            <v>2356</v>
          </cell>
          <cell r="AF323">
            <v>2356</v>
          </cell>
          <cell r="AG323">
            <v>2356</v>
          </cell>
          <cell r="AH323">
            <v>2356</v>
          </cell>
          <cell r="AI323">
            <v>2356</v>
          </cell>
          <cell r="AJ323">
            <v>2356</v>
          </cell>
          <cell r="AK323">
            <v>2356</v>
          </cell>
          <cell r="AL323">
            <v>28272</v>
          </cell>
        </row>
        <row r="324">
          <cell r="C324">
            <v>440</v>
          </cell>
          <cell r="D324" t="str">
            <v>Service</v>
          </cell>
          <cell r="E324">
            <v>3</v>
          </cell>
          <cell r="Z324">
            <v>7068</v>
          </cell>
          <cell r="AA324">
            <v>7068</v>
          </cell>
          <cell r="AB324">
            <v>7068</v>
          </cell>
          <cell r="AC324">
            <v>7068</v>
          </cell>
          <cell r="AD324">
            <v>7068</v>
          </cell>
          <cell r="AE324">
            <v>7068</v>
          </cell>
          <cell r="AF324">
            <v>7068</v>
          </cell>
          <cell r="AG324">
            <v>7068</v>
          </cell>
          <cell r="AH324">
            <v>7068</v>
          </cell>
          <cell r="AI324">
            <v>7068</v>
          </cell>
          <cell r="AJ324">
            <v>7068</v>
          </cell>
          <cell r="AK324">
            <v>7068</v>
          </cell>
          <cell r="AL324">
            <v>84816</v>
          </cell>
        </row>
        <row r="325">
          <cell r="C325">
            <v>935</v>
          </cell>
          <cell r="D325" t="str">
            <v>Bridgestone</v>
          </cell>
          <cell r="E325">
            <v>3</v>
          </cell>
          <cell r="Z325">
            <v>6944</v>
          </cell>
          <cell r="AA325">
            <v>6944</v>
          </cell>
          <cell r="AB325">
            <v>6944</v>
          </cell>
          <cell r="AC325">
            <v>6944</v>
          </cell>
          <cell r="AD325">
            <v>6944</v>
          </cell>
          <cell r="AE325">
            <v>6944</v>
          </cell>
          <cell r="AF325">
            <v>6944</v>
          </cell>
          <cell r="AG325">
            <v>6944</v>
          </cell>
          <cell r="AH325">
            <v>6944</v>
          </cell>
          <cell r="AI325">
            <v>6944</v>
          </cell>
          <cell r="AJ325">
            <v>6944</v>
          </cell>
          <cell r="AK325">
            <v>6944</v>
          </cell>
          <cell r="AL325">
            <v>83328</v>
          </cell>
        </row>
        <row r="326">
          <cell r="C326">
            <v>936</v>
          </cell>
          <cell r="D326" t="str">
            <v>Bridgestone</v>
          </cell>
          <cell r="E326">
            <v>3</v>
          </cell>
          <cell r="Z326">
            <v>1576</v>
          </cell>
          <cell r="AA326">
            <v>1576</v>
          </cell>
          <cell r="AB326">
            <v>1576</v>
          </cell>
          <cell r="AC326">
            <v>1576</v>
          </cell>
          <cell r="AD326">
            <v>1576</v>
          </cell>
          <cell r="AE326">
            <v>1576</v>
          </cell>
          <cell r="AF326">
            <v>1576</v>
          </cell>
          <cell r="AG326">
            <v>1576</v>
          </cell>
          <cell r="AH326">
            <v>1576</v>
          </cell>
          <cell r="AI326">
            <v>1576</v>
          </cell>
          <cell r="AJ326">
            <v>1576</v>
          </cell>
          <cell r="AK326">
            <v>1576</v>
          </cell>
          <cell r="AL326">
            <v>18912</v>
          </cell>
        </row>
        <row r="327">
          <cell r="C327">
            <v>110</v>
          </cell>
          <cell r="D327" t="str">
            <v>New Vehicle</v>
          </cell>
          <cell r="E327">
            <v>1</v>
          </cell>
          <cell r="Z327">
            <v>4771.875</v>
          </cell>
          <cell r="AA327">
            <v>4771.875</v>
          </cell>
          <cell r="AB327">
            <v>4771.875</v>
          </cell>
          <cell r="AC327">
            <v>4771.875</v>
          </cell>
          <cell r="AD327">
            <v>4771.875</v>
          </cell>
          <cell r="AE327">
            <v>4771.875</v>
          </cell>
          <cell r="AF327">
            <v>4771.875</v>
          </cell>
          <cell r="AG327">
            <v>4771.875</v>
          </cell>
          <cell r="AH327">
            <v>4771.875</v>
          </cell>
          <cell r="AI327">
            <v>4771.875</v>
          </cell>
          <cell r="AJ327">
            <v>4771.875</v>
          </cell>
          <cell r="AK327">
            <v>4771.875</v>
          </cell>
          <cell r="AL327">
            <v>57262.5</v>
          </cell>
        </row>
        <row r="328">
          <cell r="C328">
            <v>112</v>
          </cell>
          <cell r="D328" t="str">
            <v>LEX New Vehicle</v>
          </cell>
          <cell r="E328">
            <v>1</v>
          </cell>
          <cell r="Z328">
            <v>2051.0416666666665</v>
          </cell>
          <cell r="AA328">
            <v>2051.0416666666665</v>
          </cell>
          <cell r="AB328">
            <v>2051.0416666666665</v>
          </cell>
          <cell r="AC328">
            <v>2051.0416666666665</v>
          </cell>
          <cell r="AD328">
            <v>2051.0416666666665</v>
          </cell>
          <cell r="AE328">
            <v>2051.0416666666665</v>
          </cell>
          <cell r="AF328">
            <v>2051.0416666666665</v>
          </cell>
          <cell r="AG328">
            <v>2051.0416666666665</v>
          </cell>
          <cell r="AH328">
            <v>2051.0416666666665</v>
          </cell>
          <cell r="AI328">
            <v>2051.0416666666665</v>
          </cell>
          <cell r="AJ328">
            <v>2051.0416666666665</v>
          </cell>
          <cell r="AK328">
            <v>2051.0416666666665</v>
          </cell>
          <cell r="AL328">
            <v>24612.500000000004</v>
          </cell>
        </row>
        <row r="329">
          <cell r="C329">
            <v>120</v>
          </cell>
          <cell r="D329" t="str">
            <v>Used Vehicle</v>
          </cell>
          <cell r="E329">
            <v>1</v>
          </cell>
          <cell r="Z329">
            <v>4855.208333333333</v>
          </cell>
          <cell r="AA329">
            <v>4855.208333333333</v>
          </cell>
          <cell r="AB329">
            <v>4855.208333333333</v>
          </cell>
          <cell r="AC329">
            <v>4855.208333333333</v>
          </cell>
          <cell r="AD329">
            <v>4855.208333333333</v>
          </cell>
          <cell r="AE329">
            <v>4855.208333333333</v>
          </cell>
          <cell r="AF329">
            <v>4855.208333333333</v>
          </cell>
          <cell r="AG329">
            <v>4855.208333333333</v>
          </cell>
          <cell r="AH329">
            <v>4855.208333333333</v>
          </cell>
          <cell r="AI329">
            <v>4855.208333333333</v>
          </cell>
          <cell r="AJ329">
            <v>4855.208333333333</v>
          </cell>
          <cell r="AK329">
            <v>4855.208333333333</v>
          </cell>
          <cell r="AL329">
            <v>58262.500000000007</v>
          </cell>
        </row>
        <row r="330">
          <cell r="C330">
            <v>121</v>
          </cell>
          <cell r="D330" t="str">
            <v>Used Vehicle</v>
          </cell>
          <cell r="E330">
            <v>1</v>
          </cell>
          <cell r="Z330">
            <v>0</v>
          </cell>
          <cell r="AA330">
            <v>0</v>
          </cell>
          <cell r="AB330">
            <v>0</v>
          </cell>
          <cell r="AC330">
            <v>0</v>
          </cell>
          <cell r="AD330">
            <v>0</v>
          </cell>
          <cell r="AE330">
            <v>0</v>
          </cell>
          <cell r="AF330">
            <v>0</v>
          </cell>
          <cell r="AG330">
            <v>0</v>
          </cell>
          <cell r="AH330">
            <v>0</v>
          </cell>
          <cell r="AI330">
            <v>0</v>
          </cell>
          <cell r="AJ330">
            <v>0</v>
          </cell>
          <cell r="AK330">
            <v>0</v>
          </cell>
          <cell r="AL330">
            <v>0</v>
          </cell>
        </row>
        <row r="331">
          <cell r="C331">
            <v>130</v>
          </cell>
          <cell r="D331" t="str">
            <v>Parts</v>
          </cell>
          <cell r="E331">
            <v>3</v>
          </cell>
          <cell r="Z331">
            <v>2912.7777777777774</v>
          </cell>
          <cell r="AA331">
            <v>2912.7777777777774</v>
          </cell>
          <cell r="AB331">
            <v>2912.7777777777774</v>
          </cell>
          <cell r="AC331">
            <v>2912.7777777777774</v>
          </cell>
          <cell r="AD331">
            <v>2912.7777777777774</v>
          </cell>
          <cell r="AE331">
            <v>2912.7777777777774</v>
          </cell>
          <cell r="AF331">
            <v>2912.7777777777774</v>
          </cell>
          <cell r="AG331">
            <v>2912.7777777777774</v>
          </cell>
          <cell r="AH331">
            <v>2912.7777777777774</v>
          </cell>
          <cell r="AI331">
            <v>2912.7777777777774</v>
          </cell>
          <cell r="AJ331">
            <v>2912.7777777777774</v>
          </cell>
          <cell r="AK331">
            <v>2912.7777777777774</v>
          </cell>
          <cell r="AL331">
            <v>34953.333333333328</v>
          </cell>
        </row>
        <row r="332">
          <cell r="C332">
            <v>140</v>
          </cell>
          <cell r="D332" t="str">
            <v>Service</v>
          </cell>
          <cell r="E332">
            <v>3</v>
          </cell>
          <cell r="Z332">
            <v>6910.833333333333</v>
          </cell>
          <cell r="AA332">
            <v>6910.833333333333</v>
          </cell>
          <cell r="AB332">
            <v>6910.833333333333</v>
          </cell>
          <cell r="AC332">
            <v>6910.833333333333</v>
          </cell>
          <cell r="AD332">
            <v>6910.833333333333</v>
          </cell>
          <cell r="AE332">
            <v>6910.833333333333</v>
          </cell>
          <cell r="AF332">
            <v>6910.833333333333</v>
          </cell>
          <cell r="AG332">
            <v>6910.833333333333</v>
          </cell>
          <cell r="AH332">
            <v>6910.833333333333</v>
          </cell>
          <cell r="AI332">
            <v>6910.833333333333</v>
          </cell>
          <cell r="AJ332">
            <v>6910.833333333333</v>
          </cell>
          <cell r="AK332">
            <v>6910.833333333333</v>
          </cell>
          <cell r="AL332">
            <v>82930</v>
          </cell>
        </row>
        <row r="333">
          <cell r="C333">
            <v>142</v>
          </cell>
          <cell r="D333" t="str">
            <v>Lex Service</v>
          </cell>
          <cell r="E333">
            <v>3</v>
          </cell>
          <cell r="Z333">
            <v>2200</v>
          </cell>
          <cell r="AA333">
            <v>2200</v>
          </cell>
          <cell r="AB333">
            <v>2200</v>
          </cell>
          <cell r="AC333">
            <v>2200</v>
          </cell>
          <cell r="AD333">
            <v>2200</v>
          </cell>
          <cell r="AE333">
            <v>2200</v>
          </cell>
          <cell r="AF333">
            <v>2200</v>
          </cell>
          <cell r="AG333">
            <v>2200</v>
          </cell>
          <cell r="AH333">
            <v>2200</v>
          </cell>
          <cell r="AI333">
            <v>2200</v>
          </cell>
          <cell r="AJ333">
            <v>2200</v>
          </cell>
          <cell r="AK333">
            <v>2200</v>
          </cell>
          <cell r="AL333">
            <v>26400</v>
          </cell>
        </row>
        <row r="334">
          <cell r="C334">
            <v>147</v>
          </cell>
          <cell r="D334" t="str">
            <v>Service</v>
          </cell>
          <cell r="E334">
            <v>3</v>
          </cell>
          <cell r="Z334">
            <v>0</v>
          </cell>
          <cell r="AA334">
            <v>0</v>
          </cell>
          <cell r="AB334">
            <v>0</v>
          </cell>
          <cell r="AC334">
            <v>0</v>
          </cell>
          <cell r="AD334">
            <v>0</v>
          </cell>
          <cell r="AE334">
            <v>0</v>
          </cell>
          <cell r="AF334">
            <v>0</v>
          </cell>
          <cell r="AG334">
            <v>0</v>
          </cell>
          <cell r="AH334">
            <v>0</v>
          </cell>
          <cell r="AI334">
            <v>0</v>
          </cell>
          <cell r="AJ334">
            <v>0</v>
          </cell>
          <cell r="AK334">
            <v>0</v>
          </cell>
          <cell r="AL334">
            <v>0</v>
          </cell>
        </row>
        <row r="335">
          <cell r="C335">
            <v>160</v>
          </cell>
          <cell r="D335" t="str">
            <v>F&amp;I</v>
          </cell>
          <cell r="E335">
            <v>3</v>
          </cell>
          <cell r="Z335">
            <v>1634.375</v>
          </cell>
          <cell r="AA335">
            <v>1634.375</v>
          </cell>
          <cell r="AB335">
            <v>1634.375</v>
          </cell>
          <cell r="AC335">
            <v>1634.375</v>
          </cell>
          <cell r="AD335">
            <v>1634.375</v>
          </cell>
          <cell r="AE335">
            <v>1634.375</v>
          </cell>
          <cell r="AF335">
            <v>1634.375</v>
          </cell>
          <cell r="AG335">
            <v>1634.375</v>
          </cell>
          <cell r="AH335">
            <v>1634.375</v>
          </cell>
          <cell r="AI335">
            <v>1634.375</v>
          </cell>
          <cell r="AJ335">
            <v>1634.375</v>
          </cell>
          <cell r="AK335">
            <v>1634.375</v>
          </cell>
          <cell r="AL335">
            <v>19612.5</v>
          </cell>
        </row>
        <row r="336">
          <cell r="C336">
            <v>150</v>
          </cell>
          <cell r="D336" t="str">
            <v>Retail Detailing</v>
          </cell>
          <cell r="E336">
            <v>3</v>
          </cell>
          <cell r="Z336">
            <v>833.33333333333337</v>
          </cell>
          <cell r="AA336">
            <v>833.33333333333337</v>
          </cell>
          <cell r="AB336">
            <v>833.33333333333337</v>
          </cell>
          <cell r="AC336">
            <v>833.33333333333337</v>
          </cell>
          <cell r="AD336">
            <v>833.33333333333337</v>
          </cell>
          <cell r="AE336">
            <v>833.33333333333337</v>
          </cell>
          <cell r="AF336">
            <v>833.33333333333337</v>
          </cell>
          <cell r="AG336">
            <v>833.33333333333337</v>
          </cell>
          <cell r="AH336">
            <v>833.33333333333337</v>
          </cell>
          <cell r="AI336">
            <v>833.33333333333337</v>
          </cell>
          <cell r="AJ336">
            <v>833.33333333333337</v>
          </cell>
          <cell r="AK336">
            <v>833.33333333333337</v>
          </cell>
          <cell r="AL336">
            <v>10000</v>
          </cell>
        </row>
        <row r="337">
          <cell r="C337">
            <v>210</v>
          </cell>
          <cell r="D337" t="str">
            <v>New Vehicle</v>
          </cell>
          <cell r="E337">
            <v>1</v>
          </cell>
          <cell r="Z337">
            <v>1750</v>
          </cell>
          <cell r="AA337">
            <v>1750</v>
          </cell>
          <cell r="AB337">
            <v>1750</v>
          </cell>
          <cell r="AC337">
            <v>1750</v>
          </cell>
          <cell r="AD337">
            <v>1750</v>
          </cell>
          <cell r="AE337">
            <v>1750</v>
          </cell>
          <cell r="AF337">
            <v>1750</v>
          </cell>
          <cell r="AG337">
            <v>1750</v>
          </cell>
          <cell r="AH337">
            <v>1750</v>
          </cell>
          <cell r="AI337">
            <v>1750</v>
          </cell>
          <cell r="AJ337">
            <v>1750</v>
          </cell>
          <cell r="AK337">
            <v>1750</v>
          </cell>
          <cell r="AL337">
            <v>21000</v>
          </cell>
        </row>
        <row r="338">
          <cell r="C338">
            <v>220</v>
          </cell>
          <cell r="D338" t="str">
            <v>Used Vehicle</v>
          </cell>
          <cell r="E338">
            <v>1</v>
          </cell>
          <cell r="Z338">
            <v>2500</v>
          </cell>
          <cell r="AA338">
            <v>2500</v>
          </cell>
          <cell r="AB338">
            <v>2500</v>
          </cell>
          <cell r="AC338">
            <v>2500</v>
          </cell>
          <cell r="AD338">
            <v>2500</v>
          </cell>
          <cell r="AE338">
            <v>2500</v>
          </cell>
          <cell r="AF338">
            <v>2500</v>
          </cell>
          <cell r="AG338">
            <v>2500</v>
          </cell>
          <cell r="AH338">
            <v>2500</v>
          </cell>
          <cell r="AI338">
            <v>2500</v>
          </cell>
          <cell r="AJ338">
            <v>2500</v>
          </cell>
          <cell r="AK338">
            <v>2500</v>
          </cell>
          <cell r="AL338">
            <v>30000</v>
          </cell>
        </row>
        <row r="339">
          <cell r="C339">
            <v>230</v>
          </cell>
          <cell r="D339" t="str">
            <v>Parts</v>
          </cell>
          <cell r="E339">
            <v>3</v>
          </cell>
          <cell r="Z339">
            <v>2518.3333333333335</v>
          </cell>
          <cell r="AA339">
            <v>2518.3333333333335</v>
          </cell>
          <cell r="AB339">
            <v>2518.3333333333335</v>
          </cell>
          <cell r="AC339">
            <v>2518.3333333333335</v>
          </cell>
          <cell r="AD339">
            <v>2518.3333333333335</v>
          </cell>
          <cell r="AE339">
            <v>2518.3333333333335</v>
          </cell>
          <cell r="AF339">
            <v>2518.3333333333335</v>
          </cell>
          <cell r="AG339">
            <v>2518.3333333333335</v>
          </cell>
          <cell r="AH339">
            <v>2518.3333333333335</v>
          </cell>
          <cell r="AI339">
            <v>2518.3333333333335</v>
          </cell>
          <cell r="AJ339">
            <v>2518.3333333333335</v>
          </cell>
          <cell r="AK339">
            <v>2518.3333333333335</v>
          </cell>
          <cell r="AL339">
            <v>30219.999999999996</v>
          </cell>
        </row>
        <row r="340">
          <cell r="C340">
            <v>240</v>
          </cell>
          <cell r="D340" t="str">
            <v>Service</v>
          </cell>
          <cell r="E340">
            <v>3</v>
          </cell>
          <cell r="Z340">
            <v>4763.8888888888896</v>
          </cell>
          <cell r="AA340">
            <v>4763.8888888888896</v>
          </cell>
          <cell r="AB340">
            <v>4763.8888888888896</v>
          </cell>
          <cell r="AC340">
            <v>4763.8888888888896</v>
          </cell>
          <cell r="AD340">
            <v>4763.8888888888896</v>
          </cell>
          <cell r="AE340">
            <v>4763.8888888888896</v>
          </cell>
          <cell r="AF340">
            <v>4763.8888888888896</v>
          </cell>
          <cell r="AG340">
            <v>4763.8888888888896</v>
          </cell>
          <cell r="AH340">
            <v>4763.8888888888896</v>
          </cell>
          <cell r="AI340">
            <v>4763.8888888888896</v>
          </cell>
          <cell r="AJ340">
            <v>4763.8888888888896</v>
          </cell>
          <cell r="AK340">
            <v>4763.8888888888896</v>
          </cell>
          <cell r="AL340">
            <v>57166.666666666679</v>
          </cell>
        </row>
        <row r="341">
          <cell r="C341">
            <v>260</v>
          </cell>
          <cell r="D341" t="str">
            <v>F&amp;I</v>
          </cell>
          <cell r="E341">
            <v>3</v>
          </cell>
          <cell r="Z341">
            <v>1000</v>
          </cell>
          <cell r="AA341">
            <v>1000</v>
          </cell>
          <cell r="AB341">
            <v>1000</v>
          </cell>
          <cell r="AC341">
            <v>1000</v>
          </cell>
          <cell r="AD341">
            <v>1000</v>
          </cell>
          <cell r="AE341">
            <v>1000</v>
          </cell>
          <cell r="AF341">
            <v>1000</v>
          </cell>
          <cell r="AG341">
            <v>1000</v>
          </cell>
          <cell r="AH341">
            <v>1000</v>
          </cell>
          <cell r="AI341">
            <v>1000</v>
          </cell>
          <cell r="AJ341">
            <v>1000</v>
          </cell>
          <cell r="AK341">
            <v>1000</v>
          </cell>
          <cell r="AL341">
            <v>12000</v>
          </cell>
        </row>
        <row r="342">
          <cell r="C342">
            <v>330</v>
          </cell>
          <cell r="D342" t="str">
            <v>Parts</v>
          </cell>
          <cell r="E342">
            <v>3</v>
          </cell>
          <cell r="Z342">
            <v>904.16666666666663</v>
          </cell>
          <cell r="AA342">
            <v>904.16666666666663</v>
          </cell>
          <cell r="AB342">
            <v>904.16666666666663</v>
          </cell>
          <cell r="AC342">
            <v>904.16666666666663</v>
          </cell>
          <cell r="AD342">
            <v>904.16666666666663</v>
          </cell>
          <cell r="AE342">
            <v>904.16666666666663</v>
          </cell>
          <cell r="AF342">
            <v>904.16666666666663</v>
          </cell>
          <cell r="AG342">
            <v>904.16666666666663</v>
          </cell>
          <cell r="AH342">
            <v>904.16666666666663</v>
          </cell>
          <cell r="AI342">
            <v>904.16666666666663</v>
          </cell>
          <cell r="AJ342">
            <v>904.16666666666663</v>
          </cell>
          <cell r="AK342">
            <v>904.16666666666663</v>
          </cell>
          <cell r="AL342">
            <v>10850</v>
          </cell>
        </row>
        <row r="343">
          <cell r="C343">
            <v>340</v>
          </cell>
          <cell r="D343" t="str">
            <v>Service</v>
          </cell>
          <cell r="E343">
            <v>3</v>
          </cell>
          <cell r="Z343">
            <v>2379.8611111111113</v>
          </cell>
          <cell r="AA343">
            <v>2379.8611111111113</v>
          </cell>
          <cell r="AB343">
            <v>2379.8611111111113</v>
          </cell>
          <cell r="AC343">
            <v>2379.8611111111113</v>
          </cell>
          <cell r="AD343">
            <v>2379.8611111111113</v>
          </cell>
          <cell r="AE343">
            <v>2379.8611111111113</v>
          </cell>
          <cell r="AF343">
            <v>2379.8611111111113</v>
          </cell>
          <cell r="AG343">
            <v>2379.8611111111113</v>
          </cell>
          <cell r="AH343">
            <v>2379.8611111111113</v>
          </cell>
          <cell r="AI343">
            <v>2379.8611111111113</v>
          </cell>
          <cell r="AJ343">
            <v>2379.8611111111113</v>
          </cell>
          <cell r="AK343">
            <v>2379.8611111111113</v>
          </cell>
          <cell r="AL343">
            <v>28558.333333333328</v>
          </cell>
        </row>
        <row r="344">
          <cell r="C344">
            <v>430</v>
          </cell>
          <cell r="D344" t="str">
            <v>Parts</v>
          </cell>
          <cell r="E344">
            <v>3</v>
          </cell>
          <cell r="Z344">
            <v>821.875</v>
          </cell>
          <cell r="AA344">
            <v>821.875</v>
          </cell>
          <cell r="AB344">
            <v>821.875</v>
          </cell>
          <cell r="AC344">
            <v>821.875</v>
          </cell>
          <cell r="AD344">
            <v>821.875</v>
          </cell>
          <cell r="AE344">
            <v>821.875</v>
          </cell>
          <cell r="AF344">
            <v>821.875</v>
          </cell>
          <cell r="AG344">
            <v>821.875</v>
          </cell>
          <cell r="AH344">
            <v>821.875</v>
          </cell>
          <cell r="AI344">
            <v>821.875</v>
          </cell>
          <cell r="AJ344">
            <v>821.875</v>
          </cell>
          <cell r="AK344">
            <v>821.875</v>
          </cell>
          <cell r="AL344">
            <v>9862.5</v>
          </cell>
        </row>
        <row r="345">
          <cell r="C345">
            <v>440</v>
          </cell>
          <cell r="D345" t="str">
            <v>Service</v>
          </cell>
          <cell r="E345">
            <v>3</v>
          </cell>
          <cell r="Z345">
            <v>2715.625</v>
          </cell>
          <cell r="AA345">
            <v>2715.625</v>
          </cell>
          <cell r="AB345">
            <v>2715.625</v>
          </cell>
          <cell r="AC345">
            <v>2715.625</v>
          </cell>
          <cell r="AD345">
            <v>2715.625</v>
          </cell>
          <cell r="AE345">
            <v>2715.625</v>
          </cell>
          <cell r="AF345">
            <v>2715.625</v>
          </cell>
          <cell r="AG345">
            <v>2715.625</v>
          </cell>
          <cell r="AH345">
            <v>2715.625</v>
          </cell>
          <cell r="AI345">
            <v>2715.625</v>
          </cell>
          <cell r="AJ345">
            <v>2715.625</v>
          </cell>
          <cell r="AK345">
            <v>2715.625</v>
          </cell>
          <cell r="AL345">
            <v>32587.5</v>
          </cell>
        </row>
        <row r="346">
          <cell r="C346">
            <v>935</v>
          </cell>
          <cell r="D346" t="str">
            <v>Bridgestone</v>
          </cell>
          <cell r="E346">
            <v>3</v>
          </cell>
          <cell r="Z346">
            <v>2100</v>
          </cell>
          <cell r="AA346">
            <v>2100</v>
          </cell>
          <cell r="AB346">
            <v>2100</v>
          </cell>
          <cell r="AC346">
            <v>2100</v>
          </cell>
          <cell r="AD346">
            <v>2100</v>
          </cell>
          <cell r="AE346">
            <v>2100</v>
          </cell>
          <cell r="AF346">
            <v>2100</v>
          </cell>
          <cell r="AG346">
            <v>2100</v>
          </cell>
          <cell r="AH346">
            <v>2100</v>
          </cell>
          <cell r="AI346">
            <v>2100</v>
          </cell>
          <cell r="AJ346">
            <v>2100</v>
          </cell>
          <cell r="AK346">
            <v>2100</v>
          </cell>
          <cell r="AL346">
            <v>25200</v>
          </cell>
        </row>
        <row r="347">
          <cell r="C347">
            <v>936</v>
          </cell>
          <cell r="D347" t="str">
            <v>Bridgestone</v>
          </cell>
          <cell r="E347">
            <v>3</v>
          </cell>
          <cell r="Z347">
            <v>618.75</v>
          </cell>
          <cell r="AA347">
            <v>618.75</v>
          </cell>
          <cell r="AB347">
            <v>618.75</v>
          </cell>
          <cell r="AC347">
            <v>618.75</v>
          </cell>
          <cell r="AD347">
            <v>618.75</v>
          </cell>
          <cell r="AE347">
            <v>618.75</v>
          </cell>
          <cell r="AF347">
            <v>618.75</v>
          </cell>
          <cell r="AG347">
            <v>618.75</v>
          </cell>
          <cell r="AH347">
            <v>618.75</v>
          </cell>
          <cell r="AI347">
            <v>618.75</v>
          </cell>
          <cell r="AJ347">
            <v>618.75</v>
          </cell>
          <cell r="AK347">
            <v>618.75</v>
          </cell>
          <cell r="AL347">
            <v>7425</v>
          </cell>
        </row>
        <row r="348">
          <cell r="C348">
            <v>110</v>
          </cell>
          <cell r="D348" t="str">
            <v>New Vehicle</v>
          </cell>
          <cell r="E348">
            <v>2</v>
          </cell>
          <cell r="Z348">
            <v>0</v>
          </cell>
          <cell r="AA348">
            <v>0</v>
          </cell>
          <cell r="AB348">
            <v>0</v>
          </cell>
          <cell r="AC348">
            <v>0</v>
          </cell>
          <cell r="AD348">
            <v>0</v>
          </cell>
          <cell r="AE348">
            <v>0</v>
          </cell>
          <cell r="AF348">
            <v>0</v>
          </cell>
          <cell r="AG348">
            <v>0</v>
          </cell>
          <cell r="AH348">
            <v>0</v>
          </cell>
          <cell r="AI348">
            <v>0</v>
          </cell>
          <cell r="AJ348">
            <v>0</v>
          </cell>
          <cell r="AK348">
            <v>0</v>
          </cell>
          <cell r="AL348">
            <v>0</v>
          </cell>
        </row>
        <row r="349">
          <cell r="C349">
            <v>112</v>
          </cell>
          <cell r="D349" t="str">
            <v>LEX New Vehicle</v>
          </cell>
          <cell r="E349">
            <v>2</v>
          </cell>
          <cell r="Z349">
            <v>0</v>
          </cell>
          <cell r="AA349">
            <v>0</v>
          </cell>
          <cell r="AB349">
            <v>0</v>
          </cell>
          <cell r="AC349">
            <v>0</v>
          </cell>
          <cell r="AD349">
            <v>0</v>
          </cell>
          <cell r="AE349">
            <v>0</v>
          </cell>
          <cell r="AF349">
            <v>0</v>
          </cell>
          <cell r="AG349">
            <v>0</v>
          </cell>
          <cell r="AH349">
            <v>0</v>
          </cell>
          <cell r="AI349">
            <v>0</v>
          </cell>
          <cell r="AJ349">
            <v>0</v>
          </cell>
          <cell r="AK349">
            <v>0</v>
          </cell>
          <cell r="AL349">
            <v>0</v>
          </cell>
        </row>
        <row r="350">
          <cell r="C350">
            <v>120</v>
          </cell>
          <cell r="D350" t="str">
            <v>Used Vehicle</v>
          </cell>
          <cell r="E350">
            <v>2</v>
          </cell>
          <cell r="Z350">
            <v>0</v>
          </cell>
          <cell r="AA350">
            <v>0</v>
          </cell>
          <cell r="AB350">
            <v>0</v>
          </cell>
          <cell r="AC350">
            <v>0</v>
          </cell>
          <cell r="AD350">
            <v>0</v>
          </cell>
          <cell r="AE350">
            <v>0</v>
          </cell>
          <cell r="AF350">
            <v>0</v>
          </cell>
          <cell r="AG350">
            <v>0</v>
          </cell>
          <cell r="AH350">
            <v>0</v>
          </cell>
          <cell r="AI350">
            <v>0</v>
          </cell>
          <cell r="AJ350">
            <v>0</v>
          </cell>
          <cell r="AK350">
            <v>0</v>
          </cell>
          <cell r="AL350">
            <v>0</v>
          </cell>
        </row>
        <row r="351">
          <cell r="C351">
            <v>121</v>
          </cell>
          <cell r="D351" t="str">
            <v>Used Vehicle</v>
          </cell>
          <cell r="E351">
            <v>2</v>
          </cell>
          <cell r="Z351">
            <v>0</v>
          </cell>
          <cell r="AA351">
            <v>0</v>
          </cell>
          <cell r="AB351">
            <v>0</v>
          </cell>
          <cell r="AC351">
            <v>0</v>
          </cell>
          <cell r="AD351">
            <v>0</v>
          </cell>
          <cell r="AE351">
            <v>0</v>
          </cell>
          <cell r="AF351">
            <v>0</v>
          </cell>
          <cell r="AG351">
            <v>0</v>
          </cell>
          <cell r="AH351">
            <v>0</v>
          </cell>
          <cell r="AI351">
            <v>0</v>
          </cell>
          <cell r="AJ351">
            <v>0</v>
          </cell>
          <cell r="AK351">
            <v>0</v>
          </cell>
          <cell r="AL351">
            <v>0</v>
          </cell>
        </row>
        <row r="352">
          <cell r="C352">
            <v>130</v>
          </cell>
          <cell r="D352" t="str">
            <v>Parts</v>
          </cell>
          <cell r="E352">
            <v>3</v>
          </cell>
          <cell r="Z352">
            <v>0</v>
          </cell>
          <cell r="AA352">
            <v>0</v>
          </cell>
          <cell r="AB352">
            <v>0</v>
          </cell>
          <cell r="AC352">
            <v>0</v>
          </cell>
          <cell r="AD352">
            <v>0</v>
          </cell>
          <cell r="AE352">
            <v>0</v>
          </cell>
          <cell r="AF352">
            <v>0</v>
          </cell>
          <cell r="AG352">
            <v>0</v>
          </cell>
          <cell r="AH352">
            <v>0</v>
          </cell>
          <cell r="AI352">
            <v>0</v>
          </cell>
          <cell r="AJ352">
            <v>0</v>
          </cell>
          <cell r="AK352">
            <v>0</v>
          </cell>
          <cell r="AL352">
            <v>0</v>
          </cell>
        </row>
        <row r="353">
          <cell r="C353">
            <v>140</v>
          </cell>
          <cell r="D353" t="str">
            <v>Service</v>
          </cell>
          <cell r="E353">
            <v>3</v>
          </cell>
          <cell r="Z353">
            <v>0</v>
          </cell>
          <cell r="AA353">
            <v>0</v>
          </cell>
          <cell r="AB353">
            <v>0</v>
          </cell>
          <cell r="AC353">
            <v>0</v>
          </cell>
          <cell r="AD353">
            <v>0</v>
          </cell>
          <cell r="AE353">
            <v>0</v>
          </cell>
          <cell r="AF353">
            <v>0</v>
          </cell>
          <cell r="AG353">
            <v>0</v>
          </cell>
          <cell r="AH353">
            <v>0</v>
          </cell>
          <cell r="AI353">
            <v>0</v>
          </cell>
          <cell r="AJ353">
            <v>0</v>
          </cell>
          <cell r="AK353">
            <v>0</v>
          </cell>
          <cell r="AL353">
            <v>0</v>
          </cell>
        </row>
        <row r="354">
          <cell r="C354">
            <v>160</v>
          </cell>
          <cell r="D354" t="str">
            <v>F&amp;I</v>
          </cell>
          <cell r="E354">
            <v>3</v>
          </cell>
          <cell r="Z354">
            <v>0</v>
          </cell>
          <cell r="AA354">
            <v>0</v>
          </cell>
          <cell r="AB354">
            <v>0</v>
          </cell>
          <cell r="AC354">
            <v>0</v>
          </cell>
          <cell r="AD354">
            <v>0</v>
          </cell>
          <cell r="AE354">
            <v>0</v>
          </cell>
          <cell r="AF354">
            <v>0</v>
          </cell>
          <cell r="AG354">
            <v>0</v>
          </cell>
          <cell r="AH354">
            <v>0</v>
          </cell>
          <cell r="AI354">
            <v>0</v>
          </cell>
          <cell r="AJ354">
            <v>0</v>
          </cell>
          <cell r="AK354">
            <v>0</v>
          </cell>
          <cell r="AL354">
            <v>0</v>
          </cell>
        </row>
        <row r="355">
          <cell r="C355">
            <v>210</v>
          </cell>
          <cell r="D355" t="str">
            <v>New Vehicle</v>
          </cell>
          <cell r="E355">
            <v>2</v>
          </cell>
          <cell r="Z355">
            <v>0</v>
          </cell>
          <cell r="AA355">
            <v>0</v>
          </cell>
          <cell r="AB355">
            <v>0</v>
          </cell>
          <cell r="AC355">
            <v>0</v>
          </cell>
          <cell r="AD355">
            <v>0</v>
          </cell>
          <cell r="AE355">
            <v>0</v>
          </cell>
          <cell r="AF355">
            <v>0</v>
          </cell>
          <cell r="AG355">
            <v>0</v>
          </cell>
          <cell r="AH355">
            <v>0</v>
          </cell>
          <cell r="AI355">
            <v>0</v>
          </cell>
          <cell r="AJ355">
            <v>0</v>
          </cell>
          <cell r="AK355">
            <v>0</v>
          </cell>
          <cell r="AL355">
            <v>0</v>
          </cell>
        </row>
        <row r="356">
          <cell r="C356">
            <v>220</v>
          </cell>
          <cell r="D356" t="str">
            <v>Used Vehicle</v>
          </cell>
          <cell r="E356">
            <v>2</v>
          </cell>
          <cell r="Z356">
            <v>0</v>
          </cell>
          <cell r="AA356">
            <v>0</v>
          </cell>
          <cell r="AB356">
            <v>0</v>
          </cell>
          <cell r="AC356">
            <v>0</v>
          </cell>
          <cell r="AD356">
            <v>0</v>
          </cell>
          <cell r="AE356">
            <v>0</v>
          </cell>
          <cell r="AF356">
            <v>0</v>
          </cell>
          <cell r="AG356">
            <v>0</v>
          </cell>
          <cell r="AH356">
            <v>0</v>
          </cell>
          <cell r="AI356">
            <v>0</v>
          </cell>
          <cell r="AJ356">
            <v>0</v>
          </cell>
          <cell r="AK356">
            <v>0</v>
          </cell>
          <cell r="AL356">
            <v>0</v>
          </cell>
        </row>
        <row r="357">
          <cell r="C357">
            <v>230</v>
          </cell>
          <cell r="D357" t="str">
            <v>Parts</v>
          </cell>
          <cell r="E357">
            <v>3</v>
          </cell>
          <cell r="Z357">
            <v>0</v>
          </cell>
          <cell r="AA357">
            <v>0</v>
          </cell>
          <cell r="AB357">
            <v>0</v>
          </cell>
          <cell r="AC357">
            <v>0</v>
          </cell>
          <cell r="AD357">
            <v>0</v>
          </cell>
          <cell r="AE357">
            <v>0</v>
          </cell>
          <cell r="AF357">
            <v>0</v>
          </cell>
          <cell r="AG357">
            <v>0</v>
          </cell>
          <cell r="AH357">
            <v>0</v>
          </cell>
          <cell r="AI357">
            <v>0</v>
          </cell>
          <cell r="AJ357">
            <v>0</v>
          </cell>
          <cell r="AK357">
            <v>0</v>
          </cell>
          <cell r="AL357">
            <v>0</v>
          </cell>
        </row>
        <row r="358">
          <cell r="C358">
            <v>240</v>
          </cell>
          <cell r="D358" t="str">
            <v>Service</v>
          </cell>
          <cell r="E358">
            <v>3</v>
          </cell>
          <cell r="Z358">
            <v>0</v>
          </cell>
          <cell r="AA358">
            <v>0</v>
          </cell>
          <cell r="AB358">
            <v>0</v>
          </cell>
          <cell r="AC358">
            <v>0</v>
          </cell>
          <cell r="AD358">
            <v>0</v>
          </cell>
          <cell r="AE358">
            <v>0</v>
          </cell>
          <cell r="AF358">
            <v>0</v>
          </cell>
          <cell r="AG358">
            <v>0</v>
          </cell>
          <cell r="AH358">
            <v>0</v>
          </cell>
          <cell r="AI358">
            <v>0</v>
          </cell>
          <cell r="AJ358">
            <v>0</v>
          </cell>
          <cell r="AK358">
            <v>0</v>
          </cell>
          <cell r="AL358">
            <v>0</v>
          </cell>
        </row>
        <row r="359">
          <cell r="C359">
            <v>260</v>
          </cell>
          <cell r="D359" t="str">
            <v>F&amp;I</v>
          </cell>
          <cell r="E359">
            <v>3</v>
          </cell>
          <cell r="Z359">
            <v>0</v>
          </cell>
          <cell r="AA359">
            <v>0</v>
          </cell>
          <cell r="AB359">
            <v>0</v>
          </cell>
          <cell r="AC359">
            <v>0</v>
          </cell>
          <cell r="AD359">
            <v>0</v>
          </cell>
          <cell r="AE359">
            <v>0</v>
          </cell>
          <cell r="AF359">
            <v>0</v>
          </cell>
          <cell r="AG359">
            <v>0</v>
          </cell>
          <cell r="AH359">
            <v>0</v>
          </cell>
          <cell r="AI359">
            <v>0</v>
          </cell>
          <cell r="AJ359">
            <v>0</v>
          </cell>
          <cell r="AK359">
            <v>0</v>
          </cell>
          <cell r="AL359">
            <v>0</v>
          </cell>
        </row>
        <row r="360">
          <cell r="C360">
            <v>340</v>
          </cell>
          <cell r="D360" t="str">
            <v>Service</v>
          </cell>
          <cell r="E360">
            <v>3</v>
          </cell>
          <cell r="Z360">
            <v>0</v>
          </cell>
          <cell r="AA360">
            <v>0</v>
          </cell>
          <cell r="AB360">
            <v>0</v>
          </cell>
          <cell r="AC360">
            <v>0</v>
          </cell>
          <cell r="AD360">
            <v>0</v>
          </cell>
          <cell r="AE360">
            <v>0</v>
          </cell>
          <cell r="AF360">
            <v>0</v>
          </cell>
          <cell r="AG360">
            <v>0</v>
          </cell>
          <cell r="AH360">
            <v>0</v>
          </cell>
          <cell r="AI360">
            <v>0</v>
          </cell>
          <cell r="AJ360">
            <v>0</v>
          </cell>
          <cell r="AK360">
            <v>0</v>
          </cell>
          <cell r="AL360">
            <v>0</v>
          </cell>
        </row>
        <row r="361">
          <cell r="C361">
            <v>430</v>
          </cell>
          <cell r="D361" t="str">
            <v>Parts</v>
          </cell>
          <cell r="E361">
            <v>3</v>
          </cell>
          <cell r="Z361">
            <v>0</v>
          </cell>
          <cell r="AA361">
            <v>0</v>
          </cell>
          <cell r="AB361">
            <v>0</v>
          </cell>
          <cell r="AC361">
            <v>0</v>
          </cell>
          <cell r="AD361">
            <v>0</v>
          </cell>
          <cell r="AE361">
            <v>0</v>
          </cell>
          <cell r="AF361">
            <v>0</v>
          </cell>
          <cell r="AG361">
            <v>0</v>
          </cell>
          <cell r="AH361">
            <v>0</v>
          </cell>
          <cell r="AI361">
            <v>0</v>
          </cell>
          <cell r="AJ361">
            <v>0</v>
          </cell>
          <cell r="AK361">
            <v>0</v>
          </cell>
          <cell r="AL361">
            <v>0</v>
          </cell>
        </row>
        <row r="362">
          <cell r="C362">
            <v>440</v>
          </cell>
          <cell r="D362" t="str">
            <v>Service</v>
          </cell>
          <cell r="E362">
            <v>3</v>
          </cell>
          <cell r="Z362">
            <v>0</v>
          </cell>
          <cell r="AA362">
            <v>0</v>
          </cell>
          <cell r="AB362">
            <v>0</v>
          </cell>
          <cell r="AC362">
            <v>0</v>
          </cell>
          <cell r="AD362">
            <v>0</v>
          </cell>
          <cell r="AE362">
            <v>0</v>
          </cell>
          <cell r="AF362">
            <v>0</v>
          </cell>
          <cell r="AG362">
            <v>0</v>
          </cell>
          <cell r="AH362">
            <v>0</v>
          </cell>
          <cell r="AI362">
            <v>0</v>
          </cell>
          <cell r="AJ362">
            <v>0</v>
          </cell>
          <cell r="AK362">
            <v>0</v>
          </cell>
          <cell r="AL362">
            <v>0</v>
          </cell>
        </row>
        <row r="363">
          <cell r="C363">
            <v>935</v>
          </cell>
          <cell r="D363" t="str">
            <v>Bridgestone</v>
          </cell>
          <cell r="E363">
            <v>3</v>
          </cell>
          <cell r="Z363">
            <v>0</v>
          </cell>
          <cell r="AA363">
            <v>0</v>
          </cell>
          <cell r="AB363">
            <v>0</v>
          </cell>
          <cell r="AC363">
            <v>0</v>
          </cell>
          <cell r="AD363">
            <v>0</v>
          </cell>
          <cell r="AE363">
            <v>0</v>
          </cell>
          <cell r="AF363">
            <v>0</v>
          </cell>
          <cell r="AG363">
            <v>0</v>
          </cell>
          <cell r="AH363">
            <v>0</v>
          </cell>
          <cell r="AI363">
            <v>0</v>
          </cell>
          <cell r="AJ363">
            <v>0</v>
          </cell>
          <cell r="AK363">
            <v>0</v>
          </cell>
          <cell r="AL363">
            <v>0</v>
          </cell>
        </row>
        <row r="364">
          <cell r="C364">
            <v>936</v>
          </cell>
          <cell r="D364" t="str">
            <v>Bridgestone</v>
          </cell>
          <cell r="E364">
            <v>3</v>
          </cell>
          <cell r="Z364">
            <v>0</v>
          </cell>
          <cell r="AA364">
            <v>0</v>
          </cell>
          <cell r="AB364">
            <v>0</v>
          </cell>
          <cell r="AC364">
            <v>0</v>
          </cell>
          <cell r="AD364">
            <v>0</v>
          </cell>
          <cell r="AE364">
            <v>0</v>
          </cell>
          <cell r="AF364">
            <v>0</v>
          </cell>
          <cell r="AG364">
            <v>0</v>
          </cell>
          <cell r="AH364">
            <v>0</v>
          </cell>
          <cell r="AI364">
            <v>0</v>
          </cell>
          <cell r="AJ364">
            <v>0</v>
          </cell>
          <cell r="AK364">
            <v>0</v>
          </cell>
          <cell r="AL364">
            <v>0</v>
          </cell>
        </row>
        <row r="365">
          <cell r="C365">
            <v>130</v>
          </cell>
          <cell r="D365" t="str">
            <v>Parts</v>
          </cell>
          <cell r="E365">
            <v>3</v>
          </cell>
          <cell r="Z365">
            <v>0</v>
          </cell>
          <cell r="AA365">
            <v>0</v>
          </cell>
          <cell r="AB365">
            <v>0</v>
          </cell>
          <cell r="AC365">
            <v>0</v>
          </cell>
          <cell r="AD365">
            <v>0</v>
          </cell>
          <cell r="AE365">
            <v>0</v>
          </cell>
          <cell r="AF365">
            <v>0</v>
          </cell>
          <cell r="AG365">
            <v>0</v>
          </cell>
          <cell r="AH365">
            <v>0</v>
          </cell>
          <cell r="AI365">
            <v>0</v>
          </cell>
          <cell r="AJ365">
            <v>0</v>
          </cell>
          <cell r="AK365">
            <v>0</v>
          </cell>
          <cell r="AL365">
            <v>0</v>
          </cell>
        </row>
        <row r="366">
          <cell r="C366">
            <v>140</v>
          </cell>
          <cell r="D366" t="str">
            <v>Service</v>
          </cell>
          <cell r="E366">
            <v>3</v>
          </cell>
          <cell r="Z366">
            <v>120.93333333333332</v>
          </cell>
          <cell r="AA366">
            <v>120.93333333333332</v>
          </cell>
          <cell r="AB366">
            <v>120.93333333333332</v>
          </cell>
          <cell r="AC366">
            <v>120.93333333333332</v>
          </cell>
          <cell r="AD366">
            <v>120.93333333333332</v>
          </cell>
          <cell r="AE366">
            <v>120.93333333333332</v>
          </cell>
          <cell r="AF366">
            <v>120.93333333333332</v>
          </cell>
          <cell r="AG366">
            <v>120.93333333333332</v>
          </cell>
          <cell r="AH366">
            <v>120.93333333333332</v>
          </cell>
          <cell r="AI366">
            <v>120.93333333333332</v>
          </cell>
          <cell r="AJ366">
            <v>120.93333333333332</v>
          </cell>
          <cell r="AK366">
            <v>120.93333333333332</v>
          </cell>
          <cell r="AL366">
            <v>1451.2</v>
          </cell>
        </row>
        <row r="367">
          <cell r="C367">
            <v>147</v>
          </cell>
          <cell r="D367" t="str">
            <v>Service</v>
          </cell>
          <cell r="E367">
            <v>3</v>
          </cell>
          <cell r="Z367">
            <v>0</v>
          </cell>
          <cell r="AA367">
            <v>0</v>
          </cell>
          <cell r="AB367">
            <v>0</v>
          </cell>
          <cell r="AC367">
            <v>0</v>
          </cell>
          <cell r="AD367">
            <v>0</v>
          </cell>
          <cell r="AE367">
            <v>0</v>
          </cell>
          <cell r="AF367">
            <v>0</v>
          </cell>
          <cell r="AG367">
            <v>0</v>
          </cell>
          <cell r="AH367">
            <v>0</v>
          </cell>
          <cell r="AI367">
            <v>0</v>
          </cell>
          <cell r="AJ367">
            <v>0</v>
          </cell>
          <cell r="AK367">
            <v>0</v>
          </cell>
          <cell r="AL367">
            <v>0</v>
          </cell>
        </row>
        <row r="368">
          <cell r="C368">
            <v>150</v>
          </cell>
          <cell r="D368" t="str">
            <v>Retail Detailing</v>
          </cell>
          <cell r="E368">
            <v>3</v>
          </cell>
          <cell r="Z368">
            <v>1475.5858333333333</v>
          </cell>
          <cell r="AA368">
            <v>1475.5858333333333</v>
          </cell>
          <cell r="AB368">
            <v>1475.5858333333333</v>
          </cell>
          <cell r="AC368">
            <v>1475.5858333333333</v>
          </cell>
          <cell r="AD368">
            <v>1475.5858333333333</v>
          </cell>
          <cell r="AE368">
            <v>1475.5858333333333</v>
          </cell>
          <cell r="AF368">
            <v>1475.5858333333333</v>
          </cell>
          <cell r="AG368">
            <v>1475.5858333333333</v>
          </cell>
          <cell r="AH368">
            <v>1475.5858333333333</v>
          </cell>
          <cell r="AI368">
            <v>1475.5858333333333</v>
          </cell>
          <cell r="AJ368">
            <v>1475.5858333333333</v>
          </cell>
          <cell r="AK368">
            <v>1475.5858333333333</v>
          </cell>
          <cell r="AL368">
            <v>17707.029999999995</v>
          </cell>
        </row>
        <row r="369">
          <cell r="C369">
            <v>240</v>
          </cell>
          <cell r="D369" t="str">
            <v>Service</v>
          </cell>
          <cell r="E369">
            <v>3</v>
          </cell>
          <cell r="Z369">
            <v>7.5116666666666667</v>
          </cell>
          <cell r="AA369">
            <v>7.5116666666666667</v>
          </cell>
          <cell r="AB369">
            <v>7.5116666666666667</v>
          </cell>
          <cell r="AC369">
            <v>7.5116666666666667</v>
          </cell>
          <cell r="AD369">
            <v>7.5116666666666667</v>
          </cell>
          <cell r="AE369">
            <v>7.5116666666666667</v>
          </cell>
          <cell r="AF369">
            <v>7.5116666666666667</v>
          </cell>
          <cell r="AG369">
            <v>7.5116666666666667</v>
          </cell>
          <cell r="AH369">
            <v>7.5116666666666667</v>
          </cell>
          <cell r="AI369">
            <v>7.5116666666666667</v>
          </cell>
          <cell r="AJ369">
            <v>7.5116666666666667</v>
          </cell>
          <cell r="AK369">
            <v>7.5116666666666667</v>
          </cell>
          <cell r="AL369">
            <v>90.140000000000029</v>
          </cell>
        </row>
        <row r="370">
          <cell r="C370">
            <v>330</v>
          </cell>
          <cell r="D370" t="str">
            <v>Parts</v>
          </cell>
          <cell r="E370">
            <v>3</v>
          </cell>
          <cell r="Z370">
            <v>36.583333333333336</v>
          </cell>
          <cell r="AA370">
            <v>36.583333333333336</v>
          </cell>
          <cell r="AB370">
            <v>36.583333333333336</v>
          </cell>
          <cell r="AC370">
            <v>36.583333333333336</v>
          </cell>
          <cell r="AD370">
            <v>36.583333333333336</v>
          </cell>
          <cell r="AE370">
            <v>36.583333333333336</v>
          </cell>
          <cell r="AF370">
            <v>36.583333333333336</v>
          </cell>
          <cell r="AG370">
            <v>36.583333333333336</v>
          </cell>
          <cell r="AH370">
            <v>36.583333333333336</v>
          </cell>
          <cell r="AI370">
            <v>36.583333333333336</v>
          </cell>
          <cell r="AJ370">
            <v>36.583333333333336</v>
          </cell>
          <cell r="AK370">
            <v>36.583333333333336</v>
          </cell>
          <cell r="AL370">
            <v>438.99999999999994</v>
          </cell>
        </row>
        <row r="371">
          <cell r="C371">
            <v>340</v>
          </cell>
          <cell r="D371" t="str">
            <v>Service</v>
          </cell>
          <cell r="E371">
            <v>3</v>
          </cell>
          <cell r="Z371">
            <v>397.88333333333338</v>
          </cell>
          <cell r="AA371">
            <v>397.88333333333338</v>
          </cell>
          <cell r="AB371">
            <v>397.88333333333338</v>
          </cell>
          <cell r="AC371">
            <v>397.88333333333338</v>
          </cell>
          <cell r="AD371">
            <v>397.88333333333338</v>
          </cell>
          <cell r="AE371">
            <v>397.88333333333338</v>
          </cell>
          <cell r="AF371">
            <v>397.88333333333338</v>
          </cell>
          <cell r="AG371">
            <v>397.88333333333338</v>
          </cell>
          <cell r="AH371">
            <v>397.88333333333338</v>
          </cell>
          <cell r="AI371">
            <v>397.88333333333338</v>
          </cell>
          <cell r="AJ371">
            <v>397.88333333333338</v>
          </cell>
          <cell r="AK371">
            <v>397.88333333333338</v>
          </cell>
          <cell r="AL371">
            <v>4774.5999999999995</v>
          </cell>
        </row>
        <row r="372">
          <cell r="C372">
            <v>440</v>
          </cell>
          <cell r="D372" t="str">
            <v>Service</v>
          </cell>
          <cell r="E372">
            <v>3</v>
          </cell>
          <cell r="Z372">
            <v>904.28499999999985</v>
          </cell>
          <cell r="AA372">
            <v>904.28499999999985</v>
          </cell>
          <cell r="AB372">
            <v>904.28499999999985</v>
          </cell>
          <cell r="AC372">
            <v>904.28499999999985</v>
          </cell>
          <cell r="AD372">
            <v>904.28499999999985</v>
          </cell>
          <cell r="AE372">
            <v>904.28499999999985</v>
          </cell>
          <cell r="AF372">
            <v>904.28499999999985</v>
          </cell>
          <cell r="AG372">
            <v>904.28499999999985</v>
          </cell>
          <cell r="AH372">
            <v>904.28499999999985</v>
          </cell>
          <cell r="AI372">
            <v>904.28499999999985</v>
          </cell>
          <cell r="AJ372">
            <v>904.28499999999985</v>
          </cell>
          <cell r="AK372">
            <v>904.28499999999985</v>
          </cell>
          <cell r="AL372">
            <v>10851.419999999998</v>
          </cell>
        </row>
        <row r="373">
          <cell r="C373">
            <v>935</v>
          </cell>
          <cell r="D373" t="str">
            <v>Bridgestone</v>
          </cell>
          <cell r="E373">
            <v>3</v>
          </cell>
          <cell r="Z373">
            <v>160.11916666666667</v>
          </cell>
          <cell r="AA373">
            <v>160.11916666666667</v>
          </cell>
          <cell r="AB373">
            <v>160.11916666666667</v>
          </cell>
          <cell r="AC373">
            <v>160.11916666666667</v>
          </cell>
          <cell r="AD373">
            <v>160.11916666666667</v>
          </cell>
          <cell r="AE373">
            <v>160.11916666666667</v>
          </cell>
          <cell r="AF373">
            <v>160.11916666666667</v>
          </cell>
          <cell r="AG373">
            <v>160.11916666666667</v>
          </cell>
          <cell r="AH373">
            <v>160.11916666666667</v>
          </cell>
          <cell r="AI373">
            <v>160.11916666666667</v>
          </cell>
          <cell r="AJ373">
            <v>160.11916666666667</v>
          </cell>
          <cell r="AK373">
            <v>160.11916666666667</v>
          </cell>
          <cell r="AL373">
            <v>1921.4299999999996</v>
          </cell>
        </row>
        <row r="374">
          <cell r="C374">
            <v>936</v>
          </cell>
          <cell r="D374" t="str">
            <v>Bridgestone</v>
          </cell>
          <cell r="E374">
            <v>3</v>
          </cell>
          <cell r="Z374">
            <v>0</v>
          </cell>
          <cell r="AA374">
            <v>0</v>
          </cell>
          <cell r="AB374">
            <v>0</v>
          </cell>
          <cell r="AC374">
            <v>0</v>
          </cell>
          <cell r="AD374">
            <v>0</v>
          </cell>
          <cell r="AE374">
            <v>0</v>
          </cell>
          <cell r="AF374">
            <v>0</v>
          </cell>
          <cell r="AG374">
            <v>0</v>
          </cell>
          <cell r="AH374">
            <v>0</v>
          </cell>
          <cell r="AI374">
            <v>0</v>
          </cell>
          <cell r="AJ374">
            <v>0</v>
          </cell>
          <cell r="AK374">
            <v>0</v>
          </cell>
          <cell r="AL374">
            <v>0</v>
          </cell>
        </row>
        <row r="375">
          <cell r="Z375">
            <v>1072547.6110399829</v>
          </cell>
          <cell r="AA375">
            <v>1078696.6110399824</v>
          </cell>
          <cell r="AB375">
            <v>1087174.2010399825</v>
          </cell>
          <cell r="AC375">
            <v>1078749.0610399826</v>
          </cell>
          <cell r="AD375">
            <v>1080132.8110399826</v>
          </cell>
          <cell r="AE375">
            <v>1082148.2260399826</v>
          </cell>
          <cell r="AF375">
            <v>1080267.5110399825</v>
          </cell>
          <cell r="AG375">
            <v>1091402.9110399825</v>
          </cell>
          <cell r="AH375">
            <v>1065040.4260399828</v>
          </cell>
          <cell r="AI375">
            <v>1061686.9110399829</v>
          </cell>
          <cell r="AJ375">
            <v>1061686.9110399829</v>
          </cell>
          <cell r="AK375">
            <v>1090837.5035399825</v>
          </cell>
          <cell r="AL375">
            <v>12930370.694979791</v>
          </cell>
        </row>
      </sheetData>
      <sheetData sheetId="3">
        <row r="1">
          <cell r="C1" t="str">
            <v>Toyota Store Report page</v>
          </cell>
          <cell r="V1">
            <v>45383</v>
          </cell>
          <cell r="W1">
            <v>45413</v>
          </cell>
          <cell r="X1">
            <v>45444</v>
          </cell>
          <cell r="Y1">
            <v>45474</v>
          </cell>
          <cell r="Z1">
            <v>45505</v>
          </cell>
          <cell r="AA1">
            <v>45536</v>
          </cell>
          <cell r="AB1">
            <v>45566</v>
          </cell>
          <cell r="AC1">
            <v>45597</v>
          </cell>
          <cell r="AD1">
            <v>45627</v>
          </cell>
          <cell r="AE1">
            <v>45658</v>
          </cell>
          <cell r="AF1">
            <v>45689</v>
          </cell>
          <cell r="AG1">
            <v>45717</v>
          </cell>
        </row>
        <row r="2">
          <cell r="V2" t="str">
            <v>Projected</v>
          </cell>
          <cell r="W2" t="str">
            <v>Projected</v>
          </cell>
          <cell r="X2" t="str">
            <v>Projected</v>
          </cell>
          <cell r="Y2" t="str">
            <v>Projected</v>
          </cell>
          <cell r="Z2" t="str">
            <v>Projected</v>
          </cell>
          <cell r="AA2" t="str">
            <v>Projected</v>
          </cell>
          <cell r="AB2" t="str">
            <v>Projected</v>
          </cell>
          <cell r="AC2" t="str">
            <v>Projected</v>
          </cell>
          <cell r="AD2" t="str">
            <v>Projected</v>
          </cell>
          <cell r="AE2" t="str">
            <v>Projected</v>
          </cell>
          <cell r="AF2" t="str">
            <v>Projected</v>
          </cell>
          <cell r="AG2" t="str">
            <v>Projected</v>
          </cell>
        </row>
        <row r="5">
          <cell r="C5" t="str">
            <v>Admin &amp; Other</v>
          </cell>
          <cell r="V5">
            <v>203158.65413043476</v>
          </cell>
          <cell r="W5">
            <v>203158.65413043476</v>
          </cell>
          <cell r="X5">
            <v>203158.65413043476</v>
          </cell>
          <cell r="Y5">
            <v>203158.65413043476</v>
          </cell>
          <cell r="Z5">
            <v>203158.65413043476</v>
          </cell>
          <cell r="AA5">
            <v>203158.65413043476</v>
          </cell>
          <cell r="AB5">
            <v>203158.65413043476</v>
          </cell>
          <cell r="AC5">
            <v>203158.65413043476</v>
          </cell>
          <cell r="AD5">
            <v>203158.65413043476</v>
          </cell>
          <cell r="AE5">
            <v>203158.65413043476</v>
          </cell>
          <cell r="AF5">
            <v>203158.65413043476</v>
          </cell>
          <cell r="AG5">
            <v>203158.65413043476</v>
          </cell>
        </row>
        <row r="6">
          <cell r="C6" t="str">
            <v>LEX Admin &amp; Other</v>
          </cell>
          <cell r="V6">
            <v>59574.461449275354</v>
          </cell>
          <cell r="W6">
            <v>59574.461449275354</v>
          </cell>
          <cell r="X6">
            <v>59574.461449275354</v>
          </cell>
          <cell r="Y6">
            <v>59574.461449275354</v>
          </cell>
          <cell r="Z6">
            <v>59574.461449275354</v>
          </cell>
          <cell r="AA6">
            <v>59574.461449275354</v>
          </cell>
          <cell r="AB6">
            <v>59574.461449275354</v>
          </cell>
          <cell r="AC6">
            <v>59574.461449275354</v>
          </cell>
          <cell r="AD6">
            <v>59574.461449275354</v>
          </cell>
          <cell r="AE6">
            <v>59574.461449275354</v>
          </cell>
          <cell r="AF6">
            <v>59574.461449275354</v>
          </cell>
          <cell r="AG6">
            <v>59574.461449275354</v>
          </cell>
        </row>
        <row r="7">
          <cell r="C7" t="str">
            <v>Admin &amp; Other</v>
          </cell>
          <cell r="V7">
            <v>3819.4444444444439</v>
          </cell>
          <cell r="W7">
            <v>3819.4444444444439</v>
          </cell>
          <cell r="X7">
            <v>3819.4444444444439</v>
          </cell>
          <cell r="Y7">
            <v>3819.4444444444439</v>
          </cell>
          <cell r="Z7">
            <v>3819.4444444444439</v>
          </cell>
          <cell r="AA7">
            <v>3819.4444444444439</v>
          </cell>
          <cell r="AB7">
            <v>3819.4444444444439</v>
          </cell>
          <cell r="AC7">
            <v>3819.4444444444439</v>
          </cell>
          <cell r="AD7">
            <v>3819.4444444444439</v>
          </cell>
          <cell r="AE7">
            <v>3819.4444444444439</v>
          </cell>
          <cell r="AF7">
            <v>3819.4444444444439</v>
          </cell>
          <cell r="AG7">
            <v>3819.4444444444439</v>
          </cell>
        </row>
        <row r="8">
          <cell r="C8" t="str">
            <v>LEX Admin &amp; Other</v>
          </cell>
          <cell r="V8">
            <v>1180.5555555555554</v>
          </cell>
          <cell r="W8">
            <v>1180.5555555555554</v>
          </cell>
          <cell r="X8">
            <v>1180.5555555555554</v>
          </cell>
          <cell r="Y8">
            <v>1180.5555555555554</v>
          </cell>
          <cell r="Z8">
            <v>1180.5555555555554</v>
          </cell>
          <cell r="AA8">
            <v>1180.5555555555554</v>
          </cell>
          <cell r="AB8">
            <v>1180.5555555555554</v>
          </cell>
          <cell r="AC8">
            <v>1180.5555555555554</v>
          </cell>
          <cell r="AD8">
            <v>1180.5555555555554</v>
          </cell>
          <cell r="AE8">
            <v>1180.5555555555554</v>
          </cell>
          <cell r="AF8">
            <v>1180.5555555555554</v>
          </cell>
          <cell r="AG8">
            <v>1180.5555555555554</v>
          </cell>
        </row>
        <row r="9">
          <cell r="C9" t="str">
            <v>Admin &amp; Other</v>
          </cell>
          <cell r="V9">
            <v>913.27499999999998</v>
          </cell>
          <cell r="W9">
            <v>913.27499999999998</v>
          </cell>
          <cell r="X9">
            <v>913.27499999999998</v>
          </cell>
          <cell r="Y9">
            <v>913.27499999999998</v>
          </cell>
          <cell r="Z9">
            <v>913.27499999999998</v>
          </cell>
          <cell r="AA9">
            <v>913.27499999999998</v>
          </cell>
          <cell r="AB9">
            <v>913.27499999999998</v>
          </cell>
          <cell r="AC9">
            <v>913.27499999999998</v>
          </cell>
          <cell r="AD9">
            <v>913.27499999999998</v>
          </cell>
          <cell r="AE9">
            <v>913.27499999999998</v>
          </cell>
          <cell r="AF9">
            <v>913.27499999999998</v>
          </cell>
          <cell r="AG9">
            <v>913.27499999999998</v>
          </cell>
        </row>
        <row r="10">
          <cell r="C10" t="str">
            <v>LEX Admin &amp; Other</v>
          </cell>
          <cell r="V10">
            <v>200.47499999999999</v>
          </cell>
          <cell r="W10">
            <v>200.47499999999999</v>
          </cell>
          <cell r="X10">
            <v>200.47499999999999</v>
          </cell>
          <cell r="Y10">
            <v>200.47499999999999</v>
          </cell>
          <cell r="Z10">
            <v>200.47499999999999</v>
          </cell>
          <cell r="AA10">
            <v>200.47499999999999</v>
          </cell>
          <cell r="AB10">
            <v>200.47499999999999</v>
          </cell>
          <cell r="AC10">
            <v>200.47499999999999</v>
          </cell>
          <cell r="AD10">
            <v>200.47499999999999</v>
          </cell>
          <cell r="AE10">
            <v>200.47499999999999</v>
          </cell>
          <cell r="AF10">
            <v>200.47499999999999</v>
          </cell>
          <cell r="AG10">
            <v>200.47499999999999</v>
          </cell>
        </row>
        <row r="11">
          <cell r="C11" t="str">
            <v>Admin &amp; Other</v>
          </cell>
          <cell r="V11">
            <v>10884.013636363636</v>
          </cell>
          <cell r="W11">
            <v>10884.013636363636</v>
          </cell>
          <cell r="X11">
            <v>10884.013636363636</v>
          </cell>
          <cell r="Y11">
            <v>10884.013636363636</v>
          </cell>
          <cell r="Z11">
            <v>10884.013636363636</v>
          </cell>
          <cell r="AA11">
            <v>10884.013636363636</v>
          </cell>
          <cell r="AB11">
            <v>10884.013636363636</v>
          </cell>
          <cell r="AC11">
            <v>10884.013636363636</v>
          </cell>
          <cell r="AD11">
            <v>10884.013636363636</v>
          </cell>
          <cell r="AE11">
            <v>10884.013636363636</v>
          </cell>
          <cell r="AF11">
            <v>10884.013636363636</v>
          </cell>
          <cell r="AG11">
            <v>10884.013636363636</v>
          </cell>
        </row>
        <row r="12">
          <cell r="C12" t="str">
            <v>LEX Admin &amp; Other</v>
          </cell>
          <cell r="V12">
            <v>3345.8063636363627</v>
          </cell>
          <cell r="W12">
            <v>3345.8063636363627</v>
          </cell>
          <cell r="X12">
            <v>3345.8063636363627</v>
          </cell>
          <cell r="Y12">
            <v>3345.8063636363627</v>
          </cell>
          <cell r="Z12">
            <v>3345.8063636363627</v>
          </cell>
          <cell r="AA12">
            <v>3345.8063636363627</v>
          </cell>
          <cell r="AB12">
            <v>3345.8063636363627</v>
          </cell>
          <cell r="AC12">
            <v>3345.8063636363627</v>
          </cell>
          <cell r="AD12">
            <v>3345.8063636363627</v>
          </cell>
          <cell r="AE12">
            <v>3345.8063636363627</v>
          </cell>
          <cell r="AF12">
            <v>3345.8063636363627</v>
          </cell>
          <cell r="AG12">
            <v>3345.8063636363627</v>
          </cell>
        </row>
        <row r="13">
          <cell r="C13" t="str">
            <v>Admin &amp; Other</v>
          </cell>
          <cell r="V13">
            <v>236.72818181818181</v>
          </cell>
          <cell r="W13">
            <v>236.72818181818181</v>
          </cell>
          <cell r="X13">
            <v>236.72818181818181</v>
          </cell>
          <cell r="Y13">
            <v>236.72818181818181</v>
          </cell>
          <cell r="Z13">
            <v>236.72818181818181</v>
          </cell>
          <cell r="AA13">
            <v>236.72818181818181</v>
          </cell>
          <cell r="AB13">
            <v>236.72818181818181</v>
          </cell>
          <cell r="AC13">
            <v>236.72818181818181</v>
          </cell>
          <cell r="AD13">
            <v>236.72818181818181</v>
          </cell>
          <cell r="AE13">
            <v>236.72818181818181</v>
          </cell>
          <cell r="AF13">
            <v>236.72818181818181</v>
          </cell>
          <cell r="AG13">
            <v>236.72818181818181</v>
          </cell>
        </row>
        <row r="14">
          <cell r="C14" t="str">
            <v>LEX Admin &amp; Other</v>
          </cell>
          <cell r="V14">
            <v>57.844545454545454</v>
          </cell>
          <cell r="W14">
            <v>57.844545454545454</v>
          </cell>
          <cell r="X14">
            <v>57.844545454545454</v>
          </cell>
          <cell r="Y14">
            <v>57.844545454545454</v>
          </cell>
          <cell r="Z14">
            <v>57.844545454545454</v>
          </cell>
          <cell r="AA14">
            <v>57.844545454545454</v>
          </cell>
          <cell r="AB14">
            <v>57.844545454545454</v>
          </cell>
          <cell r="AC14">
            <v>57.844545454545454</v>
          </cell>
          <cell r="AD14">
            <v>57.844545454545454</v>
          </cell>
          <cell r="AE14">
            <v>57.844545454545454</v>
          </cell>
          <cell r="AF14">
            <v>57.844545454545454</v>
          </cell>
          <cell r="AG14">
            <v>57.844545454545454</v>
          </cell>
        </row>
        <row r="15">
          <cell r="C15" t="str">
            <v>Admin &amp; Other</v>
          </cell>
          <cell r="V15">
            <v>2678.0172727272729</v>
          </cell>
          <cell r="W15">
            <v>2678.0172727272729</v>
          </cell>
          <cell r="X15">
            <v>2678.0172727272729</v>
          </cell>
          <cell r="Y15">
            <v>2678.0172727272729</v>
          </cell>
          <cell r="Z15">
            <v>2678.0172727272729</v>
          </cell>
          <cell r="AA15">
            <v>2678.0172727272729</v>
          </cell>
          <cell r="AB15">
            <v>2678.0172727272729</v>
          </cell>
          <cell r="AC15">
            <v>2678.0172727272729</v>
          </cell>
          <cell r="AD15">
            <v>2678.0172727272729</v>
          </cell>
          <cell r="AE15">
            <v>2678.0172727272729</v>
          </cell>
          <cell r="AF15">
            <v>2678.0172727272729</v>
          </cell>
          <cell r="AG15">
            <v>2678.0172727272729</v>
          </cell>
        </row>
        <row r="16">
          <cell r="C16" t="str">
            <v>LEX Admin &amp; Other</v>
          </cell>
          <cell r="V16">
            <v>131.81818181818181</v>
          </cell>
          <cell r="W16">
            <v>131.81818181818181</v>
          </cell>
          <cell r="X16">
            <v>131.81818181818181</v>
          </cell>
          <cell r="Y16">
            <v>131.81818181818181</v>
          </cell>
          <cell r="Z16">
            <v>131.81818181818181</v>
          </cell>
          <cell r="AA16">
            <v>131.81818181818181</v>
          </cell>
          <cell r="AB16">
            <v>131.81818181818181</v>
          </cell>
          <cell r="AC16">
            <v>131.81818181818181</v>
          </cell>
          <cell r="AD16">
            <v>131.81818181818181</v>
          </cell>
          <cell r="AE16">
            <v>131.81818181818181</v>
          </cell>
          <cell r="AF16">
            <v>131.81818181818181</v>
          </cell>
          <cell r="AG16">
            <v>131.81818181818181</v>
          </cell>
        </row>
        <row r="17">
          <cell r="C17" t="str">
            <v>Admin &amp; Other</v>
          </cell>
        </row>
        <row r="18">
          <cell r="C18" t="str">
            <v>LEX Admin &amp; Other</v>
          </cell>
        </row>
        <row r="19">
          <cell r="C19" t="str">
            <v>Admin &amp; Other</v>
          </cell>
          <cell r="V19">
            <v>58.984545454545447</v>
          </cell>
          <cell r="W19">
            <v>58.984545454545447</v>
          </cell>
          <cell r="X19">
            <v>58.984545454545447</v>
          </cell>
          <cell r="Y19">
            <v>58.984545454545447</v>
          </cell>
          <cell r="Z19">
            <v>58.984545454545447</v>
          </cell>
          <cell r="AA19">
            <v>58.984545454545447</v>
          </cell>
          <cell r="AB19">
            <v>58.984545454545447</v>
          </cell>
          <cell r="AC19">
            <v>58.984545454545447</v>
          </cell>
          <cell r="AD19">
            <v>58.984545454545447</v>
          </cell>
          <cell r="AE19">
            <v>58.984545454545447</v>
          </cell>
          <cell r="AF19">
            <v>58.984545454545447</v>
          </cell>
          <cell r="AG19">
            <v>58.984545454545447</v>
          </cell>
        </row>
        <row r="20">
          <cell r="C20" t="str">
            <v>Admin &amp; Other</v>
          </cell>
          <cell r="V20">
            <v>92.775454545454537</v>
          </cell>
          <cell r="W20">
            <v>92.775454545454537</v>
          </cell>
          <cell r="X20">
            <v>92.775454545454537</v>
          </cell>
          <cell r="Y20">
            <v>92.775454545454537</v>
          </cell>
          <cell r="Z20">
            <v>92.775454545454537</v>
          </cell>
          <cell r="AA20">
            <v>92.775454545454537</v>
          </cell>
          <cell r="AB20">
            <v>92.775454545454537</v>
          </cell>
          <cell r="AC20">
            <v>92.775454545454537</v>
          </cell>
          <cell r="AD20">
            <v>92.775454545454537</v>
          </cell>
          <cell r="AE20">
            <v>92.775454545454537</v>
          </cell>
          <cell r="AF20">
            <v>92.775454545454537</v>
          </cell>
          <cell r="AG20">
            <v>92.775454545454537</v>
          </cell>
        </row>
        <row r="21">
          <cell r="C21" t="str">
            <v>Admin &amp; Other</v>
          </cell>
          <cell r="V21">
            <v>9946.1666666666661</v>
          </cell>
          <cell r="W21">
            <v>9946.1666666666661</v>
          </cell>
          <cell r="X21">
            <v>9946.1666666666661</v>
          </cell>
          <cell r="Y21">
            <v>9946.1666666666661</v>
          </cell>
          <cell r="Z21">
            <v>9946.1666666666661</v>
          </cell>
          <cell r="AA21">
            <v>9946.1666666666661</v>
          </cell>
          <cell r="AB21">
            <v>9946.1666666666661</v>
          </cell>
          <cell r="AC21">
            <v>9946.1666666666661</v>
          </cell>
          <cell r="AD21">
            <v>9946.1666666666661</v>
          </cell>
          <cell r="AE21">
            <v>9946.1666666666661</v>
          </cell>
          <cell r="AF21">
            <v>9946.1666666666661</v>
          </cell>
          <cell r="AG21">
            <v>9946.1666666666661</v>
          </cell>
        </row>
        <row r="22">
          <cell r="C22" t="str">
            <v>LEX Admin &amp; Other</v>
          </cell>
          <cell r="V22">
            <v>2037.1666666666667</v>
          </cell>
          <cell r="W22">
            <v>2037.1666666666667</v>
          </cell>
          <cell r="X22">
            <v>2037.1666666666667</v>
          </cell>
          <cell r="Y22">
            <v>2037.1666666666667</v>
          </cell>
          <cell r="Z22">
            <v>2037.1666666666667</v>
          </cell>
          <cell r="AA22">
            <v>2037.1666666666667</v>
          </cell>
          <cell r="AB22">
            <v>2037.1666666666667</v>
          </cell>
          <cell r="AC22">
            <v>2037.1666666666667</v>
          </cell>
          <cell r="AD22">
            <v>2037.1666666666667</v>
          </cell>
          <cell r="AE22">
            <v>2037.1666666666667</v>
          </cell>
          <cell r="AF22">
            <v>2037.1666666666667</v>
          </cell>
          <cell r="AG22">
            <v>2037.1666666666667</v>
          </cell>
        </row>
        <row r="23">
          <cell r="C23" t="str">
            <v>Admin &amp; Other</v>
          </cell>
          <cell r="V23">
            <v>28372</v>
          </cell>
          <cell r="W23">
            <v>28372</v>
          </cell>
          <cell r="X23">
            <v>28372</v>
          </cell>
          <cell r="Y23">
            <v>28372</v>
          </cell>
          <cell r="Z23">
            <v>28372</v>
          </cell>
          <cell r="AA23">
            <v>28372</v>
          </cell>
          <cell r="AB23">
            <v>28372</v>
          </cell>
          <cell r="AC23">
            <v>28372</v>
          </cell>
          <cell r="AD23">
            <v>28372</v>
          </cell>
          <cell r="AE23">
            <v>28372</v>
          </cell>
          <cell r="AF23">
            <v>28372</v>
          </cell>
          <cell r="AG23">
            <v>28372</v>
          </cell>
        </row>
        <row r="24">
          <cell r="C24" t="str">
            <v>LEX Admin &amp; Other</v>
          </cell>
          <cell r="V24">
            <v>6228</v>
          </cell>
          <cell r="W24">
            <v>6228</v>
          </cell>
          <cell r="X24">
            <v>6228</v>
          </cell>
          <cell r="Y24">
            <v>6228</v>
          </cell>
          <cell r="Z24">
            <v>6228</v>
          </cell>
          <cell r="AA24">
            <v>6228</v>
          </cell>
          <cell r="AB24">
            <v>6228</v>
          </cell>
          <cell r="AC24">
            <v>6228</v>
          </cell>
          <cell r="AD24">
            <v>6228</v>
          </cell>
          <cell r="AE24">
            <v>6228</v>
          </cell>
          <cell r="AF24">
            <v>6228</v>
          </cell>
          <cell r="AG24">
            <v>6228</v>
          </cell>
        </row>
        <row r="25">
          <cell r="C25" t="str">
            <v>Admin &amp; Other</v>
          </cell>
          <cell r="V25">
            <v>6300</v>
          </cell>
          <cell r="W25">
            <v>6300</v>
          </cell>
          <cell r="X25">
            <v>6300</v>
          </cell>
          <cell r="Y25">
            <v>6300</v>
          </cell>
          <cell r="Z25">
            <v>6300</v>
          </cell>
          <cell r="AA25">
            <v>6300</v>
          </cell>
          <cell r="AB25">
            <v>6300</v>
          </cell>
          <cell r="AC25">
            <v>6300</v>
          </cell>
          <cell r="AD25">
            <v>6300</v>
          </cell>
          <cell r="AE25">
            <v>6300</v>
          </cell>
          <cell r="AF25">
            <v>6300</v>
          </cell>
          <cell r="AG25">
            <v>6300</v>
          </cell>
        </row>
        <row r="26">
          <cell r="C26" t="str">
            <v>LEX Admin &amp; Other</v>
          </cell>
          <cell r="V26">
            <v>1200</v>
          </cell>
          <cell r="W26">
            <v>1200</v>
          </cell>
          <cell r="X26">
            <v>1200</v>
          </cell>
          <cell r="Y26">
            <v>1200</v>
          </cell>
          <cell r="Z26">
            <v>1200</v>
          </cell>
          <cell r="AA26">
            <v>1200</v>
          </cell>
          <cell r="AB26">
            <v>1200</v>
          </cell>
          <cell r="AC26">
            <v>1200</v>
          </cell>
          <cell r="AD26">
            <v>1200</v>
          </cell>
          <cell r="AE26">
            <v>1200</v>
          </cell>
          <cell r="AF26">
            <v>1200</v>
          </cell>
          <cell r="AG26">
            <v>1200</v>
          </cell>
        </row>
        <row r="27">
          <cell r="C27" t="str">
            <v>Admin &amp; Other</v>
          </cell>
          <cell r="V27">
            <v>3529.7518181818177</v>
          </cell>
          <cell r="W27">
            <v>3529.7518181818177</v>
          </cell>
          <cell r="X27">
            <v>3529.7518181818177</v>
          </cell>
          <cell r="Y27">
            <v>3529.7518181818177</v>
          </cell>
          <cell r="Z27">
            <v>3529.7518181818177</v>
          </cell>
          <cell r="AA27">
            <v>3529.7518181818177</v>
          </cell>
          <cell r="AB27">
            <v>3529.7518181818177</v>
          </cell>
          <cell r="AC27">
            <v>3529.7518181818177</v>
          </cell>
          <cell r="AD27">
            <v>3529.7518181818177</v>
          </cell>
          <cell r="AE27">
            <v>3529.7518181818177</v>
          </cell>
          <cell r="AF27">
            <v>3529.7518181818177</v>
          </cell>
          <cell r="AG27">
            <v>3529.7518181818177</v>
          </cell>
        </row>
        <row r="28">
          <cell r="C28" t="str">
            <v>LEX Admin &amp; Other</v>
          </cell>
          <cell r="V28">
            <v>784.97818181818184</v>
          </cell>
          <cell r="W28">
            <v>784.97818181818184</v>
          </cell>
          <cell r="X28">
            <v>784.97818181818184</v>
          </cell>
          <cell r="Y28">
            <v>784.97818181818184</v>
          </cell>
          <cell r="Z28">
            <v>784.97818181818184</v>
          </cell>
          <cell r="AA28">
            <v>784.97818181818184</v>
          </cell>
          <cell r="AB28">
            <v>784.97818181818184</v>
          </cell>
          <cell r="AC28">
            <v>784.97818181818184</v>
          </cell>
          <cell r="AD28">
            <v>784.97818181818184</v>
          </cell>
          <cell r="AE28">
            <v>784.97818181818184</v>
          </cell>
          <cell r="AF28">
            <v>784.97818181818184</v>
          </cell>
          <cell r="AG28">
            <v>784.97818181818184</v>
          </cell>
        </row>
        <row r="29">
          <cell r="C29" t="str">
            <v>Admin &amp; Other</v>
          </cell>
          <cell r="V29">
            <v>10672.916666666666</v>
          </cell>
          <cell r="W29">
            <v>10672.916666666666</v>
          </cell>
          <cell r="X29">
            <v>10672.916666666666</v>
          </cell>
          <cell r="Y29">
            <v>10672.916666666666</v>
          </cell>
          <cell r="Z29">
            <v>10672.916666666666</v>
          </cell>
          <cell r="AA29">
            <v>10672.916666666666</v>
          </cell>
          <cell r="AB29">
            <v>10672.916666666666</v>
          </cell>
          <cell r="AC29">
            <v>10672.916666666666</v>
          </cell>
          <cell r="AD29">
            <v>10672.916666666666</v>
          </cell>
          <cell r="AE29">
            <v>10672.916666666666</v>
          </cell>
          <cell r="AF29">
            <v>10672.916666666666</v>
          </cell>
          <cell r="AG29">
            <v>10672.916666666666</v>
          </cell>
        </row>
        <row r="30">
          <cell r="C30" t="str">
            <v>LEX Admin &amp; Other</v>
          </cell>
          <cell r="V30">
            <v>681.25</v>
          </cell>
          <cell r="W30">
            <v>681.25</v>
          </cell>
          <cell r="X30">
            <v>681.25</v>
          </cell>
          <cell r="Y30">
            <v>681.25</v>
          </cell>
          <cell r="Z30">
            <v>681.25</v>
          </cell>
          <cell r="AA30">
            <v>681.25</v>
          </cell>
          <cell r="AB30">
            <v>681.25</v>
          </cell>
          <cell r="AC30">
            <v>681.25</v>
          </cell>
          <cell r="AD30">
            <v>681.25</v>
          </cell>
          <cell r="AE30">
            <v>681.25</v>
          </cell>
          <cell r="AF30">
            <v>681.25</v>
          </cell>
          <cell r="AG30">
            <v>681.25</v>
          </cell>
        </row>
        <row r="31">
          <cell r="C31" t="str">
            <v>Admin &amp; Other</v>
          </cell>
          <cell r="V31">
            <v>380.28818181818178</v>
          </cell>
          <cell r="W31">
            <v>380.28818181818178</v>
          </cell>
          <cell r="X31">
            <v>380.28818181818178</v>
          </cell>
          <cell r="Y31">
            <v>380.28818181818178</v>
          </cell>
          <cell r="Z31">
            <v>380.28818181818178</v>
          </cell>
          <cell r="AA31">
            <v>380.28818181818178</v>
          </cell>
          <cell r="AB31">
            <v>380.28818181818178</v>
          </cell>
          <cell r="AC31">
            <v>380.28818181818178</v>
          </cell>
          <cell r="AD31">
            <v>380.28818181818178</v>
          </cell>
          <cell r="AE31">
            <v>380.28818181818178</v>
          </cell>
          <cell r="AF31">
            <v>380.28818181818178</v>
          </cell>
          <cell r="AG31">
            <v>380.28818181818178</v>
          </cell>
        </row>
        <row r="32">
          <cell r="C32" t="str">
            <v>Admin &amp; Other</v>
          </cell>
          <cell r="V32">
            <v>2945.7999999999997</v>
          </cell>
          <cell r="W32">
            <v>2945.7999999999997</v>
          </cell>
          <cell r="X32">
            <v>2945.7999999999997</v>
          </cell>
          <cell r="Y32">
            <v>2945.7999999999997</v>
          </cell>
          <cell r="Z32">
            <v>2945.7999999999997</v>
          </cell>
          <cell r="AA32">
            <v>2945.7999999999997</v>
          </cell>
          <cell r="AB32">
            <v>2945.7999999999997</v>
          </cell>
          <cell r="AC32">
            <v>2945.7999999999997</v>
          </cell>
          <cell r="AD32">
            <v>2945.7999999999997</v>
          </cell>
          <cell r="AE32">
            <v>2945.7999999999997</v>
          </cell>
          <cell r="AF32">
            <v>2945.7999999999997</v>
          </cell>
          <cell r="AG32">
            <v>2945.7999999999997</v>
          </cell>
        </row>
        <row r="33">
          <cell r="C33" t="str">
            <v>LEX Admin &amp; Other</v>
          </cell>
          <cell r="V33">
            <v>830.86666666666667</v>
          </cell>
          <cell r="W33">
            <v>830.86666666666667</v>
          </cell>
          <cell r="X33">
            <v>830.86666666666667</v>
          </cell>
          <cell r="Y33">
            <v>830.86666666666667</v>
          </cell>
          <cell r="Z33">
            <v>830.86666666666667</v>
          </cell>
          <cell r="AA33">
            <v>830.86666666666667</v>
          </cell>
          <cell r="AB33">
            <v>830.86666666666667</v>
          </cell>
          <cell r="AC33">
            <v>830.86666666666667</v>
          </cell>
          <cell r="AD33">
            <v>830.86666666666667</v>
          </cell>
          <cell r="AE33">
            <v>830.86666666666667</v>
          </cell>
          <cell r="AF33">
            <v>830.86666666666667</v>
          </cell>
          <cell r="AG33">
            <v>830.86666666666667</v>
          </cell>
        </row>
        <row r="34">
          <cell r="C34" t="str">
            <v>Admin &amp; Other</v>
          </cell>
        </row>
        <row r="35">
          <cell r="C35" t="str">
            <v>Admin &amp; Other</v>
          </cell>
          <cell r="V35">
            <v>20250.000000000004</v>
          </cell>
          <cell r="W35">
            <v>20250.000000000004</v>
          </cell>
          <cell r="X35">
            <v>20250.000000000004</v>
          </cell>
          <cell r="Y35">
            <v>20250.000000000004</v>
          </cell>
          <cell r="Z35">
            <v>20250.000000000004</v>
          </cell>
          <cell r="AA35">
            <v>20250.000000000004</v>
          </cell>
          <cell r="AB35">
            <v>20250.000000000004</v>
          </cell>
          <cell r="AC35">
            <v>20250.000000000004</v>
          </cell>
          <cell r="AD35">
            <v>20250.000000000004</v>
          </cell>
          <cell r="AE35">
            <v>20250.000000000004</v>
          </cell>
          <cell r="AF35">
            <v>20250.000000000004</v>
          </cell>
          <cell r="AG35">
            <v>20250.000000000004</v>
          </cell>
        </row>
        <row r="36">
          <cell r="C36" t="str">
            <v>LEX Admin &amp; Other</v>
          </cell>
          <cell r="V36">
            <v>4750</v>
          </cell>
          <cell r="W36">
            <v>4750</v>
          </cell>
          <cell r="X36">
            <v>4750</v>
          </cell>
          <cell r="Y36">
            <v>4750</v>
          </cell>
          <cell r="Z36">
            <v>4750</v>
          </cell>
          <cell r="AA36">
            <v>4750</v>
          </cell>
          <cell r="AB36">
            <v>4750</v>
          </cell>
          <cell r="AC36">
            <v>4750</v>
          </cell>
          <cell r="AD36">
            <v>4750</v>
          </cell>
          <cell r="AE36">
            <v>4750</v>
          </cell>
          <cell r="AF36">
            <v>4750</v>
          </cell>
          <cell r="AG36">
            <v>4750</v>
          </cell>
        </row>
        <row r="37">
          <cell r="C37" t="str">
            <v>Admin &amp; Other</v>
          </cell>
          <cell r="V37">
            <v>6375</v>
          </cell>
          <cell r="W37">
            <v>6375</v>
          </cell>
          <cell r="X37">
            <v>6375</v>
          </cell>
          <cell r="Y37">
            <v>6375</v>
          </cell>
          <cell r="Z37">
            <v>6375</v>
          </cell>
          <cell r="AA37">
            <v>6375</v>
          </cell>
          <cell r="AB37">
            <v>6375</v>
          </cell>
          <cell r="AC37">
            <v>6375</v>
          </cell>
          <cell r="AD37">
            <v>6375</v>
          </cell>
          <cell r="AE37">
            <v>6375</v>
          </cell>
          <cell r="AF37">
            <v>6375</v>
          </cell>
          <cell r="AG37">
            <v>6375</v>
          </cell>
        </row>
        <row r="38">
          <cell r="C38" t="str">
            <v>LEX Admin &amp; Other</v>
          </cell>
          <cell r="V38">
            <v>708.33333333333337</v>
          </cell>
          <cell r="W38">
            <v>708.33333333333337</v>
          </cell>
          <cell r="X38">
            <v>708.33333333333337</v>
          </cell>
          <cell r="Y38">
            <v>708.33333333333337</v>
          </cell>
          <cell r="Z38">
            <v>708.33333333333337</v>
          </cell>
          <cell r="AA38">
            <v>708.33333333333337</v>
          </cell>
          <cell r="AB38">
            <v>708.33333333333337</v>
          </cell>
          <cell r="AC38">
            <v>708.33333333333337</v>
          </cell>
          <cell r="AD38">
            <v>708.33333333333337</v>
          </cell>
          <cell r="AE38">
            <v>708.33333333333337</v>
          </cell>
          <cell r="AF38">
            <v>708.33333333333337</v>
          </cell>
          <cell r="AG38">
            <v>708.33333333333337</v>
          </cell>
        </row>
        <row r="39">
          <cell r="C39" t="str">
            <v>Admin &amp; Other</v>
          </cell>
          <cell r="V39">
            <v>3833.3333333333335</v>
          </cell>
          <cell r="W39">
            <v>3833.3333333333335</v>
          </cell>
          <cell r="X39">
            <v>3833.3333333333335</v>
          </cell>
          <cell r="Y39">
            <v>3833.3333333333335</v>
          </cell>
          <cell r="Z39">
            <v>3833.3333333333335</v>
          </cell>
          <cell r="AA39">
            <v>3833.3333333333335</v>
          </cell>
          <cell r="AB39">
            <v>3833.3333333333335</v>
          </cell>
          <cell r="AC39">
            <v>3833.3333333333335</v>
          </cell>
          <cell r="AD39">
            <v>3833.3333333333335</v>
          </cell>
          <cell r="AE39">
            <v>3833.3333333333335</v>
          </cell>
          <cell r="AF39">
            <v>3833.3333333333335</v>
          </cell>
          <cell r="AG39">
            <v>3833.3333333333335</v>
          </cell>
        </row>
        <row r="40">
          <cell r="C40" t="str">
            <v>LEX Admin &amp; Other</v>
          </cell>
          <cell r="V40">
            <v>333.33333333333331</v>
          </cell>
          <cell r="W40">
            <v>333.33333333333331</v>
          </cell>
          <cell r="X40">
            <v>333.33333333333331</v>
          </cell>
          <cell r="Y40">
            <v>333.33333333333331</v>
          </cell>
          <cell r="Z40">
            <v>333.33333333333331</v>
          </cell>
          <cell r="AA40">
            <v>333.33333333333331</v>
          </cell>
          <cell r="AB40">
            <v>333.33333333333331</v>
          </cell>
          <cell r="AC40">
            <v>333.33333333333331</v>
          </cell>
          <cell r="AD40">
            <v>333.33333333333331</v>
          </cell>
          <cell r="AE40">
            <v>333.33333333333331</v>
          </cell>
          <cell r="AF40">
            <v>333.33333333333331</v>
          </cell>
          <cell r="AG40">
            <v>333.33333333333331</v>
          </cell>
        </row>
        <row r="41">
          <cell r="C41" t="str">
            <v>Admin &amp; Other</v>
          </cell>
          <cell r="V41">
            <v>3270</v>
          </cell>
          <cell r="W41">
            <v>3270</v>
          </cell>
          <cell r="X41">
            <v>3270</v>
          </cell>
          <cell r="Y41">
            <v>3270</v>
          </cell>
          <cell r="Z41">
            <v>3270</v>
          </cell>
          <cell r="AA41">
            <v>3270</v>
          </cell>
          <cell r="AB41">
            <v>3270</v>
          </cell>
          <cell r="AC41">
            <v>3270</v>
          </cell>
          <cell r="AD41">
            <v>3270</v>
          </cell>
          <cell r="AE41">
            <v>3270</v>
          </cell>
          <cell r="AF41">
            <v>3270</v>
          </cell>
          <cell r="AG41">
            <v>3270</v>
          </cell>
        </row>
        <row r="42">
          <cell r="C42" t="str">
            <v>LEX Admin &amp; Other</v>
          </cell>
          <cell r="V42">
            <v>3270</v>
          </cell>
          <cell r="W42">
            <v>3270</v>
          </cell>
          <cell r="X42">
            <v>3270</v>
          </cell>
          <cell r="Y42">
            <v>3270</v>
          </cell>
          <cell r="Z42">
            <v>3270</v>
          </cell>
          <cell r="AA42">
            <v>3270</v>
          </cell>
          <cell r="AB42">
            <v>3270</v>
          </cell>
          <cell r="AC42">
            <v>3270</v>
          </cell>
          <cell r="AD42">
            <v>3270</v>
          </cell>
          <cell r="AE42">
            <v>3270</v>
          </cell>
          <cell r="AF42">
            <v>3270</v>
          </cell>
          <cell r="AG42">
            <v>3270</v>
          </cell>
        </row>
        <row r="43">
          <cell r="C43" t="str">
            <v>Admin &amp; Other</v>
          </cell>
          <cell r="V43">
            <v>0</v>
          </cell>
          <cell r="W43">
            <v>0</v>
          </cell>
          <cell r="X43">
            <v>0</v>
          </cell>
          <cell r="Y43">
            <v>0</v>
          </cell>
          <cell r="Z43">
            <v>0</v>
          </cell>
          <cell r="AA43">
            <v>0</v>
          </cell>
          <cell r="AB43">
            <v>0</v>
          </cell>
          <cell r="AC43">
            <v>0</v>
          </cell>
          <cell r="AD43">
            <v>0</v>
          </cell>
          <cell r="AE43">
            <v>0</v>
          </cell>
          <cell r="AF43">
            <v>0</v>
          </cell>
          <cell r="AG43">
            <v>0</v>
          </cell>
        </row>
        <row r="44">
          <cell r="C44" t="str">
            <v>LEX Admin &amp; Other</v>
          </cell>
          <cell r="V44">
            <v>0</v>
          </cell>
          <cell r="W44">
            <v>0</v>
          </cell>
          <cell r="X44">
            <v>0</v>
          </cell>
          <cell r="Y44">
            <v>0</v>
          </cell>
          <cell r="Z44">
            <v>0</v>
          </cell>
          <cell r="AA44">
            <v>0</v>
          </cell>
          <cell r="AB44">
            <v>0</v>
          </cell>
          <cell r="AC44">
            <v>0</v>
          </cell>
          <cell r="AD44">
            <v>0</v>
          </cell>
          <cell r="AE44">
            <v>0</v>
          </cell>
          <cell r="AF44">
            <v>0</v>
          </cell>
          <cell r="AG44">
            <v>0</v>
          </cell>
        </row>
        <row r="45">
          <cell r="C45" t="str">
            <v>Admin &amp; Other</v>
          </cell>
          <cell r="V45">
            <v>15843.187272727273</v>
          </cell>
          <cell r="W45">
            <v>15843.187272727273</v>
          </cell>
          <cell r="X45">
            <v>15843.187272727273</v>
          </cell>
          <cell r="Y45">
            <v>15843.187272727273</v>
          </cell>
          <cell r="Z45">
            <v>15843.187272727273</v>
          </cell>
          <cell r="AA45">
            <v>15843.187272727273</v>
          </cell>
          <cell r="AB45">
            <v>15843.187272727273</v>
          </cell>
          <cell r="AC45">
            <v>15843.187272727273</v>
          </cell>
          <cell r="AD45">
            <v>15843.187272727273</v>
          </cell>
          <cell r="AE45">
            <v>15843.187272727273</v>
          </cell>
          <cell r="AF45">
            <v>15843.187272727273</v>
          </cell>
          <cell r="AG45">
            <v>15843.187272727273</v>
          </cell>
        </row>
        <row r="46">
          <cell r="C46" t="str">
            <v>LEX Admin &amp; Other</v>
          </cell>
          <cell r="V46">
            <v>3008.2763636363634</v>
          </cell>
          <cell r="W46">
            <v>3008.2763636363634</v>
          </cell>
          <cell r="X46">
            <v>3008.2763636363634</v>
          </cell>
          <cell r="Y46">
            <v>3008.2763636363634</v>
          </cell>
          <cell r="Z46">
            <v>3008.2763636363634</v>
          </cell>
          <cell r="AA46">
            <v>3008.2763636363634</v>
          </cell>
          <cell r="AB46">
            <v>3008.2763636363634</v>
          </cell>
          <cell r="AC46">
            <v>3008.2763636363634</v>
          </cell>
          <cell r="AD46">
            <v>3008.2763636363634</v>
          </cell>
          <cell r="AE46">
            <v>3008.2763636363634</v>
          </cell>
          <cell r="AF46">
            <v>3008.2763636363634</v>
          </cell>
          <cell r="AG46">
            <v>3008.2763636363634</v>
          </cell>
        </row>
        <row r="47">
          <cell r="C47" t="str">
            <v>Admin &amp; Other</v>
          </cell>
          <cell r="V47">
            <v>15.454545454545455</v>
          </cell>
          <cell r="W47">
            <v>15.454545454545455</v>
          </cell>
          <cell r="X47">
            <v>15.454545454545455</v>
          </cell>
          <cell r="Y47">
            <v>15.454545454545455</v>
          </cell>
          <cell r="Z47">
            <v>15.454545454545455</v>
          </cell>
          <cell r="AA47">
            <v>15.454545454545455</v>
          </cell>
          <cell r="AB47">
            <v>15.454545454545455</v>
          </cell>
          <cell r="AC47">
            <v>15.454545454545455</v>
          </cell>
          <cell r="AD47">
            <v>15.454545454545455</v>
          </cell>
          <cell r="AE47">
            <v>15.454545454545455</v>
          </cell>
          <cell r="AF47">
            <v>15.454545454545455</v>
          </cell>
          <cell r="AG47">
            <v>15.454545454545455</v>
          </cell>
        </row>
        <row r="48">
          <cell r="C48" t="str">
            <v>LEX Admin &amp; Other</v>
          </cell>
          <cell r="V48">
            <v>2.7272727272727271</v>
          </cell>
          <cell r="W48">
            <v>2.7272727272727271</v>
          </cell>
          <cell r="X48">
            <v>2.7272727272727271</v>
          </cell>
          <cell r="Y48">
            <v>2.7272727272727271</v>
          </cell>
          <cell r="Z48">
            <v>2.7272727272727271</v>
          </cell>
          <cell r="AA48">
            <v>2.7272727272727271</v>
          </cell>
          <cell r="AB48">
            <v>2.7272727272727271</v>
          </cell>
          <cell r="AC48">
            <v>2.7272727272727271</v>
          </cell>
          <cell r="AD48">
            <v>2.7272727272727271</v>
          </cell>
          <cell r="AE48">
            <v>2.7272727272727271</v>
          </cell>
          <cell r="AF48">
            <v>2.7272727272727271</v>
          </cell>
          <cell r="AG48">
            <v>2.7272727272727271</v>
          </cell>
        </row>
        <row r="49">
          <cell r="C49" t="str">
            <v>Admin &amp; Other</v>
          </cell>
          <cell r="V49">
            <v>408.57727272727266</v>
          </cell>
          <cell r="W49">
            <v>408.57727272727266</v>
          </cell>
          <cell r="X49">
            <v>408.57727272727266</v>
          </cell>
          <cell r="Y49">
            <v>408.57727272727266</v>
          </cell>
          <cell r="Z49">
            <v>408.57727272727266</v>
          </cell>
          <cell r="AA49">
            <v>408.57727272727266</v>
          </cell>
          <cell r="AB49">
            <v>408.57727272727266</v>
          </cell>
          <cell r="AC49">
            <v>408.57727272727266</v>
          </cell>
          <cell r="AD49">
            <v>408.57727272727266</v>
          </cell>
          <cell r="AE49">
            <v>408.57727272727266</v>
          </cell>
          <cell r="AF49">
            <v>408.57727272727266</v>
          </cell>
          <cell r="AG49">
            <v>408.57727272727266</v>
          </cell>
        </row>
        <row r="50">
          <cell r="C50" t="str">
            <v>LEX Admin &amp; Other</v>
          </cell>
          <cell r="V50">
            <v>63.557272727272725</v>
          </cell>
          <cell r="W50">
            <v>63.557272727272725</v>
          </cell>
          <cell r="X50">
            <v>63.557272727272725</v>
          </cell>
          <cell r="Y50">
            <v>63.557272727272725</v>
          </cell>
          <cell r="Z50">
            <v>63.557272727272725</v>
          </cell>
          <cell r="AA50">
            <v>63.557272727272725</v>
          </cell>
          <cell r="AB50">
            <v>63.557272727272725</v>
          </cell>
          <cell r="AC50">
            <v>63.557272727272725</v>
          </cell>
          <cell r="AD50">
            <v>63.557272727272725</v>
          </cell>
          <cell r="AE50">
            <v>63.557272727272725</v>
          </cell>
          <cell r="AF50">
            <v>63.557272727272725</v>
          </cell>
          <cell r="AG50">
            <v>63.557272727272725</v>
          </cell>
        </row>
        <row r="51">
          <cell r="C51" t="str">
            <v>Admin &amp; Other</v>
          </cell>
          <cell r="V51">
            <v>-3519.9390909090907</v>
          </cell>
          <cell r="W51">
            <v>-3519.9390909090907</v>
          </cell>
          <cell r="X51">
            <v>-3519.9390909090907</v>
          </cell>
          <cell r="Y51">
            <v>-3519.9390909090907</v>
          </cell>
          <cell r="Z51">
            <v>-3519.9390909090907</v>
          </cell>
          <cell r="AA51">
            <v>-3519.9390909090907</v>
          </cell>
          <cell r="AB51">
            <v>-3519.9390909090907</v>
          </cell>
          <cell r="AC51">
            <v>-3519.9390909090907</v>
          </cell>
          <cell r="AD51">
            <v>-3519.9390909090907</v>
          </cell>
          <cell r="AE51">
            <v>-3519.9390909090907</v>
          </cell>
          <cell r="AF51">
            <v>-3519.9390909090907</v>
          </cell>
          <cell r="AG51">
            <v>-3519.9390909090907</v>
          </cell>
        </row>
        <row r="52">
          <cell r="C52" t="str">
            <v>LEX Admin &amp; Other</v>
          </cell>
          <cell r="V52">
            <v>-1454.3345454545454</v>
          </cell>
          <cell r="W52">
            <v>-1454.3345454545454</v>
          </cell>
          <cell r="X52">
            <v>-1454.3345454545454</v>
          </cell>
          <cell r="Y52">
            <v>-1454.3345454545454</v>
          </cell>
          <cell r="Z52">
            <v>-1454.3345454545454</v>
          </cell>
          <cell r="AA52">
            <v>-1454.3345454545454</v>
          </cell>
          <cell r="AB52">
            <v>-1454.3345454545454</v>
          </cell>
          <cell r="AC52">
            <v>-1454.3345454545454</v>
          </cell>
          <cell r="AD52">
            <v>-1454.3345454545454</v>
          </cell>
          <cell r="AE52">
            <v>-1454.3345454545454</v>
          </cell>
          <cell r="AF52">
            <v>-1454.3345454545454</v>
          </cell>
          <cell r="AG52">
            <v>-1454.3345454545454</v>
          </cell>
        </row>
        <row r="53">
          <cell r="C53" t="str">
            <v>Admin &amp; Other</v>
          </cell>
          <cell r="V53">
            <v>10559.464758208451</v>
          </cell>
          <cell r="W53">
            <v>10559.464758208451</v>
          </cell>
          <cell r="X53">
            <v>10559.464758208451</v>
          </cell>
          <cell r="Y53">
            <v>10559.464758208451</v>
          </cell>
          <cell r="Z53">
            <v>10559.464758208451</v>
          </cell>
          <cell r="AA53">
            <v>10559.464758208451</v>
          </cell>
          <cell r="AB53">
            <v>10559.464758208451</v>
          </cell>
          <cell r="AC53">
            <v>10559.464758208451</v>
          </cell>
          <cell r="AD53">
            <v>10559.464758208451</v>
          </cell>
          <cell r="AE53">
            <v>10559.464758208451</v>
          </cell>
          <cell r="AF53">
            <v>10559.464758208451</v>
          </cell>
          <cell r="AG53">
            <v>10559.464758208451</v>
          </cell>
        </row>
        <row r="54">
          <cell r="C54" t="str">
            <v>LEX Admin &amp; Other</v>
          </cell>
          <cell r="V54">
            <v>2317.9312883872208</v>
          </cell>
          <cell r="W54">
            <v>2317.9312883872208</v>
          </cell>
          <cell r="X54">
            <v>2317.9312883872208</v>
          </cell>
          <cell r="Y54">
            <v>2317.9312883872208</v>
          </cell>
          <cell r="Z54">
            <v>2317.9312883872208</v>
          </cell>
          <cell r="AA54">
            <v>2317.9312883872208</v>
          </cell>
          <cell r="AB54">
            <v>2317.9312883872208</v>
          </cell>
          <cell r="AC54">
            <v>2317.9312883872208</v>
          </cell>
          <cell r="AD54">
            <v>2317.9312883872208</v>
          </cell>
          <cell r="AE54">
            <v>2317.9312883872208</v>
          </cell>
          <cell r="AF54">
            <v>2317.9312883872208</v>
          </cell>
          <cell r="AG54">
            <v>2317.9312883872208</v>
          </cell>
        </row>
        <row r="55">
          <cell r="C55" t="str">
            <v>Admin &amp; Other</v>
          </cell>
          <cell r="V55">
            <v>133817.75869565218</v>
          </cell>
          <cell r="W55">
            <v>133817.75869565218</v>
          </cell>
          <cell r="X55">
            <v>133817.75869565218</v>
          </cell>
          <cell r="Y55">
            <v>133817.75869565218</v>
          </cell>
          <cell r="Z55">
            <v>133817.75869565218</v>
          </cell>
          <cell r="AA55">
            <v>133817.75869565218</v>
          </cell>
          <cell r="AB55">
            <v>133817.75869565218</v>
          </cell>
          <cell r="AC55">
            <v>133817.75869565218</v>
          </cell>
          <cell r="AD55">
            <v>133817.75869565218</v>
          </cell>
          <cell r="AE55">
            <v>133817.75869565218</v>
          </cell>
          <cell r="AF55">
            <v>133817.75869565218</v>
          </cell>
          <cell r="AG55">
            <v>133817.75869565218</v>
          </cell>
        </row>
        <row r="56">
          <cell r="C56" t="str">
            <v>LEX Admin &amp; Other</v>
          </cell>
          <cell r="V56">
            <v>50277.243913043472</v>
          </cell>
          <cell r="W56">
            <v>50277.243913043472</v>
          </cell>
          <cell r="X56">
            <v>50277.243913043472</v>
          </cell>
          <cell r="Y56">
            <v>50277.243913043472</v>
          </cell>
          <cell r="Z56">
            <v>50277.243913043472</v>
          </cell>
          <cell r="AA56">
            <v>50277.243913043472</v>
          </cell>
          <cell r="AB56">
            <v>50277.243913043472</v>
          </cell>
          <cell r="AC56">
            <v>50277.243913043472</v>
          </cell>
          <cell r="AD56">
            <v>50277.243913043472</v>
          </cell>
          <cell r="AE56">
            <v>50277.243913043472</v>
          </cell>
          <cell r="AF56">
            <v>50277.243913043472</v>
          </cell>
          <cell r="AG56">
            <v>50277.243913043472</v>
          </cell>
        </row>
        <row r="57">
          <cell r="C57" t="str">
            <v>Admin &amp; Other</v>
          </cell>
          <cell r="V57">
            <v>8739.4254545454551</v>
          </cell>
          <cell r="W57">
            <v>8739.4254545454551</v>
          </cell>
          <cell r="X57">
            <v>8739.4254545454551</v>
          </cell>
          <cell r="Y57">
            <v>8739.4254545454551</v>
          </cell>
          <cell r="Z57">
            <v>8739.4254545454551</v>
          </cell>
          <cell r="AA57">
            <v>8739.4254545454551</v>
          </cell>
          <cell r="AB57">
            <v>8739.4254545454551</v>
          </cell>
          <cell r="AC57">
            <v>8739.4254545454551</v>
          </cell>
          <cell r="AD57">
            <v>8739.4254545454551</v>
          </cell>
          <cell r="AE57">
            <v>8739.4254545454551</v>
          </cell>
          <cell r="AF57">
            <v>8739.4254545454551</v>
          </cell>
          <cell r="AG57">
            <v>8739.4254545454551</v>
          </cell>
        </row>
        <row r="58">
          <cell r="C58" t="str">
            <v>LEX Admin &amp; Other</v>
          </cell>
          <cell r="V58">
            <v>4348.3954545454535</v>
          </cell>
          <cell r="W58">
            <v>4348.3954545454535</v>
          </cell>
          <cell r="X58">
            <v>4348.3954545454535</v>
          </cell>
          <cell r="Y58">
            <v>4348.3954545454535</v>
          </cell>
          <cell r="Z58">
            <v>4348.3954545454535</v>
          </cell>
          <cell r="AA58">
            <v>4348.3954545454535</v>
          </cell>
          <cell r="AB58">
            <v>4348.3954545454535</v>
          </cell>
          <cell r="AC58">
            <v>4348.3954545454535</v>
          </cell>
          <cell r="AD58">
            <v>4348.3954545454535</v>
          </cell>
          <cell r="AE58">
            <v>4348.3954545454535</v>
          </cell>
          <cell r="AF58">
            <v>4348.3954545454535</v>
          </cell>
          <cell r="AG58">
            <v>4348.3954545454535</v>
          </cell>
        </row>
        <row r="59">
          <cell r="C59" t="str">
            <v>Admin &amp; Other</v>
          </cell>
          <cell r="V59">
            <v>12686.739999999998</v>
          </cell>
          <cell r="W59">
            <v>12686.739999999998</v>
          </cell>
          <cell r="X59">
            <v>12686.739999999998</v>
          </cell>
          <cell r="Y59">
            <v>12686.739999999998</v>
          </cell>
          <cell r="Z59">
            <v>12686.739999999998</v>
          </cell>
          <cell r="AA59">
            <v>12686.739999999998</v>
          </cell>
          <cell r="AB59">
            <v>12686.739999999998</v>
          </cell>
          <cell r="AC59">
            <v>12686.739999999998</v>
          </cell>
          <cell r="AD59">
            <v>12686.739999999998</v>
          </cell>
          <cell r="AE59">
            <v>12686.739999999998</v>
          </cell>
          <cell r="AF59">
            <v>12686.739999999998</v>
          </cell>
          <cell r="AG59">
            <v>12686.739999999998</v>
          </cell>
        </row>
        <row r="60">
          <cell r="C60" t="str">
            <v>LEX Admin &amp; Other</v>
          </cell>
          <cell r="V60">
            <v>7313.2600000000011</v>
          </cell>
          <cell r="W60">
            <v>7313.2600000000011</v>
          </cell>
          <cell r="X60">
            <v>7313.2600000000011</v>
          </cell>
          <cell r="Y60">
            <v>7313.2600000000011</v>
          </cell>
          <cell r="Z60">
            <v>7313.2600000000011</v>
          </cell>
          <cell r="AA60">
            <v>7313.2600000000011</v>
          </cell>
          <cell r="AB60">
            <v>7313.2600000000011</v>
          </cell>
          <cell r="AC60">
            <v>7313.2600000000011</v>
          </cell>
          <cell r="AD60">
            <v>7313.2600000000011</v>
          </cell>
          <cell r="AE60">
            <v>7313.2600000000011</v>
          </cell>
          <cell r="AF60">
            <v>7313.2600000000011</v>
          </cell>
          <cell r="AG60">
            <v>7313.2600000000011</v>
          </cell>
        </row>
        <row r="61">
          <cell r="C61" t="str">
            <v>Admin &amp; Other</v>
          </cell>
          <cell r="V61">
            <v>55286.63636363636</v>
          </cell>
          <cell r="W61">
            <v>55286.63636363636</v>
          </cell>
          <cell r="X61">
            <v>55286.63636363636</v>
          </cell>
          <cell r="Y61">
            <v>55286.63636363636</v>
          </cell>
          <cell r="Z61">
            <v>55286.63636363636</v>
          </cell>
          <cell r="AA61">
            <v>55286.63636363636</v>
          </cell>
          <cell r="AB61">
            <v>55286.63636363636</v>
          </cell>
          <cell r="AC61">
            <v>55286.63636363636</v>
          </cell>
          <cell r="AD61">
            <v>55286.63636363636</v>
          </cell>
          <cell r="AE61">
            <v>55286.63636363636</v>
          </cell>
          <cell r="AF61">
            <v>55286.63636363636</v>
          </cell>
          <cell r="AG61">
            <v>55286.63636363636</v>
          </cell>
        </row>
        <row r="62">
          <cell r="C62" t="str">
            <v>LEX Admin &amp; Other</v>
          </cell>
          <cell r="V62">
            <v>20533.727272727272</v>
          </cell>
          <cell r="W62">
            <v>20533.727272727272</v>
          </cell>
          <cell r="X62">
            <v>20533.727272727272</v>
          </cell>
          <cell r="Y62">
            <v>20533.727272727272</v>
          </cell>
          <cell r="Z62">
            <v>20533.727272727272</v>
          </cell>
          <cell r="AA62">
            <v>20533.727272727272</v>
          </cell>
          <cell r="AB62">
            <v>20533.727272727272</v>
          </cell>
          <cell r="AC62">
            <v>20533.727272727272</v>
          </cell>
          <cell r="AD62">
            <v>20533.727272727272</v>
          </cell>
          <cell r="AE62">
            <v>20533.727272727272</v>
          </cell>
          <cell r="AF62">
            <v>20533.727272727272</v>
          </cell>
          <cell r="AG62">
            <v>20533.727272727272</v>
          </cell>
        </row>
        <row r="63">
          <cell r="C63" t="str">
            <v>Admin &amp; Other</v>
          </cell>
          <cell r="V63">
            <v>843.91454545454542</v>
          </cell>
          <cell r="W63">
            <v>843.91454545454542</v>
          </cell>
          <cell r="X63">
            <v>843.91454545454542</v>
          </cell>
          <cell r="Y63">
            <v>843.91454545454542</v>
          </cell>
          <cell r="Z63">
            <v>843.91454545454542</v>
          </cell>
          <cell r="AA63">
            <v>843.91454545454542</v>
          </cell>
          <cell r="AB63">
            <v>843.91454545454542</v>
          </cell>
          <cell r="AC63">
            <v>843.91454545454542</v>
          </cell>
          <cell r="AD63">
            <v>843.91454545454542</v>
          </cell>
          <cell r="AE63">
            <v>843.91454545454542</v>
          </cell>
          <cell r="AF63">
            <v>843.91454545454542</v>
          </cell>
          <cell r="AG63">
            <v>843.91454545454542</v>
          </cell>
        </row>
        <row r="64">
          <cell r="C64" t="str">
            <v>LEX Admin &amp; Other</v>
          </cell>
          <cell r="V64">
            <v>646.92363636363643</v>
          </cell>
          <cell r="W64">
            <v>646.92363636363643</v>
          </cell>
          <cell r="X64">
            <v>646.92363636363643</v>
          </cell>
          <cell r="Y64">
            <v>646.92363636363643</v>
          </cell>
          <cell r="Z64">
            <v>646.92363636363643</v>
          </cell>
          <cell r="AA64">
            <v>646.92363636363643</v>
          </cell>
          <cell r="AB64">
            <v>646.92363636363643</v>
          </cell>
          <cell r="AC64">
            <v>646.92363636363643</v>
          </cell>
          <cell r="AD64">
            <v>646.92363636363643</v>
          </cell>
          <cell r="AE64">
            <v>646.92363636363643</v>
          </cell>
          <cell r="AF64">
            <v>646.92363636363643</v>
          </cell>
          <cell r="AG64">
            <v>646.92363636363643</v>
          </cell>
        </row>
        <row r="65">
          <cell r="C65" t="str">
            <v>Admin &amp; Other</v>
          </cell>
          <cell r="V65">
            <v>5624.2599999999993</v>
          </cell>
          <cell r="W65">
            <v>5624.2599999999993</v>
          </cell>
          <cell r="X65">
            <v>5624.2599999999993</v>
          </cell>
          <cell r="Y65">
            <v>5624.2599999999993</v>
          </cell>
          <cell r="Z65">
            <v>5624.2599999999993</v>
          </cell>
          <cell r="AA65">
            <v>5624.2599999999993</v>
          </cell>
          <cell r="AB65">
            <v>5624.2599999999993</v>
          </cell>
          <cell r="AC65">
            <v>5624.2599999999993</v>
          </cell>
          <cell r="AD65">
            <v>5624.2599999999993</v>
          </cell>
          <cell r="AE65">
            <v>5624.2599999999993</v>
          </cell>
          <cell r="AF65">
            <v>5624.2599999999993</v>
          </cell>
          <cell r="AG65">
            <v>5624.2599999999993</v>
          </cell>
        </row>
        <row r="66">
          <cell r="C66" t="str">
            <v>LEX Admin &amp; Other</v>
          </cell>
          <cell r="V66">
            <v>2666.6809090909092</v>
          </cell>
          <cell r="W66">
            <v>2666.6809090909092</v>
          </cell>
          <cell r="X66">
            <v>2666.6809090909092</v>
          </cell>
          <cell r="Y66">
            <v>2666.6809090909092</v>
          </cell>
          <cell r="Z66">
            <v>2666.6809090909092</v>
          </cell>
          <cell r="AA66">
            <v>2666.6809090909092</v>
          </cell>
          <cell r="AB66">
            <v>2666.6809090909092</v>
          </cell>
          <cell r="AC66">
            <v>2666.6809090909092</v>
          </cell>
          <cell r="AD66">
            <v>2666.6809090909092</v>
          </cell>
          <cell r="AE66">
            <v>2666.6809090909092</v>
          </cell>
          <cell r="AF66">
            <v>2666.6809090909092</v>
          </cell>
          <cell r="AG66">
            <v>2666.6809090909092</v>
          </cell>
        </row>
        <row r="67">
          <cell r="C67" t="str">
            <v>Admin &amp; Other</v>
          </cell>
          <cell r="V67">
            <v>28666.666666666668</v>
          </cell>
          <cell r="W67">
            <v>28666.666666666668</v>
          </cell>
          <cell r="X67">
            <v>28666.666666666668</v>
          </cell>
          <cell r="Y67">
            <v>28666.666666666668</v>
          </cell>
          <cell r="Z67">
            <v>28666.666666666668</v>
          </cell>
          <cell r="AA67">
            <v>28666.666666666668</v>
          </cell>
          <cell r="AB67">
            <v>28666.666666666668</v>
          </cell>
          <cell r="AC67">
            <v>28666.666666666668</v>
          </cell>
          <cell r="AD67">
            <v>28666.666666666668</v>
          </cell>
          <cell r="AE67">
            <v>28666.666666666668</v>
          </cell>
          <cell r="AF67">
            <v>28666.666666666668</v>
          </cell>
          <cell r="AG67">
            <v>28666.666666666668</v>
          </cell>
        </row>
        <row r="68">
          <cell r="C68" t="str">
            <v>LEX Admin &amp; Other</v>
          </cell>
          <cell r="V68">
            <v>4666.666666666667</v>
          </cell>
          <cell r="W68">
            <v>4666.666666666667</v>
          </cell>
          <cell r="X68">
            <v>4666.666666666667</v>
          </cell>
          <cell r="Y68">
            <v>4666.666666666667</v>
          </cell>
          <cell r="Z68">
            <v>4666.666666666667</v>
          </cell>
          <cell r="AA68">
            <v>4666.666666666667</v>
          </cell>
          <cell r="AB68">
            <v>4666.666666666667</v>
          </cell>
          <cell r="AC68">
            <v>4666.666666666667</v>
          </cell>
          <cell r="AD68">
            <v>4666.666666666667</v>
          </cell>
          <cell r="AE68">
            <v>4666.666666666667</v>
          </cell>
          <cell r="AF68">
            <v>4666.666666666667</v>
          </cell>
          <cell r="AG68">
            <v>4666.666666666667</v>
          </cell>
        </row>
        <row r="69">
          <cell r="C69" t="str">
            <v>Admin &amp; Other</v>
          </cell>
          <cell r="V69">
            <v>192.45636363636359</v>
          </cell>
          <cell r="W69">
            <v>192.45636363636359</v>
          </cell>
          <cell r="X69">
            <v>192.45636363636359</v>
          </cell>
          <cell r="Y69">
            <v>192.45636363636359</v>
          </cell>
          <cell r="Z69">
            <v>192.45636363636359</v>
          </cell>
          <cell r="AA69">
            <v>192.45636363636359</v>
          </cell>
          <cell r="AB69">
            <v>192.45636363636359</v>
          </cell>
          <cell r="AC69">
            <v>192.45636363636359</v>
          </cell>
          <cell r="AD69">
            <v>192.45636363636359</v>
          </cell>
          <cell r="AE69">
            <v>192.45636363636359</v>
          </cell>
          <cell r="AF69">
            <v>192.45636363636359</v>
          </cell>
          <cell r="AG69">
            <v>192.45636363636359</v>
          </cell>
        </row>
        <row r="70">
          <cell r="C70" t="str">
            <v>LEX Admin &amp; Other</v>
          </cell>
          <cell r="V70">
            <v>0</v>
          </cell>
          <cell r="W70">
            <v>0</v>
          </cell>
          <cell r="X70">
            <v>0</v>
          </cell>
          <cell r="Y70">
            <v>0</v>
          </cell>
          <cell r="Z70">
            <v>0</v>
          </cell>
          <cell r="AA70">
            <v>0</v>
          </cell>
          <cell r="AB70">
            <v>0</v>
          </cell>
          <cell r="AC70">
            <v>0</v>
          </cell>
          <cell r="AD70">
            <v>0</v>
          </cell>
          <cell r="AE70">
            <v>0</v>
          </cell>
          <cell r="AF70">
            <v>0</v>
          </cell>
          <cell r="AG70">
            <v>0</v>
          </cell>
        </row>
        <row r="71">
          <cell r="C71" t="str">
            <v>Admin &amp; Other</v>
          </cell>
          <cell r="V71">
            <v>91780.09056366609</v>
          </cell>
          <cell r="W71">
            <v>78170.679969562028</v>
          </cell>
          <cell r="X71">
            <v>62402.920030663445</v>
          </cell>
          <cell r="Y71">
            <v>67155.047602854975</v>
          </cell>
          <cell r="Z71">
            <v>74107.618078969623</v>
          </cell>
          <cell r="AA71">
            <v>78268.242925370621</v>
          </cell>
          <cell r="AB71">
            <v>93621.049431486405</v>
          </cell>
          <cell r="AC71">
            <v>79211.777194859373</v>
          </cell>
          <cell r="AD71">
            <v>64178.243193112008</v>
          </cell>
          <cell r="AE71">
            <v>91604.591509159582</v>
          </cell>
          <cell r="AF71">
            <v>94872.093534129992</v>
          </cell>
          <cell r="AG71">
            <v>78541.338543317746</v>
          </cell>
        </row>
        <row r="72">
          <cell r="C72" t="str">
            <v>LEX Admin &amp; Other</v>
          </cell>
          <cell r="V72">
            <v>17457.109436333914</v>
          </cell>
          <cell r="W72">
            <v>14868.520030437967</v>
          </cell>
          <cell r="X72">
            <v>11869.399969336564</v>
          </cell>
          <cell r="Y72">
            <v>12773.282397145031</v>
          </cell>
          <cell r="Z72">
            <v>14095.701921030381</v>
          </cell>
          <cell r="AA72">
            <v>14887.077074629389</v>
          </cell>
          <cell r="AB72">
            <v>17807.27056851361</v>
          </cell>
          <cell r="AC72">
            <v>15066.542805140634</v>
          </cell>
          <cell r="AD72">
            <v>12207.076806887999</v>
          </cell>
          <cell r="AE72">
            <v>17423.728490840425</v>
          </cell>
          <cell r="AF72">
            <v>18045.226465870019</v>
          </cell>
          <cell r="AG72">
            <v>14939.02145668226</v>
          </cell>
        </row>
        <row r="73">
          <cell r="C73" t="str">
            <v>Admin &amp; Other</v>
          </cell>
        </row>
        <row r="74">
          <cell r="C74" t="str">
            <v>LEX Admin &amp; Other</v>
          </cell>
        </row>
        <row r="75">
          <cell r="C75" t="str">
            <v>Admin &amp; Other</v>
          </cell>
          <cell r="V75">
            <v>5191.666666666667</v>
          </cell>
          <cell r="W75">
            <v>5191.666666666667</v>
          </cell>
          <cell r="X75">
            <v>5191.666666666667</v>
          </cell>
          <cell r="Y75">
            <v>5191.666666666667</v>
          </cell>
          <cell r="Z75">
            <v>5191.666666666667</v>
          </cell>
          <cell r="AA75">
            <v>5191.666666666667</v>
          </cell>
          <cell r="AB75">
            <v>5191.666666666667</v>
          </cell>
          <cell r="AC75">
            <v>5191.666666666667</v>
          </cell>
          <cell r="AD75">
            <v>5191.666666666667</v>
          </cell>
          <cell r="AE75">
            <v>5191.666666666667</v>
          </cell>
          <cell r="AF75">
            <v>5191.666666666667</v>
          </cell>
          <cell r="AG75">
            <v>5191.666666666667</v>
          </cell>
        </row>
        <row r="76">
          <cell r="C76" t="str">
            <v>LEX Admin &amp; Other</v>
          </cell>
          <cell r="V76">
            <v>641.66666666666663</v>
          </cell>
          <cell r="W76">
            <v>641.66666666666663</v>
          </cell>
          <cell r="X76">
            <v>641.66666666666663</v>
          </cell>
          <cell r="Y76">
            <v>641.66666666666663</v>
          </cell>
          <cell r="Z76">
            <v>641.66666666666663</v>
          </cell>
          <cell r="AA76">
            <v>641.66666666666663</v>
          </cell>
          <cell r="AB76">
            <v>641.66666666666663</v>
          </cell>
          <cell r="AC76">
            <v>641.66666666666663</v>
          </cell>
          <cell r="AD76">
            <v>641.66666666666663</v>
          </cell>
          <cell r="AE76">
            <v>641.66666666666663</v>
          </cell>
          <cell r="AF76">
            <v>641.66666666666663</v>
          </cell>
          <cell r="AG76">
            <v>641.66666666666663</v>
          </cell>
        </row>
        <row r="77">
          <cell r="C77" t="str">
            <v>Admin &amp; Other</v>
          </cell>
          <cell r="W77">
            <v>0</v>
          </cell>
          <cell r="X77">
            <v>0</v>
          </cell>
          <cell r="Y77">
            <v>0</v>
          </cell>
          <cell r="Z77">
            <v>0</v>
          </cell>
          <cell r="AA77">
            <v>0</v>
          </cell>
          <cell r="AB77">
            <v>0</v>
          </cell>
          <cell r="AC77">
            <v>0</v>
          </cell>
          <cell r="AD77">
            <v>0</v>
          </cell>
          <cell r="AE77">
            <v>0</v>
          </cell>
          <cell r="AF77">
            <v>0</v>
          </cell>
          <cell r="AG77">
            <v>0</v>
          </cell>
        </row>
        <row r="78">
          <cell r="C78" t="str">
            <v>Admin &amp; Other</v>
          </cell>
        </row>
        <row r="79">
          <cell r="C79" t="str">
            <v>Admin &amp; Other</v>
          </cell>
          <cell r="V79">
            <v>702.10363636363627</v>
          </cell>
          <cell r="W79">
            <v>702.10363636363627</v>
          </cell>
          <cell r="X79">
            <v>702.10363636363627</v>
          </cell>
          <cell r="Y79">
            <v>702.10363636363627</v>
          </cell>
          <cell r="Z79">
            <v>702.10363636363627</v>
          </cell>
          <cell r="AA79">
            <v>702.10363636363627</v>
          </cell>
          <cell r="AB79">
            <v>702.10363636363627</v>
          </cell>
          <cell r="AC79">
            <v>702.10363636363627</v>
          </cell>
          <cell r="AD79">
            <v>702.10363636363627</v>
          </cell>
          <cell r="AE79">
            <v>702.10363636363627</v>
          </cell>
          <cell r="AF79">
            <v>702.10363636363627</v>
          </cell>
          <cell r="AG79">
            <v>702.10363636363627</v>
          </cell>
        </row>
        <row r="80">
          <cell r="C80" t="str">
            <v>LEX Admin &amp; Other</v>
          </cell>
          <cell r="V80">
            <v>1110.4036363636365</v>
          </cell>
          <cell r="W80">
            <v>1110.4036363636365</v>
          </cell>
          <cell r="X80">
            <v>1110.4036363636365</v>
          </cell>
          <cell r="Y80">
            <v>1110.4036363636365</v>
          </cell>
          <cell r="Z80">
            <v>1110.4036363636365</v>
          </cell>
          <cell r="AA80">
            <v>1110.4036363636365</v>
          </cell>
          <cell r="AB80">
            <v>1110.4036363636365</v>
          </cell>
          <cell r="AC80">
            <v>1110.4036363636365</v>
          </cell>
          <cell r="AD80">
            <v>1110.4036363636365</v>
          </cell>
          <cell r="AE80">
            <v>1110.4036363636365</v>
          </cell>
          <cell r="AF80">
            <v>1110.4036363636365</v>
          </cell>
          <cell r="AG80">
            <v>1110.4036363636365</v>
          </cell>
        </row>
        <row r="81">
          <cell r="V81">
            <v>883470.73756833468</v>
          </cell>
          <cell r="W81">
            <v>867272.73756833468</v>
          </cell>
          <cell r="X81">
            <v>848505.85756833479</v>
          </cell>
          <cell r="Y81">
            <v>854161.8675683348</v>
          </cell>
          <cell r="Z81">
            <v>862436.85756833479</v>
          </cell>
          <cell r="AA81">
            <v>867388.85756833467</v>
          </cell>
          <cell r="AB81">
            <v>885661.85756833479</v>
          </cell>
          <cell r="AC81">
            <v>868511.85756833467</v>
          </cell>
          <cell r="AD81">
            <v>850618.85756833467</v>
          </cell>
          <cell r="AE81">
            <v>883261.85756833467</v>
          </cell>
          <cell r="AF81">
            <v>887150.85756833479</v>
          </cell>
          <cell r="AG81">
            <v>867713.89756833471</v>
          </cell>
          <cell r="AH81">
            <v>10426156.10082002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Y 2024"/>
      <sheetName val="FY 2023"/>
      <sheetName val="Overall"/>
      <sheetName val="Overall - F&amp;S"/>
      <sheetName val="Overall - Toyota"/>
      <sheetName val="Overall - lexus"/>
      <sheetName val="FEF Incentive Forecast FY2025"/>
      <sheetName val="Commission OLD vs NEW"/>
      <sheetName val="New Vehicles - Group"/>
      <sheetName val="New Vehicles - NS"/>
      <sheetName val="New Vehicles - NW"/>
      <sheetName val="Used Vehicles - Group"/>
      <sheetName val="Used Vehicles - NS 5"/>
      <sheetName val="Used Vehicles - NS 6"/>
      <sheetName val="Used Vehicles - NW"/>
      <sheetName val="F&amp;I"/>
      <sheetName val="F&amp;I - NS "/>
      <sheetName val="F&amp;I - NW"/>
      <sheetName val="Parts - Group"/>
      <sheetName val="Parts - Group F&amp;S"/>
      <sheetName val="Parts - 130"/>
      <sheetName val="Parts - 130 F&amp;S"/>
      <sheetName val="Parts - 230"/>
      <sheetName val="Parts - 230 F&amp;S"/>
      <sheetName val="Parts - 330"/>
      <sheetName val="Parts - 330 F&amp;S"/>
      <sheetName val="Parts - 430"/>
      <sheetName val="Parts - 430 F&amp;S"/>
      <sheetName val="Service - Group"/>
      <sheetName val="Service - Group F&amp;S"/>
      <sheetName val="Service - 140"/>
      <sheetName val="Service - 140 F&amp;S"/>
      <sheetName val="Service - 240"/>
      <sheetName val="Service - 240 F&amp;S"/>
      <sheetName val="Service - 340"/>
      <sheetName val="Service - 340 F&amp;S"/>
      <sheetName val="Service - 440"/>
      <sheetName val="Service - 440 F&amp;S"/>
      <sheetName val="Toyota - Admin"/>
      <sheetName val="LEF Incentive Forecast FY2025"/>
      <sheetName val="LEX - New Vehicles"/>
      <sheetName val="LEX - Used Vehicles"/>
      <sheetName val="LEX - F&amp;I"/>
      <sheetName val="LEX - Parts"/>
      <sheetName val="LEX - Service"/>
      <sheetName val="Bridgestone Group"/>
      <sheetName val="Bridgestone 935"/>
      <sheetName val="Bridgestone 936"/>
      <sheetName val="Retail Detailing"/>
      <sheetName val="Other - Admin"/>
      <sheetName val="1st Draft - TKP FY2025 Budgets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24">
          <cell r="R24">
            <v>1639482.4088499618</v>
          </cell>
        </row>
      </sheetData>
      <sheetData sheetId="33" refreshError="1"/>
      <sheetData sheetId="34">
        <row r="24">
          <cell r="R24">
            <v>1042932.8988090102</v>
          </cell>
        </row>
      </sheetData>
      <sheetData sheetId="35" refreshError="1"/>
      <sheetData sheetId="36">
        <row r="24">
          <cell r="R24">
            <v>1535081.9395899973</v>
          </cell>
        </row>
      </sheetData>
      <sheetData sheetId="37" refreshError="1"/>
      <sheetData sheetId="38" refreshError="1"/>
      <sheetData sheetId="39" refreshError="1"/>
      <sheetData sheetId="40" refreshError="1">
        <row r="34">
          <cell r="E34">
            <v>266000</v>
          </cell>
        </row>
        <row r="36">
          <cell r="R36">
            <v>2121967.0499999998</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DE34-1A48-429C-94E9-69179BE7AD47}">
  <sheetPr codeName="Sheet1"/>
  <dimension ref="A2:P1048576"/>
  <sheetViews>
    <sheetView workbookViewId="0"/>
  </sheetViews>
  <sheetFormatPr defaultColWidth="9.140625" defaultRowHeight="15" x14ac:dyDescent="0.25"/>
  <cols>
    <col min="1" max="1" width="13.140625" style="22" customWidth="1"/>
    <col min="2" max="2" width="17.140625" style="22" customWidth="1"/>
    <col min="3" max="3" width="25.85546875" style="22" customWidth="1"/>
    <col min="4" max="4" width="41" style="22" customWidth="1"/>
    <col min="5" max="5" width="11.85546875" style="22" customWidth="1"/>
    <col min="6" max="6" width="14.140625" style="22" customWidth="1"/>
    <col min="7" max="7" width="25.5703125" style="22" customWidth="1"/>
    <col min="8" max="8" width="12.28515625" style="22" customWidth="1"/>
    <col min="9" max="10" width="11.7109375" style="22" customWidth="1"/>
    <col min="11" max="11" width="22.7109375" style="22" customWidth="1"/>
    <col min="12" max="12" width="19" style="22" customWidth="1"/>
    <col min="13" max="13" width="25.140625" style="22" customWidth="1"/>
    <col min="14" max="14" width="21.42578125" style="22" customWidth="1"/>
    <col min="15" max="15" width="25.5703125" style="22" customWidth="1"/>
    <col min="16" max="16" width="21.85546875" style="22" customWidth="1"/>
    <col min="17" max="17" width="9.140625" style="22" customWidth="1"/>
    <col min="18" max="16384" width="9.140625" style="22"/>
  </cols>
  <sheetData>
    <row r="2" spans="1:16" x14ac:dyDescent="0.25">
      <c r="A2" s="27" t="s">
        <v>0</v>
      </c>
    </row>
    <row r="3" spans="1:16" x14ac:dyDescent="0.25">
      <c r="A3" s="30" t="s">
        <v>1</v>
      </c>
      <c r="B3" s="29"/>
      <c r="C3" s="29"/>
      <c r="D3" s="29"/>
      <c r="E3" s="29"/>
      <c r="F3" s="29"/>
      <c r="G3" s="29"/>
      <c r="H3" s="29"/>
      <c r="I3" s="29"/>
      <c r="J3" s="29"/>
      <c r="K3" s="29"/>
      <c r="L3" s="29"/>
      <c r="M3" s="29"/>
      <c r="N3" s="29"/>
      <c r="O3" s="29"/>
      <c r="P3" s="29"/>
    </row>
    <row r="5" spans="1:16" ht="24" thickBot="1" x14ac:dyDescent="0.4">
      <c r="A5" s="28" t="s">
        <v>2</v>
      </c>
      <c r="B5" s="23"/>
      <c r="C5" s="23"/>
      <c r="D5" s="23"/>
      <c r="E5" s="23"/>
      <c r="F5" s="23"/>
      <c r="G5" s="23"/>
      <c r="H5" s="23"/>
      <c r="I5" s="23"/>
      <c r="J5" s="23"/>
      <c r="K5" s="23"/>
      <c r="L5" s="23"/>
      <c r="M5" s="23"/>
      <c r="N5" s="23"/>
      <c r="O5" s="23"/>
      <c r="P5" s="23"/>
    </row>
    <row r="8" spans="1:16" x14ac:dyDescent="0.25">
      <c r="A8" s="27" t="s">
        <v>2</v>
      </c>
    </row>
    <row r="9" spans="1:16" x14ac:dyDescent="0.25">
      <c r="A9" s="26" t="s">
        <v>3</v>
      </c>
      <c r="B9" s="26" t="s">
        <v>4</v>
      </c>
      <c r="C9" s="26" t="s">
        <v>5</v>
      </c>
      <c r="D9" s="26" t="s">
        <v>6</v>
      </c>
      <c r="E9" s="26" t="s">
        <v>7</v>
      </c>
      <c r="F9" s="26" t="s">
        <v>8</v>
      </c>
      <c r="G9" s="26" t="s">
        <v>9</v>
      </c>
      <c r="H9" s="26" t="s">
        <v>10</v>
      </c>
      <c r="I9" s="26" t="s">
        <v>11</v>
      </c>
      <c r="J9" s="26" t="s">
        <v>12</v>
      </c>
      <c r="K9" s="26" t="s">
        <v>13</v>
      </c>
      <c r="L9" s="26" t="s">
        <v>14</v>
      </c>
      <c r="M9" s="26" t="s">
        <v>15</v>
      </c>
      <c r="N9" s="26" t="s">
        <v>16</v>
      </c>
      <c r="O9" s="26" t="s">
        <v>17</v>
      </c>
      <c r="P9" s="26" t="s">
        <v>18</v>
      </c>
    </row>
    <row r="10" spans="1:16" x14ac:dyDescent="0.25">
      <c r="A10" s="25">
        <v>314</v>
      </c>
      <c r="B10" s="25" t="s">
        <v>19</v>
      </c>
      <c r="C10" s="25" t="s">
        <v>20</v>
      </c>
      <c r="D10" s="25" t="s">
        <v>21</v>
      </c>
      <c r="E10" s="31">
        <v>40422</v>
      </c>
      <c r="F10" s="31"/>
      <c r="G10" s="25" t="s">
        <v>22</v>
      </c>
      <c r="H10" s="32">
        <v>48676.29</v>
      </c>
      <c r="I10" s="24">
        <v>48676.29</v>
      </c>
      <c r="J10" s="24"/>
      <c r="K10" s="25" t="s">
        <v>23</v>
      </c>
      <c r="L10" s="25" t="s">
        <v>24</v>
      </c>
      <c r="M10" s="25">
        <v>110</v>
      </c>
      <c r="N10" s="25" t="s">
        <v>25</v>
      </c>
      <c r="O10" s="25">
        <v>7000</v>
      </c>
      <c r="P10" s="25" t="s">
        <v>26</v>
      </c>
    </row>
    <row r="11" spans="1:16" x14ac:dyDescent="0.25">
      <c r="A11" s="25">
        <v>10100</v>
      </c>
      <c r="B11" s="25" t="s">
        <v>27</v>
      </c>
      <c r="C11" s="25" t="s">
        <v>28</v>
      </c>
      <c r="D11" s="25" t="s">
        <v>29</v>
      </c>
      <c r="E11" s="31">
        <v>45166</v>
      </c>
      <c r="F11" s="31"/>
      <c r="G11" s="25" t="s">
        <v>30</v>
      </c>
      <c r="H11" s="32">
        <v>55000</v>
      </c>
      <c r="I11" s="24">
        <v>55000</v>
      </c>
      <c r="J11" s="24"/>
      <c r="K11" s="25" t="s">
        <v>23</v>
      </c>
      <c r="L11" s="25" t="s">
        <v>24</v>
      </c>
      <c r="M11" s="25">
        <v>110</v>
      </c>
      <c r="N11" s="25" t="s">
        <v>25</v>
      </c>
      <c r="O11" s="25">
        <v>7000</v>
      </c>
      <c r="P11" s="25" t="s">
        <v>26</v>
      </c>
    </row>
    <row r="12" spans="1:16" x14ac:dyDescent="0.25">
      <c r="A12" s="25">
        <v>233</v>
      </c>
      <c r="B12" s="25" t="s">
        <v>31</v>
      </c>
      <c r="C12" s="25" t="s">
        <v>32</v>
      </c>
      <c r="D12" s="25" t="s">
        <v>21</v>
      </c>
      <c r="E12" s="31">
        <v>38908</v>
      </c>
      <c r="F12" s="31"/>
      <c r="G12" s="25" t="s">
        <v>33</v>
      </c>
      <c r="H12" s="32">
        <v>48676.29</v>
      </c>
      <c r="I12" s="24">
        <v>48676.29</v>
      </c>
      <c r="J12" s="24"/>
      <c r="K12" s="25" t="s">
        <v>23</v>
      </c>
      <c r="L12" s="25" t="s">
        <v>24</v>
      </c>
      <c r="M12" s="25">
        <v>110</v>
      </c>
      <c r="N12" s="25" t="s">
        <v>25</v>
      </c>
      <c r="O12" s="25">
        <v>7000</v>
      </c>
      <c r="P12" s="25" t="s">
        <v>26</v>
      </c>
    </row>
    <row r="13" spans="1:16" x14ac:dyDescent="0.25">
      <c r="A13" s="25">
        <v>504</v>
      </c>
      <c r="B13" s="25" t="s">
        <v>34</v>
      </c>
      <c r="C13" s="25" t="s">
        <v>35</v>
      </c>
      <c r="D13" s="25" t="s">
        <v>36</v>
      </c>
      <c r="E13" s="31">
        <v>42576</v>
      </c>
      <c r="F13" s="31"/>
      <c r="G13" s="25" t="s">
        <v>37</v>
      </c>
      <c r="H13" s="32">
        <v>23.40206186</v>
      </c>
      <c r="I13" s="24">
        <v>48676.2886688</v>
      </c>
      <c r="J13" s="24"/>
      <c r="K13" s="25" t="s">
        <v>23</v>
      </c>
      <c r="L13" s="25" t="s">
        <v>24</v>
      </c>
      <c r="M13" s="25">
        <v>110</v>
      </c>
      <c r="N13" s="25" t="s">
        <v>25</v>
      </c>
      <c r="O13" s="25">
        <v>7190</v>
      </c>
      <c r="P13" s="25" t="s">
        <v>38</v>
      </c>
    </row>
    <row r="14" spans="1:16" x14ac:dyDescent="0.25">
      <c r="A14" s="25">
        <v>387</v>
      </c>
      <c r="B14" s="25" t="s">
        <v>39</v>
      </c>
      <c r="C14" s="25" t="s">
        <v>40</v>
      </c>
      <c r="D14" s="25" t="s">
        <v>41</v>
      </c>
      <c r="E14" s="31">
        <v>41358</v>
      </c>
      <c r="F14" s="31"/>
      <c r="G14" s="25" t="s">
        <v>42</v>
      </c>
      <c r="H14" s="32">
        <v>150000</v>
      </c>
      <c r="I14" s="24">
        <v>150000</v>
      </c>
      <c r="J14" s="24">
        <f>25000*4</f>
        <v>100000</v>
      </c>
      <c r="K14" s="25" t="s">
        <v>23</v>
      </c>
      <c r="L14" s="25" t="s">
        <v>24</v>
      </c>
      <c r="M14" s="25">
        <v>110</v>
      </c>
      <c r="N14" s="25" t="s">
        <v>25</v>
      </c>
      <c r="O14" s="25">
        <v>7170</v>
      </c>
      <c r="P14" s="25" t="s">
        <v>43</v>
      </c>
    </row>
    <row r="15" spans="1:16" x14ac:dyDescent="0.25">
      <c r="A15" s="25">
        <v>559</v>
      </c>
      <c r="B15" s="25" t="s">
        <v>44</v>
      </c>
      <c r="C15" s="25" t="s">
        <v>45</v>
      </c>
      <c r="D15" s="25" t="s">
        <v>46</v>
      </c>
      <c r="E15" s="31">
        <v>42856</v>
      </c>
      <c r="F15" s="31"/>
      <c r="G15" s="25" t="s">
        <v>47</v>
      </c>
      <c r="H15" s="32">
        <v>85000</v>
      </c>
      <c r="I15" s="24">
        <v>85000</v>
      </c>
      <c r="J15" s="24">
        <f>6250*4</f>
        <v>25000</v>
      </c>
      <c r="K15" s="25" t="s">
        <v>23</v>
      </c>
      <c r="L15" s="25" t="s">
        <v>24</v>
      </c>
      <c r="M15" s="25">
        <v>110</v>
      </c>
      <c r="N15" s="25" t="s">
        <v>25</v>
      </c>
      <c r="O15" s="25">
        <v>7170</v>
      </c>
      <c r="P15" s="25" t="s">
        <v>43</v>
      </c>
    </row>
    <row r="16" spans="1:16" x14ac:dyDescent="0.25">
      <c r="A16" s="25">
        <v>666</v>
      </c>
      <c r="B16" s="25" t="s">
        <v>48</v>
      </c>
      <c r="C16" s="25" t="s">
        <v>49</v>
      </c>
      <c r="D16" s="25" t="s">
        <v>50</v>
      </c>
      <c r="E16" s="31">
        <v>43767</v>
      </c>
      <c r="F16" s="31"/>
      <c r="G16" s="25" t="s">
        <v>51</v>
      </c>
      <c r="H16" s="32">
        <v>50000</v>
      </c>
      <c r="I16" s="24">
        <v>50000</v>
      </c>
      <c r="J16" s="24"/>
      <c r="K16" s="25" t="s">
        <v>23</v>
      </c>
      <c r="L16" s="25" t="s">
        <v>24</v>
      </c>
      <c r="M16" s="25">
        <v>110</v>
      </c>
      <c r="N16" s="25" t="s">
        <v>25</v>
      </c>
      <c r="O16" s="25">
        <v>7000</v>
      </c>
      <c r="P16" s="25" t="s">
        <v>26</v>
      </c>
    </row>
    <row r="17" spans="1:16" x14ac:dyDescent="0.25">
      <c r="A17" s="25">
        <v>10066</v>
      </c>
      <c r="B17" s="25" t="s">
        <v>52</v>
      </c>
      <c r="C17" s="25" t="s">
        <v>53</v>
      </c>
      <c r="D17" s="25" t="s">
        <v>54</v>
      </c>
      <c r="E17" s="31">
        <v>44823</v>
      </c>
      <c r="F17" s="31"/>
      <c r="G17" s="25" t="s">
        <v>55</v>
      </c>
      <c r="H17" s="32">
        <v>55000</v>
      </c>
      <c r="I17" s="24">
        <v>55000</v>
      </c>
      <c r="J17" s="24"/>
      <c r="K17" s="25" t="s">
        <v>23</v>
      </c>
      <c r="L17" s="25" t="s">
        <v>24</v>
      </c>
      <c r="M17" s="25">
        <v>110</v>
      </c>
      <c r="N17" s="25" t="s">
        <v>25</v>
      </c>
      <c r="O17" s="25">
        <v>7000</v>
      </c>
      <c r="P17" s="25" t="s">
        <v>26</v>
      </c>
    </row>
    <row r="18" spans="1:16" x14ac:dyDescent="0.25">
      <c r="A18" s="25">
        <v>10023</v>
      </c>
      <c r="B18" s="25" t="s">
        <v>56</v>
      </c>
      <c r="C18" s="25" t="s">
        <v>57</v>
      </c>
      <c r="D18" s="25" t="s">
        <v>58</v>
      </c>
      <c r="E18" s="31">
        <v>44452</v>
      </c>
      <c r="F18" s="31"/>
      <c r="G18" s="25" t="s">
        <v>59</v>
      </c>
      <c r="H18" s="32">
        <v>120000</v>
      </c>
      <c r="I18" s="24">
        <v>120000</v>
      </c>
      <c r="J18" s="24">
        <f>7500*4</f>
        <v>30000</v>
      </c>
      <c r="K18" s="25" t="s">
        <v>23</v>
      </c>
      <c r="L18" s="25" t="s">
        <v>24</v>
      </c>
      <c r="M18" s="25">
        <v>110</v>
      </c>
      <c r="N18" s="25" t="s">
        <v>25</v>
      </c>
      <c r="O18" s="25">
        <v>7170</v>
      </c>
      <c r="P18" s="25" t="s">
        <v>43</v>
      </c>
    </row>
    <row r="19" spans="1:16" x14ac:dyDescent="0.25">
      <c r="A19" s="25">
        <v>660</v>
      </c>
      <c r="B19" s="25" t="s">
        <v>60</v>
      </c>
      <c r="C19" s="25" t="s">
        <v>61</v>
      </c>
      <c r="D19" s="25" t="s">
        <v>62</v>
      </c>
      <c r="E19" s="31">
        <v>43682</v>
      </c>
      <c r="F19" s="31"/>
      <c r="G19" s="25" t="s">
        <v>63</v>
      </c>
      <c r="H19" s="32">
        <v>48676.29</v>
      </c>
      <c r="I19" s="24">
        <v>48676.29</v>
      </c>
      <c r="J19" s="24"/>
      <c r="K19" s="25" t="s">
        <v>23</v>
      </c>
      <c r="L19" s="25" t="s">
        <v>24</v>
      </c>
      <c r="M19" s="25">
        <v>112</v>
      </c>
      <c r="N19" s="25" t="s">
        <v>64</v>
      </c>
      <c r="O19" s="25">
        <v>7000</v>
      </c>
      <c r="P19" s="25" t="s">
        <v>65</v>
      </c>
    </row>
    <row r="20" spans="1:16" x14ac:dyDescent="0.25">
      <c r="A20" s="25">
        <v>571</v>
      </c>
      <c r="B20" s="25" t="s">
        <v>66</v>
      </c>
      <c r="C20" s="25" t="s">
        <v>67</v>
      </c>
      <c r="D20" s="25" t="s">
        <v>62</v>
      </c>
      <c r="E20" s="31">
        <v>42919</v>
      </c>
      <c r="F20" s="31"/>
      <c r="G20" s="25" t="s">
        <v>68</v>
      </c>
      <c r="H20" s="32">
        <v>75000</v>
      </c>
      <c r="I20" s="24">
        <v>75000</v>
      </c>
      <c r="J20" s="24"/>
      <c r="K20" s="25" t="s">
        <v>23</v>
      </c>
      <c r="L20" s="25" t="s">
        <v>24</v>
      </c>
      <c r="M20" s="25">
        <v>112</v>
      </c>
      <c r="N20" s="25" t="s">
        <v>64</v>
      </c>
      <c r="O20" s="25">
        <v>7000</v>
      </c>
      <c r="P20" s="25" t="s">
        <v>65</v>
      </c>
    </row>
    <row r="21" spans="1:16" x14ac:dyDescent="0.25">
      <c r="A21" s="25">
        <v>238</v>
      </c>
      <c r="B21" s="25" t="s">
        <v>69</v>
      </c>
      <c r="C21" s="25" t="s">
        <v>70</v>
      </c>
      <c r="D21" s="25" t="s">
        <v>62</v>
      </c>
      <c r="E21" s="31">
        <v>38964</v>
      </c>
      <c r="F21" s="31"/>
      <c r="G21" s="25" t="s">
        <v>71</v>
      </c>
      <c r="H21" s="32">
        <v>55000</v>
      </c>
      <c r="I21" s="24">
        <v>55000</v>
      </c>
      <c r="J21" s="24"/>
      <c r="K21" s="25" t="s">
        <v>23</v>
      </c>
      <c r="L21" s="25" t="s">
        <v>24</v>
      </c>
      <c r="M21" s="25">
        <v>112</v>
      </c>
      <c r="N21" s="25" t="s">
        <v>64</v>
      </c>
      <c r="O21" s="25">
        <v>7000</v>
      </c>
      <c r="P21" s="25" t="s">
        <v>65</v>
      </c>
    </row>
    <row r="22" spans="1:16" x14ac:dyDescent="0.25">
      <c r="A22" s="25">
        <v>10096</v>
      </c>
      <c r="B22" s="25" t="s">
        <v>72</v>
      </c>
      <c r="C22" s="25" t="s">
        <v>73</v>
      </c>
      <c r="D22" s="25" t="s">
        <v>74</v>
      </c>
      <c r="E22" s="31">
        <v>45117</v>
      </c>
      <c r="F22" s="31"/>
      <c r="G22" s="25" t="s">
        <v>75</v>
      </c>
      <c r="H22" s="32">
        <v>55000</v>
      </c>
      <c r="I22" s="24">
        <v>55000</v>
      </c>
      <c r="J22" s="24"/>
      <c r="K22" s="25" t="s">
        <v>23</v>
      </c>
      <c r="L22" s="25" t="s">
        <v>24</v>
      </c>
      <c r="M22" s="25">
        <v>112</v>
      </c>
      <c r="N22" s="25" t="s">
        <v>64</v>
      </c>
      <c r="O22" s="25">
        <v>7000</v>
      </c>
      <c r="P22" s="25" t="s">
        <v>65</v>
      </c>
    </row>
    <row r="23" spans="1:16" x14ac:dyDescent="0.25">
      <c r="A23" s="25">
        <v>643</v>
      </c>
      <c r="B23" s="25" t="s">
        <v>76</v>
      </c>
      <c r="C23" s="25" t="s">
        <v>77</v>
      </c>
      <c r="D23" s="25" t="s">
        <v>78</v>
      </c>
      <c r="E23" s="31">
        <v>43521</v>
      </c>
      <c r="F23" s="31"/>
      <c r="G23" s="25" t="s">
        <v>79</v>
      </c>
      <c r="H23" s="32">
        <v>55000</v>
      </c>
      <c r="I23" s="24">
        <v>55000</v>
      </c>
      <c r="J23" s="24"/>
      <c r="K23" s="25" t="s">
        <v>23</v>
      </c>
      <c r="L23" s="25" t="s">
        <v>24</v>
      </c>
      <c r="M23" s="25">
        <v>120</v>
      </c>
      <c r="N23" s="25" t="s">
        <v>80</v>
      </c>
      <c r="O23" s="25">
        <v>7000</v>
      </c>
      <c r="P23" s="25" t="s">
        <v>81</v>
      </c>
    </row>
    <row r="24" spans="1:16" x14ac:dyDescent="0.25">
      <c r="A24" s="25">
        <v>10095</v>
      </c>
      <c r="B24" s="25" t="s">
        <v>82</v>
      </c>
      <c r="C24" s="25" t="s">
        <v>83</v>
      </c>
      <c r="D24" s="25" t="s">
        <v>84</v>
      </c>
      <c r="E24" s="31">
        <v>45103</v>
      </c>
      <c r="F24" s="31"/>
      <c r="G24" s="25" t="s">
        <v>85</v>
      </c>
      <c r="H24" s="32">
        <v>23.4</v>
      </c>
      <c r="I24" s="24">
        <v>51714</v>
      </c>
      <c r="J24" s="24"/>
      <c r="K24" s="25" t="s">
        <v>23</v>
      </c>
      <c r="L24" s="25" t="s">
        <v>24</v>
      </c>
      <c r="M24" s="25">
        <v>120</v>
      </c>
      <c r="N24" s="25" t="s">
        <v>80</v>
      </c>
      <c r="O24" s="25">
        <v>7190</v>
      </c>
      <c r="P24" s="25" t="s">
        <v>86</v>
      </c>
    </row>
    <row r="25" spans="1:16" x14ac:dyDescent="0.25">
      <c r="A25" s="25">
        <v>10098</v>
      </c>
      <c r="B25" s="25" t="s">
        <v>87</v>
      </c>
      <c r="C25" s="25" t="s">
        <v>88</v>
      </c>
      <c r="D25" s="25" t="s">
        <v>89</v>
      </c>
      <c r="E25" s="31">
        <v>45149</v>
      </c>
      <c r="F25" s="31"/>
      <c r="G25" s="25" t="s">
        <v>90</v>
      </c>
      <c r="H25" s="32">
        <v>55000</v>
      </c>
      <c r="I25" s="24">
        <v>55000</v>
      </c>
      <c r="J25" s="24"/>
      <c r="K25" s="25" t="s">
        <v>23</v>
      </c>
      <c r="L25" s="25" t="s">
        <v>24</v>
      </c>
      <c r="M25" s="25">
        <v>120</v>
      </c>
      <c r="N25" s="25" t="s">
        <v>80</v>
      </c>
      <c r="O25" s="25">
        <v>7000</v>
      </c>
      <c r="P25" s="25" t="s">
        <v>81</v>
      </c>
    </row>
    <row r="26" spans="1:16" x14ac:dyDescent="0.25">
      <c r="A26" s="25">
        <v>10084</v>
      </c>
      <c r="B26" s="25" t="s">
        <v>91</v>
      </c>
      <c r="C26" s="25" t="s">
        <v>92</v>
      </c>
      <c r="D26" s="25" t="s">
        <v>93</v>
      </c>
      <c r="E26" s="31">
        <v>45021</v>
      </c>
      <c r="F26" s="31"/>
      <c r="G26" s="25" t="s">
        <v>94</v>
      </c>
      <c r="H26" s="32">
        <v>55000</v>
      </c>
      <c r="I26" s="24">
        <v>55000</v>
      </c>
      <c r="J26" s="24"/>
      <c r="K26" s="25" t="s">
        <v>23</v>
      </c>
      <c r="L26" s="25" t="s">
        <v>24</v>
      </c>
      <c r="M26" s="25">
        <v>120</v>
      </c>
      <c r="N26" s="25" t="s">
        <v>80</v>
      </c>
      <c r="O26" s="25">
        <v>7000</v>
      </c>
      <c r="P26" s="25" t="s">
        <v>81</v>
      </c>
    </row>
    <row r="27" spans="1:16" x14ac:dyDescent="0.25">
      <c r="A27" s="25">
        <v>10020</v>
      </c>
      <c r="B27" s="25" t="s">
        <v>95</v>
      </c>
      <c r="C27" s="25" t="s">
        <v>96</v>
      </c>
      <c r="D27" s="25" t="s">
        <v>50</v>
      </c>
      <c r="E27" s="31">
        <v>44431</v>
      </c>
      <c r="F27" s="31">
        <v>45138</v>
      </c>
      <c r="G27" s="25" t="s">
        <v>97</v>
      </c>
      <c r="H27" s="32">
        <v>50000</v>
      </c>
      <c r="I27" s="24">
        <v>50000</v>
      </c>
      <c r="J27" s="24"/>
      <c r="K27" s="25" t="s">
        <v>23</v>
      </c>
      <c r="L27" s="25" t="s">
        <v>24</v>
      </c>
      <c r="M27" s="25">
        <v>120</v>
      </c>
      <c r="N27" s="25" t="s">
        <v>80</v>
      </c>
      <c r="O27" s="25">
        <v>7000</v>
      </c>
      <c r="P27" s="25" t="s">
        <v>81</v>
      </c>
    </row>
    <row r="28" spans="1:16" x14ac:dyDescent="0.25">
      <c r="A28" s="25">
        <v>636</v>
      </c>
      <c r="B28" s="25" t="s">
        <v>98</v>
      </c>
      <c r="C28" s="25" t="s">
        <v>99</v>
      </c>
      <c r="D28" s="25" t="s">
        <v>78</v>
      </c>
      <c r="E28" s="31">
        <v>43437</v>
      </c>
      <c r="F28" s="31"/>
      <c r="G28" s="25" t="s">
        <v>100</v>
      </c>
      <c r="H28" s="32">
        <v>50000</v>
      </c>
      <c r="I28" s="24">
        <v>50000</v>
      </c>
      <c r="J28" s="24"/>
      <c r="K28" s="25" t="s">
        <v>23</v>
      </c>
      <c r="L28" s="25" t="s">
        <v>24</v>
      </c>
      <c r="M28" s="25">
        <v>121</v>
      </c>
      <c r="N28" s="25" t="s">
        <v>101</v>
      </c>
      <c r="O28" s="25">
        <v>7000</v>
      </c>
      <c r="P28" s="25" t="s">
        <v>102</v>
      </c>
    </row>
    <row r="29" spans="1:16" x14ac:dyDescent="0.25">
      <c r="A29" s="25">
        <v>406</v>
      </c>
      <c r="B29" s="25" t="s">
        <v>103</v>
      </c>
      <c r="C29" s="25" t="s">
        <v>104</v>
      </c>
      <c r="D29" s="25" t="s">
        <v>105</v>
      </c>
      <c r="E29" s="31">
        <v>41500</v>
      </c>
      <c r="F29" s="31"/>
      <c r="G29" s="25" t="s">
        <v>106</v>
      </c>
      <c r="H29" s="32">
        <v>55000</v>
      </c>
      <c r="I29" s="24">
        <v>55000</v>
      </c>
      <c r="J29" s="24"/>
      <c r="K29" s="25" t="s">
        <v>23</v>
      </c>
      <c r="L29" s="25" t="s">
        <v>24</v>
      </c>
      <c r="M29" s="25">
        <v>121</v>
      </c>
      <c r="N29" s="25" t="s">
        <v>101</v>
      </c>
      <c r="O29" s="25">
        <v>7000</v>
      </c>
      <c r="P29" s="25" t="s">
        <v>102</v>
      </c>
    </row>
    <row r="30" spans="1:16" x14ac:dyDescent="0.25">
      <c r="A30" s="25">
        <v>10000</v>
      </c>
      <c r="B30" s="25" t="s">
        <v>107</v>
      </c>
      <c r="C30" s="25" t="s">
        <v>108</v>
      </c>
      <c r="D30" s="25" t="s">
        <v>109</v>
      </c>
      <c r="E30" s="31">
        <v>44348</v>
      </c>
      <c r="F30" s="31">
        <v>45089</v>
      </c>
      <c r="G30" s="25" t="s">
        <v>110</v>
      </c>
      <c r="H30" s="32">
        <v>25</v>
      </c>
      <c r="I30" s="24">
        <v>58500</v>
      </c>
      <c r="J30" s="24">
        <f>1000*4</f>
        <v>4000</v>
      </c>
      <c r="K30" s="25" t="s">
        <v>111</v>
      </c>
      <c r="L30" s="25" t="s">
        <v>112</v>
      </c>
      <c r="M30" s="25">
        <v>130</v>
      </c>
      <c r="N30" s="25" t="s">
        <v>113</v>
      </c>
      <c r="O30" s="25">
        <v>7190</v>
      </c>
      <c r="P30" s="25" t="s">
        <v>114</v>
      </c>
    </row>
    <row r="31" spans="1:16" x14ac:dyDescent="0.25">
      <c r="A31" s="25">
        <v>343</v>
      </c>
      <c r="B31" s="25" t="s">
        <v>115</v>
      </c>
      <c r="C31" s="25" t="s">
        <v>116</v>
      </c>
      <c r="D31" s="25" t="s">
        <v>117</v>
      </c>
      <c r="E31" s="31">
        <v>35387</v>
      </c>
      <c r="F31" s="31"/>
      <c r="G31" s="25" t="s">
        <v>118</v>
      </c>
      <c r="H31" s="32">
        <v>120000</v>
      </c>
      <c r="I31" s="24">
        <v>120000</v>
      </c>
      <c r="J31" s="24">
        <f>20000*4</f>
        <v>80000</v>
      </c>
      <c r="K31" s="25" t="s">
        <v>111</v>
      </c>
      <c r="L31" s="25" t="s">
        <v>112</v>
      </c>
      <c r="M31" s="25">
        <v>130</v>
      </c>
      <c r="N31" s="25" t="s">
        <v>113</v>
      </c>
      <c r="O31" s="25">
        <v>7170</v>
      </c>
      <c r="P31" s="25" t="s">
        <v>119</v>
      </c>
    </row>
    <row r="32" spans="1:16" x14ac:dyDescent="0.25">
      <c r="A32" s="25">
        <v>541</v>
      </c>
      <c r="B32" s="25" t="s">
        <v>120</v>
      </c>
      <c r="C32" s="25" t="s">
        <v>121</v>
      </c>
      <c r="D32" s="25" t="s">
        <v>122</v>
      </c>
      <c r="E32" s="31">
        <v>42786</v>
      </c>
      <c r="F32" s="31"/>
      <c r="G32" s="25" t="s">
        <v>123</v>
      </c>
      <c r="H32" s="32">
        <v>27</v>
      </c>
      <c r="I32" s="24">
        <v>63180</v>
      </c>
      <c r="J32" s="24">
        <f>250*4</f>
        <v>1000</v>
      </c>
      <c r="K32" s="25" t="s">
        <v>111</v>
      </c>
      <c r="L32" s="25" t="s">
        <v>112</v>
      </c>
      <c r="M32" s="25">
        <v>130</v>
      </c>
      <c r="N32" s="25" t="s">
        <v>113</v>
      </c>
      <c r="O32" s="25">
        <v>7190</v>
      </c>
      <c r="P32" s="25" t="s">
        <v>114</v>
      </c>
    </row>
    <row r="33" spans="1:16" x14ac:dyDescent="0.25">
      <c r="A33" s="25">
        <v>329</v>
      </c>
      <c r="B33" s="25" t="s">
        <v>124</v>
      </c>
      <c r="C33" s="25" t="s">
        <v>125</v>
      </c>
      <c r="D33" s="25" t="s">
        <v>126</v>
      </c>
      <c r="E33" s="31">
        <v>40703</v>
      </c>
      <c r="F33" s="31"/>
      <c r="G33" s="25" t="s">
        <v>127</v>
      </c>
      <c r="H33" s="32">
        <v>87516</v>
      </c>
      <c r="I33" s="24">
        <v>87516</v>
      </c>
      <c r="J33" s="24"/>
      <c r="K33" s="25" t="s">
        <v>111</v>
      </c>
      <c r="L33" s="25" t="s">
        <v>112</v>
      </c>
      <c r="M33" s="25">
        <v>130</v>
      </c>
      <c r="N33" s="25" t="s">
        <v>113</v>
      </c>
      <c r="O33" s="25">
        <v>7170</v>
      </c>
      <c r="P33" s="25" t="s">
        <v>119</v>
      </c>
    </row>
    <row r="34" spans="1:16" x14ac:dyDescent="0.25">
      <c r="A34" s="25">
        <v>578</v>
      </c>
      <c r="B34" s="25" t="s">
        <v>128</v>
      </c>
      <c r="C34" s="25" t="s">
        <v>129</v>
      </c>
      <c r="D34" s="25" t="s">
        <v>130</v>
      </c>
      <c r="E34" s="31">
        <v>42940</v>
      </c>
      <c r="F34" s="31"/>
      <c r="G34" s="25" t="s">
        <v>131</v>
      </c>
      <c r="H34" s="32">
        <v>59800</v>
      </c>
      <c r="I34" s="24">
        <v>59800</v>
      </c>
      <c r="J34" s="24"/>
      <c r="K34" s="25" t="s">
        <v>111</v>
      </c>
      <c r="L34" s="25" t="s">
        <v>112</v>
      </c>
      <c r="M34" s="25">
        <v>130</v>
      </c>
      <c r="N34" s="25" t="s">
        <v>113</v>
      </c>
      <c r="O34" s="25">
        <v>7190</v>
      </c>
      <c r="P34" s="25" t="s">
        <v>114</v>
      </c>
    </row>
    <row r="35" spans="1:16" x14ac:dyDescent="0.25">
      <c r="A35" s="25">
        <v>664</v>
      </c>
      <c r="B35" s="25" t="s">
        <v>132</v>
      </c>
      <c r="C35" s="25" t="s">
        <v>133</v>
      </c>
      <c r="D35" s="25" t="s">
        <v>134</v>
      </c>
      <c r="E35" s="31">
        <v>43745</v>
      </c>
      <c r="F35" s="31"/>
      <c r="G35" s="25" t="s">
        <v>135</v>
      </c>
      <c r="H35" s="32">
        <v>32.47</v>
      </c>
      <c r="I35" s="24">
        <v>75979.8</v>
      </c>
      <c r="J35" s="24">
        <f>1000*4</f>
        <v>4000</v>
      </c>
      <c r="K35" s="25" t="s">
        <v>111</v>
      </c>
      <c r="L35" s="25" t="s">
        <v>112</v>
      </c>
      <c r="M35" s="25">
        <v>130</v>
      </c>
      <c r="N35" s="25" t="s">
        <v>113</v>
      </c>
      <c r="O35" s="25">
        <v>7190</v>
      </c>
      <c r="P35" s="25" t="s">
        <v>114</v>
      </c>
    </row>
    <row r="36" spans="1:16" x14ac:dyDescent="0.25">
      <c r="A36" s="25">
        <v>543</v>
      </c>
      <c r="B36" s="25" t="s">
        <v>136</v>
      </c>
      <c r="C36" s="25" t="s">
        <v>137</v>
      </c>
      <c r="D36" s="25" t="s">
        <v>138</v>
      </c>
      <c r="E36" s="31">
        <v>42793</v>
      </c>
      <c r="F36" s="31"/>
      <c r="G36" s="25" t="s">
        <v>139</v>
      </c>
      <c r="H36" s="32">
        <v>30.77</v>
      </c>
      <c r="I36" s="24">
        <v>72001.8</v>
      </c>
      <c r="J36" s="24">
        <f>1000*4</f>
        <v>4000</v>
      </c>
      <c r="K36" s="25" t="s">
        <v>111</v>
      </c>
      <c r="L36" s="25" t="s">
        <v>112</v>
      </c>
      <c r="M36" s="25">
        <v>130</v>
      </c>
      <c r="N36" s="25" t="s">
        <v>113</v>
      </c>
      <c r="O36" s="25">
        <v>7190</v>
      </c>
      <c r="P36" s="25" t="s">
        <v>114</v>
      </c>
    </row>
    <row r="37" spans="1:16" x14ac:dyDescent="0.25">
      <c r="A37" s="25">
        <v>10019</v>
      </c>
      <c r="B37" s="25" t="s">
        <v>140</v>
      </c>
      <c r="C37" s="25" t="s">
        <v>141</v>
      </c>
      <c r="D37" s="25" t="s">
        <v>142</v>
      </c>
      <c r="E37" s="31">
        <v>44431</v>
      </c>
      <c r="F37" s="31"/>
      <c r="G37" s="25" t="s">
        <v>143</v>
      </c>
      <c r="H37" s="32">
        <v>24.5</v>
      </c>
      <c r="I37" s="24">
        <v>54145</v>
      </c>
      <c r="J37" s="24"/>
      <c r="K37" s="25" t="s">
        <v>111</v>
      </c>
      <c r="L37" s="25" t="s">
        <v>112</v>
      </c>
      <c r="M37" s="25">
        <v>130</v>
      </c>
      <c r="N37" s="25" t="s">
        <v>113</v>
      </c>
      <c r="O37" s="25">
        <v>7190</v>
      </c>
      <c r="P37" s="25" t="s">
        <v>114</v>
      </c>
    </row>
    <row r="38" spans="1:16" x14ac:dyDescent="0.25">
      <c r="A38" s="25">
        <v>10058</v>
      </c>
      <c r="B38" s="25" t="s">
        <v>144</v>
      </c>
      <c r="C38" s="25" t="s">
        <v>145</v>
      </c>
      <c r="D38" s="25" t="s">
        <v>146</v>
      </c>
      <c r="E38" s="31">
        <v>44718</v>
      </c>
      <c r="F38" s="31"/>
      <c r="G38" s="25" t="s">
        <v>147</v>
      </c>
      <c r="H38" s="32">
        <v>28.5</v>
      </c>
      <c r="I38" s="24">
        <v>66690</v>
      </c>
      <c r="J38" s="24">
        <f>1000*4</f>
        <v>4000</v>
      </c>
      <c r="K38" s="25" t="s">
        <v>111</v>
      </c>
      <c r="L38" s="25" t="s">
        <v>112</v>
      </c>
      <c r="M38" s="25">
        <v>130</v>
      </c>
      <c r="N38" s="25" t="s">
        <v>113</v>
      </c>
      <c r="O38" s="25">
        <v>7190</v>
      </c>
      <c r="P38" s="25" t="s">
        <v>114</v>
      </c>
    </row>
    <row r="39" spans="1:16" x14ac:dyDescent="0.25">
      <c r="A39" s="25">
        <v>10016</v>
      </c>
      <c r="B39" s="25" t="s">
        <v>148</v>
      </c>
      <c r="C39" s="25" t="s">
        <v>149</v>
      </c>
      <c r="D39" s="25" t="s">
        <v>150</v>
      </c>
      <c r="E39" s="31">
        <v>44431</v>
      </c>
      <c r="F39" s="31"/>
      <c r="G39" s="25" t="s">
        <v>151</v>
      </c>
      <c r="H39" s="32">
        <v>30.77</v>
      </c>
      <c r="I39" s="24">
        <v>78401.960000000006</v>
      </c>
      <c r="J39" s="24">
        <f>1000*4</f>
        <v>4000</v>
      </c>
      <c r="K39" s="25" t="s">
        <v>111</v>
      </c>
      <c r="L39" s="25" t="s">
        <v>112</v>
      </c>
      <c r="M39" s="25">
        <v>130</v>
      </c>
      <c r="N39" s="25" t="s">
        <v>113</v>
      </c>
      <c r="O39" s="25">
        <v>7190</v>
      </c>
      <c r="P39" s="25" t="s">
        <v>114</v>
      </c>
    </row>
    <row r="40" spans="1:16" x14ac:dyDescent="0.25">
      <c r="A40" s="25">
        <v>64</v>
      </c>
      <c r="B40" s="25" t="s">
        <v>152</v>
      </c>
      <c r="C40" s="25" t="s">
        <v>153</v>
      </c>
      <c r="D40" s="25" t="s">
        <v>154</v>
      </c>
      <c r="E40" s="31">
        <v>35499</v>
      </c>
      <c r="F40" s="31"/>
      <c r="G40" s="25" t="s">
        <v>155</v>
      </c>
      <c r="H40" s="32">
        <v>33</v>
      </c>
      <c r="I40" s="24">
        <v>77220</v>
      </c>
      <c r="J40" s="24">
        <f>1000*4</f>
        <v>4000</v>
      </c>
      <c r="K40" s="25" t="s">
        <v>111</v>
      </c>
      <c r="L40" s="25" t="s">
        <v>112</v>
      </c>
      <c r="M40" s="25">
        <v>130</v>
      </c>
      <c r="N40" s="25" t="s">
        <v>113</v>
      </c>
      <c r="O40" s="25">
        <v>7190</v>
      </c>
      <c r="P40" s="25" t="s">
        <v>114</v>
      </c>
    </row>
    <row r="41" spans="1:16" x14ac:dyDescent="0.25">
      <c r="A41" s="25">
        <v>527</v>
      </c>
      <c r="B41" s="25" t="s">
        <v>156</v>
      </c>
      <c r="C41" s="25" t="s">
        <v>157</v>
      </c>
      <c r="D41" s="25" t="s">
        <v>158</v>
      </c>
      <c r="E41" s="31">
        <v>42709</v>
      </c>
      <c r="F41" s="31"/>
      <c r="G41" s="25" t="s">
        <v>159</v>
      </c>
      <c r="H41" s="32">
        <v>88880</v>
      </c>
      <c r="I41" s="24">
        <v>88880</v>
      </c>
      <c r="J41" s="24">
        <f>5555*4</f>
        <v>22220</v>
      </c>
      <c r="K41" s="25" t="s">
        <v>111</v>
      </c>
      <c r="L41" s="25" t="s">
        <v>112</v>
      </c>
      <c r="M41" s="25">
        <v>130</v>
      </c>
      <c r="N41" s="25" t="s">
        <v>113</v>
      </c>
      <c r="O41" s="25">
        <v>7170</v>
      </c>
      <c r="P41" s="25" t="s">
        <v>119</v>
      </c>
    </row>
    <row r="42" spans="1:16" x14ac:dyDescent="0.25">
      <c r="A42" s="25">
        <v>620</v>
      </c>
      <c r="B42" s="25" t="s">
        <v>160</v>
      </c>
      <c r="C42" s="25" t="s">
        <v>161</v>
      </c>
      <c r="D42" s="25" t="s">
        <v>162</v>
      </c>
      <c r="E42" s="31">
        <v>43308</v>
      </c>
      <c r="F42" s="31"/>
      <c r="G42" s="25" t="s">
        <v>163</v>
      </c>
      <c r="H42" s="32">
        <v>37.5</v>
      </c>
      <c r="I42" s="24">
        <v>121875</v>
      </c>
      <c r="J42" s="24">
        <f>750*4</f>
        <v>3000</v>
      </c>
      <c r="K42" s="25" t="s">
        <v>111</v>
      </c>
      <c r="L42" s="25" t="s">
        <v>112</v>
      </c>
      <c r="M42" s="25">
        <v>140</v>
      </c>
      <c r="N42" s="25" t="s">
        <v>164</v>
      </c>
      <c r="O42" s="25">
        <v>7190</v>
      </c>
      <c r="P42" s="25" t="s">
        <v>165</v>
      </c>
    </row>
    <row r="43" spans="1:16" x14ac:dyDescent="0.25">
      <c r="A43" s="25">
        <v>10081</v>
      </c>
      <c r="B43" s="25" t="s">
        <v>166</v>
      </c>
      <c r="C43" s="25" t="s">
        <v>167</v>
      </c>
      <c r="D43" s="25" t="s">
        <v>168</v>
      </c>
      <c r="E43" s="31">
        <v>44984</v>
      </c>
      <c r="F43" s="31">
        <v>45029</v>
      </c>
      <c r="G43" s="25" t="s">
        <v>169</v>
      </c>
      <c r="H43" s="32">
        <v>24.5</v>
      </c>
      <c r="I43" s="24">
        <v>50960</v>
      </c>
      <c r="J43" s="24"/>
      <c r="K43" s="25" t="s">
        <v>111</v>
      </c>
      <c r="L43" s="25" t="s">
        <v>112</v>
      </c>
      <c r="M43" s="25">
        <v>140</v>
      </c>
      <c r="N43" s="25" t="s">
        <v>164</v>
      </c>
      <c r="O43" s="25">
        <v>7190</v>
      </c>
      <c r="P43" s="25" t="s">
        <v>165</v>
      </c>
    </row>
    <row r="44" spans="1:16" x14ac:dyDescent="0.25">
      <c r="A44" s="25">
        <v>10108</v>
      </c>
      <c r="B44" s="25" t="s">
        <v>170</v>
      </c>
      <c r="C44" s="25" t="s">
        <v>171</v>
      </c>
      <c r="D44" s="25" t="s">
        <v>172</v>
      </c>
      <c r="E44" s="31">
        <v>45223</v>
      </c>
      <c r="F44" s="31"/>
      <c r="G44" s="25" t="s">
        <v>173</v>
      </c>
      <c r="H44" s="32">
        <v>30</v>
      </c>
      <c r="I44" s="24">
        <v>62400</v>
      </c>
      <c r="J44" s="24">
        <f t="shared" ref="J44:J49" si="0">750*4</f>
        <v>3000</v>
      </c>
      <c r="K44" s="25" t="s">
        <v>111</v>
      </c>
      <c r="L44" s="25" t="s">
        <v>112</v>
      </c>
      <c r="M44" s="25">
        <v>140</v>
      </c>
      <c r="N44" s="25" t="s">
        <v>164</v>
      </c>
      <c r="O44" s="25">
        <v>7190</v>
      </c>
      <c r="P44" s="25" t="s">
        <v>165</v>
      </c>
    </row>
    <row r="45" spans="1:16" x14ac:dyDescent="0.25">
      <c r="A45" s="25">
        <v>10088</v>
      </c>
      <c r="B45" s="25" t="s">
        <v>174</v>
      </c>
      <c r="C45" s="25" t="s">
        <v>175</v>
      </c>
      <c r="D45" s="25" t="s">
        <v>172</v>
      </c>
      <c r="E45" s="31">
        <v>45047</v>
      </c>
      <c r="F45" s="31"/>
      <c r="G45" s="25" t="s">
        <v>176</v>
      </c>
      <c r="H45" s="32">
        <v>32</v>
      </c>
      <c r="I45" s="24">
        <v>66560</v>
      </c>
      <c r="J45" s="24">
        <f t="shared" si="0"/>
        <v>3000</v>
      </c>
      <c r="K45" s="25" t="s">
        <v>111</v>
      </c>
      <c r="L45" s="25" t="s">
        <v>112</v>
      </c>
      <c r="M45" s="25">
        <v>140</v>
      </c>
      <c r="N45" s="25" t="s">
        <v>164</v>
      </c>
      <c r="O45" s="25">
        <v>7190</v>
      </c>
      <c r="P45" s="25" t="s">
        <v>165</v>
      </c>
    </row>
    <row r="46" spans="1:16" x14ac:dyDescent="0.25">
      <c r="A46" s="25">
        <v>436</v>
      </c>
      <c r="B46" s="25" t="s">
        <v>177</v>
      </c>
      <c r="C46" s="25" t="s">
        <v>178</v>
      </c>
      <c r="D46" s="25" t="s">
        <v>179</v>
      </c>
      <c r="E46" s="31">
        <v>41806</v>
      </c>
      <c r="F46" s="31"/>
      <c r="G46" s="25" t="s">
        <v>180</v>
      </c>
      <c r="H46" s="32">
        <v>41</v>
      </c>
      <c r="I46" s="24">
        <v>95940</v>
      </c>
      <c r="J46" s="24">
        <f t="shared" si="0"/>
        <v>3000</v>
      </c>
      <c r="K46" s="25" t="s">
        <v>111</v>
      </c>
      <c r="L46" s="25" t="s">
        <v>112</v>
      </c>
      <c r="M46" s="25">
        <v>140</v>
      </c>
      <c r="N46" s="25" t="s">
        <v>164</v>
      </c>
      <c r="O46" s="25">
        <v>7190</v>
      </c>
      <c r="P46" s="25" t="s">
        <v>165</v>
      </c>
    </row>
    <row r="47" spans="1:16" x14ac:dyDescent="0.25">
      <c r="A47" s="25">
        <v>10105</v>
      </c>
      <c r="B47" s="25" t="s">
        <v>181</v>
      </c>
      <c r="C47" s="25" t="s">
        <v>182</v>
      </c>
      <c r="D47" s="25" t="s">
        <v>172</v>
      </c>
      <c r="E47" s="31">
        <v>45194</v>
      </c>
      <c r="F47" s="31"/>
      <c r="G47" s="25" t="s">
        <v>183</v>
      </c>
      <c r="H47" s="32">
        <v>28</v>
      </c>
      <c r="I47" s="24">
        <v>65520</v>
      </c>
      <c r="J47" s="24">
        <f t="shared" si="0"/>
        <v>3000</v>
      </c>
      <c r="K47" s="25" t="s">
        <v>111</v>
      </c>
      <c r="L47" s="25" t="s">
        <v>112</v>
      </c>
      <c r="M47" s="25">
        <v>140</v>
      </c>
      <c r="N47" s="25" t="s">
        <v>164</v>
      </c>
      <c r="O47" s="25">
        <v>7190</v>
      </c>
      <c r="P47" s="25" t="s">
        <v>165</v>
      </c>
    </row>
    <row r="48" spans="1:16" x14ac:dyDescent="0.25">
      <c r="A48" s="25">
        <v>10052</v>
      </c>
      <c r="B48" s="25" t="s">
        <v>184</v>
      </c>
      <c r="C48" s="25" t="s">
        <v>185</v>
      </c>
      <c r="D48" s="25" t="s">
        <v>186</v>
      </c>
      <c r="E48" s="31">
        <v>44638</v>
      </c>
      <c r="F48" s="31"/>
      <c r="G48" s="25" t="s">
        <v>187</v>
      </c>
      <c r="H48" s="32">
        <v>28.85</v>
      </c>
      <c r="I48" s="24">
        <v>60008</v>
      </c>
      <c r="J48" s="24">
        <f t="shared" si="0"/>
        <v>3000</v>
      </c>
      <c r="K48" s="25" t="s">
        <v>111</v>
      </c>
      <c r="L48" s="25" t="s">
        <v>112</v>
      </c>
      <c r="M48" s="25">
        <v>140</v>
      </c>
      <c r="N48" s="25" t="s">
        <v>164</v>
      </c>
      <c r="O48" s="25">
        <v>7190</v>
      </c>
      <c r="P48" s="25" t="s">
        <v>165</v>
      </c>
    </row>
    <row r="49" spans="1:16" x14ac:dyDescent="0.25">
      <c r="A49" s="25">
        <v>39</v>
      </c>
      <c r="B49" s="25" t="s">
        <v>188</v>
      </c>
      <c r="C49" s="25" t="s">
        <v>189</v>
      </c>
      <c r="D49" s="25" t="s">
        <v>179</v>
      </c>
      <c r="E49" s="31">
        <v>35660</v>
      </c>
      <c r="F49" s="31"/>
      <c r="G49" s="25" t="s">
        <v>190</v>
      </c>
      <c r="H49" s="32">
        <v>38</v>
      </c>
      <c r="I49" s="24">
        <v>88920</v>
      </c>
      <c r="J49" s="24">
        <f t="shared" si="0"/>
        <v>3000</v>
      </c>
      <c r="K49" s="25" t="s">
        <v>111</v>
      </c>
      <c r="L49" s="25" t="s">
        <v>112</v>
      </c>
      <c r="M49" s="25">
        <v>140</v>
      </c>
      <c r="N49" s="25" t="s">
        <v>164</v>
      </c>
      <c r="O49" s="25">
        <v>7190</v>
      </c>
      <c r="P49" s="25" t="s">
        <v>165</v>
      </c>
    </row>
    <row r="50" spans="1:16" x14ac:dyDescent="0.25">
      <c r="A50" s="25">
        <v>529</v>
      </c>
      <c r="B50" s="25" t="s">
        <v>191</v>
      </c>
      <c r="C50" s="25" t="s">
        <v>192</v>
      </c>
      <c r="D50" s="25" t="s">
        <v>193</v>
      </c>
      <c r="E50" s="31">
        <v>37298</v>
      </c>
      <c r="F50" s="31"/>
      <c r="G50" s="25" t="s">
        <v>194</v>
      </c>
      <c r="H50" s="32">
        <v>30</v>
      </c>
      <c r="I50" s="24">
        <v>39000</v>
      </c>
      <c r="J50" s="24"/>
      <c r="K50" s="25" t="s">
        <v>111</v>
      </c>
      <c r="L50" s="25" t="s">
        <v>112</v>
      </c>
      <c r="M50" s="25">
        <v>140</v>
      </c>
      <c r="N50" s="25" t="s">
        <v>164</v>
      </c>
      <c r="O50" s="25">
        <v>7190</v>
      </c>
      <c r="P50" s="25" t="s">
        <v>165</v>
      </c>
    </row>
    <row r="51" spans="1:16" x14ac:dyDescent="0.25">
      <c r="A51" s="25">
        <v>236</v>
      </c>
      <c r="B51" s="25" t="s">
        <v>195</v>
      </c>
      <c r="C51" s="25" t="s">
        <v>196</v>
      </c>
      <c r="D51" s="25" t="s">
        <v>197</v>
      </c>
      <c r="E51" s="31">
        <v>38943</v>
      </c>
      <c r="F51" s="31"/>
      <c r="G51" s="25" t="s">
        <v>198</v>
      </c>
      <c r="H51" s="32">
        <v>116000</v>
      </c>
      <c r="I51" s="24">
        <v>116000</v>
      </c>
      <c r="J51" s="24">
        <f>7250*4</f>
        <v>29000</v>
      </c>
      <c r="K51" s="25" t="s">
        <v>111</v>
      </c>
      <c r="L51" s="25" t="s">
        <v>112</v>
      </c>
      <c r="M51" s="25">
        <v>140</v>
      </c>
      <c r="N51" s="25" t="s">
        <v>164</v>
      </c>
      <c r="O51" s="25">
        <v>7170</v>
      </c>
      <c r="P51" s="25" t="s">
        <v>199</v>
      </c>
    </row>
    <row r="52" spans="1:16" x14ac:dyDescent="0.25">
      <c r="A52" s="25">
        <v>524</v>
      </c>
      <c r="B52" s="25" t="s">
        <v>200</v>
      </c>
      <c r="C52" s="25" t="s">
        <v>201</v>
      </c>
      <c r="D52" s="25" t="s">
        <v>202</v>
      </c>
      <c r="E52" s="31">
        <v>42675</v>
      </c>
      <c r="F52" s="31"/>
      <c r="G52" s="25" t="s">
        <v>203</v>
      </c>
      <c r="H52" s="32">
        <v>86880</v>
      </c>
      <c r="I52" s="24">
        <v>86880</v>
      </c>
      <c r="J52" s="24">
        <f>5430*4</f>
        <v>21720</v>
      </c>
      <c r="K52" s="25" t="s">
        <v>111</v>
      </c>
      <c r="L52" s="25" t="s">
        <v>112</v>
      </c>
      <c r="M52" s="25">
        <v>140</v>
      </c>
      <c r="N52" s="25" t="s">
        <v>164</v>
      </c>
      <c r="O52" s="25">
        <v>7170</v>
      </c>
      <c r="P52" s="25" t="s">
        <v>199</v>
      </c>
    </row>
    <row r="53" spans="1:16" x14ac:dyDescent="0.25">
      <c r="A53" s="25">
        <v>496</v>
      </c>
      <c r="B53" s="25" t="s">
        <v>204</v>
      </c>
      <c r="C53" s="25" t="s">
        <v>205</v>
      </c>
      <c r="D53" s="25" t="s">
        <v>206</v>
      </c>
      <c r="E53" s="31">
        <v>42549</v>
      </c>
      <c r="F53" s="31">
        <v>45162</v>
      </c>
      <c r="G53" s="25" t="s">
        <v>207</v>
      </c>
      <c r="H53" s="32">
        <v>33.65</v>
      </c>
      <c r="I53" s="24">
        <v>69992</v>
      </c>
      <c r="J53" s="24">
        <f>1500*4</f>
        <v>6000</v>
      </c>
      <c r="K53" s="25" t="s">
        <v>111</v>
      </c>
      <c r="L53" s="25" t="s">
        <v>112</v>
      </c>
      <c r="M53" s="25">
        <v>140</v>
      </c>
      <c r="N53" s="25" t="s">
        <v>164</v>
      </c>
      <c r="O53" s="25">
        <v>7190</v>
      </c>
      <c r="P53" s="25" t="s">
        <v>165</v>
      </c>
    </row>
    <row r="54" spans="1:16" x14ac:dyDescent="0.25">
      <c r="A54" s="25">
        <v>10090</v>
      </c>
      <c r="B54" s="25" t="s">
        <v>208</v>
      </c>
      <c r="C54" s="25" t="s">
        <v>209</v>
      </c>
      <c r="D54" s="25" t="s">
        <v>210</v>
      </c>
      <c r="E54" s="31">
        <v>45068</v>
      </c>
      <c r="F54" s="31"/>
      <c r="G54" s="25" t="s">
        <v>211</v>
      </c>
      <c r="H54" s="32">
        <v>25</v>
      </c>
      <c r="I54" s="24">
        <v>54600</v>
      </c>
      <c r="J54" s="24">
        <f>750*4</f>
        <v>3000</v>
      </c>
      <c r="K54" s="25" t="s">
        <v>111</v>
      </c>
      <c r="L54" s="25" t="s">
        <v>112</v>
      </c>
      <c r="M54" s="25">
        <v>140</v>
      </c>
      <c r="N54" s="25" t="s">
        <v>164</v>
      </c>
      <c r="O54" s="25">
        <v>7190</v>
      </c>
      <c r="P54" s="25" t="s">
        <v>165</v>
      </c>
    </row>
    <row r="55" spans="1:16" x14ac:dyDescent="0.25">
      <c r="A55" s="25">
        <v>607</v>
      </c>
      <c r="B55" s="25" t="s">
        <v>212</v>
      </c>
      <c r="C55" s="25" t="s">
        <v>213</v>
      </c>
      <c r="D55" s="25" t="s">
        <v>214</v>
      </c>
      <c r="E55" s="31">
        <v>43178</v>
      </c>
      <c r="F55" s="31"/>
      <c r="G55" s="25" t="s">
        <v>215</v>
      </c>
      <c r="H55" s="32">
        <v>36</v>
      </c>
      <c r="I55" s="24">
        <v>74880</v>
      </c>
      <c r="J55" s="24">
        <f>500*4</f>
        <v>2000</v>
      </c>
      <c r="K55" s="25" t="s">
        <v>111</v>
      </c>
      <c r="L55" s="25" t="s">
        <v>112</v>
      </c>
      <c r="M55" s="25">
        <v>142</v>
      </c>
      <c r="N55" s="25" t="s">
        <v>216</v>
      </c>
      <c r="O55" s="25">
        <v>7190</v>
      </c>
      <c r="P55" s="25" t="s">
        <v>217</v>
      </c>
    </row>
    <row r="56" spans="1:16" x14ac:dyDescent="0.25">
      <c r="A56" s="25">
        <v>340</v>
      </c>
      <c r="B56" s="25" t="s">
        <v>218</v>
      </c>
      <c r="C56" s="25" t="s">
        <v>219</v>
      </c>
      <c r="D56" s="25" t="s">
        <v>220</v>
      </c>
      <c r="E56" s="31">
        <v>37405</v>
      </c>
      <c r="F56" s="31"/>
      <c r="G56" s="25" t="s">
        <v>221</v>
      </c>
      <c r="H56" s="32">
        <v>73000</v>
      </c>
      <c r="I56" s="24">
        <v>73000</v>
      </c>
      <c r="J56" s="24">
        <f>1000*4</f>
        <v>4000</v>
      </c>
      <c r="K56" s="25" t="s">
        <v>111</v>
      </c>
      <c r="L56" s="25" t="s">
        <v>112</v>
      </c>
      <c r="M56" s="25">
        <v>142</v>
      </c>
      <c r="N56" s="25" t="s">
        <v>216</v>
      </c>
      <c r="O56" s="25">
        <v>7190</v>
      </c>
      <c r="P56" s="25" t="s">
        <v>217</v>
      </c>
    </row>
    <row r="57" spans="1:16" x14ac:dyDescent="0.25">
      <c r="A57" s="25">
        <v>10012</v>
      </c>
      <c r="B57" s="25" t="s">
        <v>222</v>
      </c>
      <c r="C57" s="25" t="s">
        <v>223</v>
      </c>
      <c r="D57" s="25" t="s">
        <v>224</v>
      </c>
      <c r="E57" s="31">
        <v>44396</v>
      </c>
      <c r="F57" s="31"/>
      <c r="G57" s="25" t="s">
        <v>225</v>
      </c>
      <c r="H57" s="32">
        <v>23.40206186</v>
      </c>
      <c r="I57" s="24">
        <v>48676.2886688</v>
      </c>
      <c r="J57" s="24">
        <f>500*4</f>
        <v>2000</v>
      </c>
      <c r="K57" s="25" t="s">
        <v>111</v>
      </c>
      <c r="L57" s="25" t="s">
        <v>112</v>
      </c>
      <c r="M57" s="25">
        <v>142</v>
      </c>
      <c r="N57" s="25" t="s">
        <v>216</v>
      </c>
      <c r="O57" s="25">
        <v>7190</v>
      </c>
      <c r="P57" s="25" t="s">
        <v>217</v>
      </c>
    </row>
    <row r="58" spans="1:16" x14ac:dyDescent="0.25">
      <c r="A58" s="25">
        <v>614</v>
      </c>
      <c r="B58" s="25" t="s">
        <v>226</v>
      </c>
      <c r="C58" s="25" t="s">
        <v>227</v>
      </c>
      <c r="D58" s="25" t="s">
        <v>228</v>
      </c>
      <c r="E58" s="31">
        <v>43256</v>
      </c>
      <c r="F58" s="31"/>
      <c r="G58" s="25" t="s">
        <v>229</v>
      </c>
      <c r="H58" s="32">
        <v>65000</v>
      </c>
      <c r="I58" s="24">
        <v>65000</v>
      </c>
      <c r="J58" s="24">
        <f>750*4</f>
        <v>3000</v>
      </c>
      <c r="K58" s="25" t="s">
        <v>111</v>
      </c>
      <c r="L58" s="25" t="s">
        <v>112</v>
      </c>
      <c r="M58" s="25">
        <v>142</v>
      </c>
      <c r="N58" s="25" t="s">
        <v>216</v>
      </c>
      <c r="O58" s="25">
        <v>7190</v>
      </c>
      <c r="P58" s="25" t="s">
        <v>217</v>
      </c>
    </row>
    <row r="59" spans="1:16" x14ac:dyDescent="0.25">
      <c r="A59" s="25">
        <v>10076</v>
      </c>
      <c r="B59" s="25" t="s">
        <v>230</v>
      </c>
      <c r="C59" s="25" t="s">
        <v>231</v>
      </c>
      <c r="D59" s="25" t="s">
        <v>232</v>
      </c>
      <c r="E59" s="31">
        <v>44943</v>
      </c>
      <c r="F59" s="31">
        <v>45230</v>
      </c>
      <c r="G59" s="25" t="s">
        <v>233</v>
      </c>
      <c r="H59" s="32">
        <v>25.5</v>
      </c>
      <c r="I59" s="24">
        <v>53040</v>
      </c>
      <c r="J59" s="24">
        <f>500*4</f>
        <v>2000</v>
      </c>
      <c r="K59" s="25" t="s">
        <v>111</v>
      </c>
      <c r="L59" s="25" t="s">
        <v>112</v>
      </c>
      <c r="M59" s="25">
        <v>150</v>
      </c>
      <c r="N59" s="25" t="s">
        <v>234</v>
      </c>
      <c r="O59" s="25">
        <v>7190</v>
      </c>
      <c r="P59" s="25" t="s">
        <v>235</v>
      </c>
    </row>
    <row r="60" spans="1:16" x14ac:dyDescent="0.25">
      <c r="A60" s="25">
        <v>708</v>
      </c>
      <c r="B60" s="25" t="s">
        <v>236</v>
      </c>
      <c r="C60" s="25" t="s">
        <v>237</v>
      </c>
      <c r="D60" s="25" t="s">
        <v>238</v>
      </c>
      <c r="E60" s="31">
        <v>45236</v>
      </c>
      <c r="F60" s="31"/>
      <c r="G60" s="25" t="s">
        <v>239</v>
      </c>
      <c r="H60" s="32">
        <v>25.5</v>
      </c>
      <c r="I60" s="24">
        <v>53040</v>
      </c>
      <c r="J60" s="24">
        <f>500*4</f>
        <v>2000</v>
      </c>
      <c r="K60" s="25" t="s">
        <v>111</v>
      </c>
      <c r="L60" s="25" t="s">
        <v>112</v>
      </c>
      <c r="M60" s="25">
        <v>150</v>
      </c>
      <c r="N60" s="25" t="s">
        <v>234</v>
      </c>
      <c r="O60" s="25">
        <v>7190</v>
      </c>
      <c r="P60" s="25" t="s">
        <v>235</v>
      </c>
    </row>
    <row r="61" spans="1:16" x14ac:dyDescent="0.25">
      <c r="A61" s="25">
        <v>10112</v>
      </c>
      <c r="B61" s="25" t="s">
        <v>240</v>
      </c>
      <c r="C61" s="25" t="s">
        <v>241</v>
      </c>
      <c r="D61" s="25" t="s">
        <v>238</v>
      </c>
      <c r="E61" s="31">
        <v>45223</v>
      </c>
      <c r="F61" s="31"/>
      <c r="G61" s="25" t="s">
        <v>242</v>
      </c>
      <c r="H61" s="32">
        <v>24.5</v>
      </c>
      <c r="I61" s="24">
        <v>50960</v>
      </c>
      <c r="J61" s="24">
        <f>500*4</f>
        <v>2000</v>
      </c>
      <c r="K61" s="25" t="s">
        <v>111</v>
      </c>
      <c r="L61" s="25" t="s">
        <v>112</v>
      </c>
      <c r="M61" s="25">
        <v>150</v>
      </c>
      <c r="N61" s="25" t="s">
        <v>234</v>
      </c>
      <c r="O61" s="25">
        <v>7190</v>
      </c>
      <c r="P61" s="25" t="s">
        <v>235</v>
      </c>
    </row>
    <row r="62" spans="1:16" x14ac:dyDescent="0.25">
      <c r="A62" s="25">
        <v>10067</v>
      </c>
      <c r="B62" s="25" t="s">
        <v>243</v>
      </c>
      <c r="C62" s="25" t="s">
        <v>244</v>
      </c>
      <c r="D62" s="25" t="s">
        <v>238</v>
      </c>
      <c r="E62" s="31">
        <v>44824</v>
      </c>
      <c r="F62" s="31">
        <v>45231</v>
      </c>
      <c r="G62" s="25" t="s">
        <v>245</v>
      </c>
      <c r="H62" s="32">
        <v>24</v>
      </c>
      <c r="I62" s="24">
        <v>0</v>
      </c>
      <c r="J62" s="24">
        <f>500*4</f>
        <v>2000</v>
      </c>
      <c r="K62" s="25" t="s">
        <v>111</v>
      </c>
      <c r="L62" s="25" t="s">
        <v>112</v>
      </c>
      <c r="M62" s="25">
        <v>150</v>
      </c>
      <c r="N62" s="25" t="s">
        <v>234</v>
      </c>
      <c r="O62" s="25">
        <v>7190</v>
      </c>
      <c r="P62" s="25" t="s">
        <v>235</v>
      </c>
    </row>
    <row r="63" spans="1:16" x14ac:dyDescent="0.25">
      <c r="A63" s="25">
        <v>10085</v>
      </c>
      <c r="B63" s="25" t="s">
        <v>246</v>
      </c>
      <c r="C63" s="25" t="s">
        <v>247</v>
      </c>
      <c r="D63" s="25" t="s">
        <v>248</v>
      </c>
      <c r="E63" s="31">
        <v>45027</v>
      </c>
      <c r="F63" s="31"/>
      <c r="G63" s="25" t="s">
        <v>249</v>
      </c>
      <c r="H63" s="32">
        <v>25.5</v>
      </c>
      <c r="I63" s="24">
        <v>53040</v>
      </c>
      <c r="J63" s="24">
        <f>500*4</f>
        <v>2000</v>
      </c>
      <c r="K63" s="25" t="s">
        <v>111</v>
      </c>
      <c r="L63" s="25" t="s">
        <v>112</v>
      </c>
      <c r="M63" s="25">
        <v>150</v>
      </c>
      <c r="N63" s="25" t="s">
        <v>234</v>
      </c>
      <c r="O63" s="25">
        <v>7190</v>
      </c>
      <c r="P63" s="25" t="s">
        <v>235</v>
      </c>
    </row>
    <row r="64" spans="1:16" x14ac:dyDescent="0.25">
      <c r="A64" s="25">
        <v>551</v>
      </c>
      <c r="B64" s="25" t="s">
        <v>250</v>
      </c>
      <c r="C64" s="25" t="s">
        <v>251</v>
      </c>
      <c r="D64" s="25" t="s">
        <v>252</v>
      </c>
      <c r="E64" s="31">
        <v>42835</v>
      </c>
      <c r="F64" s="31"/>
      <c r="G64" s="25" t="s">
        <v>253</v>
      </c>
      <c r="H64" s="32">
        <v>91000</v>
      </c>
      <c r="I64" s="24">
        <v>91000</v>
      </c>
      <c r="J64" s="24">
        <f>1500*4</f>
        <v>6000</v>
      </c>
      <c r="K64" s="25" t="s">
        <v>111</v>
      </c>
      <c r="L64" s="25" t="s">
        <v>112</v>
      </c>
      <c r="M64" s="25">
        <v>150</v>
      </c>
      <c r="N64" s="25" t="s">
        <v>234</v>
      </c>
      <c r="O64" s="25">
        <v>7170</v>
      </c>
      <c r="P64" s="25" t="s">
        <v>254</v>
      </c>
    </row>
    <row r="65" spans="1:16" x14ac:dyDescent="0.25">
      <c r="A65" s="25">
        <v>650</v>
      </c>
      <c r="B65" s="25" t="s">
        <v>255</v>
      </c>
      <c r="C65" s="25" t="s">
        <v>256</v>
      </c>
      <c r="D65" s="25" t="s">
        <v>248</v>
      </c>
      <c r="E65" s="31">
        <v>43612</v>
      </c>
      <c r="F65" s="31"/>
      <c r="G65" s="25" t="s">
        <v>257</v>
      </c>
      <c r="H65" s="32">
        <v>31</v>
      </c>
      <c r="I65" s="24">
        <v>64480</v>
      </c>
      <c r="J65" s="24">
        <f>500*4</f>
        <v>2000</v>
      </c>
      <c r="K65" s="25" t="s">
        <v>111</v>
      </c>
      <c r="L65" s="25" t="s">
        <v>112</v>
      </c>
      <c r="M65" s="25">
        <v>150</v>
      </c>
      <c r="N65" s="25" t="s">
        <v>234</v>
      </c>
      <c r="O65" s="25">
        <v>7190</v>
      </c>
      <c r="P65" s="25" t="s">
        <v>235</v>
      </c>
    </row>
    <row r="66" spans="1:16" x14ac:dyDescent="0.25">
      <c r="A66" s="25">
        <v>713</v>
      </c>
      <c r="B66" s="25" t="s">
        <v>258</v>
      </c>
      <c r="C66" s="25" t="s">
        <v>259</v>
      </c>
      <c r="D66" s="25" t="s">
        <v>238</v>
      </c>
      <c r="E66" s="31">
        <v>44305</v>
      </c>
      <c r="F66" s="31"/>
      <c r="G66" s="25" t="s">
        <v>260</v>
      </c>
      <c r="H66" s="32">
        <v>27</v>
      </c>
      <c r="I66" s="24">
        <v>56160</v>
      </c>
      <c r="J66" s="24">
        <f>500*4</f>
        <v>2000</v>
      </c>
      <c r="K66" s="25" t="s">
        <v>111</v>
      </c>
      <c r="L66" s="25" t="s">
        <v>112</v>
      </c>
      <c r="M66" s="25">
        <v>150</v>
      </c>
      <c r="N66" s="25" t="s">
        <v>234</v>
      </c>
      <c r="O66" s="25">
        <v>7190</v>
      </c>
      <c r="P66" s="25" t="s">
        <v>235</v>
      </c>
    </row>
    <row r="67" spans="1:16" x14ac:dyDescent="0.25">
      <c r="A67" s="25">
        <v>10097</v>
      </c>
      <c r="B67" s="25" t="s">
        <v>261</v>
      </c>
      <c r="C67" s="25" t="s">
        <v>262</v>
      </c>
      <c r="D67" s="25" t="s">
        <v>248</v>
      </c>
      <c r="E67" s="31">
        <v>45117</v>
      </c>
      <c r="F67" s="31"/>
      <c r="G67" s="25" t="s">
        <v>263</v>
      </c>
      <c r="H67" s="32">
        <v>25.5</v>
      </c>
      <c r="I67" s="24">
        <v>53040</v>
      </c>
      <c r="J67" s="24">
        <f>500*4</f>
        <v>2000</v>
      </c>
      <c r="K67" s="25" t="s">
        <v>111</v>
      </c>
      <c r="L67" s="25" t="s">
        <v>112</v>
      </c>
      <c r="M67" s="25">
        <v>150</v>
      </c>
      <c r="N67" s="25" t="s">
        <v>234</v>
      </c>
      <c r="O67" s="25">
        <v>7190</v>
      </c>
      <c r="P67" s="25" t="s">
        <v>235</v>
      </c>
    </row>
    <row r="68" spans="1:16" x14ac:dyDescent="0.25">
      <c r="A68" s="25">
        <v>674</v>
      </c>
      <c r="B68" s="25" t="s">
        <v>264</v>
      </c>
      <c r="C68" s="25" t="s">
        <v>265</v>
      </c>
      <c r="D68" s="25" t="s">
        <v>266</v>
      </c>
      <c r="E68" s="31">
        <v>43878</v>
      </c>
      <c r="F68" s="31"/>
      <c r="G68" s="25" t="s">
        <v>267</v>
      </c>
      <c r="H68" s="32">
        <v>28</v>
      </c>
      <c r="I68" s="24">
        <v>58240</v>
      </c>
      <c r="J68" s="24">
        <f>500*4</f>
        <v>2000</v>
      </c>
      <c r="K68" s="25" t="s">
        <v>111</v>
      </c>
      <c r="L68" s="25" t="s">
        <v>112</v>
      </c>
      <c r="M68" s="25">
        <v>150</v>
      </c>
      <c r="N68" s="25" t="s">
        <v>234</v>
      </c>
      <c r="O68" s="25">
        <v>7190</v>
      </c>
      <c r="P68" s="25" t="s">
        <v>235</v>
      </c>
    </row>
    <row r="69" spans="1:16" x14ac:dyDescent="0.25">
      <c r="A69" s="25">
        <v>634</v>
      </c>
      <c r="B69" s="25" t="s">
        <v>268</v>
      </c>
      <c r="C69" s="25" t="s">
        <v>269</v>
      </c>
      <c r="D69" s="25" t="s">
        <v>270</v>
      </c>
      <c r="E69" s="31">
        <v>43430</v>
      </c>
      <c r="F69" s="31"/>
      <c r="G69" s="25" t="s">
        <v>271</v>
      </c>
      <c r="H69" s="32">
        <v>60000</v>
      </c>
      <c r="I69" s="24">
        <v>60000</v>
      </c>
      <c r="J69" s="24"/>
      <c r="K69" s="25" t="s">
        <v>23</v>
      </c>
      <c r="L69" s="25" t="s">
        <v>24</v>
      </c>
      <c r="M69" s="25">
        <v>160</v>
      </c>
      <c r="N69" s="25" t="s">
        <v>272</v>
      </c>
      <c r="O69" s="25">
        <v>7190</v>
      </c>
      <c r="P69" s="25" t="s">
        <v>273</v>
      </c>
    </row>
    <row r="70" spans="1:16" x14ac:dyDescent="0.25">
      <c r="A70" s="25">
        <v>483</v>
      </c>
      <c r="B70" s="25" t="s">
        <v>274</v>
      </c>
      <c r="C70" s="25" t="s">
        <v>275</v>
      </c>
      <c r="D70" s="25" t="s">
        <v>270</v>
      </c>
      <c r="E70" s="31">
        <v>42458</v>
      </c>
      <c r="F70" s="31"/>
      <c r="G70" s="25" t="s">
        <v>276</v>
      </c>
      <c r="H70" s="32">
        <v>60000</v>
      </c>
      <c r="I70" s="24">
        <v>60000</v>
      </c>
      <c r="J70" s="24"/>
      <c r="K70" s="25" t="s">
        <v>23</v>
      </c>
      <c r="L70" s="25" t="s">
        <v>24</v>
      </c>
      <c r="M70" s="25">
        <v>160</v>
      </c>
      <c r="N70" s="25" t="s">
        <v>272</v>
      </c>
      <c r="O70" s="25">
        <v>7190</v>
      </c>
      <c r="P70" s="25" t="s">
        <v>273</v>
      </c>
    </row>
    <row r="71" spans="1:16" x14ac:dyDescent="0.25">
      <c r="A71" s="25">
        <v>705</v>
      </c>
      <c r="B71" s="25" t="s">
        <v>69</v>
      </c>
      <c r="C71" s="25" t="s">
        <v>277</v>
      </c>
      <c r="D71" s="25" t="s">
        <v>278</v>
      </c>
      <c r="E71" s="31">
        <v>44236</v>
      </c>
      <c r="F71" s="31"/>
      <c r="G71" s="25" t="s">
        <v>279</v>
      </c>
      <c r="H71" s="32">
        <v>55000</v>
      </c>
      <c r="I71" s="24">
        <v>55000</v>
      </c>
      <c r="J71" s="24"/>
      <c r="K71" s="25" t="s">
        <v>23</v>
      </c>
      <c r="L71" s="25" t="s">
        <v>24</v>
      </c>
      <c r="M71" s="25">
        <v>160</v>
      </c>
      <c r="N71" s="25" t="s">
        <v>272</v>
      </c>
      <c r="O71" s="25">
        <v>7190</v>
      </c>
      <c r="P71" s="25" t="s">
        <v>273</v>
      </c>
    </row>
    <row r="72" spans="1:16" x14ac:dyDescent="0.25">
      <c r="A72" s="25">
        <v>632</v>
      </c>
      <c r="B72" s="25" t="s">
        <v>280</v>
      </c>
      <c r="C72" s="25" t="s">
        <v>281</v>
      </c>
      <c r="D72" s="25" t="s">
        <v>21</v>
      </c>
      <c r="E72" s="31">
        <v>43388</v>
      </c>
      <c r="F72" s="31"/>
      <c r="G72" s="25" t="s">
        <v>282</v>
      </c>
      <c r="H72" s="32">
        <v>48676.29</v>
      </c>
      <c r="I72" s="24">
        <v>48676.29</v>
      </c>
      <c r="J72" s="24"/>
      <c r="K72" s="25" t="s">
        <v>283</v>
      </c>
      <c r="L72" s="25" t="s">
        <v>284</v>
      </c>
      <c r="M72" s="25">
        <v>210</v>
      </c>
      <c r="N72" s="25" t="s">
        <v>25</v>
      </c>
      <c r="O72" s="25">
        <v>7000</v>
      </c>
      <c r="P72" s="25" t="s">
        <v>285</v>
      </c>
    </row>
    <row r="73" spans="1:16" x14ac:dyDescent="0.25">
      <c r="A73" s="25">
        <v>10062</v>
      </c>
      <c r="B73" s="25" t="s">
        <v>286</v>
      </c>
      <c r="C73" s="25" t="s">
        <v>287</v>
      </c>
      <c r="D73" s="25" t="s">
        <v>288</v>
      </c>
      <c r="E73" s="31">
        <v>44805</v>
      </c>
      <c r="F73" s="31">
        <v>45148</v>
      </c>
      <c r="G73" s="25" t="s">
        <v>289</v>
      </c>
      <c r="H73" s="32">
        <v>145000</v>
      </c>
      <c r="I73" s="24">
        <v>145000</v>
      </c>
      <c r="J73" s="24">
        <f>15000*4</f>
        <v>60000</v>
      </c>
      <c r="K73" s="25" t="s">
        <v>283</v>
      </c>
      <c r="L73" s="25" t="s">
        <v>284</v>
      </c>
      <c r="M73" s="25">
        <v>210</v>
      </c>
      <c r="N73" s="25" t="s">
        <v>25</v>
      </c>
      <c r="O73" s="25">
        <v>7000</v>
      </c>
      <c r="P73" s="25" t="s">
        <v>285</v>
      </c>
    </row>
    <row r="74" spans="1:16" x14ac:dyDescent="0.25">
      <c r="A74" s="25">
        <v>629</v>
      </c>
      <c r="B74" s="25" t="s">
        <v>290</v>
      </c>
      <c r="C74" s="25" t="s">
        <v>291</v>
      </c>
      <c r="D74" s="25" t="s">
        <v>292</v>
      </c>
      <c r="E74" s="31">
        <v>43374</v>
      </c>
      <c r="F74" s="31"/>
      <c r="G74" s="25" t="s">
        <v>293</v>
      </c>
      <c r="H74" s="32">
        <v>27</v>
      </c>
      <c r="I74" s="24">
        <v>56160</v>
      </c>
      <c r="J74" s="24"/>
      <c r="K74" s="25" t="s">
        <v>283</v>
      </c>
      <c r="L74" s="25" t="s">
        <v>284</v>
      </c>
      <c r="M74" s="25">
        <v>210</v>
      </c>
      <c r="N74" s="25" t="s">
        <v>25</v>
      </c>
      <c r="O74" s="25">
        <v>7190</v>
      </c>
      <c r="P74" s="25" t="s">
        <v>294</v>
      </c>
    </row>
    <row r="75" spans="1:16" x14ac:dyDescent="0.25">
      <c r="A75" s="25">
        <v>10074</v>
      </c>
      <c r="B75" s="25" t="s">
        <v>295</v>
      </c>
      <c r="C75" s="25" t="s">
        <v>296</v>
      </c>
      <c r="D75" s="25" t="s">
        <v>297</v>
      </c>
      <c r="E75" s="31">
        <v>44900</v>
      </c>
      <c r="F75" s="31"/>
      <c r="G75" s="25" t="s">
        <v>298</v>
      </c>
      <c r="H75" s="32">
        <v>25</v>
      </c>
      <c r="I75" s="24">
        <v>52000</v>
      </c>
      <c r="J75" s="24"/>
      <c r="K75" s="25" t="s">
        <v>283</v>
      </c>
      <c r="L75" s="25" t="s">
        <v>284</v>
      </c>
      <c r="M75" s="25">
        <v>210</v>
      </c>
      <c r="N75" s="25" t="s">
        <v>25</v>
      </c>
      <c r="O75" s="25">
        <v>7190</v>
      </c>
      <c r="P75" s="25" t="s">
        <v>294</v>
      </c>
    </row>
    <row r="76" spans="1:16" x14ac:dyDescent="0.25">
      <c r="A76" s="25">
        <v>604</v>
      </c>
      <c r="B76" s="25" t="s">
        <v>299</v>
      </c>
      <c r="C76" s="25" t="s">
        <v>28</v>
      </c>
      <c r="D76" s="25" t="s">
        <v>21</v>
      </c>
      <c r="E76" s="31">
        <v>43160</v>
      </c>
      <c r="F76" s="31"/>
      <c r="G76" s="25" t="s">
        <v>300</v>
      </c>
      <c r="H76" s="32">
        <v>48676.29</v>
      </c>
      <c r="I76" s="24">
        <v>48676.29</v>
      </c>
      <c r="J76" s="24"/>
      <c r="K76" s="25" t="s">
        <v>283</v>
      </c>
      <c r="L76" s="25" t="s">
        <v>284</v>
      </c>
      <c r="M76" s="25">
        <v>210</v>
      </c>
      <c r="N76" s="25" t="s">
        <v>25</v>
      </c>
      <c r="O76" s="25">
        <v>7000</v>
      </c>
      <c r="P76" s="25" t="s">
        <v>285</v>
      </c>
    </row>
    <row r="77" spans="1:16" x14ac:dyDescent="0.25">
      <c r="A77" s="25">
        <v>10111</v>
      </c>
      <c r="B77" s="25" t="s">
        <v>301</v>
      </c>
      <c r="C77" s="25" t="s">
        <v>302</v>
      </c>
      <c r="D77" s="25" t="s">
        <v>303</v>
      </c>
      <c r="E77" s="31">
        <v>45222</v>
      </c>
      <c r="F77" s="31"/>
      <c r="G77" s="25" t="s">
        <v>304</v>
      </c>
      <c r="H77" s="32">
        <v>140000</v>
      </c>
      <c r="I77" s="24">
        <v>140000</v>
      </c>
      <c r="J77" s="24">
        <f>15000*4</f>
        <v>60000</v>
      </c>
      <c r="K77" s="25" t="s">
        <v>283</v>
      </c>
      <c r="L77" s="25" t="s">
        <v>284</v>
      </c>
      <c r="M77" s="25">
        <v>210</v>
      </c>
      <c r="N77" s="25" t="s">
        <v>25</v>
      </c>
      <c r="O77" s="25">
        <v>7170</v>
      </c>
      <c r="P77" s="25" t="s">
        <v>305</v>
      </c>
    </row>
    <row r="78" spans="1:16" x14ac:dyDescent="0.25">
      <c r="A78" s="25">
        <v>10064</v>
      </c>
      <c r="B78" s="25" t="s">
        <v>306</v>
      </c>
      <c r="C78" s="25" t="s">
        <v>307</v>
      </c>
      <c r="D78" s="25" t="s">
        <v>308</v>
      </c>
      <c r="E78" s="31">
        <v>44802</v>
      </c>
      <c r="F78" s="31"/>
      <c r="G78" s="25" t="s">
        <v>309</v>
      </c>
      <c r="H78" s="32">
        <v>48676.29</v>
      </c>
      <c r="I78" s="24">
        <v>48676.29</v>
      </c>
      <c r="J78" s="24"/>
      <c r="K78" s="25" t="s">
        <v>283</v>
      </c>
      <c r="L78" s="25" t="s">
        <v>284</v>
      </c>
      <c r="M78" s="25">
        <v>220</v>
      </c>
      <c r="N78" s="25" t="s">
        <v>80</v>
      </c>
      <c r="O78" s="25">
        <v>7000</v>
      </c>
      <c r="P78" s="25" t="s">
        <v>310</v>
      </c>
    </row>
    <row r="79" spans="1:16" x14ac:dyDescent="0.25">
      <c r="A79" s="25">
        <v>528</v>
      </c>
      <c r="B79" s="25" t="s">
        <v>311</v>
      </c>
      <c r="C79" s="25" t="s">
        <v>312</v>
      </c>
      <c r="D79" s="25" t="s">
        <v>78</v>
      </c>
      <c r="E79" s="31">
        <v>42709</v>
      </c>
      <c r="F79" s="31"/>
      <c r="G79" s="25" t="s">
        <v>313</v>
      </c>
      <c r="H79" s="32">
        <v>65000</v>
      </c>
      <c r="I79" s="24">
        <v>65000</v>
      </c>
      <c r="J79" s="24"/>
      <c r="K79" s="25" t="s">
        <v>283</v>
      </c>
      <c r="L79" s="25" t="s">
        <v>284</v>
      </c>
      <c r="M79" s="25">
        <v>220</v>
      </c>
      <c r="N79" s="25" t="s">
        <v>80</v>
      </c>
      <c r="O79" s="25">
        <v>7000</v>
      </c>
      <c r="P79" s="25" t="s">
        <v>310</v>
      </c>
    </row>
    <row r="80" spans="1:16" x14ac:dyDescent="0.25">
      <c r="A80" s="25">
        <v>10072</v>
      </c>
      <c r="B80" s="25" t="s">
        <v>314</v>
      </c>
      <c r="C80" s="25" t="s">
        <v>315</v>
      </c>
      <c r="D80" s="25" t="s">
        <v>316</v>
      </c>
      <c r="E80" s="31">
        <v>44869</v>
      </c>
      <c r="F80" s="31"/>
      <c r="G80" s="25" t="s">
        <v>317</v>
      </c>
      <c r="H80" s="32">
        <v>23.40206186</v>
      </c>
      <c r="I80" s="24">
        <v>48676.2886688</v>
      </c>
      <c r="J80" s="24"/>
      <c r="K80" s="25" t="s">
        <v>283</v>
      </c>
      <c r="L80" s="25" t="s">
        <v>284</v>
      </c>
      <c r="M80" s="25">
        <v>220</v>
      </c>
      <c r="N80" s="25" t="s">
        <v>80</v>
      </c>
      <c r="O80" s="25">
        <v>7190</v>
      </c>
      <c r="P80" s="25" t="s">
        <v>318</v>
      </c>
    </row>
    <row r="81" spans="1:16" x14ac:dyDescent="0.25">
      <c r="A81" s="25">
        <v>10099</v>
      </c>
      <c r="B81" s="25" t="s">
        <v>319</v>
      </c>
      <c r="C81" s="25" t="s">
        <v>320</v>
      </c>
      <c r="D81" s="25" t="s">
        <v>89</v>
      </c>
      <c r="E81" s="31">
        <v>45159</v>
      </c>
      <c r="F81" s="31"/>
      <c r="G81" s="25" t="s">
        <v>321</v>
      </c>
      <c r="H81" s="32">
        <v>55000</v>
      </c>
      <c r="I81" s="24">
        <v>55000</v>
      </c>
      <c r="J81" s="24"/>
      <c r="K81" s="25" t="s">
        <v>283</v>
      </c>
      <c r="L81" s="25" t="s">
        <v>284</v>
      </c>
      <c r="M81" s="25">
        <v>220</v>
      </c>
      <c r="N81" s="25" t="s">
        <v>80</v>
      </c>
      <c r="O81" s="25">
        <v>7000</v>
      </c>
      <c r="P81" s="25" t="s">
        <v>310</v>
      </c>
    </row>
    <row r="82" spans="1:16" x14ac:dyDescent="0.25">
      <c r="A82" s="25">
        <v>480</v>
      </c>
      <c r="B82" s="25" t="s">
        <v>322</v>
      </c>
      <c r="C82" s="25" t="s">
        <v>323</v>
      </c>
      <c r="D82" s="25" t="s">
        <v>78</v>
      </c>
      <c r="E82" s="31">
        <v>42427</v>
      </c>
      <c r="F82" s="31">
        <v>45062</v>
      </c>
      <c r="G82" s="25" t="s">
        <v>324</v>
      </c>
      <c r="H82" s="32">
        <v>55000</v>
      </c>
      <c r="I82" s="24">
        <v>55000</v>
      </c>
      <c r="J82" s="24"/>
      <c r="K82" s="25" t="s">
        <v>283</v>
      </c>
      <c r="L82" s="25" t="s">
        <v>284</v>
      </c>
      <c r="M82" s="25">
        <v>220</v>
      </c>
      <c r="N82" s="25" t="s">
        <v>80</v>
      </c>
      <c r="O82" s="25">
        <v>7000</v>
      </c>
      <c r="P82" s="25" t="s">
        <v>310</v>
      </c>
    </row>
    <row r="83" spans="1:16" x14ac:dyDescent="0.25">
      <c r="A83" s="25">
        <v>10089</v>
      </c>
      <c r="B83" s="25" t="s">
        <v>325</v>
      </c>
      <c r="C83" s="25" t="s">
        <v>326</v>
      </c>
      <c r="D83" s="25" t="s">
        <v>50</v>
      </c>
      <c r="E83" s="31">
        <v>45083</v>
      </c>
      <c r="F83" s="31"/>
      <c r="G83" s="25" t="s">
        <v>327</v>
      </c>
      <c r="H83" s="32">
        <v>48676.29</v>
      </c>
      <c r="I83" s="24">
        <v>48676.29</v>
      </c>
      <c r="J83" s="24"/>
      <c r="K83" s="25" t="s">
        <v>328</v>
      </c>
      <c r="L83" s="25" t="s">
        <v>329</v>
      </c>
      <c r="M83" s="25">
        <v>220</v>
      </c>
      <c r="N83" s="25" t="s">
        <v>164</v>
      </c>
      <c r="O83" s="25">
        <v>7000</v>
      </c>
      <c r="P83" s="25" t="s">
        <v>318</v>
      </c>
    </row>
    <row r="84" spans="1:16" x14ac:dyDescent="0.25">
      <c r="A84" s="25">
        <v>10031</v>
      </c>
      <c r="B84" s="25" t="s">
        <v>330</v>
      </c>
      <c r="C84" s="25" t="s">
        <v>331</v>
      </c>
      <c r="D84" s="25" t="s">
        <v>238</v>
      </c>
      <c r="E84" s="31">
        <v>44511</v>
      </c>
      <c r="F84" s="31"/>
      <c r="G84" s="25" t="s">
        <v>332</v>
      </c>
      <c r="H84" s="32">
        <v>25</v>
      </c>
      <c r="I84" s="24">
        <v>52000</v>
      </c>
      <c r="J84" s="24"/>
      <c r="K84" s="25" t="s">
        <v>328</v>
      </c>
      <c r="L84" s="25" t="s">
        <v>329</v>
      </c>
      <c r="M84" s="25">
        <v>220</v>
      </c>
      <c r="N84" s="25" t="s">
        <v>164</v>
      </c>
      <c r="O84" s="25">
        <v>7190</v>
      </c>
      <c r="P84" s="25" t="s">
        <v>333</v>
      </c>
    </row>
    <row r="85" spans="1:16" x14ac:dyDescent="0.25">
      <c r="A85" s="25">
        <v>10056</v>
      </c>
      <c r="B85" s="25" t="s">
        <v>334</v>
      </c>
      <c r="C85" s="25" t="s">
        <v>335</v>
      </c>
      <c r="D85" s="25" t="s">
        <v>172</v>
      </c>
      <c r="E85" s="31">
        <v>44677</v>
      </c>
      <c r="F85" s="31"/>
      <c r="G85" s="25" t="s">
        <v>336</v>
      </c>
      <c r="H85" s="32">
        <v>34</v>
      </c>
      <c r="I85" s="24">
        <v>70720</v>
      </c>
      <c r="J85" s="24">
        <f>500*4</f>
        <v>2000</v>
      </c>
      <c r="K85" s="25" t="s">
        <v>328</v>
      </c>
      <c r="L85" s="25" t="s">
        <v>329</v>
      </c>
      <c r="M85" s="25">
        <v>220</v>
      </c>
      <c r="N85" s="25" t="s">
        <v>164</v>
      </c>
      <c r="O85" s="25">
        <v>7190</v>
      </c>
      <c r="P85" s="25" t="s">
        <v>333</v>
      </c>
    </row>
    <row r="86" spans="1:16" x14ac:dyDescent="0.25">
      <c r="A86" s="25">
        <v>553</v>
      </c>
      <c r="B86" s="25" t="s">
        <v>337</v>
      </c>
      <c r="C86" s="25" t="s">
        <v>338</v>
      </c>
      <c r="D86" s="25" t="s">
        <v>172</v>
      </c>
      <c r="E86" s="31">
        <v>42843</v>
      </c>
      <c r="F86" s="31"/>
      <c r="G86" s="25" t="s">
        <v>339</v>
      </c>
      <c r="H86" s="32">
        <v>28</v>
      </c>
      <c r="I86" s="24">
        <v>61880</v>
      </c>
      <c r="J86" s="24">
        <f>250*4</f>
        <v>1000</v>
      </c>
      <c r="K86" s="25" t="s">
        <v>328</v>
      </c>
      <c r="L86" s="25" t="s">
        <v>329</v>
      </c>
      <c r="M86" s="25">
        <v>220</v>
      </c>
      <c r="N86" s="25" t="s">
        <v>164</v>
      </c>
      <c r="O86" s="25">
        <v>7190</v>
      </c>
      <c r="P86" s="25" t="s">
        <v>333</v>
      </c>
    </row>
    <row r="87" spans="1:16" x14ac:dyDescent="0.25">
      <c r="A87" s="25">
        <v>10070</v>
      </c>
      <c r="B87" s="25" t="s">
        <v>340</v>
      </c>
      <c r="C87" s="25" t="s">
        <v>341</v>
      </c>
      <c r="D87" s="25" t="s">
        <v>342</v>
      </c>
      <c r="E87" s="31">
        <v>44859</v>
      </c>
      <c r="F87" s="31"/>
      <c r="G87" s="25" t="s">
        <v>343</v>
      </c>
      <c r="H87" s="32">
        <v>23.5</v>
      </c>
      <c r="I87" s="24">
        <v>54990</v>
      </c>
      <c r="J87" s="24">
        <f>500*4</f>
        <v>2000</v>
      </c>
      <c r="K87" s="25" t="s">
        <v>328</v>
      </c>
      <c r="L87" s="25" t="s">
        <v>329</v>
      </c>
      <c r="M87" s="25">
        <v>230</v>
      </c>
      <c r="N87" s="25" t="s">
        <v>113</v>
      </c>
      <c r="O87" s="25">
        <v>7190</v>
      </c>
      <c r="P87" s="25" t="s">
        <v>344</v>
      </c>
    </row>
    <row r="88" spans="1:16" x14ac:dyDescent="0.25">
      <c r="A88" s="25">
        <v>10013</v>
      </c>
      <c r="B88" s="25" t="s">
        <v>345</v>
      </c>
      <c r="C88" s="25" t="s">
        <v>346</v>
      </c>
      <c r="D88" s="25" t="s">
        <v>347</v>
      </c>
      <c r="E88" s="31">
        <v>44396</v>
      </c>
      <c r="F88" s="31"/>
      <c r="G88" s="25" t="s">
        <v>348</v>
      </c>
      <c r="H88" s="32">
        <v>27.35</v>
      </c>
      <c r="I88" s="24">
        <v>63999</v>
      </c>
      <c r="J88" s="24">
        <f>800*4</f>
        <v>3200</v>
      </c>
      <c r="K88" s="25" t="s">
        <v>328</v>
      </c>
      <c r="L88" s="25" t="s">
        <v>329</v>
      </c>
      <c r="M88" s="25">
        <v>230</v>
      </c>
      <c r="N88" s="25" t="s">
        <v>113</v>
      </c>
      <c r="O88" s="25">
        <v>7190</v>
      </c>
      <c r="P88" s="25" t="s">
        <v>344</v>
      </c>
    </row>
    <row r="89" spans="1:16" x14ac:dyDescent="0.25">
      <c r="A89" s="25">
        <v>474</v>
      </c>
      <c r="B89" s="25" t="s">
        <v>349</v>
      </c>
      <c r="C89" s="25" t="s">
        <v>350</v>
      </c>
      <c r="D89" s="25" t="s">
        <v>126</v>
      </c>
      <c r="E89" s="31">
        <v>42345</v>
      </c>
      <c r="F89" s="31"/>
      <c r="G89" s="25" t="s">
        <v>351</v>
      </c>
      <c r="H89" s="32">
        <v>88000</v>
      </c>
      <c r="I89" s="24">
        <v>88000</v>
      </c>
      <c r="J89" s="24">
        <f>5555*4</f>
        <v>22220</v>
      </c>
      <c r="K89" s="25" t="s">
        <v>328</v>
      </c>
      <c r="L89" s="25" t="s">
        <v>329</v>
      </c>
      <c r="M89" s="25">
        <v>230</v>
      </c>
      <c r="N89" s="25" t="s">
        <v>113</v>
      </c>
      <c r="O89" s="25">
        <v>7170</v>
      </c>
      <c r="P89" s="25" t="s">
        <v>352</v>
      </c>
    </row>
    <row r="90" spans="1:16" x14ac:dyDescent="0.25">
      <c r="A90" s="25">
        <v>10093</v>
      </c>
      <c r="B90" s="25" t="s">
        <v>353</v>
      </c>
      <c r="C90" s="25" t="s">
        <v>354</v>
      </c>
      <c r="D90" s="25" t="s">
        <v>134</v>
      </c>
      <c r="E90" s="31">
        <v>45103</v>
      </c>
      <c r="F90" s="31"/>
      <c r="G90" s="25" t="s">
        <v>355</v>
      </c>
      <c r="H90" s="32">
        <v>28.7</v>
      </c>
      <c r="I90" s="24">
        <v>67158</v>
      </c>
      <c r="J90" s="24">
        <f>500*4</f>
        <v>2000</v>
      </c>
      <c r="K90" s="25" t="s">
        <v>328</v>
      </c>
      <c r="L90" s="25" t="s">
        <v>329</v>
      </c>
      <c r="M90" s="25">
        <v>230</v>
      </c>
      <c r="N90" s="25" t="s">
        <v>113</v>
      </c>
      <c r="O90" s="25">
        <v>7190</v>
      </c>
      <c r="P90" s="25" t="s">
        <v>344</v>
      </c>
    </row>
    <row r="91" spans="1:16" x14ac:dyDescent="0.25">
      <c r="A91" s="25">
        <v>10091</v>
      </c>
      <c r="B91" s="25" t="s">
        <v>356</v>
      </c>
      <c r="C91" s="25" t="s">
        <v>357</v>
      </c>
      <c r="D91" s="25" t="s">
        <v>238</v>
      </c>
      <c r="E91" s="31">
        <v>45068</v>
      </c>
      <c r="F91" s="31"/>
      <c r="G91" s="25" t="s">
        <v>358</v>
      </c>
      <c r="H91" s="32">
        <v>24</v>
      </c>
      <c r="I91" s="24">
        <v>37440</v>
      </c>
      <c r="J91" s="24">
        <f>500*4</f>
        <v>2000</v>
      </c>
      <c r="K91" s="25" t="s">
        <v>111</v>
      </c>
      <c r="L91" s="25" t="s">
        <v>112</v>
      </c>
      <c r="M91" s="25">
        <v>240</v>
      </c>
      <c r="N91" s="25" t="s">
        <v>164</v>
      </c>
      <c r="O91" s="25">
        <v>7190</v>
      </c>
      <c r="P91" s="25" t="s">
        <v>333</v>
      </c>
    </row>
    <row r="92" spans="1:16" x14ac:dyDescent="0.25">
      <c r="A92" s="25">
        <v>374</v>
      </c>
      <c r="B92" s="25" t="s">
        <v>359</v>
      </c>
      <c r="C92" s="25" t="s">
        <v>360</v>
      </c>
      <c r="D92" s="25" t="s">
        <v>361</v>
      </c>
      <c r="E92" s="31">
        <v>41176</v>
      </c>
      <c r="F92" s="31"/>
      <c r="G92" s="25" t="s">
        <v>362</v>
      </c>
      <c r="H92" s="32">
        <v>120000</v>
      </c>
      <c r="I92" s="24">
        <v>120000</v>
      </c>
      <c r="J92" s="24">
        <f>20000*4</f>
        <v>80000</v>
      </c>
      <c r="K92" s="25" t="s">
        <v>328</v>
      </c>
      <c r="L92" s="25" t="s">
        <v>329</v>
      </c>
      <c r="M92" s="25">
        <v>240</v>
      </c>
      <c r="N92" s="25" t="s">
        <v>164</v>
      </c>
      <c r="O92" s="25">
        <v>7170</v>
      </c>
      <c r="P92" s="25" t="s">
        <v>363</v>
      </c>
    </row>
    <row r="93" spans="1:16" x14ac:dyDescent="0.25">
      <c r="A93" s="25">
        <v>10080</v>
      </c>
      <c r="B93" s="25" t="s">
        <v>364</v>
      </c>
      <c r="C93" s="25" t="s">
        <v>365</v>
      </c>
      <c r="D93" s="25" t="s">
        <v>172</v>
      </c>
      <c r="E93" s="31">
        <v>44977</v>
      </c>
      <c r="F93" s="31">
        <v>45189</v>
      </c>
      <c r="G93" s="25" t="s">
        <v>366</v>
      </c>
      <c r="H93" s="32">
        <v>28</v>
      </c>
      <c r="I93" s="24">
        <v>61880</v>
      </c>
      <c r="J93" s="24"/>
      <c r="K93" s="25" t="s">
        <v>367</v>
      </c>
      <c r="L93" s="25" t="s">
        <v>368</v>
      </c>
      <c r="M93" s="25">
        <v>240</v>
      </c>
      <c r="N93" s="25" t="s">
        <v>164</v>
      </c>
      <c r="O93" s="25">
        <v>7190</v>
      </c>
      <c r="P93" s="25" t="s">
        <v>333</v>
      </c>
    </row>
    <row r="94" spans="1:16" x14ac:dyDescent="0.25">
      <c r="A94" s="25">
        <v>494</v>
      </c>
      <c r="B94" s="25" t="s">
        <v>369</v>
      </c>
      <c r="C94" s="25" t="s">
        <v>370</v>
      </c>
      <c r="D94" s="25" t="s">
        <v>197</v>
      </c>
      <c r="E94" s="31">
        <v>42541</v>
      </c>
      <c r="F94" s="31"/>
      <c r="G94" s="25" t="s">
        <v>371</v>
      </c>
      <c r="H94" s="32">
        <v>100000</v>
      </c>
      <c r="I94" s="24">
        <v>100000</v>
      </c>
      <c r="J94" s="24">
        <f>6250*4</f>
        <v>25000</v>
      </c>
      <c r="K94" s="25" t="s">
        <v>328</v>
      </c>
      <c r="L94" s="25" t="s">
        <v>329</v>
      </c>
      <c r="M94" s="25">
        <v>240</v>
      </c>
      <c r="N94" s="25" t="s">
        <v>164</v>
      </c>
      <c r="O94" s="25">
        <v>7170</v>
      </c>
      <c r="P94" s="25" t="s">
        <v>363</v>
      </c>
    </row>
    <row r="95" spans="1:16" x14ac:dyDescent="0.25">
      <c r="A95" s="25">
        <v>10104</v>
      </c>
      <c r="B95" s="25" t="s">
        <v>372</v>
      </c>
      <c r="C95" s="25" t="s">
        <v>373</v>
      </c>
      <c r="D95" s="25" t="s">
        <v>172</v>
      </c>
      <c r="E95" s="31">
        <v>45208</v>
      </c>
      <c r="F95" s="31"/>
      <c r="G95" s="25" t="s">
        <v>374</v>
      </c>
      <c r="H95" s="32">
        <v>28</v>
      </c>
      <c r="I95" s="24">
        <v>61880</v>
      </c>
      <c r="J95" s="24">
        <f>500*4</f>
        <v>2000</v>
      </c>
      <c r="K95" s="25" t="s">
        <v>328</v>
      </c>
      <c r="L95" s="25" t="s">
        <v>329</v>
      </c>
      <c r="M95" s="25">
        <v>240</v>
      </c>
      <c r="N95" s="25" t="s">
        <v>164</v>
      </c>
      <c r="O95" s="25">
        <v>7190</v>
      </c>
      <c r="P95" s="25" t="s">
        <v>333</v>
      </c>
    </row>
    <row r="96" spans="1:16" x14ac:dyDescent="0.25">
      <c r="A96" s="25">
        <v>628</v>
      </c>
      <c r="B96" s="25" t="s">
        <v>375</v>
      </c>
      <c r="C96" s="25" t="s">
        <v>376</v>
      </c>
      <c r="D96" s="25" t="s">
        <v>377</v>
      </c>
      <c r="E96" s="31">
        <v>43377</v>
      </c>
      <c r="F96" s="31"/>
      <c r="G96" s="25" t="s">
        <v>378</v>
      </c>
      <c r="H96" s="32">
        <v>28.5</v>
      </c>
      <c r="I96" s="24">
        <v>59280</v>
      </c>
      <c r="J96" s="24">
        <f>500*4</f>
        <v>2000</v>
      </c>
      <c r="K96" s="25" t="s">
        <v>328</v>
      </c>
      <c r="L96" s="25" t="s">
        <v>329</v>
      </c>
      <c r="M96" s="25">
        <v>240</v>
      </c>
      <c r="N96" s="25" t="s">
        <v>164</v>
      </c>
      <c r="O96" s="25">
        <v>7190</v>
      </c>
      <c r="P96" s="25" t="s">
        <v>333</v>
      </c>
    </row>
    <row r="97" spans="1:16" x14ac:dyDescent="0.25">
      <c r="A97" s="25">
        <v>673</v>
      </c>
      <c r="B97" s="25" t="s">
        <v>379</v>
      </c>
      <c r="C97" s="25" t="s">
        <v>380</v>
      </c>
      <c r="D97" s="25" t="s">
        <v>381</v>
      </c>
      <c r="E97" s="31">
        <v>43871</v>
      </c>
      <c r="F97" s="31"/>
      <c r="G97" s="25" t="s">
        <v>382</v>
      </c>
      <c r="H97" s="32">
        <v>30</v>
      </c>
      <c r="I97" s="24">
        <v>66300</v>
      </c>
      <c r="J97" s="24">
        <f>1000*4</f>
        <v>4000</v>
      </c>
      <c r="K97" s="25" t="s">
        <v>328</v>
      </c>
      <c r="L97" s="25" t="s">
        <v>329</v>
      </c>
      <c r="M97" s="25">
        <v>240</v>
      </c>
      <c r="N97" s="25" t="s">
        <v>164</v>
      </c>
      <c r="O97" s="25">
        <v>7190</v>
      </c>
      <c r="P97" s="25" t="s">
        <v>333</v>
      </c>
    </row>
    <row r="98" spans="1:16" x14ac:dyDescent="0.25">
      <c r="A98" s="25">
        <v>416</v>
      </c>
      <c r="B98" s="25" t="s">
        <v>383</v>
      </c>
      <c r="C98" s="25" t="s">
        <v>384</v>
      </c>
      <c r="D98" s="25" t="s">
        <v>270</v>
      </c>
      <c r="E98" s="31">
        <v>41540</v>
      </c>
      <c r="F98" s="31"/>
      <c r="G98" s="25" t="s">
        <v>385</v>
      </c>
      <c r="H98" s="32">
        <v>60000</v>
      </c>
      <c r="I98" s="24">
        <v>60000</v>
      </c>
      <c r="J98" s="24"/>
      <c r="K98" s="25" t="s">
        <v>283</v>
      </c>
      <c r="L98" s="25" t="s">
        <v>284</v>
      </c>
      <c r="M98" s="25">
        <v>260</v>
      </c>
      <c r="N98" s="25" t="s">
        <v>272</v>
      </c>
      <c r="O98" s="25">
        <v>7190</v>
      </c>
      <c r="P98" s="25" t="s">
        <v>386</v>
      </c>
    </row>
    <row r="99" spans="1:16" x14ac:dyDescent="0.25">
      <c r="A99" s="25">
        <v>714</v>
      </c>
      <c r="B99" s="25" t="s">
        <v>387</v>
      </c>
      <c r="C99" s="25" t="s">
        <v>388</v>
      </c>
      <c r="D99" s="25" t="s">
        <v>270</v>
      </c>
      <c r="E99" s="31">
        <v>44313</v>
      </c>
      <c r="F99" s="31"/>
      <c r="G99" s="25" t="s">
        <v>389</v>
      </c>
      <c r="H99" s="32">
        <v>50000</v>
      </c>
      <c r="I99" s="24">
        <v>50000</v>
      </c>
      <c r="J99" s="24"/>
      <c r="K99" s="25" t="s">
        <v>283</v>
      </c>
      <c r="L99" s="25" t="s">
        <v>284</v>
      </c>
      <c r="M99" s="25">
        <v>260</v>
      </c>
      <c r="N99" s="25" t="s">
        <v>272</v>
      </c>
      <c r="O99" s="25">
        <v>7190</v>
      </c>
      <c r="P99" s="25" t="s">
        <v>386</v>
      </c>
    </row>
    <row r="100" spans="1:16" x14ac:dyDescent="0.25">
      <c r="A100" s="25">
        <v>512</v>
      </c>
      <c r="B100" s="25" t="s">
        <v>390</v>
      </c>
      <c r="C100" s="25" t="s">
        <v>391</v>
      </c>
      <c r="D100" s="25" t="s">
        <v>134</v>
      </c>
      <c r="E100" s="31">
        <v>42605</v>
      </c>
      <c r="F100" s="31"/>
      <c r="G100" s="25" t="s">
        <v>392</v>
      </c>
      <c r="H100" s="32">
        <v>27.35</v>
      </c>
      <c r="I100" s="24">
        <v>63999</v>
      </c>
      <c r="J100" s="24">
        <f>850*4</f>
        <v>3400</v>
      </c>
      <c r="K100" s="25" t="s">
        <v>393</v>
      </c>
      <c r="L100" s="25" t="s">
        <v>394</v>
      </c>
      <c r="M100" s="25">
        <v>330</v>
      </c>
      <c r="N100" s="25" t="s">
        <v>113</v>
      </c>
      <c r="O100" s="25">
        <v>7190</v>
      </c>
      <c r="P100" s="25" t="s">
        <v>395</v>
      </c>
    </row>
    <row r="101" spans="1:16" x14ac:dyDescent="0.25">
      <c r="A101" s="25">
        <v>509</v>
      </c>
      <c r="B101" s="25" t="s">
        <v>396</v>
      </c>
      <c r="C101" s="25" t="s">
        <v>397</v>
      </c>
      <c r="D101" s="25" t="s">
        <v>398</v>
      </c>
      <c r="E101" s="31">
        <v>42592</v>
      </c>
      <c r="F101" s="31"/>
      <c r="G101" s="25" t="s">
        <v>399</v>
      </c>
      <c r="H101" s="32">
        <v>84000</v>
      </c>
      <c r="I101" s="24">
        <v>84000</v>
      </c>
      <c r="J101" s="24">
        <f>5250*4</f>
        <v>21000</v>
      </c>
      <c r="K101" s="25" t="s">
        <v>393</v>
      </c>
      <c r="L101" s="25" t="s">
        <v>394</v>
      </c>
      <c r="M101" s="25">
        <v>340</v>
      </c>
      <c r="N101" s="25" t="s">
        <v>164</v>
      </c>
      <c r="O101" s="25">
        <v>7170</v>
      </c>
      <c r="P101" s="25" t="s">
        <v>400</v>
      </c>
    </row>
    <row r="102" spans="1:16" x14ac:dyDescent="0.25">
      <c r="A102" s="25">
        <v>10065</v>
      </c>
      <c r="B102" s="25" t="s">
        <v>401</v>
      </c>
      <c r="C102" s="25" t="s">
        <v>402</v>
      </c>
      <c r="D102" s="25" t="s">
        <v>206</v>
      </c>
      <c r="E102" s="31">
        <v>44823</v>
      </c>
      <c r="F102" s="31"/>
      <c r="G102" s="25" t="s">
        <v>403</v>
      </c>
      <c r="H102" s="32">
        <v>32</v>
      </c>
      <c r="I102" s="24">
        <v>74880</v>
      </c>
      <c r="J102" s="24">
        <f>500*4</f>
        <v>2000</v>
      </c>
      <c r="K102" s="25" t="s">
        <v>393</v>
      </c>
      <c r="L102" s="25" t="s">
        <v>394</v>
      </c>
      <c r="M102" s="25">
        <v>340</v>
      </c>
      <c r="N102" s="25" t="s">
        <v>164</v>
      </c>
      <c r="O102" s="25">
        <v>7190</v>
      </c>
      <c r="P102" s="25" t="s">
        <v>404</v>
      </c>
    </row>
    <row r="103" spans="1:16" x14ac:dyDescent="0.25">
      <c r="A103" s="25">
        <v>656</v>
      </c>
      <c r="B103" s="25" t="s">
        <v>405</v>
      </c>
      <c r="C103" s="25" t="s">
        <v>406</v>
      </c>
      <c r="D103" s="25" t="s">
        <v>172</v>
      </c>
      <c r="E103" s="31">
        <v>43649</v>
      </c>
      <c r="F103" s="31">
        <v>45204</v>
      </c>
      <c r="G103" s="25" t="s">
        <v>407</v>
      </c>
      <c r="H103" s="32">
        <v>28</v>
      </c>
      <c r="I103" s="24">
        <v>61880</v>
      </c>
      <c r="J103" s="24">
        <f>500*4</f>
        <v>2000</v>
      </c>
      <c r="K103" s="25" t="s">
        <v>393</v>
      </c>
      <c r="L103" s="25" t="s">
        <v>394</v>
      </c>
      <c r="M103" s="25">
        <v>340</v>
      </c>
      <c r="N103" s="25" t="s">
        <v>164</v>
      </c>
      <c r="O103" s="25">
        <v>7190</v>
      </c>
      <c r="P103" s="25" t="s">
        <v>404</v>
      </c>
    </row>
    <row r="104" spans="1:16" x14ac:dyDescent="0.25">
      <c r="A104" s="25">
        <v>623</v>
      </c>
      <c r="B104" s="25" t="s">
        <v>408</v>
      </c>
      <c r="C104" s="25" t="s">
        <v>409</v>
      </c>
      <c r="D104" s="25" t="s">
        <v>179</v>
      </c>
      <c r="E104" s="31">
        <v>43339</v>
      </c>
      <c r="F104" s="31">
        <v>45229</v>
      </c>
      <c r="G104" s="25" t="s">
        <v>410</v>
      </c>
      <c r="H104" s="32">
        <v>40</v>
      </c>
      <c r="I104" s="24">
        <v>83200</v>
      </c>
      <c r="J104" s="24">
        <f>1000*4</f>
        <v>4000</v>
      </c>
      <c r="K104" s="25" t="s">
        <v>393</v>
      </c>
      <c r="L104" s="25" t="s">
        <v>394</v>
      </c>
      <c r="M104" s="25">
        <v>340</v>
      </c>
      <c r="N104" s="25" t="s">
        <v>164</v>
      </c>
      <c r="O104" s="25">
        <v>7190</v>
      </c>
      <c r="P104" s="25" t="s">
        <v>404</v>
      </c>
    </row>
    <row r="105" spans="1:16" x14ac:dyDescent="0.25">
      <c r="A105" s="25">
        <v>603</v>
      </c>
      <c r="B105" s="25" t="s">
        <v>411</v>
      </c>
      <c r="C105" s="25" t="s">
        <v>412</v>
      </c>
      <c r="D105" s="25" t="s">
        <v>413</v>
      </c>
      <c r="E105" s="31">
        <v>43178</v>
      </c>
      <c r="F105" s="31"/>
      <c r="G105" s="25" t="s">
        <v>414</v>
      </c>
      <c r="H105" s="32">
        <v>30.77</v>
      </c>
      <c r="I105" s="24">
        <v>72001.8</v>
      </c>
      <c r="J105" s="24">
        <f>900*4</f>
        <v>3600</v>
      </c>
      <c r="K105" s="25" t="s">
        <v>415</v>
      </c>
      <c r="L105" s="25" t="s">
        <v>416</v>
      </c>
      <c r="M105" s="25">
        <v>430</v>
      </c>
      <c r="N105" s="25" t="s">
        <v>113</v>
      </c>
      <c r="O105" s="25">
        <v>7190</v>
      </c>
      <c r="P105" s="25" t="s">
        <v>417</v>
      </c>
    </row>
    <row r="106" spans="1:16" x14ac:dyDescent="0.25">
      <c r="A106" s="25">
        <v>10005</v>
      </c>
      <c r="B106" s="25" t="s">
        <v>418</v>
      </c>
      <c r="C106" s="25" t="s">
        <v>419</v>
      </c>
      <c r="D106" s="25" t="s">
        <v>420</v>
      </c>
      <c r="E106" s="31">
        <v>44364</v>
      </c>
      <c r="F106" s="31"/>
      <c r="G106" s="25" t="s">
        <v>421</v>
      </c>
      <c r="H106" s="32">
        <v>27</v>
      </c>
      <c r="I106" s="24">
        <v>56160</v>
      </c>
      <c r="J106" s="24"/>
      <c r="K106" s="25" t="s">
        <v>415</v>
      </c>
      <c r="L106" s="25" t="s">
        <v>416</v>
      </c>
      <c r="M106" s="25">
        <v>440</v>
      </c>
      <c r="N106" s="25" t="s">
        <v>164</v>
      </c>
      <c r="O106" s="25">
        <v>7190</v>
      </c>
      <c r="P106" s="25" t="s">
        <v>422</v>
      </c>
    </row>
    <row r="107" spans="1:16" x14ac:dyDescent="0.25">
      <c r="A107" s="25">
        <v>458</v>
      </c>
      <c r="B107" s="25" t="s">
        <v>423</v>
      </c>
      <c r="C107" s="25" t="s">
        <v>424</v>
      </c>
      <c r="D107" s="25" t="s">
        <v>425</v>
      </c>
      <c r="E107" s="31">
        <v>42136</v>
      </c>
      <c r="F107" s="31"/>
      <c r="G107" s="25" t="s">
        <v>426</v>
      </c>
      <c r="H107" s="32">
        <v>30</v>
      </c>
      <c r="I107" s="24">
        <v>62400</v>
      </c>
      <c r="J107" s="24"/>
      <c r="K107" s="25" t="s">
        <v>415</v>
      </c>
      <c r="L107" s="25" t="s">
        <v>416</v>
      </c>
      <c r="M107" s="25">
        <v>440</v>
      </c>
      <c r="N107" s="25" t="s">
        <v>164</v>
      </c>
      <c r="O107" s="25">
        <v>7190</v>
      </c>
      <c r="P107" s="25" t="s">
        <v>422</v>
      </c>
    </row>
    <row r="108" spans="1:16" x14ac:dyDescent="0.25">
      <c r="A108" s="25">
        <v>10015</v>
      </c>
      <c r="B108" s="25" t="s">
        <v>427</v>
      </c>
      <c r="C108" s="25" t="s">
        <v>428</v>
      </c>
      <c r="D108" s="25" t="s">
        <v>429</v>
      </c>
      <c r="E108" s="31">
        <v>44417</v>
      </c>
      <c r="F108" s="31"/>
      <c r="G108" s="25" t="s">
        <v>430</v>
      </c>
      <c r="H108" s="32">
        <v>92000</v>
      </c>
      <c r="I108" s="24">
        <v>92000</v>
      </c>
      <c r="J108" s="24">
        <f>5750*4</f>
        <v>23000</v>
      </c>
      <c r="K108" s="25" t="s">
        <v>415</v>
      </c>
      <c r="L108" s="25" t="s">
        <v>416</v>
      </c>
      <c r="M108" s="25">
        <v>440</v>
      </c>
      <c r="N108" s="25" t="s">
        <v>164</v>
      </c>
      <c r="O108" s="25">
        <v>7170</v>
      </c>
      <c r="P108" s="25" t="s">
        <v>431</v>
      </c>
    </row>
    <row r="109" spans="1:16" x14ac:dyDescent="0.25">
      <c r="A109" s="25">
        <v>10050</v>
      </c>
      <c r="B109" s="25" t="s">
        <v>432</v>
      </c>
      <c r="C109" s="25" t="s">
        <v>433</v>
      </c>
      <c r="D109" s="25" t="s">
        <v>172</v>
      </c>
      <c r="E109" s="31">
        <v>44620</v>
      </c>
      <c r="F109" s="31"/>
      <c r="G109" s="25" t="s">
        <v>434</v>
      </c>
      <c r="H109" s="32">
        <v>29.81</v>
      </c>
      <c r="I109" s="24">
        <v>73630.7</v>
      </c>
      <c r="J109" s="24">
        <f>750*4</f>
        <v>3000</v>
      </c>
      <c r="K109" s="25" t="s">
        <v>415</v>
      </c>
      <c r="L109" s="25" t="s">
        <v>416</v>
      </c>
      <c r="M109" s="25">
        <v>440</v>
      </c>
      <c r="N109" s="25" t="s">
        <v>164</v>
      </c>
      <c r="O109" s="25">
        <v>7190</v>
      </c>
      <c r="P109" s="25" t="s">
        <v>422</v>
      </c>
    </row>
    <row r="110" spans="1:16" x14ac:dyDescent="0.25">
      <c r="A110" s="25">
        <v>10035</v>
      </c>
      <c r="B110" s="25" t="s">
        <v>435</v>
      </c>
      <c r="C110" s="25" t="s">
        <v>436</v>
      </c>
      <c r="D110" s="25" t="s">
        <v>437</v>
      </c>
      <c r="E110" s="31">
        <v>44536</v>
      </c>
      <c r="F110" s="31"/>
      <c r="G110" s="25" t="s">
        <v>438</v>
      </c>
      <c r="H110" s="32">
        <v>33.65</v>
      </c>
      <c r="I110" s="24">
        <v>69992</v>
      </c>
      <c r="J110" s="24">
        <f>2500*4</f>
        <v>10000</v>
      </c>
      <c r="K110" s="25" t="s">
        <v>415</v>
      </c>
      <c r="L110" s="25" t="s">
        <v>416</v>
      </c>
      <c r="M110" s="25">
        <v>440</v>
      </c>
      <c r="N110" s="25" t="s">
        <v>164</v>
      </c>
      <c r="O110" s="25">
        <v>7190</v>
      </c>
      <c r="P110" s="25" t="s">
        <v>422</v>
      </c>
    </row>
    <row r="111" spans="1:16" x14ac:dyDescent="0.25">
      <c r="A111" s="25">
        <v>399</v>
      </c>
      <c r="B111" s="25" t="s">
        <v>439</v>
      </c>
      <c r="C111" s="25" t="s">
        <v>440</v>
      </c>
      <c r="D111" s="25" t="s">
        <v>441</v>
      </c>
      <c r="E111" s="31">
        <v>41437</v>
      </c>
      <c r="F111" s="31"/>
      <c r="G111" s="25" t="s">
        <v>442</v>
      </c>
      <c r="H111" s="32">
        <v>36</v>
      </c>
      <c r="I111" s="24">
        <v>84240</v>
      </c>
      <c r="J111" s="24">
        <f>2000*4</f>
        <v>8000</v>
      </c>
      <c r="K111" s="25" t="s">
        <v>415</v>
      </c>
      <c r="L111" s="25" t="s">
        <v>416</v>
      </c>
      <c r="M111" s="25">
        <v>440</v>
      </c>
      <c r="N111" s="25" t="s">
        <v>164</v>
      </c>
      <c r="O111" s="25">
        <v>7190</v>
      </c>
      <c r="P111" s="25" t="s">
        <v>422</v>
      </c>
    </row>
    <row r="112" spans="1:16" x14ac:dyDescent="0.25">
      <c r="A112" s="25">
        <v>709</v>
      </c>
      <c r="B112" s="25" t="s">
        <v>443</v>
      </c>
      <c r="C112" s="25" t="s">
        <v>444</v>
      </c>
      <c r="D112" s="25" t="s">
        <v>445</v>
      </c>
      <c r="E112" s="31">
        <v>44256</v>
      </c>
      <c r="F112" s="31">
        <v>45040</v>
      </c>
      <c r="G112" s="25" t="s">
        <v>446</v>
      </c>
      <c r="H112" s="32">
        <v>28</v>
      </c>
      <c r="I112" s="24">
        <v>58240</v>
      </c>
      <c r="J112" s="24">
        <f>500*4</f>
        <v>2000</v>
      </c>
      <c r="K112" s="25" t="s">
        <v>393</v>
      </c>
      <c r="L112" s="25" t="s">
        <v>394</v>
      </c>
      <c r="M112" s="25">
        <v>900</v>
      </c>
      <c r="N112" s="25" t="s">
        <v>447</v>
      </c>
      <c r="O112" s="25" t="s">
        <v>448</v>
      </c>
      <c r="P112" s="25" t="s">
        <v>449</v>
      </c>
    </row>
    <row r="113" spans="1:16" x14ac:dyDescent="0.25">
      <c r="A113" s="25">
        <v>10077</v>
      </c>
      <c r="B113" s="25" t="s">
        <v>450</v>
      </c>
      <c r="C113" s="25" t="s">
        <v>451</v>
      </c>
      <c r="D113" s="25" t="s">
        <v>452</v>
      </c>
      <c r="E113" s="31">
        <v>44949</v>
      </c>
      <c r="F113" s="31"/>
      <c r="G113" s="25" t="s">
        <v>453</v>
      </c>
      <c r="H113" s="32">
        <v>25</v>
      </c>
      <c r="I113" s="24">
        <v>0</v>
      </c>
      <c r="J113" s="24"/>
      <c r="K113" s="25" t="s">
        <v>454</v>
      </c>
      <c r="L113" s="25" t="s">
        <v>455</v>
      </c>
      <c r="M113" s="25">
        <v>900</v>
      </c>
      <c r="N113" s="25" t="s">
        <v>456</v>
      </c>
      <c r="O113" s="25">
        <v>2400</v>
      </c>
      <c r="P113" s="25" t="s">
        <v>457</v>
      </c>
    </row>
    <row r="114" spans="1:16" x14ac:dyDescent="0.25">
      <c r="A114" s="25">
        <v>10057</v>
      </c>
      <c r="B114" s="25" t="s">
        <v>458</v>
      </c>
      <c r="C114" s="25" t="s">
        <v>205</v>
      </c>
      <c r="D114" s="25" t="s">
        <v>459</v>
      </c>
      <c r="E114" s="31">
        <v>44704</v>
      </c>
      <c r="F114" s="31"/>
      <c r="G114" s="25" t="s">
        <v>460</v>
      </c>
      <c r="H114" s="32">
        <v>28.5</v>
      </c>
      <c r="I114" s="24">
        <v>59280</v>
      </c>
      <c r="J114" s="24">
        <f>500*4</f>
        <v>2000</v>
      </c>
      <c r="K114" s="25" t="s">
        <v>415</v>
      </c>
      <c r="L114" s="25" t="s">
        <v>416</v>
      </c>
      <c r="M114" s="25">
        <v>900</v>
      </c>
      <c r="N114" s="25" t="s">
        <v>447</v>
      </c>
      <c r="O114" s="25" t="s">
        <v>461</v>
      </c>
      <c r="P114" s="25" t="s">
        <v>462</v>
      </c>
    </row>
    <row r="115" spans="1:16" x14ac:dyDescent="0.25">
      <c r="A115" s="25">
        <v>10021</v>
      </c>
      <c r="B115" s="25" t="s">
        <v>463</v>
      </c>
      <c r="C115" s="25" t="s">
        <v>464</v>
      </c>
      <c r="D115" s="25" t="s">
        <v>465</v>
      </c>
      <c r="E115" s="31">
        <v>44431</v>
      </c>
      <c r="F115" s="31"/>
      <c r="G115" s="25" t="s">
        <v>466</v>
      </c>
      <c r="H115" s="32">
        <v>30</v>
      </c>
      <c r="I115" s="24">
        <v>62400</v>
      </c>
      <c r="J115" s="24">
        <f>500*4</f>
        <v>2000</v>
      </c>
      <c r="K115" s="25" t="s">
        <v>111</v>
      </c>
      <c r="L115" s="25" t="s">
        <v>112</v>
      </c>
      <c r="M115" s="25">
        <v>900</v>
      </c>
      <c r="N115" s="25" t="s">
        <v>447</v>
      </c>
      <c r="O115" s="25">
        <v>1571</v>
      </c>
      <c r="P115" s="25" t="s">
        <v>467</v>
      </c>
    </row>
    <row r="116" spans="1:16" x14ac:dyDescent="0.25">
      <c r="A116" s="25">
        <v>611</v>
      </c>
      <c r="B116" s="25" t="s">
        <v>468</v>
      </c>
      <c r="C116" s="25" t="s">
        <v>469</v>
      </c>
      <c r="D116" s="25" t="s">
        <v>470</v>
      </c>
      <c r="E116" s="31">
        <v>43193</v>
      </c>
      <c r="F116" s="31"/>
      <c r="G116" s="25" t="s">
        <v>471</v>
      </c>
      <c r="H116" s="32">
        <v>38</v>
      </c>
      <c r="I116" s="24">
        <v>79040</v>
      </c>
      <c r="J116" s="24">
        <f>500*4</f>
        <v>2000</v>
      </c>
      <c r="K116" s="25" t="s">
        <v>328</v>
      </c>
      <c r="L116" s="25" t="s">
        <v>329</v>
      </c>
      <c r="M116" s="25">
        <v>900</v>
      </c>
      <c r="N116" s="25" t="s">
        <v>164</v>
      </c>
      <c r="O116" s="25" t="s">
        <v>472</v>
      </c>
      <c r="P116" s="25" t="s">
        <v>473</v>
      </c>
    </row>
    <row r="117" spans="1:16" x14ac:dyDescent="0.25">
      <c r="A117" s="25">
        <v>592</v>
      </c>
      <c r="B117" s="25" t="s">
        <v>474</v>
      </c>
      <c r="C117" s="25" t="s">
        <v>475</v>
      </c>
      <c r="D117" s="25" t="s">
        <v>476</v>
      </c>
      <c r="E117" s="31">
        <v>43036</v>
      </c>
      <c r="F117" s="31"/>
      <c r="G117" s="25" t="s">
        <v>477</v>
      </c>
      <c r="H117" s="32">
        <v>25</v>
      </c>
      <c r="I117" s="24">
        <v>52000</v>
      </c>
      <c r="J117" s="24">
        <f>500*4</f>
        <v>2000</v>
      </c>
      <c r="K117" s="25" t="s">
        <v>111</v>
      </c>
      <c r="L117" s="25" t="s">
        <v>112</v>
      </c>
      <c r="M117" s="25">
        <v>900</v>
      </c>
      <c r="N117" s="25" t="s">
        <v>447</v>
      </c>
      <c r="O117" s="25">
        <v>1570</v>
      </c>
      <c r="P117" s="25" t="s">
        <v>478</v>
      </c>
    </row>
    <row r="118" spans="1:16" x14ac:dyDescent="0.25">
      <c r="A118" s="25">
        <v>587</v>
      </c>
      <c r="B118" s="25" t="s">
        <v>474</v>
      </c>
      <c r="C118" s="25" t="s">
        <v>479</v>
      </c>
      <c r="D118" s="25" t="s">
        <v>480</v>
      </c>
      <c r="E118" s="31">
        <v>42982</v>
      </c>
      <c r="F118" s="31"/>
      <c r="G118" s="25" t="s">
        <v>481</v>
      </c>
      <c r="H118" s="32">
        <v>26</v>
      </c>
      <c r="I118" s="24">
        <v>54080</v>
      </c>
      <c r="J118" s="24"/>
      <c r="K118" s="25" t="s">
        <v>454</v>
      </c>
      <c r="L118" s="25" t="s">
        <v>455</v>
      </c>
      <c r="M118" s="25">
        <v>900</v>
      </c>
      <c r="N118" s="25" t="s">
        <v>456</v>
      </c>
      <c r="O118" s="25">
        <v>2400</v>
      </c>
      <c r="P118" s="25" t="s">
        <v>457</v>
      </c>
    </row>
    <row r="119" spans="1:16" x14ac:dyDescent="0.25">
      <c r="A119" s="25">
        <v>548</v>
      </c>
      <c r="B119" s="25" t="s">
        <v>482</v>
      </c>
      <c r="C119" s="25" t="s">
        <v>483</v>
      </c>
      <c r="D119" s="25" t="s">
        <v>484</v>
      </c>
      <c r="E119" s="31">
        <v>42823</v>
      </c>
      <c r="F119" s="31"/>
      <c r="G119" s="25" t="s">
        <v>485</v>
      </c>
      <c r="H119" s="32">
        <v>85000</v>
      </c>
      <c r="I119" s="24">
        <v>85000</v>
      </c>
      <c r="J119" s="24"/>
      <c r="K119" s="25" t="s">
        <v>454</v>
      </c>
      <c r="L119" s="25" t="s">
        <v>455</v>
      </c>
      <c r="M119" s="25">
        <v>900</v>
      </c>
      <c r="N119" s="25" t="s">
        <v>456</v>
      </c>
      <c r="O119" s="25">
        <v>2400</v>
      </c>
      <c r="P119" s="25" t="s">
        <v>457</v>
      </c>
    </row>
    <row r="120" spans="1:16" x14ac:dyDescent="0.25">
      <c r="A120" s="25">
        <v>78</v>
      </c>
      <c r="B120" s="25" t="s">
        <v>486</v>
      </c>
      <c r="C120" s="25" t="s">
        <v>487</v>
      </c>
      <c r="D120" s="25" t="s">
        <v>488</v>
      </c>
      <c r="E120" s="31">
        <v>38243</v>
      </c>
      <c r="F120" s="31"/>
      <c r="G120" s="25" t="s">
        <v>489</v>
      </c>
      <c r="H120" s="32">
        <v>37</v>
      </c>
      <c r="I120" s="24">
        <v>76960</v>
      </c>
      <c r="J120" s="24">
        <f>500*4</f>
        <v>2000</v>
      </c>
      <c r="K120" s="25" t="s">
        <v>111</v>
      </c>
      <c r="L120" s="25" t="s">
        <v>112</v>
      </c>
      <c r="M120" s="25">
        <v>900</v>
      </c>
      <c r="N120" s="25" t="s">
        <v>447</v>
      </c>
      <c r="O120" s="25">
        <v>1570</v>
      </c>
      <c r="P120" s="25" t="s">
        <v>478</v>
      </c>
    </row>
    <row r="121" spans="1:16" x14ac:dyDescent="0.25">
      <c r="A121" s="25">
        <v>10009</v>
      </c>
      <c r="B121" s="25" t="s">
        <v>490</v>
      </c>
      <c r="C121" s="25" t="s">
        <v>491</v>
      </c>
      <c r="D121" s="25" t="s">
        <v>492</v>
      </c>
      <c r="E121" s="31">
        <v>44382</v>
      </c>
      <c r="F121" s="31">
        <v>45187</v>
      </c>
      <c r="G121" s="25" t="s">
        <v>493</v>
      </c>
      <c r="H121" s="32">
        <v>32</v>
      </c>
      <c r="I121" s="24">
        <v>66560</v>
      </c>
      <c r="J121" s="24">
        <f>500*4</f>
        <v>2000</v>
      </c>
      <c r="K121" s="25" t="s">
        <v>328</v>
      </c>
      <c r="L121" s="25" t="s">
        <v>329</v>
      </c>
      <c r="M121" s="25">
        <v>900</v>
      </c>
      <c r="N121" s="25" t="s">
        <v>164</v>
      </c>
      <c r="O121" s="25" t="s">
        <v>472</v>
      </c>
      <c r="P121" s="25" t="s">
        <v>473</v>
      </c>
    </row>
    <row r="122" spans="1:16" x14ac:dyDescent="0.25">
      <c r="A122" s="25">
        <v>10046</v>
      </c>
      <c r="B122" s="25" t="s">
        <v>494</v>
      </c>
      <c r="C122" s="25" t="s">
        <v>495</v>
      </c>
      <c r="D122" s="25" t="s">
        <v>496</v>
      </c>
      <c r="E122" s="31">
        <v>44621</v>
      </c>
      <c r="F122" s="31"/>
      <c r="G122" s="25" t="s">
        <v>497</v>
      </c>
      <c r="H122" s="32">
        <v>36</v>
      </c>
      <c r="I122" s="24">
        <v>74880</v>
      </c>
      <c r="J122" s="24">
        <f>500*4</f>
        <v>2000</v>
      </c>
      <c r="K122" s="25" t="s">
        <v>415</v>
      </c>
      <c r="L122" s="25" t="s">
        <v>416</v>
      </c>
      <c r="M122" s="25">
        <v>900</v>
      </c>
      <c r="N122" s="25" t="s">
        <v>447</v>
      </c>
      <c r="O122" s="25" t="s">
        <v>461</v>
      </c>
      <c r="P122" s="25" t="s">
        <v>462</v>
      </c>
    </row>
    <row r="123" spans="1:16" x14ac:dyDescent="0.25">
      <c r="A123" s="25">
        <v>491</v>
      </c>
      <c r="B123" s="25" t="s">
        <v>498</v>
      </c>
      <c r="C123" s="25" t="s">
        <v>499</v>
      </c>
      <c r="D123" s="25" t="s">
        <v>500</v>
      </c>
      <c r="E123" s="31">
        <v>42528</v>
      </c>
      <c r="F123" s="31"/>
      <c r="G123" s="25" t="s">
        <v>501</v>
      </c>
      <c r="H123" s="32">
        <v>35</v>
      </c>
      <c r="I123" s="24">
        <v>72800</v>
      </c>
      <c r="J123" s="24">
        <f>500*4</f>
        <v>2000</v>
      </c>
      <c r="K123" s="25" t="s">
        <v>111</v>
      </c>
      <c r="L123" s="25" t="s">
        <v>112</v>
      </c>
      <c r="M123" s="25">
        <v>900</v>
      </c>
      <c r="N123" s="25" t="s">
        <v>447</v>
      </c>
      <c r="O123" s="25">
        <v>1571</v>
      </c>
      <c r="P123" s="25" t="s">
        <v>467</v>
      </c>
    </row>
    <row r="124" spans="1:16" x14ac:dyDescent="0.25">
      <c r="A124" s="25">
        <v>116</v>
      </c>
      <c r="B124" s="25" t="s">
        <v>502</v>
      </c>
      <c r="C124" s="25" t="s">
        <v>503</v>
      </c>
      <c r="D124" s="25" t="s">
        <v>504</v>
      </c>
      <c r="E124" s="31">
        <v>45042</v>
      </c>
      <c r="F124" s="31"/>
      <c r="G124" s="25"/>
      <c r="H124" s="32">
        <v>31.25</v>
      </c>
      <c r="I124" s="24">
        <v>0</v>
      </c>
      <c r="J124" s="24"/>
      <c r="K124" s="25" t="s">
        <v>454</v>
      </c>
      <c r="L124" s="25" t="s">
        <v>455</v>
      </c>
      <c r="M124" s="25">
        <v>900</v>
      </c>
      <c r="N124" s="25" t="s">
        <v>456</v>
      </c>
      <c r="O124" s="25">
        <v>2400</v>
      </c>
      <c r="P124" s="25" t="s">
        <v>457</v>
      </c>
    </row>
    <row r="125" spans="1:16" x14ac:dyDescent="0.25">
      <c r="A125" s="25">
        <v>10034</v>
      </c>
      <c r="B125" s="25" t="s">
        <v>505</v>
      </c>
      <c r="C125" s="25" t="s">
        <v>506</v>
      </c>
      <c r="D125" s="25" t="s">
        <v>488</v>
      </c>
      <c r="E125" s="31">
        <v>44529</v>
      </c>
      <c r="F125" s="31"/>
      <c r="G125" s="25" t="s">
        <v>507</v>
      </c>
      <c r="H125" s="32">
        <v>33</v>
      </c>
      <c r="I125" s="24">
        <v>68640</v>
      </c>
      <c r="J125" s="24">
        <f>500*4</f>
        <v>2000</v>
      </c>
      <c r="K125" s="25" t="s">
        <v>393</v>
      </c>
      <c r="L125" s="25" t="s">
        <v>394</v>
      </c>
      <c r="M125" s="25">
        <v>900</v>
      </c>
      <c r="N125" s="25" t="s">
        <v>447</v>
      </c>
      <c r="O125" s="25" t="s">
        <v>448</v>
      </c>
      <c r="P125" s="25" t="s">
        <v>449</v>
      </c>
    </row>
    <row r="126" spans="1:16" x14ac:dyDescent="0.25">
      <c r="A126" s="25">
        <v>10102</v>
      </c>
      <c r="B126" s="25" t="s">
        <v>508</v>
      </c>
      <c r="C126" s="25" t="s">
        <v>509</v>
      </c>
      <c r="D126" s="25" t="s">
        <v>510</v>
      </c>
      <c r="E126" s="31">
        <v>45194</v>
      </c>
      <c r="F126" s="31"/>
      <c r="G126" s="25" t="s">
        <v>511</v>
      </c>
      <c r="H126" s="32">
        <v>25</v>
      </c>
      <c r="I126" s="24">
        <v>52000</v>
      </c>
      <c r="J126" s="24">
        <f>500*4</f>
        <v>2000</v>
      </c>
      <c r="K126" s="25" t="s">
        <v>111</v>
      </c>
      <c r="L126" s="25" t="s">
        <v>112</v>
      </c>
      <c r="M126" s="25">
        <v>900</v>
      </c>
      <c r="N126" s="25" t="s">
        <v>447</v>
      </c>
      <c r="O126" s="25">
        <v>1570</v>
      </c>
      <c r="P126" s="25" t="s">
        <v>478</v>
      </c>
    </row>
    <row r="127" spans="1:16" x14ac:dyDescent="0.25">
      <c r="A127" s="25">
        <v>701</v>
      </c>
      <c r="B127" s="25" t="s">
        <v>512</v>
      </c>
      <c r="C127" s="25" t="s">
        <v>513</v>
      </c>
      <c r="D127" s="25" t="s">
        <v>465</v>
      </c>
      <c r="E127" s="31">
        <v>44181</v>
      </c>
      <c r="F127" s="31"/>
      <c r="G127" s="25" t="s">
        <v>514</v>
      </c>
      <c r="H127" s="32">
        <v>27</v>
      </c>
      <c r="I127" s="24">
        <v>56160</v>
      </c>
      <c r="J127" s="24">
        <f>500*4</f>
        <v>2000</v>
      </c>
      <c r="K127" s="25" t="s">
        <v>111</v>
      </c>
      <c r="L127" s="25" t="s">
        <v>112</v>
      </c>
      <c r="M127" s="25">
        <v>900</v>
      </c>
      <c r="N127" s="25" t="s">
        <v>447</v>
      </c>
      <c r="O127" s="25">
        <v>1571</v>
      </c>
      <c r="P127" s="25" t="s">
        <v>467</v>
      </c>
    </row>
    <row r="128" spans="1:16" x14ac:dyDescent="0.25">
      <c r="A128" s="25">
        <v>10086</v>
      </c>
      <c r="B128" s="25" t="s">
        <v>515</v>
      </c>
      <c r="C128" s="25" t="s">
        <v>275</v>
      </c>
      <c r="D128" s="25" t="s">
        <v>516</v>
      </c>
      <c r="E128" s="31">
        <v>45027</v>
      </c>
      <c r="F128" s="31"/>
      <c r="G128" s="25" t="s">
        <v>517</v>
      </c>
      <c r="H128" s="32">
        <v>23.4</v>
      </c>
      <c r="I128" s="24">
        <v>51714</v>
      </c>
      <c r="J128" s="24"/>
      <c r="K128" s="25" t="s">
        <v>393</v>
      </c>
      <c r="L128" s="25" t="s">
        <v>394</v>
      </c>
      <c r="M128" s="25">
        <v>900</v>
      </c>
      <c r="N128" s="25" t="s">
        <v>447</v>
      </c>
      <c r="O128" s="25" t="s">
        <v>448</v>
      </c>
      <c r="P128" s="25" t="s">
        <v>449</v>
      </c>
    </row>
    <row r="129" spans="1:16" x14ac:dyDescent="0.25">
      <c r="A129" s="25">
        <v>327</v>
      </c>
      <c r="B129" s="25" t="s">
        <v>236</v>
      </c>
      <c r="C129" s="25" t="s">
        <v>518</v>
      </c>
      <c r="D129" s="25" t="s">
        <v>519</v>
      </c>
      <c r="E129" s="31">
        <v>40689</v>
      </c>
      <c r="F129" s="31"/>
      <c r="G129" s="25" t="s">
        <v>239</v>
      </c>
      <c r="H129" s="32">
        <v>31.25</v>
      </c>
      <c r="I129" s="24">
        <v>65000</v>
      </c>
      <c r="J129" s="24"/>
      <c r="K129" s="25" t="s">
        <v>454</v>
      </c>
      <c r="L129" s="25" t="s">
        <v>455</v>
      </c>
      <c r="M129" s="25">
        <v>900</v>
      </c>
      <c r="N129" s="25" t="s">
        <v>456</v>
      </c>
      <c r="O129" s="25">
        <v>2400</v>
      </c>
      <c r="P129" s="25" t="s">
        <v>457</v>
      </c>
    </row>
    <row r="130" spans="1:16" x14ac:dyDescent="0.25">
      <c r="A130" s="25">
        <v>10103</v>
      </c>
      <c r="B130" s="25" t="s">
        <v>520</v>
      </c>
      <c r="C130" s="25" t="s">
        <v>83</v>
      </c>
      <c r="D130" s="25" t="s">
        <v>238</v>
      </c>
      <c r="E130" s="31">
        <v>45183</v>
      </c>
      <c r="F130" s="31"/>
      <c r="G130" s="25" t="s">
        <v>521</v>
      </c>
      <c r="H130" s="32">
        <v>24.5</v>
      </c>
      <c r="I130" s="24">
        <v>50960</v>
      </c>
      <c r="J130" s="24"/>
      <c r="K130" s="25" t="s">
        <v>111</v>
      </c>
      <c r="L130" s="25" t="s">
        <v>112</v>
      </c>
      <c r="M130" s="25">
        <v>900</v>
      </c>
      <c r="N130" s="25" t="s">
        <v>447</v>
      </c>
      <c r="O130" s="25">
        <v>1571</v>
      </c>
      <c r="P130" s="25" t="s">
        <v>467</v>
      </c>
    </row>
    <row r="131" spans="1:16" x14ac:dyDescent="0.25">
      <c r="A131" s="25">
        <v>42</v>
      </c>
      <c r="B131" s="25" t="s">
        <v>522</v>
      </c>
      <c r="C131" s="25" t="s">
        <v>523</v>
      </c>
      <c r="D131" s="25" t="s">
        <v>524</v>
      </c>
      <c r="E131" s="31">
        <v>40637</v>
      </c>
      <c r="F131" s="31"/>
      <c r="G131" s="25" t="s">
        <v>525</v>
      </c>
      <c r="H131" s="32">
        <v>31.25</v>
      </c>
      <c r="I131" s="24">
        <v>56062.5</v>
      </c>
      <c r="J131" s="24"/>
      <c r="K131" s="25" t="s">
        <v>454</v>
      </c>
      <c r="L131" s="25" t="s">
        <v>455</v>
      </c>
      <c r="M131" s="25">
        <v>900</v>
      </c>
      <c r="N131" s="25" t="s">
        <v>456</v>
      </c>
      <c r="O131" s="25">
        <v>2400</v>
      </c>
      <c r="P131" s="25" t="s">
        <v>457</v>
      </c>
    </row>
    <row r="132" spans="1:16" x14ac:dyDescent="0.25">
      <c r="A132" s="25">
        <v>10075</v>
      </c>
      <c r="B132" s="25" t="s">
        <v>526</v>
      </c>
      <c r="C132" s="25" t="s">
        <v>527</v>
      </c>
      <c r="D132" s="25" t="s">
        <v>528</v>
      </c>
      <c r="E132" s="31">
        <v>44914</v>
      </c>
      <c r="F132" s="31"/>
      <c r="G132" s="25" t="s">
        <v>529</v>
      </c>
      <c r="H132" s="32">
        <v>123900</v>
      </c>
      <c r="I132" s="24">
        <v>123900</v>
      </c>
      <c r="J132" s="24">
        <f>2500*4</f>
        <v>10000</v>
      </c>
      <c r="K132" s="25" t="s">
        <v>454</v>
      </c>
      <c r="L132" s="25" t="s">
        <v>455</v>
      </c>
      <c r="M132" s="25">
        <v>900</v>
      </c>
      <c r="N132" s="25" t="s">
        <v>456</v>
      </c>
      <c r="O132" s="25">
        <v>2400</v>
      </c>
      <c r="P132" s="25" t="s">
        <v>457</v>
      </c>
    </row>
    <row r="133" spans="1:16" x14ac:dyDescent="0.25">
      <c r="A133" s="25">
        <v>10029</v>
      </c>
      <c r="B133" s="25" t="s">
        <v>530</v>
      </c>
      <c r="C133" s="25" t="s">
        <v>531</v>
      </c>
      <c r="D133" s="25" t="s">
        <v>452</v>
      </c>
      <c r="E133" s="31">
        <v>44482</v>
      </c>
      <c r="F133" s="31"/>
      <c r="G133" s="25" t="s">
        <v>532</v>
      </c>
      <c r="H133" s="32">
        <v>26</v>
      </c>
      <c r="I133" s="24">
        <v>54080</v>
      </c>
      <c r="J133" s="24"/>
      <c r="K133" s="25" t="s">
        <v>454</v>
      </c>
      <c r="L133" s="25" t="s">
        <v>455</v>
      </c>
      <c r="M133" s="25">
        <v>900</v>
      </c>
      <c r="N133" s="25" t="s">
        <v>456</v>
      </c>
      <c r="O133" s="25">
        <v>2400</v>
      </c>
      <c r="P133" s="25" t="s">
        <v>457</v>
      </c>
    </row>
    <row r="134" spans="1:16" x14ac:dyDescent="0.25">
      <c r="A134" s="25">
        <v>685</v>
      </c>
      <c r="B134" s="25" t="s">
        <v>533</v>
      </c>
      <c r="C134" s="25" t="s">
        <v>534</v>
      </c>
      <c r="D134" s="25" t="s">
        <v>535</v>
      </c>
      <c r="E134" s="31">
        <v>43927</v>
      </c>
      <c r="F134" s="31"/>
      <c r="G134" s="25" t="s">
        <v>536</v>
      </c>
      <c r="H134" s="32">
        <v>38</v>
      </c>
      <c r="I134" s="24">
        <v>84968</v>
      </c>
      <c r="J134" s="24">
        <f>500*4</f>
        <v>2000</v>
      </c>
      <c r="K134" s="25" t="s">
        <v>111</v>
      </c>
      <c r="L134" s="25" t="s">
        <v>112</v>
      </c>
      <c r="M134" s="25">
        <v>900</v>
      </c>
      <c r="N134" s="25" t="s">
        <v>447</v>
      </c>
      <c r="O134" s="25">
        <v>1571</v>
      </c>
      <c r="P134" s="25" t="s">
        <v>467</v>
      </c>
    </row>
    <row r="135" spans="1:16" x14ac:dyDescent="0.25">
      <c r="A135" s="25">
        <v>617</v>
      </c>
      <c r="B135" s="25" t="s">
        <v>537</v>
      </c>
      <c r="C135" s="25" t="s">
        <v>538</v>
      </c>
      <c r="D135" s="25" t="s">
        <v>539</v>
      </c>
      <c r="E135" s="31">
        <v>43290</v>
      </c>
      <c r="F135" s="31">
        <v>45120</v>
      </c>
      <c r="G135" s="25" t="s">
        <v>540</v>
      </c>
      <c r="H135" s="32">
        <v>32.21</v>
      </c>
      <c r="I135" s="24">
        <v>66996.800000000003</v>
      </c>
      <c r="J135" s="24"/>
      <c r="K135" s="25" t="s">
        <v>454</v>
      </c>
      <c r="L135" s="25" t="s">
        <v>455</v>
      </c>
      <c r="M135" s="25">
        <v>900</v>
      </c>
      <c r="N135" s="25" t="s">
        <v>456</v>
      </c>
      <c r="O135" s="25">
        <v>2400</v>
      </c>
      <c r="P135" s="25" t="s">
        <v>457</v>
      </c>
    </row>
    <row r="136" spans="1:16" x14ac:dyDescent="0.25">
      <c r="A136" s="25">
        <v>703</v>
      </c>
      <c r="B136" s="25" t="s">
        <v>541</v>
      </c>
      <c r="C136" s="25" t="s">
        <v>542</v>
      </c>
      <c r="D136" s="25" t="s">
        <v>543</v>
      </c>
      <c r="E136" s="31">
        <v>44214</v>
      </c>
      <c r="F136" s="31"/>
      <c r="G136" s="25" t="s">
        <v>544</v>
      </c>
      <c r="H136" s="32">
        <v>29</v>
      </c>
      <c r="I136" s="24">
        <v>60320</v>
      </c>
      <c r="J136" s="24"/>
      <c r="K136" s="25" t="s">
        <v>454</v>
      </c>
      <c r="L136" s="25" t="s">
        <v>455</v>
      </c>
      <c r="M136" s="25">
        <v>900</v>
      </c>
      <c r="N136" s="25" t="s">
        <v>456</v>
      </c>
      <c r="O136" s="25">
        <v>2400</v>
      </c>
      <c r="P136" s="25" t="s">
        <v>457</v>
      </c>
    </row>
    <row r="137" spans="1:16" x14ac:dyDescent="0.25">
      <c r="A137" s="25">
        <v>681</v>
      </c>
      <c r="B137" s="25" t="s">
        <v>545</v>
      </c>
      <c r="C137" s="25" t="s">
        <v>546</v>
      </c>
      <c r="D137" s="25" t="s">
        <v>547</v>
      </c>
      <c r="E137" s="31">
        <v>43899</v>
      </c>
      <c r="F137" s="31"/>
      <c r="G137" s="25" t="s">
        <v>548</v>
      </c>
      <c r="H137" s="32">
        <v>28</v>
      </c>
      <c r="I137" s="24">
        <v>58240</v>
      </c>
      <c r="J137" s="24">
        <f>500*4</f>
        <v>2000</v>
      </c>
      <c r="K137" s="25" t="s">
        <v>328</v>
      </c>
      <c r="L137" s="25" t="s">
        <v>329</v>
      </c>
      <c r="M137" s="25">
        <v>900</v>
      </c>
      <c r="N137" s="25" t="s">
        <v>164</v>
      </c>
      <c r="O137" s="25" t="s">
        <v>472</v>
      </c>
      <c r="P137" s="25" t="s">
        <v>473</v>
      </c>
    </row>
    <row r="138" spans="1:16" x14ac:dyDescent="0.25">
      <c r="A138" s="25">
        <v>405</v>
      </c>
      <c r="B138" s="25" t="s">
        <v>549</v>
      </c>
      <c r="C138" s="25" t="s">
        <v>550</v>
      </c>
      <c r="D138" s="25" t="s">
        <v>488</v>
      </c>
      <c r="E138" s="31">
        <v>41492</v>
      </c>
      <c r="F138" s="31"/>
      <c r="G138" s="25" t="s">
        <v>551</v>
      </c>
      <c r="H138" s="32">
        <v>37</v>
      </c>
      <c r="I138" s="24">
        <v>76960</v>
      </c>
      <c r="J138" s="24">
        <f>500*4</f>
        <v>2000</v>
      </c>
      <c r="K138" s="25" t="s">
        <v>111</v>
      </c>
      <c r="L138" s="25" t="s">
        <v>112</v>
      </c>
      <c r="M138" s="25">
        <v>900</v>
      </c>
      <c r="N138" s="25" t="s">
        <v>447</v>
      </c>
      <c r="O138" s="25">
        <v>1570</v>
      </c>
      <c r="P138" s="25" t="s">
        <v>478</v>
      </c>
    </row>
    <row r="139" spans="1:16" x14ac:dyDescent="0.25">
      <c r="A139" s="25">
        <v>10010</v>
      </c>
      <c r="B139" s="25" t="s">
        <v>552</v>
      </c>
      <c r="C139" s="25" t="s">
        <v>553</v>
      </c>
      <c r="D139" s="25" t="s">
        <v>554</v>
      </c>
      <c r="E139" s="31">
        <v>44417</v>
      </c>
      <c r="F139" s="31"/>
      <c r="G139" s="25" t="s">
        <v>555</v>
      </c>
      <c r="H139" s="32">
        <v>33</v>
      </c>
      <c r="I139" s="24">
        <v>68640</v>
      </c>
      <c r="J139" s="24">
        <f>500*4</f>
        <v>2000</v>
      </c>
      <c r="K139" s="25" t="s">
        <v>111</v>
      </c>
      <c r="L139" s="25" t="s">
        <v>112</v>
      </c>
      <c r="M139" s="25">
        <v>900</v>
      </c>
      <c r="N139" s="25" t="s">
        <v>447</v>
      </c>
      <c r="O139" s="25">
        <v>1570</v>
      </c>
      <c r="P139" s="25" t="s">
        <v>478</v>
      </c>
    </row>
    <row r="140" spans="1:16" x14ac:dyDescent="0.25">
      <c r="A140" s="25">
        <v>203</v>
      </c>
      <c r="B140" s="25" t="s">
        <v>556</v>
      </c>
      <c r="C140" s="25" t="s">
        <v>557</v>
      </c>
      <c r="D140" s="25" t="s">
        <v>558</v>
      </c>
      <c r="E140" s="31">
        <v>38538</v>
      </c>
      <c r="F140" s="31"/>
      <c r="G140" s="25" t="s">
        <v>559</v>
      </c>
      <c r="H140" s="32">
        <v>300000</v>
      </c>
      <c r="I140" s="24">
        <v>300000</v>
      </c>
      <c r="J140" s="24">
        <f>30000*4</f>
        <v>120000</v>
      </c>
      <c r="K140" s="25" t="s">
        <v>454</v>
      </c>
      <c r="L140" s="25" t="s">
        <v>455</v>
      </c>
      <c r="M140" s="25">
        <v>900</v>
      </c>
      <c r="N140" s="25" t="s">
        <v>456</v>
      </c>
      <c r="O140" s="25">
        <v>2400</v>
      </c>
      <c r="P140" s="25" t="s">
        <v>457</v>
      </c>
    </row>
    <row r="141" spans="1:16" x14ac:dyDescent="0.25">
      <c r="A141" s="25">
        <v>90</v>
      </c>
      <c r="B141" s="25" t="s">
        <v>556</v>
      </c>
      <c r="C141" s="25" t="s">
        <v>560</v>
      </c>
      <c r="D141" s="25" t="s">
        <v>561</v>
      </c>
      <c r="E141" s="31">
        <v>35156</v>
      </c>
      <c r="F141" s="31"/>
      <c r="G141" s="25"/>
      <c r="H141" s="32">
        <v>52000</v>
      </c>
      <c r="I141" s="24">
        <v>52000</v>
      </c>
      <c r="J141" s="24"/>
      <c r="K141" s="25" t="s">
        <v>454</v>
      </c>
      <c r="L141" s="25" t="s">
        <v>455</v>
      </c>
      <c r="M141" s="25">
        <v>900</v>
      </c>
      <c r="N141" s="25" t="s">
        <v>456</v>
      </c>
      <c r="O141" s="25">
        <v>2400</v>
      </c>
      <c r="P141" s="25" t="s">
        <v>457</v>
      </c>
    </row>
    <row r="142" spans="1:16" x14ac:dyDescent="0.25">
      <c r="A142" s="25">
        <v>711</v>
      </c>
      <c r="B142" s="25" t="s">
        <v>562</v>
      </c>
      <c r="C142" s="25" t="s">
        <v>563</v>
      </c>
      <c r="D142" s="25" t="s">
        <v>476</v>
      </c>
      <c r="E142" s="31">
        <v>44284</v>
      </c>
      <c r="F142" s="31"/>
      <c r="G142" s="25" t="s">
        <v>564</v>
      </c>
      <c r="H142" s="32">
        <v>23.40206186</v>
      </c>
      <c r="I142" s="24">
        <v>48676.2886688</v>
      </c>
      <c r="J142" s="24">
        <f>500*4</f>
        <v>2000</v>
      </c>
      <c r="K142" s="25" t="s">
        <v>111</v>
      </c>
      <c r="L142" s="25" t="s">
        <v>112</v>
      </c>
      <c r="M142" s="25">
        <v>900</v>
      </c>
      <c r="N142" s="25" t="s">
        <v>447</v>
      </c>
      <c r="O142" s="25">
        <v>1570</v>
      </c>
      <c r="P142" s="25" t="s">
        <v>478</v>
      </c>
    </row>
    <row r="143" spans="1:16" x14ac:dyDescent="0.25">
      <c r="A143" s="25">
        <v>318</v>
      </c>
      <c r="B143" s="25" t="s">
        <v>565</v>
      </c>
      <c r="C143" s="25" t="s">
        <v>566</v>
      </c>
      <c r="D143" s="25" t="s">
        <v>567</v>
      </c>
      <c r="E143" s="31">
        <v>40567</v>
      </c>
      <c r="F143" s="31"/>
      <c r="G143" s="25" t="s">
        <v>568</v>
      </c>
      <c r="H143" s="32">
        <v>112000</v>
      </c>
      <c r="I143" s="24">
        <v>112000</v>
      </c>
      <c r="J143" s="24">
        <f>7000*4</f>
        <v>28000</v>
      </c>
      <c r="K143" s="25" t="s">
        <v>454</v>
      </c>
      <c r="L143" s="25" t="s">
        <v>455</v>
      </c>
      <c r="M143" s="25">
        <v>900</v>
      </c>
      <c r="N143" s="25" t="s">
        <v>456</v>
      </c>
      <c r="O143" s="25">
        <v>2400</v>
      </c>
      <c r="P143" s="25" t="s">
        <v>457</v>
      </c>
    </row>
    <row r="144" spans="1:16" x14ac:dyDescent="0.25">
      <c r="A144" s="25">
        <v>10041</v>
      </c>
      <c r="B144" s="25" t="s">
        <v>569</v>
      </c>
      <c r="C144" s="25" t="s">
        <v>570</v>
      </c>
      <c r="D144" s="25" t="s">
        <v>571</v>
      </c>
      <c r="E144" s="31">
        <v>44571</v>
      </c>
      <c r="F144" s="31"/>
      <c r="G144" s="25" t="s">
        <v>572</v>
      </c>
      <c r="H144" s="32">
        <v>28.85</v>
      </c>
      <c r="I144" s="24">
        <v>60008</v>
      </c>
      <c r="J144" s="24"/>
      <c r="K144" s="25" t="s">
        <v>454</v>
      </c>
      <c r="L144" s="25" t="s">
        <v>455</v>
      </c>
      <c r="M144" s="25">
        <v>900</v>
      </c>
      <c r="N144" s="25" t="s">
        <v>456</v>
      </c>
      <c r="O144" s="25">
        <v>2400</v>
      </c>
      <c r="P144" s="25" t="s">
        <v>457</v>
      </c>
    </row>
    <row r="145" spans="1:16" x14ac:dyDescent="0.25">
      <c r="A145" s="25">
        <v>646</v>
      </c>
      <c r="B145" s="25" t="s">
        <v>573</v>
      </c>
      <c r="C145" s="25" t="s">
        <v>574</v>
      </c>
      <c r="D145" s="25" t="s">
        <v>575</v>
      </c>
      <c r="E145" s="31">
        <v>43605</v>
      </c>
      <c r="F145" s="31"/>
      <c r="G145" s="25" t="s">
        <v>576</v>
      </c>
      <c r="H145" s="32">
        <v>32</v>
      </c>
      <c r="I145" s="24">
        <v>66560</v>
      </c>
      <c r="J145" s="24">
        <f>500*4</f>
        <v>2000</v>
      </c>
      <c r="K145" s="25" t="s">
        <v>393</v>
      </c>
      <c r="L145" s="25" t="s">
        <v>394</v>
      </c>
      <c r="M145" s="25">
        <v>900</v>
      </c>
      <c r="N145" s="25" t="s">
        <v>447</v>
      </c>
      <c r="O145" s="25" t="s">
        <v>448</v>
      </c>
      <c r="P145" s="25" t="s">
        <v>449</v>
      </c>
    </row>
    <row r="146" spans="1:16" x14ac:dyDescent="0.25">
      <c r="A146" s="25">
        <v>10082</v>
      </c>
      <c r="B146" s="25" t="s">
        <v>577</v>
      </c>
      <c r="C146" s="25" t="s">
        <v>312</v>
      </c>
      <c r="D146" s="25"/>
      <c r="E146" s="31">
        <v>44991</v>
      </c>
      <c r="F146" s="31">
        <v>45053</v>
      </c>
      <c r="G146" s="25" t="s">
        <v>578</v>
      </c>
      <c r="H146" s="32">
        <v>45</v>
      </c>
      <c r="I146" s="24">
        <v>93600</v>
      </c>
      <c r="J146" s="24"/>
      <c r="K146" s="25" t="s">
        <v>454</v>
      </c>
      <c r="L146" s="25" t="s">
        <v>455</v>
      </c>
      <c r="M146" s="25">
        <v>900</v>
      </c>
      <c r="N146" s="25" t="s">
        <v>456</v>
      </c>
      <c r="O146" s="25">
        <v>2400</v>
      </c>
      <c r="P146" s="25" t="s">
        <v>457</v>
      </c>
    </row>
    <row r="147" spans="1:16" x14ac:dyDescent="0.25">
      <c r="A147" s="25">
        <v>255</v>
      </c>
      <c r="B147" s="25" t="s">
        <v>579</v>
      </c>
      <c r="C147" s="25" t="s">
        <v>580</v>
      </c>
      <c r="D147" s="25" t="s">
        <v>488</v>
      </c>
      <c r="E147" s="31">
        <v>45047</v>
      </c>
      <c r="F147" s="31"/>
      <c r="G147" s="25" t="s">
        <v>581</v>
      </c>
      <c r="H147" s="32">
        <v>37</v>
      </c>
      <c r="I147" s="24">
        <v>76960</v>
      </c>
      <c r="J147" s="24">
        <f>500*4</f>
        <v>2000</v>
      </c>
      <c r="K147" s="25" t="s">
        <v>111</v>
      </c>
      <c r="L147" s="25" t="s">
        <v>112</v>
      </c>
      <c r="M147" s="25">
        <v>900</v>
      </c>
      <c r="N147" s="25" t="s">
        <v>447</v>
      </c>
      <c r="O147" s="25">
        <v>1570</v>
      </c>
      <c r="P147" s="25" t="s">
        <v>478</v>
      </c>
    </row>
    <row r="148" spans="1:16" x14ac:dyDescent="0.25">
      <c r="A148" s="25">
        <v>132</v>
      </c>
      <c r="B148" s="25" t="s">
        <v>582</v>
      </c>
      <c r="C148" s="25" t="s">
        <v>583</v>
      </c>
      <c r="D148" s="25" t="s">
        <v>584</v>
      </c>
      <c r="E148" s="31">
        <v>34681</v>
      </c>
      <c r="F148" s="31"/>
      <c r="G148" s="25" t="s">
        <v>585</v>
      </c>
      <c r="H148" s="32">
        <v>85280</v>
      </c>
      <c r="I148" s="24">
        <v>85280</v>
      </c>
      <c r="J148" s="24">
        <f>1000*4</f>
        <v>4000</v>
      </c>
      <c r="K148" s="25" t="s">
        <v>454</v>
      </c>
      <c r="L148" s="25" t="s">
        <v>455</v>
      </c>
      <c r="M148" s="25">
        <v>900</v>
      </c>
      <c r="N148" s="25" t="s">
        <v>456</v>
      </c>
      <c r="O148" s="25">
        <v>2400</v>
      </c>
      <c r="P148" s="25" t="s">
        <v>457</v>
      </c>
    </row>
    <row r="149" spans="1:16" x14ac:dyDescent="0.25">
      <c r="A149" s="25">
        <v>633</v>
      </c>
      <c r="B149" s="25" t="s">
        <v>34</v>
      </c>
      <c r="C149" s="25" t="s">
        <v>586</v>
      </c>
      <c r="D149" s="25" t="s">
        <v>476</v>
      </c>
      <c r="E149" s="31">
        <v>43398</v>
      </c>
      <c r="F149" s="31"/>
      <c r="G149" s="25" t="s">
        <v>587</v>
      </c>
      <c r="H149" s="32">
        <v>27</v>
      </c>
      <c r="I149" s="24">
        <v>56160</v>
      </c>
      <c r="J149" s="24">
        <f>500*4</f>
        <v>2000</v>
      </c>
      <c r="K149" s="25" t="s">
        <v>111</v>
      </c>
      <c r="L149" s="25" t="s">
        <v>112</v>
      </c>
      <c r="M149" s="25">
        <v>900</v>
      </c>
      <c r="N149" s="25" t="s">
        <v>447</v>
      </c>
      <c r="O149" s="25">
        <v>1570</v>
      </c>
      <c r="P149" s="25" t="s">
        <v>478</v>
      </c>
    </row>
    <row r="150" spans="1:16" x14ac:dyDescent="0.25">
      <c r="A150" s="25">
        <v>635</v>
      </c>
      <c r="B150" s="25" t="s">
        <v>588</v>
      </c>
      <c r="C150" s="25" t="s">
        <v>589</v>
      </c>
      <c r="D150" s="25" t="s">
        <v>476</v>
      </c>
      <c r="E150" s="31">
        <v>43434</v>
      </c>
      <c r="F150" s="31"/>
      <c r="G150" s="25" t="s">
        <v>590</v>
      </c>
      <c r="H150" s="32">
        <v>27</v>
      </c>
      <c r="I150" s="24">
        <v>56160</v>
      </c>
      <c r="J150" s="24">
        <f>500*4</f>
        <v>2000</v>
      </c>
      <c r="K150" s="25" t="s">
        <v>111</v>
      </c>
      <c r="L150" s="25" t="s">
        <v>112</v>
      </c>
      <c r="M150" s="25">
        <v>900</v>
      </c>
      <c r="N150" s="25" t="s">
        <v>447</v>
      </c>
      <c r="O150" s="25">
        <v>1570</v>
      </c>
      <c r="P150" s="25" t="s">
        <v>478</v>
      </c>
    </row>
    <row r="151" spans="1:16" x14ac:dyDescent="0.25">
      <c r="A151" s="25">
        <v>10115</v>
      </c>
      <c r="B151" s="25" t="s">
        <v>591</v>
      </c>
      <c r="C151" s="25" t="s">
        <v>592</v>
      </c>
      <c r="D151" s="25" t="s">
        <v>496</v>
      </c>
      <c r="E151" s="31">
        <v>45246</v>
      </c>
      <c r="F151" s="31"/>
      <c r="G151" s="25" t="s">
        <v>593</v>
      </c>
      <c r="H151" s="32">
        <v>32</v>
      </c>
      <c r="I151" s="24">
        <v>66560</v>
      </c>
      <c r="J151" s="24">
        <f>500*4</f>
        <v>2000</v>
      </c>
      <c r="K151" s="25" t="s">
        <v>111</v>
      </c>
      <c r="L151" s="25" t="s">
        <v>112</v>
      </c>
      <c r="M151" s="25">
        <v>900</v>
      </c>
      <c r="N151" s="25" t="s">
        <v>447</v>
      </c>
      <c r="O151" s="25">
        <v>1570</v>
      </c>
      <c r="P151" s="25" t="s">
        <v>478</v>
      </c>
    </row>
    <row r="152" spans="1:16" x14ac:dyDescent="0.25">
      <c r="A152" s="25">
        <v>10079</v>
      </c>
      <c r="B152" s="25" t="s">
        <v>594</v>
      </c>
      <c r="C152" s="25" t="s">
        <v>595</v>
      </c>
      <c r="D152" s="25" t="s">
        <v>596</v>
      </c>
      <c r="E152" s="31">
        <v>44963</v>
      </c>
      <c r="F152" s="31"/>
      <c r="G152" s="25" t="s">
        <v>597</v>
      </c>
      <c r="H152" s="32">
        <v>63860</v>
      </c>
      <c r="I152" s="24">
        <v>63860</v>
      </c>
      <c r="J152" s="24"/>
      <c r="K152" s="25" t="s">
        <v>454</v>
      </c>
      <c r="L152" s="25" t="s">
        <v>455</v>
      </c>
      <c r="M152" s="25">
        <v>900</v>
      </c>
      <c r="N152" s="25" t="s">
        <v>456</v>
      </c>
      <c r="O152" s="25">
        <v>2400</v>
      </c>
      <c r="P152" s="25" t="s">
        <v>457</v>
      </c>
    </row>
    <row r="153" spans="1:16" x14ac:dyDescent="0.25">
      <c r="A153" s="25">
        <v>10040</v>
      </c>
      <c r="B153" s="25" t="s">
        <v>598</v>
      </c>
      <c r="C153" s="25" t="s">
        <v>599</v>
      </c>
      <c r="D153" s="25" t="s">
        <v>543</v>
      </c>
      <c r="E153" s="31">
        <v>44571</v>
      </c>
      <c r="F153" s="31"/>
      <c r="G153" s="25" t="s">
        <v>600</v>
      </c>
      <c r="H153" s="32">
        <v>68640</v>
      </c>
      <c r="I153" s="24">
        <v>68640</v>
      </c>
      <c r="J153" s="24"/>
      <c r="K153" s="25" t="s">
        <v>454</v>
      </c>
      <c r="L153" s="25" t="s">
        <v>455</v>
      </c>
      <c r="M153" s="25">
        <v>900</v>
      </c>
      <c r="N153" s="25" t="s">
        <v>456</v>
      </c>
      <c r="O153" s="25">
        <v>2400</v>
      </c>
      <c r="P153" s="25" t="s">
        <v>457</v>
      </c>
    </row>
    <row r="154" spans="1:16" x14ac:dyDescent="0.25">
      <c r="A154" s="25">
        <v>10059</v>
      </c>
      <c r="B154" s="25" t="s">
        <v>136</v>
      </c>
      <c r="C154" s="25" t="s">
        <v>601</v>
      </c>
      <c r="D154" s="25" t="s">
        <v>602</v>
      </c>
      <c r="E154" s="31">
        <v>44795</v>
      </c>
      <c r="F154" s="31"/>
      <c r="G154" s="25" t="s">
        <v>603</v>
      </c>
      <c r="H154" s="32">
        <v>103000</v>
      </c>
      <c r="I154" s="24">
        <v>103000</v>
      </c>
      <c r="J154" s="24"/>
      <c r="K154" s="25" t="s">
        <v>454</v>
      </c>
      <c r="L154" s="25" t="s">
        <v>455</v>
      </c>
      <c r="M154" s="25">
        <v>900</v>
      </c>
      <c r="N154" s="25" t="s">
        <v>456</v>
      </c>
      <c r="O154" s="25">
        <v>2400</v>
      </c>
      <c r="P154" s="25" t="s">
        <v>457</v>
      </c>
    </row>
    <row r="155" spans="1:16" x14ac:dyDescent="0.25">
      <c r="A155" s="25">
        <v>453</v>
      </c>
      <c r="B155" s="25" t="s">
        <v>604</v>
      </c>
      <c r="C155" s="25" t="s">
        <v>605</v>
      </c>
      <c r="D155" s="25" t="s">
        <v>606</v>
      </c>
      <c r="E155" s="31">
        <v>38973</v>
      </c>
      <c r="F155" s="31"/>
      <c r="G155" s="25" t="s">
        <v>607</v>
      </c>
      <c r="H155" s="32">
        <v>31.25</v>
      </c>
      <c r="I155" s="24">
        <v>48750</v>
      </c>
      <c r="J155" s="24"/>
      <c r="K155" s="25" t="s">
        <v>454</v>
      </c>
      <c r="L155" s="25" t="s">
        <v>455</v>
      </c>
      <c r="M155" s="25">
        <v>900</v>
      </c>
      <c r="N155" s="25" t="s">
        <v>456</v>
      </c>
      <c r="O155" s="25">
        <v>2400</v>
      </c>
      <c r="P155" s="25" t="s">
        <v>457</v>
      </c>
    </row>
    <row r="156" spans="1:16" x14ac:dyDescent="0.25">
      <c r="A156" s="25">
        <v>515</v>
      </c>
      <c r="B156" s="25" t="s">
        <v>608</v>
      </c>
      <c r="C156" s="25" t="s">
        <v>609</v>
      </c>
      <c r="D156" s="25" t="s">
        <v>248</v>
      </c>
      <c r="E156" s="31">
        <v>42618</v>
      </c>
      <c r="F156" s="31"/>
      <c r="G156" s="25" t="s">
        <v>610</v>
      </c>
      <c r="H156" s="32">
        <v>23.402059999999999</v>
      </c>
      <c r="I156" s="24">
        <v>29205.77088</v>
      </c>
      <c r="J156" s="24"/>
      <c r="K156" s="25" t="s">
        <v>111</v>
      </c>
      <c r="L156" s="25" t="s">
        <v>112</v>
      </c>
      <c r="M156" s="25">
        <v>900</v>
      </c>
      <c r="N156" s="25" t="s">
        <v>447</v>
      </c>
      <c r="O156" s="25">
        <v>1571</v>
      </c>
      <c r="P156" s="25" t="s">
        <v>467</v>
      </c>
    </row>
    <row r="157" spans="1:16" x14ac:dyDescent="0.25">
      <c r="A157" s="25">
        <v>653</v>
      </c>
      <c r="B157" s="25" t="s">
        <v>611</v>
      </c>
      <c r="C157" s="25" t="s">
        <v>330</v>
      </c>
      <c r="D157" s="25" t="s">
        <v>445</v>
      </c>
      <c r="E157" s="31">
        <v>43640</v>
      </c>
      <c r="F157" s="31"/>
      <c r="G157" s="25" t="s">
        <v>612</v>
      </c>
      <c r="H157" s="32">
        <v>30</v>
      </c>
      <c r="I157" s="24">
        <v>62400</v>
      </c>
      <c r="J157" s="24">
        <f>500*4</f>
        <v>2000</v>
      </c>
      <c r="K157" s="25" t="s">
        <v>393</v>
      </c>
      <c r="L157" s="25" t="s">
        <v>394</v>
      </c>
      <c r="M157" s="25">
        <v>900</v>
      </c>
      <c r="N157" s="25" t="s">
        <v>447</v>
      </c>
      <c r="O157" s="25" t="s">
        <v>448</v>
      </c>
      <c r="P157" s="25" t="s">
        <v>449</v>
      </c>
    </row>
    <row r="158" spans="1:16" x14ac:dyDescent="0.25">
      <c r="A158" s="25">
        <v>10106</v>
      </c>
      <c r="B158" s="25" t="s">
        <v>613</v>
      </c>
      <c r="C158" s="25" t="s">
        <v>614</v>
      </c>
      <c r="D158" s="25" t="s">
        <v>615</v>
      </c>
      <c r="E158" s="31">
        <v>45201</v>
      </c>
      <c r="F158" s="31"/>
      <c r="G158" s="25" t="s">
        <v>616</v>
      </c>
      <c r="H158" s="32">
        <v>32.049999999999997</v>
      </c>
      <c r="I158" s="24">
        <v>49998</v>
      </c>
      <c r="J158" s="24"/>
      <c r="K158" s="25" t="s">
        <v>454</v>
      </c>
      <c r="L158" s="25" t="s">
        <v>455</v>
      </c>
      <c r="M158" s="25">
        <v>900</v>
      </c>
      <c r="N158" s="25" t="s">
        <v>456</v>
      </c>
      <c r="O158" s="25">
        <v>2400</v>
      </c>
      <c r="P158" s="25" t="s">
        <v>457</v>
      </c>
    </row>
    <row r="159" spans="1:16" x14ac:dyDescent="0.25">
      <c r="A159" s="25">
        <v>342</v>
      </c>
      <c r="B159" s="25" t="s">
        <v>617</v>
      </c>
      <c r="C159" s="25" t="s">
        <v>618</v>
      </c>
      <c r="D159" s="25" t="s">
        <v>488</v>
      </c>
      <c r="E159" s="31">
        <v>37830</v>
      </c>
      <c r="F159" s="31"/>
      <c r="G159" s="25" t="s">
        <v>619</v>
      </c>
      <c r="H159" s="32">
        <v>35</v>
      </c>
      <c r="I159" s="24">
        <v>72800</v>
      </c>
      <c r="J159" s="24">
        <f>500*4</f>
        <v>2000</v>
      </c>
      <c r="K159" s="25" t="s">
        <v>415</v>
      </c>
      <c r="L159" s="25" t="s">
        <v>416</v>
      </c>
      <c r="M159" s="25">
        <v>900</v>
      </c>
      <c r="N159" s="25" t="s">
        <v>447</v>
      </c>
      <c r="O159" s="25" t="s">
        <v>461</v>
      </c>
      <c r="P159" s="25" t="s">
        <v>462</v>
      </c>
    </row>
    <row r="160" spans="1:16" x14ac:dyDescent="0.25">
      <c r="A160" s="25">
        <v>10060</v>
      </c>
      <c r="B160" s="25" t="s">
        <v>620</v>
      </c>
      <c r="C160" s="25" t="s">
        <v>621</v>
      </c>
      <c r="D160" s="25" t="s">
        <v>622</v>
      </c>
      <c r="E160" s="31">
        <v>44795</v>
      </c>
      <c r="F160" s="31"/>
      <c r="G160" s="25" t="s">
        <v>623</v>
      </c>
      <c r="H160" s="32">
        <v>190000</v>
      </c>
      <c r="I160" s="24">
        <v>190000</v>
      </c>
      <c r="J160" s="24">
        <f>18750*4</f>
        <v>75000</v>
      </c>
      <c r="K160" s="25" t="s">
        <v>454</v>
      </c>
      <c r="L160" s="25" t="s">
        <v>455</v>
      </c>
      <c r="M160" s="25">
        <v>900</v>
      </c>
      <c r="N160" s="25" t="s">
        <v>456</v>
      </c>
      <c r="O160" s="25">
        <v>2400</v>
      </c>
      <c r="P160" s="25" t="s">
        <v>457</v>
      </c>
    </row>
    <row r="161" spans="1:16" x14ac:dyDescent="0.25">
      <c r="A161" s="25">
        <v>689</v>
      </c>
      <c r="B161" s="25" t="s">
        <v>624</v>
      </c>
      <c r="C161" s="25" t="s">
        <v>625</v>
      </c>
      <c r="D161" s="25" t="s">
        <v>626</v>
      </c>
      <c r="E161" s="31">
        <v>44067</v>
      </c>
      <c r="F161" s="31"/>
      <c r="G161" s="25" t="s">
        <v>627</v>
      </c>
      <c r="H161" s="32">
        <v>150000</v>
      </c>
      <c r="I161" s="24">
        <v>150000</v>
      </c>
      <c r="J161" s="24">
        <f>16250*4</f>
        <v>65000</v>
      </c>
      <c r="K161" s="25" t="s">
        <v>454</v>
      </c>
      <c r="L161" s="25" t="s">
        <v>455</v>
      </c>
      <c r="M161" s="25">
        <v>900</v>
      </c>
      <c r="N161" s="25" t="s">
        <v>456</v>
      </c>
      <c r="O161" s="25">
        <v>2400</v>
      </c>
      <c r="P161" s="25" t="s">
        <v>457</v>
      </c>
    </row>
    <row r="162" spans="1:16" x14ac:dyDescent="0.25">
      <c r="A162" s="25">
        <v>717</v>
      </c>
      <c r="B162" s="25" t="s">
        <v>628</v>
      </c>
      <c r="C162" s="25" t="s">
        <v>629</v>
      </c>
      <c r="D162" s="25" t="s">
        <v>179</v>
      </c>
      <c r="E162" s="31">
        <v>44320</v>
      </c>
      <c r="F162" s="31"/>
      <c r="G162" s="25" t="s">
        <v>630</v>
      </c>
      <c r="H162" s="32">
        <v>37</v>
      </c>
      <c r="I162" s="24">
        <v>81770</v>
      </c>
      <c r="J162" s="24">
        <f>500*4</f>
        <v>2000</v>
      </c>
      <c r="K162" s="25" t="s">
        <v>111</v>
      </c>
      <c r="L162" s="25" t="s">
        <v>112</v>
      </c>
      <c r="M162" s="25">
        <v>900</v>
      </c>
      <c r="N162" s="25" t="s">
        <v>447</v>
      </c>
      <c r="O162" s="25">
        <v>1570</v>
      </c>
      <c r="P162" s="25" t="s">
        <v>478</v>
      </c>
    </row>
    <row r="163" spans="1:16" x14ac:dyDescent="0.25">
      <c r="A163" s="25">
        <v>580</v>
      </c>
      <c r="B163" s="25" t="s">
        <v>631</v>
      </c>
      <c r="C163" s="25" t="s">
        <v>632</v>
      </c>
      <c r="D163" s="25" t="s">
        <v>488</v>
      </c>
      <c r="E163" s="31">
        <v>42940</v>
      </c>
      <c r="F163" s="31">
        <v>45211</v>
      </c>
      <c r="G163" s="25" t="s">
        <v>633</v>
      </c>
      <c r="H163" s="32">
        <v>37</v>
      </c>
      <c r="I163" s="24">
        <v>76960</v>
      </c>
      <c r="J163" s="24">
        <f>500*4</f>
        <v>2000</v>
      </c>
      <c r="K163" s="25" t="s">
        <v>111</v>
      </c>
      <c r="L163" s="25" t="s">
        <v>112</v>
      </c>
      <c r="M163" s="25">
        <v>900</v>
      </c>
      <c r="N163" s="25" t="s">
        <v>447</v>
      </c>
      <c r="O163" s="25">
        <v>1570</v>
      </c>
      <c r="P163" s="25" t="s">
        <v>478</v>
      </c>
    </row>
    <row r="164" spans="1:16" x14ac:dyDescent="0.25">
      <c r="A164" s="25">
        <v>588</v>
      </c>
      <c r="B164" s="25" t="s">
        <v>634</v>
      </c>
      <c r="C164" s="25" t="s">
        <v>635</v>
      </c>
      <c r="D164" s="25" t="s">
        <v>636</v>
      </c>
      <c r="E164" s="31">
        <v>42996</v>
      </c>
      <c r="F164" s="31">
        <v>45138</v>
      </c>
      <c r="G164" s="25" t="s">
        <v>637</v>
      </c>
      <c r="H164" s="32">
        <v>34</v>
      </c>
      <c r="I164" s="24">
        <v>70720</v>
      </c>
      <c r="J164" s="24">
        <f>500*4</f>
        <v>2000</v>
      </c>
      <c r="K164" s="25" t="s">
        <v>328</v>
      </c>
      <c r="L164" s="25" t="s">
        <v>329</v>
      </c>
      <c r="M164" s="25">
        <v>900</v>
      </c>
      <c r="N164" s="25" t="s">
        <v>164</v>
      </c>
      <c r="O164" s="25" t="s">
        <v>472</v>
      </c>
      <c r="P164" s="25" t="s">
        <v>473</v>
      </c>
    </row>
    <row r="165" spans="1:16" x14ac:dyDescent="0.25">
      <c r="A165" s="25">
        <v>10094</v>
      </c>
      <c r="B165" s="25" t="s">
        <v>638</v>
      </c>
      <c r="C165" s="25" t="s">
        <v>639</v>
      </c>
      <c r="D165" s="25" t="s">
        <v>496</v>
      </c>
      <c r="E165" s="31">
        <v>45103</v>
      </c>
      <c r="F165" s="31"/>
      <c r="G165" s="25" t="s">
        <v>640</v>
      </c>
      <c r="H165" s="32">
        <v>28</v>
      </c>
      <c r="I165" s="24">
        <v>71344</v>
      </c>
      <c r="J165" s="24">
        <f>500*4</f>
        <v>2000</v>
      </c>
      <c r="K165" s="25" t="s">
        <v>111</v>
      </c>
      <c r="L165" s="25" t="s">
        <v>112</v>
      </c>
      <c r="M165" s="25">
        <v>900</v>
      </c>
      <c r="N165" s="25" t="s">
        <v>447</v>
      </c>
      <c r="O165" s="25">
        <v>1570</v>
      </c>
      <c r="P165" s="25" t="s">
        <v>478</v>
      </c>
    </row>
    <row r="166" spans="1:16" x14ac:dyDescent="0.25">
      <c r="A166" s="25">
        <v>10039</v>
      </c>
      <c r="B166" s="25" t="s">
        <v>641</v>
      </c>
      <c r="C166" s="25" t="s">
        <v>642</v>
      </c>
      <c r="D166" s="25" t="s">
        <v>643</v>
      </c>
      <c r="E166" s="31">
        <v>44544</v>
      </c>
      <c r="F166" s="31"/>
      <c r="G166" s="25" t="s">
        <v>644</v>
      </c>
      <c r="H166" s="32">
        <v>85000</v>
      </c>
      <c r="I166" s="24">
        <v>85000</v>
      </c>
      <c r="J166" s="24"/>
      <c r="K166" s="25" t="s">
        <v>454</v>
      </c>
      <c r="L166" s="25" t="s">
        <v>455</v>
      </c>
      <c r="M166" s="25">
        <v>900</v>
      </c>
      <c r="N166" s="25" t="s">
        <v>456</v>
      </c>
      <c r="O166" s="25">
        <v>2400</v>
      </c>
      <c r="P166" s="25" t="s">
        <v>457</v>
      </c>
    </row>
    <row r="167" spans="1:16" x14ac:dyDescent="0.25">
      <c r="A167" s="25">
        <v>10087</v>
      </c>
      <c r="B167" s="25" t="s">
        <v>645</v>
      </c>
      <c r="C167" s="25" t="s">
        <v>433</v>
      </c>
      <c r="D167" s="25" t="s">
        <v>646</v>
      </c>
      <c r="E167" s="31">
        <v>45040</v>
      </c>
      <c r="F167" s="31"/>
      <c r="G167" s="25" t="s">
        <v>647</v>
      </c>
      <c r="H167" s="32">
        <v>61800</v>
      </c>
      <c r="I167" s="24">
        <v>61800</v>
      </c>
      <c r="J167" s="24"/>
      <c r="K167" s="25" t="s">
        <v>454</v>
      </c>
      <c r="L167" s="25" t="s">
        <v>455</v>
      </c>
      <c r="M167" s="25">
        <v>900</v>
      </c>
      <c r="N167" s="25" t="s">
        <v>456</v>
      </c>
      <c r="O167" s="25">
        <v>2400</v>
      </c>
      <c r="P167" s="25" t="s">
        <v>457</v>
      </c>
    </row>
    <row r="168" spans="1:16" x14ac:dyDescent="0.25">
      <c r="A168" s="25">
        <v>688</v>
      </c>
      <c r="B168" s="25" t="s">
        <v>648</v>
      </c>
      <c r="C168" s="25" t="s">
        <v>649</v>
      </c>
      <c r="D168" s="25" t="s">
        <v>650</v>
      </c>
      <c r="E168" s="31">
        <v>44053</v>
      </c>
      <c r="F168" s="31"/>
      <c r="G168" s="25" t="s">
        <v>651</v>
      </c>
      <c r="H168" s="32">
        <v>32.69</v>
      </c>
      <c r="I168" s="24">
        <v>67995.199999999997</v>
      </c>
      <c r="J168" s="24"/>
      <c r="K168" s="25" t="s">
        <v>454</v>
      </c>
      <c r="L168" s="25" t="s">
        <v>455</v>
      </c>
      <c r="M168" s="25">
        <v>900</v>
      </c>
      <c r="N168" s="25" t="s">
        <v>456</v>
      </c>
      <c r="O168" s="25">
        <v>2400</v>
      </c>
      <c r="P168" s="25" t="s">
        <v>457</v>
      </c>
    </row>
    <row r="169" spans="1:16" x14ac:dyDescent="0.25">
      <c r="A169" s="25">
        <v>10114</v>
      </c>
      <c r="B169" s="25" t="s">
        <v>652</v>
      </c>
      <c r="C169" s="25" t="s">
        <v>653</v>
      </c>
      <c r="D169" s="25" t="s">
        <v>452</v>
      </c>
      <c r="E169" s="31">
        <v>45244</v>
      </c>
      <c r="F169" s="31"/>
      <c r="G169" s="25" t="s">
        <v>654</v>
      </c>
      <c r="H169" s="32">
        <v>26</v>
      </c>
      <c r="I169" s="24">
        <v>54080</v>
      </c>
      <c r="J169" s="24"/>
      <c r="K169" s="25" t="s">
        <v>454</v>
      </c>
      <c r="L169" s="25" t="s">
        <v>455</v>
      </c>
      <c r="M169" s="25">
        <v>900</v>
      </c>
      <c r="N169" s="25" t="s">
        <v>456</v>
      </c>
      <c r="O169" s="25">
        <v>2400</v>
      </c>
      <c r="P169" s="25" t="s">
        <v>457</v>
      </c>
    </row>
    <row r="170" spans="1:16" x14ac:dyDescent="0.25">
      <c r="A170" s="25">
        <v>680</v>
      </c>
      <c r="B170" s="25" t="s">
        <v>655</v>
      </c>
      <c r="C170" s="25" t="s">
        <v>656</v>
      </c>
      <c r="D170" s="25" t="s">
        <v>488</v>
      </c>
      <c r="E170" s="31">
        <v>43906</v>
      </c>
      <c r="F170" s="31"/>
      <c r="G170" s="25" t="s">
        <v>657</v>
      </c>
      <c r="H170" s="32">
        <v>33</v>
      </c>
      <c r="I170" s="24">
        <v>68640</v>
      </c>
      <c r="J170" s="24">
        <f>500*4</f>
        <v>2000</v>
      </c>
      <c r="K170" s="25" t="s">
        <v>328</v>
      </c>
      <c r="L170" s="25" t="s">
        <v>329</v>
      </c>
      <c r="M170" s="25">
        <v>900</v>
      </c>
      <c r="N170" s="25" t="s">
        <v>164</v>
      </c>
      <c r="O170" s="25" t="s">
        <v>472</v>
      </c>
      <c r="P170" s="25" t="s">
        <v>473</v>
      </c>
    </row>
    <row r="171" spans="1:16" x14ac:dyDescent="0.25">
      <c r="A171" s="25">
        <v>10017</v>
      </c>
      <c r="B171" s="25" t="s">
        <v>658</v>
      </c>
      <c r="C171" s="25" t="s">
        <v>659</v>
      </c>
      <c r="D171" s="25" t="s">
        <v>660</v>
      </c>
      <c r="E171" s="31">
        <v>44438</v>
      </c>
      <c r="F171" s="31"/>
      <c r="G171" s="25" t="s">
        <v>661</v>
      </c>
      <c r="H171" s="32">
        <v>33</v>
      </c>
      <c r="I171" s="24">
        <v>68640</v>
      </c>
      <c r="J171" s="24">
        <f>500*4</f>
        <v>2000</v>
      </c>
      <c r="K171" s="25" t="s">
        <v>415</v>
      </c>
      <c r="L171" s="25" t="s">
        <v>416</v>
      </c>
      <c r="M171" s="25">
        <v>900</v>
      </c>
      <c r="N171" s="25" t="s">
        <v>447</v>
      </c>
      <c r="O171" s="25" t="s">
        <v>461</v>
      </c>
      <c r="P171" s="25" t="s">
        <v>462</v>
      </c>
    </row>
    <row r="172" spans="1:16" x14ac:dyDescent="0.25">
      <c r="A172" s="25">
        <v>10107</v>
      </c>
      <c r="B172" s="25" t="s">
        <v>662</v>
      </c>
      <c r="C172" s="25" t="s">
        <v>663</v>
      </c>
      <c r="D172" s="25" t="s">
        <v>452</v>
      </c>
      <c r="E172" s="31">
        <v>45196</v>
      </c>
      <c r="F172" s="31"/>
      <c r="G172" s="25" t="s">
        <v>664</v>
      </c>
      <c r="H172" s="32">
        <v>25</v>
      </c>
      <c r="I172" s="24">
        <v>52000</v>
      </c>
      <c r="J172" s="24"/>
      <c r="K172" s="25" t="s">
        <v>454</v>
      </c>
      <c r="L172" s="25" t="s">
        <v>455</v>
      </c>
      <c r="M172" s="25">
        <v>900</v>
      </c>
      <c r="N172" s="25" t="s">
        <v>456</v>
      </c>
      <c r="O172" s="25">
        <v>2400</v>
      </c>
      <c r="P172" s="25" t="s">
        <v>457</v>
      </c>
    </row>
    <row r="173" spans="1:16" x14ac:dyDescent="0.25">
      <c r="A173" s="25">
        <v>631</v>
      </c>
      <c r="B173" s="25" t="s">
        <v>665</v>
      </c>
      <c r="C173" s="25" t="s">
        <v>666</v>
      </c>
      <c r="D173" s="25" t="s">
        <v>488</v>
      </c>
      <c r="E173" s="31">
        <v>43388</v>
      </c>
      <c r="F173" s="31"/>
      <c r="G173" s="25" t="s">
        <v>667</v>
      </c>
      <c r="H173" s="32">
        <v>38</v>
      </c>
      <c r="I173" s="24">
        <v>79040</v>
      </c>
      <c r="J173" s="24">
        <f t="shared" ref="J173:J181" si="1">500*4</f>
        <v>2000</v>
      </c>
      <c r="K173" s="25" t="s">
        <v>111</v>
      </c>
      <c r="L173" s="25" t="s">
        <v>112</v>
      </c>
      <c r="M173" s="25">
        <v>900</v>
      </c>
      <c r="N173" s="25" t="s">
        <v>447</v>
      </c>
      <c r="O173" s="25">
        <v>1570</v>
      </c>
      <c r="P173" s="25" t="s">
        <v>478</v>
      </c>
    </row>
    <row r="174" spans="1:16" x14ac:dyDescent="0.25">
      <c r="A174" s="25">
        <v>644</v>
      </c>
      <c r="B174" s="25" t="s">
        <v>668</v>
      </c>
      <c r="C174" s="25" t="s">
        <v>669</v>
      </c>
      <c r="D174" s="25" t="s">
        <v>636</v>
      </c>
      <c r="E174" s="31">
        <v>43563</v>
      </c>
      <c r="F174" s="31"/>
      <c r="G174" s="25" t="s">
        <v>670</v>
      </c>
      <c r="H174" s="32">
        <v>35</v>
      </c>
      <c r="I174" s="24">
        <v>72800</v>
      </c>
      <c r="J174" s="24">
        <f t="shared" si="1"/>
        <v>2000</v>
      </c>
      <c r="K174" s="25" t="s">
        <v>328</v>
      </c>
      <c r="L174" s="25" t="s">
        <v>329</v>
      </c>
      <c r="M174" s="25">
        <v>900</v>
      </c>
      <c r="N174" s="25" t="s">
        <v>164</v>
      </c>
      <c r="O174" s="25" t="s">
        <v>472</v>
      </c>
      <c r="P174" s="25" t="s">
        <v>473</v>
      </c>
    </row>
    <row r="175" spans="1:16" x14ac:dyDescent="0.25">
      <c r="A175" s="25">
        <v>10069</v>
      </c>
      <c r="B175" s="25" t="s">
        <v>671</v>
      </c>
      <c r="C175" s="25" t="s">
        <v>672</v>
      </c>
      <c r="D175" s="25" t="s">
        <v>488</v>
      </c>
      <c r="E175" s="31">
        <v>44852</v>
      </c>
      <c r="F175" s="31"/>
      <c r="G175" s="25" t="s">
        <v>673</v>
      </c>
      <c r="H175" s="32">
        <v>35</v>
      </c>
      <c r="I175" s="24">
        <v>72800</v>
      </c>
      <c r="J175" s="24">
        <f t="shared" si="1"/>
        <v>2000</v>
      </c>
      <c r="K175" s="25" t="s">
        <v>111</v>
      </c>
      <c r="L175" s="25" t="s">
        <v>112</v>
      </c>
      <c r="M175" s="25">
        <v>900</v>
      </c>
      <c r="N175" s="25" t="s">
        <v>447</v>
      </c>
      <c r="O175" s="25">
        <v>1570</v>
      </c>
      <c r="P175" s="25" t="s">
        <v>478</v>
      </c>
    </row>
    <row r="176" spans="1:16" x14ac:dyDescent="0.25">
      <c r="A176" s="25">
        <v>11</v>
      </c>
      <c r="B176" s="25" t="s">
        <v>674</v>
      </c>
      <c r="C176" s="25" t="s">
        <v>675</v>
      </c>
      <c r="D176" s="25" t="s">
        <v>575</v>
      </c>
      <c r="E176" s="31">
        <v>39182</v>
      </c>
      <c r="F176" s="31"/>
      <c r="G176" s="25" t="s">
        <v>676</v>
      </c>
      <c r="H176" s="32">
        <v>33</v>
      </c>
      <c r="I176" s="24">
        <v>68640</v>
      </c>
      <c r="J176" s="24">
        <f t="shared" si="1"/>
        <v>2000</v>
      </c>
      <c r="K176" s="25" t="s">
        <v>393</v>
      </c>
      <c r="L176" s="25" t="s">
        <v>394</v>
      </c>
      <c r="M176" s="25">
        <v>900</v>
      </c>
      <c r="N176" s="25" t="s">
        <v>447</v>
      </c>
      <c r="O176" s="25" t="s">
        <v>448</v>
      </c>
      <c r="P176" s="25" t="s">
        <v>449</v>
      </c>
    </row>
    <row r="177" spans="1:16" x14ac:dyDescent="0.25">
      <c r="A177" s="25">
        <v>10038</v>
      </c>
      <c r="B177" s="25" t="s">
        <v>677</v>
      </c>
      <c r="C177" s="25" t="s">
        <v>678</v>
      </c>
      <c r="D177" s="25" t="s">
        <v>488</v>
      </c>
      <c r="E177" s="31">
        <v>44545</v>
      </c>
      <c r="F177" s="31"/>
      <c r="G177" s="25" t="s">
        <v>679</v>
      </c>
      <c r="H177" s="32">
        <v>33</v>
      </c>
      <c r="I177" s="24">
        <v>85800</v>
      </c>
      <c r="J177" s="24">
        <f t="shared" si="1"/>
        <v>2000</v>
      </c>
      <c r="K177" s="25" t="s">
        <v>111</v>
      </c>
      <c r="L177" s="25" t="s">
        <v>112</v>
      </c>
      <c r="M177" s="25">
        <v>900</v>
      </c>
      <c r="N177" s="25" t="s">
        <v>447</v>
      </c>
      <c r="O177" s="25">
        <v>1570</v>
      </c>
      <c r="P177" s="25" t="s">
        <v>478</v>
      </c>
    </row>
    <row r="178" spans="1:16" x14ac:dyDescent="0.25">
      <c r="A178" s="25">
        <v>10110</v>
      </c>
      <c r="B178" s="25" t="s">
        <v>680</v>
      </c>
      <c r="C178" s="25" t="s">
        <v>681</v>
      </c>
      <c r="D178" s="25" t="s">
        <v>459</v>
      </c>
      <c r="E178" s="31">
        <v>45208</v>
      </c>
      <c r="F178" s="31"/>
      <c r="G178" s="25" t="s">
        <v>682</v>
      </c>
      <c r="H178" s="32">
        <v>28</v>
      </c>
      <c r="I178" s="24">
        <v>58240</v>
      </c>
      <c r="J178" s="24">
        <f t="shared" si="1"/>
        <v>2000</v>
      </c>
      <c r="K178" s="25" t="s">
        <v>111</v>
      </c>
      <c r="L178" s="25" t="s">
        <v>112</v>
      </c>
      <c r="M178" s="25">
        <v>900</v>
      </c>
      <c r="N178" s="25" t="s">
        <v>447</v>
      </c>
      <c r="O178" s="25">
        <v>1570</v>
      </c>
      <c r="P178" s="25" t="s">
        <v>478</v>
      </c>
    </row>
    <row r="179" spans="1:16" x14ac:dyDescent="0.25">
      <c r="A179" s="25">
        <v>10113</v>
      </c>
      <c r="B179" s="25" t="s">
        <v>683</v>
      </c>
      <c r="C179" s="25" t="s">
        <v>684</v>
      </c>
      <c r="D179" s="25" t="s">
        <v>685</v>
      </c>
      <c r="E179" s="31">
        <v>45236</v>
      </c>
      <c r="F179" s="31"/>
      <c r="G179" s="25" t="s">
        <v>686</v>
      </c>
      <c r="H179" s="32">
        <v>38</v>
      </c>
      <c r="I179" s="24">
        <v>79040</v>
      </c>
      <c r="J179" s="24">
        <f t="shared" si="1"/>
        <v>2000</v>
      </c>
      <c r="K179" s="25" t="s">
        <v>328</v>
      </c>
      <c r="L179" s="25" t="s">
        <v>329</v>
      </c>
      <c r="M179" s="25">
        <v>900</v>
      </c>
      <c r="N179" s="25" t="s">
        <v>164</v>
      </c>
      <c r="O179" s="25" t="s">
        <v>472</v>
      </c>
      <c r="P179" s="25" t="s">
        <v>473</v>
      </c>
    </row>
    <row r="180" spans="1:16" x14ac:dyDescent="0.25">
      <c r="A180" s="25">
        <v>10042</v>
      </c>
      <c r="B180" s="25" t="s">
        <v>687</v>
      </c>
      <c r="C180" s="25" t="s">
        <v>688</v>
      </c>
      <c r="D180" s="25" t="s">
        <v>459</v>
      </c>
      <c r="E180" s="31">
        <v>44579</v>
      </c>
      <c r="F180" s="31"/>
      <c r="G180" s="25" t="s">
        <v>689</v>
      </c>
      <c r="H180" s="32">
        <v>25.5</v>
      </c>
      <c r="I180" s="24">
        <v>56355</v>
      </c>
      <c r="J180" s="24">
        <f t="shared" si="1"/>
        <v>2000</v>
      </c>
      <c r="K180" s="25" t="s">
        <v>328</v>
      </c>
      <c r="L180" s="25" t="s">
        <v>329</v>
      </c>
      <c r="M180" s="25">
        <v>900</v>
      </c>
      <c r="N180" s="25" t="s">
        <v>164</v>
      </c>
      <c r="O180" s="25" t="s">
        <v>472</v>
      </c>
      <c r="P180" s="25" t="s">
        <v>473</v>
      </c>
    </row>
    <row r="181" spans="1:16" x14ac:dyDescent="0.25">
      <c r="A181" s="25">
        <v>10006</v>
      </c>
      <c r="B181" s="25" t="s">
        <v>690</v>
      </c>
      <c r="C181" s="25" t="s">
        <v>691</v>
      </c>
      <c r="D181" s="25" t="s">
        <v>692</v>
      </c>
      <c r="E181" s="31">
        <v>44389</v>
      </c>
      <c r="F181" s="31"/>
      <c r="G181" s="25" t="s">
        <v>693</v>
      </c>
      <c r="H181" s="32">
        <v>36</v>
      </c>
      <c r="I181" s="24">
        <v>74880</v>
      </c>
      <c r="J181" s="24">
        <f t="shared" si="1"/>
        <v>2000</v>
      </c>
      <c r="K181" s="25" t="s">
        <v>415</v>
      </c>
      <c r="L181" s="25" t="s">
        <v>416</v>
      </c>
      <c r="M181" s="25">
        <v>900</v>
      </c>
      <c r="N181" s="25" t="s">
        <v>447</v>
      </c>
      <c r="O181" s="25" t="s">
        <v>461</v>
      </c>
      <c r="P181" s="25" t="s">
        <v>462</v>
      </c>
    </row>
    <row r="182" spans="1:16" x14ac:dyDescent="0.25">
      <c r="A182" s="25">
        <v>10073</v>
      </c>
      <c r="B182" s="25" t="s">
        <v>694</v>
      </c>
      <c r="C182" s="25" t="s">
        <v>695</v>
      </c>
      <c r="D182" s="25" t="s">
        <v>696</v>
      </c>
      <c r="E182" s="31">
        <v>44896</v>
      </c>
      <c r="F182" s="31"/>
      <c r="G182" s="25" t="s">
        <v>697</v>
      </c>
      <c r="H182" s="32">
        <v>130000</v>
      </c>
      <c r="I182" s="24">
        <v>130000</v>
      </c>
      <c r="J182" s="24">
        <f>6500*4</f>
        <v>26000</v>
      </c>
      <c r="K182" s="25" t="s">
        <v>454</v>
      </c>
      <c r="L182" s="25" t="s">
        <v>455</v>
      </c>
      <c r="M182" s="25">
        <v>900</v>
      </c>
      <c r="N182" s="25" t="s">
        <v>456</v>
      </c>
      <c r="O182" s="25">
        <v>2400</v>
      </c>
      <c r="P182" s="25" t="s">
        <v>457</v>
      </c>
    </row>
    <row r="183" spans="1:16" x14ac:dyDescent="0.25">
      <c r="A183" s="25">
        <v>73</v>
      </c>
      <c r="B183" s="25" t="s">
        <v>698</v>
      </c>
      <c r="C183" s="25" t="s">
        <v>699</v>
      </c>
      <c r="D183" s="25" t="s">
        <v>488</v>
      </c>
      <c r="E183" s="31">
        <v>32846</v>
      </c>
      <c r="F183" s="31"/>
      <c r="G183" s="25" t="s">
        <v>700</v>
      </c>
      <c r="H183" s="32">
        <v>37</v>
      </c>
      <c r="I183" s="24">
        <v>76960</v>
      </c>
      <c r="J183" s="24">
        <f>500*4</f>
        <v>2000</v>
      </c>
      <c r="K183" s="25" t="s">
        <v>111</v>
      </c>
      <c r="L183" s="25" t="s">
        <v>112</v>
      </c>
      <c r="M183" s="25">
        <v>900</v>
      </c>
      <c r="N183" s="25" t="s">
        <v>447</v>
      </c>
      <c r="O183" s="25">
        <v>1570</v>
      </c>
      <c r="P183" s="25" t="s">
        <v>478</v>
      </c>
    </row>
    <row r="184" spans="1:16" x14ac:dyDescent="0.25">
      <c r="A184" s="25">
        <v>606</v>
      </c>
      <c r="B184" s="25" t="s">
        <v>701</v>
      </c>
      <c r="C184" s="25" t="s">
        <v>702</v>
      </c>
      <c r="D184" s="25" t="s">
        <v>476</v>
      </c>
      <c r="E184" s="31">
        <v>43166</v>
      </c>
      <c r="F184" s="31">
        <v>45100</v>
      </c>
      <c r="G184" s="25" t="s">
        <v>703</v>
      </c>
      <c r="H184" s="32">
        <v>25</v>
      </c>
      <c r="I184" s="24">
        <v>52000</v>
      </c>
      <c r="J184" s="24"/>
      <c r="K184" s="25" t="s">
        <v>111</v>
      </c>
      <c r="L184" s="25" t="s">
        <v>112</v>
      </c>
      <c r="M184" s="25">
        <v>900</v>
      </c>
      <c r="N184" s="25" t="s">
        <v>447</v>
      </c>
      <c r="O184" s="25">
        <v>1570</v>
      </c>
      <c r="P184" s="25" t="s">
        <v>478</v>
      </c>
    </row>
    <row r="185" spans="1:16" x14ac:dyDescent="0.25">
      <c r="A185" s="25">
        <v>497</v>
      </c>
      <c r="B185" s="25" t="s">
        <v>704</v>
      </c>
      <c r="C185" s="25" t="s">
        <v>705</v>
      </c>
      <c r="D185" s="25" t="s">
        <v>575</v>
      </c>
      <c r="E185" s="31">
        <v>42549</v>
      </c>
      <c r="F185" s="31"/>
      <c r="G185" s="25" t="s">
        <v>706</v>
      </c>
      <c r="H185" s="32">
        <v>33</v>
      </c>
      <c r="I185" s="24">
        <v>68640</v>
      </c>
      <c r="J185" s="24">
        <f>500*4</f>
        <v>2000</v>
      </c>
      <c r="K185" s="25" t="s">
        <v>393</v>
      </c>
      <c r="L185" s="25" t="s">
        <v>394</v>
      </c>
      <c r="M185" s="25">
        <v>900</v>
      </c>
      <c r="N185" s="25" t="s">
        <v>447</v>
      </c>
      <c r="O185" s="25" t="s">
        <v>448</v>
      </c>
      <c r="P185" s="25" t="s">
        <v>449</v>
      </c>
    </row>
    <row r="186" spans="1:16" x14ac:dyDescent="0.25">
      <c r="A186" s="25">
        <v>716</v>
      </c>
      <c r="B186" s="25" t="s">
        <v>707</v>
      </c>
      <c r="C186" s="25" t="s">
        <v>708</v>
      </c>
      <c r="D186" s="25" t="s">
        <v>480</v>
      </c>
      <c r="E186" s="31">
        <v>44319</v>
      </c>
      <c r="F186" s="31"/>
      <c r="G186" s="25" t="s">
        <v>709</v>
      </c>
      <c r="H186" s="32">
        <v>26</v>
      </c>
      <c r="I186" s="24">
        <v>54080</v>
      </c>
      <c r="J186" s="24"/>
      <c r="K186" s="25" t="s">
        <v>454</v>
      </c>
      <c r="L186" s="25" t="s">
        <v>455</v>
      </c>
      <c r="M186" s="25">
        <v>900</v>
      </c>
      <c r="N186" s="25" t="s">
        <v>456</v>
      </c>
      <c r="O186" s="25">
        <v>2400</v>
      </c>
      <c r="P186" s="25" t="s">
        <v>457</v>
      </c>
    </row>
    <row r="187" spans="1:16" x14ac:dyDescent="0.25">
      <c r="A187" s="25">
        <v>684</v>
      </c>
      <c r="B187" s="25" t="s">
        <v>710</v>
      </c>
      <c r="C187" s="25" t="s">
        <v>711</v>
      </c>
      <c r="D187" s="25" t="s">
        <v>476</v>
      </c>
      <c r="E187" s="31">
        <v>43906</v>
      </c>
      <c r="F187" s="31"/>
      <c r="G187" s="25" t="s">
        <v>712</v>
      </c>
      <c r="H187" s="32">
        <v>30</v>
      </c>
      <c r="I187" s="24">
        <v>62400</v>
      </c>
      <c r="J187" s="24">
        <f>500*4</f>
        <v>2000</v>
      </c>
      <c r="K187" s="25" t="s">
        <v>328</v>
      </c>
      <c r="L187" s="25" t="s">
        <v>329</v>
      </c>
      <c r="M187" s="25">
        <v>900</v>
      </c>
      <c r="N187" s="25" t="s">
        <v>164</v>
      </c>
      <c r="O187" s="25" t="s">
        <v>472</v>
      </c>
      <c r="P187" s="25" t="s">
        <v>473</v>
      </c>
    </row>
    <row r="188" spans="1:16" x14ac:dyDescent="0.25">
      <c r="A188" s="25">
        <v>10109</v>
      </c>
      <c r="B188" s="25" t="s">
        <v>713</v>
      </c>
      <c r="C188" s="25" t="s">
        <v>714</v>
      </c>
      <c r="D188" s="25" t="s">
        <v>715</v>
      </c>
      <c r="E188" s="31">
        <v>45208</v>
      </c>
      <c r="F188" s="31"/>
      <c r="G188" s="25" t="s">
        <v>716</v>
      </c>
      <c r="H188" s="32">
        <v>35</v>
      </c>
      <c r="I188" s="24">
        <v>72800</v>
      </c>
      <c r="J188" s="24">
        <f>500*4</f>
        <v>2000</v>
      </c>
      <c r="K188" s="25" t="s">
        <v>328</v>
      </c>
      <c r="L188" s="25" t="s">
        <v>329</v>
      </c>
      <c r="M188" s="25">
        <v>900</v>
      </c>
      <c r="N188" s="25" t="s">
        <v>164</v>
      </c>
      <c r="O188" s="25" t="s">
        <v>472</v>
      </c>
      <c r="P188" s="25" t="s">
        <v>473</v>
      </c>
    </row>
    <row r="189" spans="1:16" x14ac:dyDescent="0.25">
      <c r="A189" s="25">
        <v>579</v>
      </c>
      <c r="B189" s="25" t="s">
        <v>717</v>
      </c>
      <c r="C189" s="25" t="s">
        <v>718</v>
      </c>
      <c r="D189" s="25" t="s">
        <v>488</v>
      </c>
      <c r="E189" s="31">
        <v>42940</v>
      </c>
      <c r="F189" s="31"/>
      <c r="G189" s="25" t="s">
        <v>719</v>
      </c>
      <c r="H189" s="32">
        <v>37</v>
      </c>
      <c r="I189" s="24">
        <v>76960</v>
      </c>
      <c r="J189" s="24">
        <f>500*4</f>
        <v>2000</v>
      </c>
      <c r="K189" s="25" t="s">
        <v>111</v>
      </c>
      <c r="L189" s="25" t="s">
        <v>112</v>
      </c>
      <c r="M189" s="25">
        <v>900</v>
      </c>
      <c r="N189" s="25" t="s">
        <v>447</v>
      </c>
      <c r="O189" s="25">
        <v>1570</v>
      </c>
      <c r="P189" s="25" t="s">
        <v>478</v>
      </c>
    </row>
    <row r="190" spans="1:16" x14ac:dyDescent="0.25">
      <c r="A190" s="25">
        <v>715</v>
      </c>
      <c r="B190" s="25" t="s">
        <v>261</v>
      </c>
      <c r="C190" s="25" t="s">
        <v>720</v>
      </c>
      <c r="D190" s="25" t="s">
        <v>721</v>
      </c>
      <c r="E190" s="31">
        <v>44313</v>
      </c>
      <c r="F190" s="31"/>
      <c r="G190" s="25" t="s">
        <v>722</v>
      </c>
      <c r="H190" s="32">
        <v>30</v>
      </c>
      <c r="I190" s="24">
        <v>62400</v>
      </c>
      <c r="J190" s="24"/>
      <c r="K190" s="25" t="s">
        <v>415</v>
      </c>
      <c r="L190" s="25" t="s">
        <v>416</v>
      </c>
      <c r="M190" s="25">
        <v>900</v>
      </c>
      <c r="N190" s="25" t="s">
        <v>447</v>
      </c>
      <c r="O190" s="25" t="s">
        <v>461</v>
      </c>
      <c r="P190" s="25" t="s">
        <v>462</v>
      </c>
    </row>
    <row r="191" spans="1:16" x14ac:dyDescent="0.25">
      <c r="A191" s="25">
        <v>10083</v>
      </c>
      <c r="B191" s="25" t="s">
        <v>723</v>
      </c>
      <c r="C191" s="25" t="s">
        <v>724</v>
      </c>
      <c r="D191" s="25" t="s">
        <v>459</v>
      </c>
      <c r="E191" s="31">
        <v>44994</v>
      </c>
      <c r="F191" s="31"/>
      <c r="G191" s="25" t="s">
        <v>725</v>
      </c>
      <c r="H191" s="32">
        <v>25.5</v>
      </c>
      <c r="I191" s="24">
        <v>53040</v>
      </c>
      <c r="J191" s="24">
        <f>500*4</f>
        <v>2000</v>
      </c>
      <c r="K191" s="25" t="s">
        <v>111</v>
      </c>
      <c r="L191" s="25" t="s">
        <v>112</v>
      </c>
      <c r="M191" s="25">
        <v>900</v>
      </c>
      <c r="N191" s="25" t="s">
        <v>447</v>
      </c>
      <c r="O191" s="25">
        <v>1570</v>
      </c>
      <c r="P191" s="25" t="s">
        <v>478</v>
      </c>
    </row>
    <row r="192" spans="1:16" x14ac:dyDescent="0.25">
      <c r="A192" s="25">
        <v>10055</v>
      </c>
      <c r="B192" s="25" t="s">
        <v>726</v>
      </c>
      <c r="C192" s="25" t="s">
        <v>724</v>
      </c>
      <c r="D192" s="25" t="s">
        <v>476</v>
      </c>
      <c r="E192" s="31">
        <v>44670</v>
      </c>
      <c r="F192" s="31"/>
      <c r="G192" s="25" t="s">
        <v>727</v>
      </c>
      <c r="H192" s="32">
        <v>28</v>
      </c>
      <c r="I192" s="24">
        <v>58240</v>
      </c>
      <c r="J192" s="24">
        <f>500*4</f>
        <v>2000</v>
      </c>
      <c r="K192" s="25" t="s">
        <v>415</v>
      </c>
      <c r="L192" s="25" t="s">
        <v>416</v>
      </c>
      <c r="M192" s="25">
        <v>900</v>
      </c>
      <c r="N192" s="25" t="s">
        <v>447</v>
      </c>
      <c r="O192" s="25" t="s">
        <v>461</v>
      </c>
      <c r="P192" s="25" t="s">
        <v>462</v>
      </c>
    </row>
    <row r="193" spans="1:16" x14ac:dyDescent="0.25">
      <c r="A193" s="25">
        <v>706</v>
      </c>
      <c r="B193" s="25" t="s">
        <v>728</v>
      </c>
      <c r="C193" s="25" t="s">
        <v>315</v>
      </c>
      <c r="D193" s="25" t="s">
        <v>465</v>
      </c>
      <c r="E193" s="31">
        <v>44256</v>
      </c>
      <c r="F193" s="31"/>
      <c r="G193" s="25" t="s">
        <v>729</v>
      </c>
      <c r="H193" s="32">
        <v>32</v>
      </c>
      <c r="I193" s="24">
        <v>66560</v>
      </c>
      <c r="J193" s="24">
        <f>500*4</f>
        <v>2000</v>
      </c>
      <c r="K193" s="25" t="s">
        <v>111</v>
      </c>
      <c r="L193" s="25" t="s">
        <v>112</v>
      </c>
      <c r="M193" s="25">
        <v>900</v>
      </c>
      <c r="N193" s="25" t="s">
        <v>447</v>
      </c>
      <c r="O193" s="25">
        <v>1571</v>
      </c>
      <c r="P193" s="25" t="s">
        <v>467</v>
      </c>
    </row>
    <row r="194" spans="1:16" x14ac:dyDescent="0.25">
      <c r="A194" s="25">
        <v>10101</v>
      </c>
      <c r="B194" s="25" t="s">
        <v>730</v>
      </c>
      <c r="C194" s="25" t="s">
        <v>731</v>
      </c>
      <c r="D194" s="25" t="s">
        <v>496</v>
      </c>
      <c r="E194" s="31">
        <v>45168</v>
      </c>
      <c r="F194" s="31"/>
      <c r="G194" s="25" t="s">
        <v>732</v>
      </c>
      <c r="H194" s="32">
        <v>33</v>
      </c>
      <c r="I194" s="24">
        <v>68640</v>
      </c>
      <c r="J194" s="24">
        <f>500*4</f>
        <v>2000</v>
      </c>
      <c r="K194" s="25" t="s">
        <v>415</v>
      </c>
      <c r="L194" s="25" t="s">
        <v>416</v>
      </c>
      <c r="M194" s="25">
        <v>900</v>
      </c>
      <c r="N194" s="25" t="s">
        <v>447</v>
      </c>
      <c r="O194" s="25" t="s">
        <v>461</v>
      </c>
      <c r="P194" s="25" t="s">
        <v>462</v>
      </c>
    </row>
    <row r="195" spans="1:16" x14ac:dyDescent="0.25">
      <c r="A195" s="25">
        <v>654</v>
      </c>
      <c r="B195" s="25" t="s">
        <v>733</v>
      </c>
      <c r="C195" s="25" t="s">
        <v>734</v>
      </c>
      <c r="D195" s="25" t="s">
        <v>636</v>
      </c>
      <c r="E195" s="31">
        <v>43661</v>
      </c>
      <c r="F195" s="31"/>
      <c r="G195" s="25" t="s">
        <v>735</v>
      </c>
      <c r="H195" s="32">
        <v>35</v>
      </c>
      <c r="I195" s="24">
        <v>72800</v>
      </c>
      <c r="J195" s="24">
        <f>500*4</f>
        <v>2000</v>
      </c>
      <c r="K195" s="25" t="s">
        <v>328</v>
      </c>
      <c r="L195" s="25" t="s">
        <v>329</v>
      </c>
      <c r="M195" s="25">
        <v>900</v>
      </c>
      <c r="N195" s="25" t="s">
        <v>164</v>
      </c>
      <c r="O195" s="25" t="s">
        <v>472</v>
      </c>
      <c r="P195" s="25" t="s">
        <v>473</v>
      </c>
    </row>
    <row r="196" spans="1:16" x14ac:dyDescent="0.25">
      <c r="A196" s="25">
        <v>402</v>
      </c>
      <c r="B196" s="25" t="s">
        <v>736</v>
      </c>
      <c r="C196" s="25" t="s">
        <v>737</v>
      </c>
      <c r="D196" s="25" t="s">
        <v>452</v>
      </c>
      <c r="E196" s="31">
        <v>41477</v>
      </c>
      <c r="F196" s="31">
        <v>45163</v>
      </c>
      <c r="G196" s="25" t="s">
        <v>738</v>
      </c>
      <c r="H196" s="32">
        <v>26</v>
      </c>
      <c r="I196" s="24">
        <v>54080</v>
      </c>
      <c r="J196" s="24"/>
      <c r="K196" s="25" t="s">
        <v>454</v>
      </c>
      <c r="L196" s="25" t="s">
        <v>455</v>
      </c>
      <c r="M196" s="25">
        <v>900</v>
      </c>
      <c r="N196" s="25" t="s">
        <v>456</v>
      </c>
      <c r="O196" s="25">
        <v>2400</v>
      </c>
      <c r="P196" s="25" t="s">
        <v>457</v>
      </c>
    </row>
    <row r="197" spans="1:16" x14ac:dyDescent="0.25">
      <c r="A197" s="25">
        <v>196</v>
      </c>
      <c r="B197" s="25" t="s">
        <v>739</v>
      </c>
      <c r="C197" s="25" t="s">
        <v>740</v>
      </c>
      <c r="D197" s="25" t="s">
        <v>741</v>
      </c>
      <c r="E197" s="31">
        <v>38432</v>
      </c>
      <c r="F197" s="31"/>
      <c r="G197" s="25" t="s">
        <v>742</v>
      </c>
      <c r="H197" s="32">
        <v>78400</v>
      </c>
      <c r="I197" s="24">
        <v>78400</v>
      </c>
      <c r="J197" s="24">
        <f>4900*4</f>
        <v>19600</v>
      </c>
      <c r="K197" s="25" t="s">
        <v>111</v>
      </c>
      <c r="L197" s="25" t="s">
        <v>112</v>
      </c>
      <c r="M197" s="25">
        <v>935</v>
      </c>
      <c r="N197" s="25" t="s">
        <v>743</v>
      </c>
      <c r="O197" s="25">
        <v>7170</v>
      </c>
      <c r="P197" s="25" t="s">
        <v>744</v>
      </c>
    </row>
    <row r="198" spans="1:16" x14ac:dyDescent="0.25">
      <c r="A198" s="25">
        <v>10044</v>
      </c>
      <c r="B198" s="25" t="s">
        <v>745</v>
      </c>
      <c r="C198" s="25" t="s">
        <v>746</v>
      </c>
      <c r="D198" s="25" t="s">
        <v>747</v>
      </c>
      <c r="E198" s="31">
        <v>44578</v>
      </c>
      <c r="F198" s="31"/>
      <c r="G198" s="25" t="s">
        <v>748</v>
      </c>
      <c r="H198" s="32">
        <v>23.40206186</v>
      </c>
      <c r="I198" s="24">
        <v>0</v>
      </c>
      <c r="J198" s="24"/>
      <c r="K198" s="25" t="s">
        <v>111</v>
      </c>
      <c r="L198" s="25" t="s">
        <v>112</v>
      </c>
      <c r="M198" s="25">
        <v>935</v>
      </c>
      <c r="N198" s="25" t="s">
        <v>743</v>
      </c>
      <c r="O198" s="25">
        <v>7190</v>
      </c>
      <c r="P198" s="25" t="s">
        <v>749</v>
      </c>
    </row>
    <row r="199" spans="1:16" x14ac:dyDescent="0.25">
      <c r="A199" s="25">
        <v>649</v>
      </c>
      <c r="B199" s="25" t="s">
        <v>750</v>
      </c>
      <c r="C199" s="25" t="s">
        <v>751</v>
      </c>
      <c r="D199" s="25" t="s">
        <v>752</v>
      </c>
      <c r="E199" s="31">
        <v>43605</v>
      </c>
      <c r="F199" s="31"/>
      <c r="G199" s="25" t="s">
        <v>753</v>
      </c>
      <c r="H199" s="32">
        <v>30</v>
      </c>
      <c r="I199" s="24">
        <v>70200</v>
      </c>
      <c r="J199" s="24"/>
      <c r="K199" s="25" t="s">
        <v>111</v>
      </c>
      <c r="L199" s="25" t="s">
        <v>112</v>
      </c>
      <c r="M199" s="25">
        <v>935</v>
      </c>
      <c r="N199" s="25" t="s">
        <v>743</v>
      </c>
      <c r="O199" s="25">
        <v>7190</v>
      </c>
      <c r="P199" s="25" t="s">
        <v>749</v>
      </c>
    </row>
    <row r="200" spans="1:16" x14ac:dyDescent="0.25">
      <c r="A200" s="25">
        <v>10053</v>
      </c>
      <c r="B200" s="25" t="s">
        <v>754</v>
      </c>
      <c r="C200" s="25" t="s">
        <v>755</v>
      </c>
      <c r="D200" s="25" t="s">
        <v>756</v>
      </c>
      <c r="E200" s="31">
        <v>44641</v>
      </c>
      <c r="F200" s="31"/>
      <c r="G200" s="25" t="s">
        <v>757</v>
      </c>
      <c r="H200" s="32">
        <v>30</v>
      </c>
      <c r="I200" s="24">
        <v>70200</v>
      </c>
      <c r="J200" s="24"/>
      <c r="K200" s="25" t="s">
        <v>111</v>
      </c>
      <c r="L200" s="25" t="s">
        <v>112</v>
      </c>
      <c r="M200" s="25">
        <v>935</v>
      </c>
      <c r="N200" s="25" t="s">
        <v>743</v>
      </c>
      <c r="O200" s="25">
        <v>7190</v>
      </c>
      <c r="P200" s="25" t="s">
        <v>749</v>
      </c>
    </row>
    <row r="201" spans="1:16" x14ac:dyDescent="0.25">
      <c r="A201" s="25">
        <v>10028</v>
      </c>
      <c r="B201" s="25" t="s">
        <v>758</v>
      </c>
      <c r="C201" s="25" t="s">
        <v>759</v>
      </c>
      <c r="D201" s="25" t="s">
        <v>760</v>
      </c>
      <c r="E201" s="31">
        <v>44480</v>
      </c>
      <c r="F201" s="31"/>
      <c r="G201" s="25" t="s">
        <v>761</v>
      </c>
      <c r="H201" s="32">
        <v>27</v>
      </c>
      <c r="I201" s="24">
        <v>63180</v>
      </c>
      <c r="J201" s="24"/>
      <c r="K201" s="25" t="s">
        <v>111</v>
      </c>
      <c r="L201" s="25" t="s">
        <v>112</v>
      </c>
      <c r="M201" s="25">
        <v>935</v>
      </c>
      <c r="N201" s="25" t="s">
        <v>743</v>
      </c>
      <c r="O201" s="25">
        <v>7190</v>
      </c>
      <c r="P201" s="25" t="s">
        <v>749</v>
      </c>
    </row>
    <row r="202" spans="1:16" x14ac:dyDescent="0.25">
      <c r="A202" s="25">
        <v>657</v>
      </c>
      <c r="B202" s="25" t="s">
        <v>762</v>
      </c>
      <c r="C202" s="25" t="s">
        <v>763</v>
      </c>
      <c r="D202" s="25" t="s">
        <v>764</v>
      </c>
      <c r="E202" s="31">
        <v>43661</v>
      </c>
      <c r="F202" s="31"/>
      <c r="G202" s="25" t="s">
        <v>765</v>
      </c>
      <c r="H202" s="32">
        <v>30</v>
      </c>
      <c r="I202" s="24">
        <v>66300</v>
      </c>
      <c r="J202" s="24">
        <f>500*4</f>
        <v>2000</v>
      </c>
      <c r="K202" s="25" t="s">
        <v>393</v>
      </c>
      <c r="L202" s="25" t="s">
        <v>394</v>
      </c>
      <c r="M202" s="25">
        <v>936</v>
      </c>
      <c r="N202" s="25" t="s">
        <v>743</v>
      </c>
      <c r="O202" s="25">
        <v>7190</v>
      </c>
      <c r="P202" s="25" t="s">
        <v>766</v>
      </c>
    </row>
    <row r="203" spans="1:16" x14ac:dyDescent="0.25">
      <c r="A203" s="25">
        <v>10078</v>
      </c>
      <c r="B203" s="25" t="s">
        <v>767</v>
      </c>
      <c r="C203" s="25" t="s">
        <v>768</v>
      </c>
      <c r="D203" s="25" t="s">
        <v>747</v>
      </c>
      <c r="E203" s="31">
        <v>44951</v>
      </c>
      <c r="F203" s="31"/>
      <c r="G203" s="25" t="s">
        <v>769</v>
      </c>
      <c r="H203" s="32">
        <v>27</v>
      </c>
      <c r="I203" s="24">
        <v>59670</v>
      </c>
      <c r="J203" s="24"/>
      <c r="K203" s="25" t="s">
        <v>328</v>
      </c>
      <c r="L203" s="25" t="s">
        <v>329</v>
      </c>
      <c r="M203" s="25">
        <v>936</v>
      </c>
      <c r="N203" s="25" t="s">
        <v>743</v>
      </c>
      <c r="O203" s="25">
        <v>7170</v>
      </c>
      <c r="P203" s="25" t="s">
        <v>766</v>
      </c>
    </row>
    <row r="1048576" spans="10:10" x14ac:dyDescent="0.25">
      <c r="J1048576" s="24"/>
    </row>
  </sheetData>
  <autoFilter ref="A9:P203" xr:uid="{D386DE34-1A48-429C-94E9-69179BE7AD47}">
    <sortState xmlns:xlrd2="http://schemas.microsoft.com/office/spreadsheetml/2017/richdata2" ref="A10:P203">
      <sortCondition ref="M9:M203"/>
    </sortState>
  </autoFilter>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79A93-DDEF-4F68-AB66-56C72B060BBC}">
  <sheetPr codeName="Sheet2"/>
  <dimension ref="A2:O221"/>
  <sheetViews>
    <sheetView workbookViewId="0"/>
  </sheetViews>
  <sheetFormatPr defaultColWidth="9.140625" defaultRowHeight="15" x14ac:dyDescent="0.25"/>
  <cols>
    <col min="1" max="1" width="13.140625" style="22" customWidth="1"/>
    <col min="2" max="2" width="17.140625" style="22" customWidth="1"/>
    <col min="3" max="3" width="20.5703125" style="22" customWidth="1"/>
    <col min="4" max="4" width="41" style="22" customWidth="1"/>
    <col min="5" max="5" width="11.85546875" style="22" customWidth="1"/>
    <col min="6" max="6" width="14.140625" style="22" customWidth="1"/>
    <col min="7" max="7" width="25.5703125" style="22" customWidth="1"/>
    <col min="8" max="8" width="12.28515625" style="22" customWidth="1"/>
    <col min="9" max="9" width="11.7109375" style="22" customWidth="1"/>
    <col min="10" max="10" width="22.7109375" style="22" customWidth="1"/>
    <col min="11" max="11" width="19" style="22" customWidth="1"/>
    <col min="12" max="12" width="25.140625" style="22" customWidth="1"/>
    <col min="13" max="13" width="21.42578125" style="22" customWidth="1"/>
    <col min="14" max="14" width="25.5703125" style="22" customWidth="1"/>
    <col min="15" max="15" width="21.85546875" style="22" customWidth="1"/>
    <col min="16" max="16" width="9.140625" style="22" customWidth="1"/>
    <col min="17" max="16384" width="9.140625" style="22"/>
  </cols>
  <sheetData>
    <row r="2" spans="1:15" x14ac:dyDescent="0.25">
      <c r="A2" s="27" t="s">
        <v>0</v>
      </c>
    </row>
    <row r="3" spans="1:15" x14ac:dyDescent="0.25">
      <c r="A3" s="30" t="s">
        <v>770</v>
      </c>
      <c r="B3" s="29"/>
      <c r="C3" s="29"/>
      <c r="D3" s="29"/>
      <c r="E3" s="29"/>
      <c r="F3" s="29"/>
      <c r="G3" s="29"/>
      <c r="H3" s="29"/>
      <c r="I3" s="29"/>
      <c r="J3" s="29"/>
      <c r="K3" s="29"/>
      <c r="L3" s="29"/>
      <c r="M3" s="29"/>
      <c r="N3" s="29"/>
      <c r="O3" s="29"/>
    </row>
    <row r="5" spans="1:15" ht="24" thickBot="1" x14ac:dyDescent="0.4">
      <c r="A5" s="28" t="s">
        <v>2</v>
      </c>
      <c r="B5" s="23"/>
      <c r="C5" s="23"/>
      <c r="D5" s="23"/>
      <c r="E5" s="23"/>
      <c r="F5" s="23"/>
      <c r="G5" s="23"/>
      <c r="H5" s="23"/>
      <c r="I5" s="23"/>
      <c r="J5" s="23"/>
      <c r="K5" s="23"/>
      <c r="L5" s="23"/>
      <c r="M5" s="23"/>
      <c r="N5" s="23"/>
      <c r="O5" s="23"/>
    </row>
    <row r="8" spans="1:15" x14ac:dyDescent="0.25">
      <c r="A8" s="27" t="s">
        <v>2</v>
      </c>
    </row>
    <row r="9" spans="1:15" x14ac:dyDescent="0.25">
      <c r="A9" s="26" t="s">
        <v>3</v>
      </c>
      <c r="B9" s="26" t="s">
        <v>4</v>
      </c>
      <c r="C9" s="26" t="s">
        <v>5</v>
      </c>
      <c r="D9" s="26" t="s">
        <v>6</v>
      </c>
      <c r="E9" s="26" t="s">
        <v>7</v>
      </c>
      <c r="F9" s="26" t="s">
        <v>8</v>
      </c>
      <c r="G9" s="26" t="s">
        <v>9</v>
      </c>
      <c r="H9" s="26" t="s">
        <v>10</v>
      </c>
      <c r="I9" s="26" t="s">
        <v>11</v>
      </c>
      <c r="J9" s="26" t="s">
        <v>13</v>
      </c>
      <c r="K9" s="26" t="s">
        <v>14</v>
      </c>
      <c r="L9" s="26" t="s">
        <v>15</v>
      </c>
      <c r="M9" s="26" t="s">
        <v>16</v>
      </c>
      <c r="N9" s="26" t="s">
        <v>17</v>
      </c>
      <c r="O9" s="26" t="s">
        <v>18</v>
      </c>
    </row>
    <row r="10" spans="1:15" x14ac:dyDescent="0.25">
      <c r="A10" s="25">
        <v>709</v>
      </c>
      <c r="B10" s="25" t="s">
        <v>443</v>
      </c>
      <c r="C10" s="25" t="s">
        <v>444</v>
      </c>
      <c r="D10" s="25" t="s">
        <v>445</v>
      </c>
      <c r="E10" s="31">
        <v>44256</v>
      </c>
      <c r="F10" s="31">
        <v>45040</v>
      </c>
      <c r="G10" s="25" t="s">
        <v>446</v>
      </c>
      <c r="H10" s="32">
        <v>28</v>
      </c>
      <c r="I10" s="24">
        <v>58240</v>
      </c>
      <c r="J10" s="25" t="s">
        <v>393</v>
      </c>
      <c r="K10" s="25" t="s">
        <v>394</v>
      </c>
      <c r="L10" s="25">
        <v>900</v>
      </c>
      <c r="M10" s="25" t="s">
        <v>447</v>
      </c>
      <c r="N10" s="25" t="s">
        <v>448</v>
      </c>
      <c r="O10" s="25" t="s">
        <v>449</v>
      </c>
    </row>
    <row r="11" spans="1:15" x14ac:dyDescent="0.25">
      <c r="A11" s="25">
        <v>707</v>
      </c>
      <c r="B11" s="25" t="s">
        <v>771</v>
      </c>
      <c r="C11" s="25" t="s">
        <v>772</v>
      </c>
      <c r="D11" s="25" t="s">
        <v>78</v>
      </c>
      <c r="E11" s="31">
        <v>44242</v>
      </c>
      <c r="F11" s="31">
        <v>44785</v>
      </c>
      <c r="G11" s="25" t="s">
        <v>773</v>
      </c>
      <c r="H11" s="32">
        <v>50000</v>
      </c>
      <c r="I11" s="24">
        <v>50000</v>
      </c>
      <c r="J11" s="25" t="s">
        <v>283</v>
      </c>
      <c r="K11" s="25" t="s">
        <v>284</v>
      </c>
      <c r="L11" s="25">
        <v>220</v>
      </c>
      <c r="M11" s="25" t="s">
        <v>80</v>
      </c>
      <c r="N11" s="25">
        <v>7000</v>
      </c>
      <c r="O11" s="25" t="s">
        <v>310</v>
      </c>
    </row>
    <row r="12" spans="1:15" x14ac:dyDescent="0.25">
      <c r="A12" s="25">
        <v>657</v>
      </c>
      <c r="B12" s="25" t="s">
        <v>762</v>
      </c>
      <c r="C12" s="25" t="s">
        <v>763</v>
      </c>
      <c r="D12" s="25" t="s">
        <v>764</v>
      </c>
      <c r="E12" s="31">
        <v>43661</v>
      </c>
      <c r="F12" s="31"/>
      <c r="G12" s="25" t="s">
        <v>765</v>
      </c>
      <c r="H12" s="32">
        <v>30</v>
      </c>
      <c r="I12" s="24">
        <v>66300</v>
      </c>
      <c r="J12" s="25" t="s">
        <v>393</v>
      </c>
      <c r="K12" s="25" t="s">
        <v>394</v>
      </c>
      <c r="L12" s="25">
        <v>936</v>
      </c>
      <c r="M12" s="25" t="s">
        <v>743</v>
      </c>
      <c r="N12" s="25">
        <v>7190</v>
      </c>
      <c r="O12" s="25" t="s">
        <v>766</v>
      </c>
    </row>
    <row r="13" spans="1:15" x14ac:dyDescent="0.25">
      <c r="A13" s="25">
        <v>10077</v>
      </c>
      <c r="B13" s="25" t="s">
        <v>450</v>
      </c>
      <c r="C13" s="25" t="s">
        <v>451</v>
      </c>
      <c r="D13" s="25" t="s">
        <v>452</v>
      </c>
      <c r="E13" s="31">
        <v>44949</v>
      </c>
      <c r="F13" s="31"/>
      <c r="G13" s="25" t="s">
        <v>453</v>
      </c>
      <c r="H13" s="32">
        <v>25</v>
      </c>
      <c r="I13" s="24">
        <v>52000</v>
      </c>
      <c r="J13" s="25" t="s">
        <v>454</v>
      </c>
      <c r="K13" s="25" t="s">
        <v>455</v>
      </c>
      <c r="L13" s="25">
        <v>900</v>
      </c>
      <c r="M13" s="25" t="s">
        <v>456</v>
      </c>
      <c r="N13" s="25">
        <v>2400</v>
      </c>
      <c r="O13" s="25" t="s">
        <v>457</v>
      </c>
    </row>
    <row r="14" spans="1:15" x14ac:dyDescent="0.25">
      <c r="A14" s="25">
        <v>10022</v>
      </c>
      <c r="B14" s="25" t="s">
        <v>774</v>
      </c>
      <c r="C14" s="25" t="s">
        <v>775</v>
      </c>
      <c r="D14" s="25" t="s">
        <v>776</v>
      </c>
      <c r="E14" s="31">
        <v>44452</v>
      </c>
      <c r="F14" s="31">
        <v>44897</v>
      </c>
      <c r="G14" s="25" t="s">
        <v>777</v>
      </c>
      <c r="H14" s="32">
        <v>85000</v>
      </c>
      <c r="I14" s="24">
        <v>85000</v>
      </c>
      <c r="J14" s="25" t="s">
        <v>454</v>
      </c>
      <c r="K14" s="25" t="s">
        <v>455</v>
      </c>
      <c r="L14" s="25">
        <v>900</v>
      </c>
      <c r="M14" s="25" t="s">
        <v>456</v>
      </c>
      <c r="N14" s="25">
        <v>2400</v>
      </c>
      <c r="O14" s="25" t="s">
        <v>457</v>
      </c>
    </row>
    <row r="15" spans="1:15" x14ac:dyDescent="0.25">
      <c r="A15" s="25">
        <v>10000</v>
      </c>
      <c r="B15" s="25" t="s">
        <v>107</v>
      </c>
      <c r="C15" s="25" t="s">
        <v>108</v>
      </c>
      <c r="D15" s="25" t="s">
        <v>109</v>
      </c>
      <c r="E15" s="31">
        <v>44348</v>
      </c>
      <c r="F15" s="31">
        <v>45089</v>
      </c>
      <c r="G15" s="25" t="s">
        <v>110</v>
      </c>
      <c r="H15" s="32">
        <v>25</v>
      </c>
      <c r="I15" s="24">
        <v>58500</v>
      </c>
      <c r="J15" s="25" t="s">
        <v>111</v>
      </c>
      <c r="K15" s="25" t="s">
        <v>112</v>
      </c>
      <c r="L15" s="25">
        <v>130</v>
      </c>
      <c r="M15" s="25" t="s">
        <v>113</v>
      </c>
      <c r="N15" s="25">
        <v>7190</v>
      </c>
      <c r="O15" s="25" t="s">
        <v>114</v>
      </c>
    </row>
    <row r="16" spans="1:15" x14ac:dyDescent="0.25">
      <c r="A16" s="25">
        <v>10064</v>
      </c>
      <c r="B16" s="25" t="s">
        <v>306</v>
      </c>
      <c r="C16" s="25" t="s">
        <v>307</v>
      </c>
      <c r="D16" s="25" t="s">
        <v>308</v>
      </c>
      <c r="E16" s="31">
        <v>44802</v>
      </c>
      <c r="F16" s="31"/>
      <c r="G16" s="25" t="s">
        <v>309</v>
      </c>
      <c r="H16" s="32">
        <v>46500</v>
      </c>
      <c r="I16" s="24">
        <v>46500</v>
      </c>
      <c r="J16" s="25" t="s">
        <v>283</v>
      </c>
      <c r="K16" s="25" t="s">
        <v>284</v>
      </c>
      <c r="L16" s="25">
        <v>220</v>
      </c>
      <c r="M16" s="25" t="s">
        <v>80</v>
      </c>
      <c r="N16" s="25">
        <v>7000</v>
      </c>
      <c r="O16" s="25" t="s">
        <v>310</v>
      </c>
    </row>
    <row r="17" spans="1:15" x14ac:dyDescent="0.25">
      <c r="A17" s="25">
        <v>528</v>
      </c>
      <c r="B17" s="25" t="s">
        <v>311</v>
      </c>
      <c r="C17" s="25" t="s">
        <v>312</v>
      </c>
      <c r="D17" s="25" t="s">
        <v>78</v>
      </c>
      <c r="E17" s="31">
        <v>42709</v>
      </c>
      <c r="F17" s="31"/>
      <c r="G17" s="25" t="s">
        <v>313</v>
      </c>
      <c r="H17" s="32">
        <v>50000</v>
      </c>
      <c r="I17" s="24">
        <v>50000</v>
      </c>
      <c r="J17" s="25" t="s">
        <v>283</v>
      </c>
      <c r="K17" s="25" t="s">
        <v>284</v>
      </c>
      <c r="L17" s="25">
        <v>220</v>
      </c>
      <c r="M17" s="25" t="s">
        <v>80</v>
      </c>
      <c r="N17" s="25">
        <v>7000</v>
      </c>
      <c r="O17" s="25" t="s">
        <v>310</v>
      </c>
    </row>
    <row r="18" spans="1:15" x14ac:dyDescent="0.25">
      <c r="A18" s="25">
        <v>643</v>
      </c>
      <c r="B18" s="25" t="s">
        <v>76</v>
      </c>
      <c r="C18" s="25" t="s">
        <v>77</v>
      </c>
      <c r="D18" s="25" t="s">
        <v>78</v>
      </c>
      <c r="E18" s="31">
        <v>43521</v>
      </c>
      <c r="F18" s="31"/>
      <c r="G18" s="25" t="s">
        <v>79</v>
      </c>
      <c r="H18" s="32">
        <v>55000</v>
      </c>
      <c r="I18" s="24">
        <v>55000</v>
      </c>
      <c r="J18" s="25" t="s">
        <v>23</v>
      </c>
      <c r="K18" s="25" t="s">
        <v>24</v>
      </c>
      <c r="L18" s="25">
        <v>120</v>
      </c>
      <c r="M18" s="25" t="s">
        <v>80</v>
      </c>
      <c r="N18" s="25">
        <v>7000</v>
      </c>
      <c r="O18" s="25" t="s">
        <v>81</v>
      </c>
    </row>
    <row r="19" spans="1:15" x14ac:dyDescent="0.25">
      <c r="A19" s="25">
        <v>10057</v>
      </c>
      <c r="B19" s="25" t="s">
        <v>458</v>
      </c>
      <c r="C19" s="25" t="s">
        <v>205</v>
      </c>
      <c r="D19" s="25" t="s">
        <v>459</v>
      </c>
      <c r="E19" s="31">
        <v>44704</v>
      </c>
      <c r="F19" s="31"/>
      <c r="G19" s="25" t="s">
        <v>460</v>
      </c>
      <c r="H19" s="32">
        <v>28.5</v>
      </c>
      <c r="I19" s="24">
        <v>59280</v>
      </c>
      <c r="J19" s="25" t="s">
        <v>415</v>
      </c>
      <c r="K19" s="25" t="s">
        <v>416</v>
      </c>
      <c r="L19" s="25">
        <v>900</v>
      </c>
      <c r="M19" s="25" t="s">
        <v>447</v>
      </c>
      <c r="N19" s="25" t="s">
        <v>461</v>
      </c>
      <c r="O19" s="25" t="s">
        <v>462</v>
      </c>
    </row>
    <row r="20" spans="1:15" x14ac:dyDescent="0.25">
      <c r="A20" s="25">
        <v>374</v>
      </c>
      <c r="B20" s="25" t="s">
        <v>359</v>
      </c>
      <c r="C20" s="25" t="s">
        <v>360</v>
      </c>
      <c r="D20" s="25" t="s">
        <v>361</v>
      </c>
      <c r="E20" s="31">
        <v>41176</v>
      </c>
      <c r="F20" s="31"/>
      <c r="G20" s="25" t="s">
        <v>362</v>
      </c>
      <c r="H20" s="32">
        <v>120000</v>
      </c>
      <c r="I20" s="24">
        <v>120000</v>
      </c>
      <c r="J20" s="25" t="s">
        <v>328</v>
      </c>
      <c r="K20" s="25" t="s">
        <v>329</v>
      </c>
      <c r="L20" s="25">
        <v>240</v>
      </c>
      <c r="M20" s="25" t="s">
        <v>164</v>
      </c>
      <c r="N20" s="25">
        <v>7170</v>
      </c>
      <c r="O20" s="25" t="s">
        <v>363</v>
      </c>
    </row>
    <row r="21" spans="1:15" x14ac:dyDescent="0.25">
      <c r="A21" s="25">
        <v>10021</v>
      </c>
      <c r="B21" s="25" t="s">
        <v>463</v>
      </c>
      <c r="C21" s="25" t="s">
        <v>464</v>
      </c>
      <c r="D21" s="25" t="s">
        <v>465</v>
      </c>
      <c r="E21" s="31">
        <v>44431</v>
      </c>
      <c r="F21" s="31"/>
      <c r="G21" s="25" t="s">
        <v>466</v>
      </c>
      <c r="H21" s="32">
        <v>25</v>
      </c>
      <c r="I21" s="24">
        <v>52000</v>
      </c>
      <c r="J21" s="25" t="s">
        <v>111</v>
      </c>
      <c r="K21" s="25" t="s">
        <v>112</v>
      </c>
      <c r="L21" s="25">
        <v>900</v>
      </c>
      <c r="M21" s="25" t="s">
        <v>447</v>
      </c>
      <c r="N21" s="25">
        <v>1571</v>
      </c>
      <c r="O21" s="25" t="s">
        <v>467</v>
      </c>
    </row>
    <row r="22" spans="1:15" x14ac:dyDescent="0.25">
      <c r="A22" s="25">
        <v>611</v>
      </c>
      <c r="B22" s="25" t="s">
        <v>468</v>
      </c>
      <c r="C22" s="25" t="s">
        <v>469</v>
      </c>
      <c r="D22" s="25" t="s">
        <v>470</v>
      </c>
      <c r="E22" s="31">
        <v>43193</v>
      </c>
      <c r="F22" s="31"/>
      <c r="G22" s="25" t="s">
        <v>471</v>
      </c>
      <c r="H22" s="32">
        <v>37</v>
      </c>
      <c r="I22" s="24">
        <v>76960</v>
      </c>
      <c r="J22" s="25" t="s">
        <v>328</v>
      </c>
      <c r="K22" s="25" t="s">
        <v>329</v>
      </c>
      <c r="L22" s="25">
        <v>900</v>
      </c>
      <c r="M22" s="25" t="s">
        <v>164</v>
      </c>
      <c r="N22" s="25" t="s">
        <v>472</v>
      </c>
      <c r="O22" s="25" t="s">
        <v>473</v>
      </c>
    </row>
    <row r="23" spans="1:15" x14ac:dyDescent="0.25">
      <c r="A23" s="25">
        <v>10080</v>
      </c>
      <c r="B23" s="25" t="s">
        <v>364</v>
      </c>
      <c r="C23" s="25" t="s">
        <v>365</v>
      </c>
      <c r="D23" s="25" t="s">
        <v>172</v>
      </c>
      <c r="E23" s="31">
        <v>44977</v>
      </c>
      <c r="F23" s="31">
        <v>45189</v>
      </c>
      <c r="G23" s="25" t="s">
        <v>366</v>
      </c>
      <c r="H23" s="32">
        <v>28</v>
      </c>
      <c r="I23" s="24">
        <v>61880</v>
      </c>
      <c r="J23" s="25" t="s">
        <v>367</v>
      </c>
      <c r="K23" s="25" t="s">
        <v>368</v>
      </c>
      <c r="L23" s="25">
        <v>240</v>
      </c>
      <c r="M23" s="25" t="s">
        <v>164</v>
      </c>
      <c r="N23" s="25">
        <v>7190</v>
      </c>
      <c r="O23" s="25" t="s">
        <v>333</v>
      </c>
    </row>
    <row r="24" spans="1:15" x14ac:dyDescent="0.25">
      <c r="A24" s="25">
        <v>564</v>
      </c>
      <c r="B24" s="25" t="s">
        <v>778</v>
      </c>
      <c r="C24" s="25" t="s">
        <v>779</v>
      </c>
      <c r="D24" s="25" t="s">
        <v>172</v>
      </c>
      <c r="E24" s="31">
        <v>42884</v>
      </c>
      <c r="F24" s="31">
        <v>44981</v>
      </c>
      <c r="G24" s="25" t="s">
        <v>780</v>
      </c>
      <c r="H24" s="32">
        <v>25.96</v>
      </c>
      <c r="I24" s="24">
        <v>53996.800000000003</v>
      </c>
      <c r="J24" s="25" t="s">
        <v>111</v>
      </c>
      <c r="K24" s="25" t="s">
        <v>112</v>
      </c>
      <c r="L24" s="25">
        <v>140</v>
      </c>
      <c r="M24" s="25" t="s">
        <v>164</v>
      </c>
      <c r="N24" s="25">
        <v>7190</v>
      </c>
      <c r="O24" s="25" t="s">
        <v>165</v>
      </c>
    </row>
    <row r="25" spans="1:15" x14ac:dyDescent="0.25">
      <c r="A25" s="25">
        <v>692</v>
      </c>
      <c r="B25" s="25" t="s">
        <v>781</v>
      </c>
      <c r="C25" s="25" t="s">
        <v>782</v>
      </c>
      <c r="D25" s="25" t="s">
        <v>488</v>
      </c>
      <c r="E25" s="31">
        <v>44074</v>
      </c>
      <c r="F25" s="31">
        <v>44764</v>
      </c>
      <c r="G25" s="25" t="s">
        <v>783</v>
      </c>
      <c r="H25" s="32">
        <v>31.5</v>
      </c>
      <c r="I25" s="24">
        <v>65520</v>
      </c>
      <c r="J25" s="25" t="s">
        <v>111</v>
      </c>
      <c r="K25" s="25" t="s">
        <v>112</v>
      </c>
      <c r="L25" s="25">
        <v>900</v>
      </c>
      <c r="M25" s="25" t="s">
        <v>447</v>
      </c>
      <c r="N25" s="25">
        <v>1572</v>
      </c>
      <c r="O25" s="25" t="s">
        <v>784</v>
      </c>
    </row>
    <row r="26" spans="1:15" x14ac:dyDescent="0.25">
      <c r="A26" s="25">
        <v>509</v>
      </c>
      <c r="B26" s="25" t="s">
        <v>396</v>
      </c>
      <c r="C26" s="25" t="s">
        <v>397</v>
      </c>
      <c r="D26" s="25" t="s">
        <v>398</v>
      </c>
      <c r="E26" s="31">
        <v>42592</v>
      </c>
      <c r="F26" s="31"/>
      <c r="G26" s="25" t="s">
        <v>399</v>
      </c>
      <c r="H26" s="32">
        <v>84000</v>
      </c>
      <c r="I26" s="24">
        <v>84000</v>
      </c>
      <c r="J26" s="25" t="s">
        <v>393</v>
      </c>
      <c r="K26" s="25" t="s">
        <v>394</v>
      </c>
      <c r="L26" s="25">
        <v>340</v>
      </c>
      <c r="M26" s="25" t="s">
        <v>164</v>
      </c>
      <c r="N26" s="25">
        <v>7170</v>
      </c>
      <c r="O26" s="25" t="s">
        <v>400</v>
      </c>
    </row>
    <row r="27" spans="1:15" x14ac:dyDescent="0.25">
      <c r="A27" s="25">
        <v>620</v>
      </c>
      <c r="B27" s="25" t="s">
        <v>160</v>
      </c>
      <c r="C27" s="25" t="s">
        <v>161</v>
      </c>
      <c r="D27" s="25" t="s">
        <v>785</v>
      </c>
      <c r="E27" s="31">
        <v>43308</v>
      </c>
      <c r="F27" s="31"/>
      <c r="G27" s="25" t="s">
        <v>163</v>
      </c>
      <c r="H27" s="32">
        <v>33.65</v>
      </c>
      <c r="I27" s="24">
        <v>90989.6</v>
      </c>
      <c r="J27" s="25" t="s">
        <v>111</v>
      </c>
      <c r="K27" s="25" t="s">
        <v>112</v>
      </c>
      <c r="L27" s="25">
        <v>140</v>
      </c>
      <c r="M27" s="25" t="s">
        <v>164</v>
      </c>
      <c r="N27" s="25">
        <v>7190</v>
      </c>
      <c r="O27" s="25" t="s">
        <v>165</v>
      </c>
    </row>
    <row r="28" spans="1:15" x14ac:dyDescent="0.25">
      <c r="A28" s="25">
        <v>196</v>
      </c>
      <c r="B28" s="25" t="s">
        <v>739</v>
      </c>
      <c r="C28" s="25" t="s">
        <v>740</v>
      </c>
      <c r="D28" s="25" t="s">
        <v>741</v>
      </c>
      <c r="E28" s="31">
        <v>38432</v>
      </c>
      <c r="F28" s="31"/>
      <c r="G28" s="25" t="s">
        <v>742</v>
      </c>
      <c r="H28" s="32">
        <v>66500</v>
      </c>
      <c r="I28" s="24">
        <v>66500</v>
      </c>
      <c r="J28" s="25" t="s">
        <v>111</v>
      </c>
      <c r="K28" s="25" t="s">
        <v>112</v>
      </c>
      <c r="L28" s="25">
        <v>935</v>
      </c>
      <c r="M28" s="25" t="s">
        <v>743</v>
      </c>
      <c r="N28" s="25">
        <v>7170</v>
      </c>
      <c r="O28" s="25" t="s">
        <v>744</v>
      </c>
    </row>
    <row r="29" spans="1:15" x14ac:dyDescent="0.25">
      <c r="A29" s="25">
        <v>587</v>
      </c>
      <c r="B29" s="25" t="s">
        <v>474</v>
      </c>
      <c r="C29" s="25" t="s">
        <v>479</v>
      </c>
      <c r="D29" s="25" t="s">
        <v>480</v>
      </c>
      <c r="E29" s="31">
        <v>42982</v>
      </c>
      <c r="F29" s="31"/>
      <c r="G29" s="25" t="s">
        <v>481</v>
      </c>
      <c r="H29" s="32">
        <v>26</v>
      </c>
      <c r="I29" s="24">
        <v>54080</v>
      </c>
      <c r="J29" s="25" t="s">
        <v>454</v>
      </c>
      <c r="K29" s="25" t="s">
        <v>455</v>
      </c>
      <c r="L29" s="25">
        <v>900</v>
      </c>
      <c r="M29" s="25" t="s">
        <v>456</v>
      </c>
      <c r="N29" s="25">
        <v>2400</v>
      </c>
      <c r="O29" s="25" t="s">
        <v>457</v>
      </c>
    </row>
    <row r="30" spans="1:15" x14ac:dyDescent="0.25">
      <c r="A30" s="25">
        <v>592</v>
      </c>
      <c r="B30" s="25" t="s">
        <v>474</v>
      </c>
      <c r="C30" s="25" t="s">
        <v>475</v>
      </c>
      <c r="D30" s="25" t="s">
        <v>476</v>
      </c>
      <c r="E30" s="31">
        <v>43036</v>
      </c>
      <c r="F30" s="31"/>
      <c r="G30" s="25" t="s">
        <v>477</v>
      </c>
      <c r="H30" s="32">
        <v>25</v>
      </c>
      <c r="I30" s="24">
        <v>52000</v>
      </c>
      <c r="J30" s="25" t="s">
        <v>111</v>
      </c>
      <c r="K30" s="25" t="s">
        <v>112</v>
      </c>
      <c r="L30" s="25">
        <v>900</v>
      </c>
      <c r="M30" s="25" t="s">
        <v>447</v>
      </c>
      <c r="N30" s="25">
        <v>1570</v>
      </c>
      <c r="O30" s="25" t="s">
        <v>478</v>
      </c>
    </row>
    <row r="31" spans="1:15" x14ac:dyDescent="0.25">
      <c r="A31" s="25">
        <v>10005</v>
      </c>
      <c r="B31" s="25" t="s">
        <v>418</v>
      </c>
      <c r="C31" s="25" t="s">
        <v>419</v>
      </c>
      <c r="D31" s="25" t="s">
        <v>420</v>
      </c>
      <c r="E31" s="31">
        <v>44364</v>
      </c>
      <c r="F31" s="31"/>
      <c r="G31" s="25" t="s">
        <v>421</v>
      </c>
      <c r="H31" s="32">
        <v>25</v>
      </c>
      <c r="I31" s="24">
        <v>52000</v>
      </c>
      <c r="J31" s="25" t="s">
        <v>415</v>
      </c>
      <c r="K31" s="25" t="s">
        <v>416</v>
      </c>
      <c r="L31" s="25">
        <v>440</v>
      </c>
      <c r="M31" s="25" t="s">
        <v>164</v>
      </c>
      <c r="N31" s="25">
        <v>7190</v>
      </c>
      <c r="O31" s="25" t="s">
        <v>422</v>
      </c>
    </row>
    <row r="32" spans="1:15" x14ac:dyDescent="0.25">
      <c r="A32" s="25">
        <v>548</v>
      </c>
      <c r="B32" s="25" t="s">
        <v>482</v>
      </c>
      <c r="C32" s="25" t="s">
        <v>483</v>
      </c>
      <c r="D32" s="25" t="s">
        <v>484</v>
      </c>
      <c r="E32" s="31">
        <v>42823</v>
      </c>
      <c r="F32" s="31"/>
      <c r="G32" s="25" t="s">
        <v>485</v>
      </c>
      <c r="H32" s="32">
        <v>80000</v>
      </c>
      <c r="I32" s="24">
        <v>80000</v>
      </c>
      <c r="J32" s="25" t="s">
        <v>454</v>
      </c>
      <c r="K32" s="25" t="s">
        <v>455</v>
      </c>
      <c r="L32" s="25">
        <v>900</v>
      </c>
      <c r="M32" s="25" t="s">
        <v>456</v>
      </c>
      <c r="N32" s="25">
        <v>2400</v>
      </c>
      <c r="O32" s="25" t="s">
        <v>457</v>
      </c>
    </row>
    <row r="33" spans="1:15" x14ac:dyDescent="0.25">
      <c r="A33" s="25">
        <v>10025</v>
      </c>
      <c r="B33" s="25" t="s">
        <v>786</v>
      </c>
      <c r="C33" s="25" t="s">
        <v>83</v>
      </c>
      <c r="D33" s="25" t="s">
        <v>787</v>
      </c>
      <c r="E33" s="31">
        <v>44452</v>
      </c>
      <c r="F33" s="31">
        <v>44867</v>
      </c>
      <c r="G33" s="25" t="s">
        <v>788</v>
      </c>
      <c r="H33" s="32">
        <v>35</v>
      </c>
      <c r="I33" s="24">
        <v>72800</v>
      </c>
      <c r="J33" s="25" t="s">
        <v>111</v>
      </c>
      <c r="K33" s="25" t="s">
        <v>112</v>
      </c>
      <c r="L33" s="25">
        <v>900</v>
      </c>
      <c r="M33" s="25" t="s">
        <v>447</v>
      </c>
      <c r="N33" s="25">
        <v>1571</v>
      </c>
      <c r="O33" s="25" t="s">
        <v>467</v>
      </c>
    </row>
    <row r="34" spans="1:15" x14ac:dyDescent="0.25">
      <c r="A34" s="25">
        <v>78</v>
      </c>
      <c r="B34" s="25" t="s">
        <v>486</v>
      </c>
      <c r="C34" s="25" t="s">
        <v>487</v>
      </c>
      <c r="D34" s="25" t="s">
        <v>488</v>
      </c>
      <c r="E34" s="31">
        <v>38243</v>
      </c>
      <c r="F34" s="31"/>
      <c r="G34" s="25" t="s">
        <v>489</v>
      </c>
      <c r="H34" s="32">
        <v>37</v>
      </c>
      <c r="I34" s="24">
        <v>76960</v>
      </c>
      <c r="J34" s="25" t="s">
        <v>111</v>
      </c>
      <c r="K34" s="25" t="s">
        <v>112</v>
      </c>
      <c r="L34" s="25">
        <v>900</v>
      </c>
      <c r="M34" s="25" t="s">
        <v>447</v>
      </c>
      <c r="N34" s="25">
        <v>1570</v>
      </c>
      <c r="O34" s="25" t="s">
        <v>478</v>
      </c>
    </row>
    <row r="35" spans="1:15" x14ac:dyDescent="0.25">
      <c r="A35" s="25">
        <v>10009</v>
      </c>
      <c r="B35" s="25" t="s">
        <v>490</v>
      </c>
      <c r="C35" s="25" t="s">
        <v>491</v>
      </c>
      <c r="D35" s="25" t="s">
        <v>492</v>
      </c>
      <c r="E35" s="31">
        <v>44382</v>
      </c>
      <c r="F35" s="31">
        <v>45187</v>
      </c>
      <c r="G35" s="25" t="s">
        <v>493</v>
      </c>
      <c r="H35" s="32">
        <v>32</v>
      </c>
      <c r="I35" s="24">
        <v>66560</v>
      </c>
      <c r="J35" s="25" t="s">
        <v>328</v>
      </c>
      <c r="K35" s="25" t="s">
        <v>329</v>
      </c>
      <c r="L35" s="25">
        <v>900</v>
      </c>
      <c r="M35" s="25" t="s">
        <v>164</v>
      </c>
      <c r="N35" s="25" t="s">
        <v>472</v>
      </c>
      <c r="O35" s="25" t="s">
        <v>473</v>
      </c>
    </row>
    <row r="36" spans="1:15" x14ac:dyDescent="0.25">
      <c r="A36" s="25">
        <v>634</v>
      </c>
      <c r="B36" s="25" t="s">
        <v>268</v>
      </c>
      <c r="C36" s="25" t="s">
        <v>269</v>
      </c>
      <c r="D36" s="25" t="s">
        <v>270</v>
      </c>
      <c r="E36" s="31">
        <v>43430</v>
      </c>
      <c r="F36" s="31"/>
      <c r="G36" s="25" t="s">
        <v>271</v>
      </c>
      <c r="H36" s="32">
        <v>45000</v>
      </c>
      <c r="I36" s="24">
        <v>45000</v>
      </c>
      <c r="J36" s="25" t="s">
        <v>23</v>
      </c>
      <c r="K36" s="25" t="s">
        <v>24</v>
      </c>
      <c r="L36" s="25">
        <v>160</v>
      </c>
      <c r="M36" s="25" t="s">
        <v>272</v>
      </c>
      <c r="N36" s="25">
        <v>7190</v>
      </c>
      <c r="O36" s="25" t="s">
        <v>273</v>
      </c>
    </row>
    <row r="37" spans="1:15" x14ac:dyDescent="0.25">
      <c r="A37" s="25">
        <v>314</v>
      </c>
      <c r="B37" s="25" t="s">
        <v>19</v>
      </c>
      <c r="C37" s="25" t="s">
        <v>20</v>
      </c>
      <c r="D37" s="25" t="s">
        <v>21</v>
      </c>
      <c r="E37" s="31">
        <v>40422</v>
      </c>
      <c r="F37" s="31"/>
      <c r="G37" s="25" t="s">
        <v>22</v>
      </c>
      <c r="H37" s="32">
        <v>45000</v>
      </c>
      <c r="I37" s="24">
        <v>45000</v>
      </c>
      <c r="J37" s="25" t="s">
        <v>23</v>
      </c>
      <c r="K37" s="25" t="s">
        <v>24</v>
      </c>
      <c r="L37" s="25">
        <v>110</v>
      </c>
      <c r="M37" s="25" t="s">
        <v>25</v>
      </c>
      <c r="N37" s="25">
        <v>7000</v>
      </c>
      <c r="O37" s="25" t="s">
        <v>26</v>
      </c>
    </row>
    <row r="38" spans="1:15" x14ac:dyDescent="0.25">
      <c r="A38" s="25">
        <v>632</v>
      </c>
      <c r="B38" s="25" t="s">
        <v>280</v>
      </c>
      <c r="C38" s="25" t="s">
        <v>281</v>
      </c>
      <c r="D38" s="25" t="s">
        <v>21</v>
      </c>
      <c r="E38" s="31">
        <v>43388</v>
      </c>
      <c r="F38" s="31"/>
      <c r="G38" s="25" t="s">
        <v>282</v>
      </c>
      <c r="H38" s="32">
        <v>45000</v>
      </c>
      <c r="I38" s="24">
        <v>45000</v>
      </c>
      <c r="J38" s="25" t="s">
        <v>283</v>
      </c>
      <c r="K38" s="25" t="s">
        <v>284</v>
      </c>
      <c r="L38" s="25">
        <v>210</v>
      </c>
      <c r="M38" s="25" t="s">
        <v>25</v>
      </c>
      <c r="N38" s="25">
        <v>7000</v>
      </c>
      <c r="O38" s="25" t="s">
        <v>285</v>
      </c>
    </row>
    <row r="39" spans="1:15" x14ac:dyDescent="0.25">
      <c r="A39" s="25">
        <v>636</v>
      </c>
      <c r="B39" s="25" t="s">
        <v>98</v>
      </c>
      <c r="C39" s="25" t="s">
        <v>99</v>
      </c>
      <c r="D39" s="25" t="s">
        <v>78</v>
      </c>
      <c r="E39" s="31">
        <v>43437</v>
      </c>
      <c r="F39" s="31"/>
      <c r="G39" s="25" t="s">
        <v>100</v>
      </c>
      <c r="H39" s="32">
        <v>50000</v>
      </c>
      <c r="I39" s="24">
        <v>50000</v>
      </c>
      <c r="J39" s="25" t="s">
        <v>23</v>
      </c>
      <c r="K39" s="25" t="s">
        <v>24</v>
      </c>
      <c r="L39" s="25">
        <v>121</v>
      </c>
      <c r="M39" s="25" t="s">
        <v>101</v>
      </c>
      <c r="N39" s="25">
        <v>7000</v>
      </c>
      <c r="O39" s="25" t="s">
        <v>102</v>
      </c>
    </row>
    <row r="40" spans="1:15" x14ac:dyDescent="0.25">
      <c r="A40" s="25">
        <v>10081</v>
      </c>
      <c r="B40" s="25" t="s">
        <v>166</v>
      </c>
      <c r="C40" s="25" t="s">
        <v>167</v>
      </c>
      <c r="D40" s="25" t="s">
        <v>168</v>
      </c>
      <c r="E40" s="31">
        <v>44984</v>
      </c>
      <c r="F40" s="31">
        <v>45029</v>
      </c>
      <c r="G40" s="25" t="s">
        <v>169</v>
      </c>
      <c r="H40" s="32">
        <v>24.5</v>
      </c>
      <c r="I40" s="24">
        <v>50960</v>
      </c>
      <c r="J40" s="25" t="s">
        <v>111</v>
      </c>
      <c r="K40" s="25" t="s">
        <v>112</v>
      </c>
      <c r="L40" s="25">
        <v>140</v>
      </c>
      <c r="M40" s="25" t="s">
        <v>164</v>
      </c>
      <c r="N40" s="25">
        <v>7190</v>
      </c>
      <c r="O40" s="25" t="s">
        <v>165</v>
      </c>
    </row>
    <row r="41" spans="1:15" x14ac:dyDescent="0.25">
      <c r="A41" s="25">
        <v>10046</v>
      </c>
      <c r="B41" s="25" t="s">
        <v>494</v>
      </c>
      <c r="C41" s="25" t="s">
        <v>495</v>
      </c>
      <c r="D41" s="25" t="s">
        <v>496</v>
      </c>
      <c r="E41" s="31">
        <v>44621</v>
      </c>
      <c r="F41" s="31"/>
      <c r="G41" s="25" t="s">
        <v>497</v>
      </c>
      <c r="H41" s="32">
        <v>36</v>
      </c>
      <c r="I41" s="24">
        <v>74880</v>
      </c>
      <c r="J41" s="25" t="s">
        <v>415</v>
      </c>
      <c r="K41" s="25" t="s">
        <v>416</v>
      </c>
      <c r="L41" s="25">
        <v>900</v>
      </c>
      <c r="M41" s="25" t="s">
        <v>447</v>
      </c>
      <c r="N41" s="25" t="s">
        <v>461</v>
      </c>
      <c r="O41" s="25" t="s">
        <v>462</v>
      </c>
    </row>
    <row r="42" spans="1:15" x14ac:dyDescent="0.25">
      <c r="A42" s="25">
        <v>491</v>
      </c>
      <c r="B42" s="25" t="s">
        <v>498</v>
      </c>
      <c r="C42" s="25" t="s">
        <v>499</v>
      </c>
      <c r="D42" s="25" t="s">
        <v>789</v>
      </c>
      <c r="E42" s="31">
        <v>42528</v>
      </c>
      <c r="F42" s="31"/>
      <c r="G42" s="25" t="s">
        <v>501</v>
      </c>
      <c r="H42" s="32">
        <v>33</v>
      </c>
      <c r="I42" s="24">
        <v>68640</v>
      </c>
      <c r="J42" s="25" t="s">
        <v>111</v>
      </c>
      <c r="K42" s="25" t="s">
        <v>112</v>
      </c>
      <c r="L42" s="25">
        <v>900</v>
      </c>
      <c r="M42" s="25" t="s">
        <v>447</v>
      </c>
      <c r="N42" s="25">
        <v>1571</v>
      </c>
      <c r="O42" s="25" t="s">
        <v>467</v>
      </c>
    </row>
    <row r="43" spans="1:15" x14ac:dyDescent="0.25">
      <c r="A43" s="25">
        <v>10004</v>
      </c>
      <c r="B43" s="25" t="s">
        <v>790</v>
      </c>
      <c r="C43" s="25" t="s">
        <v>791</v>
      </c>
      <c r="D43" s="25" t="s">
        <v>792</v>
      </c>
      <c r="E43" s="31">
        <v>44382</v>
      </c>
      <c r="F43" s="31">
        <v>44764</v>
      </c>
      <c r="G43" s="25" t="s">
        <v>793</v>
      </c>
      <c r="H43" s="32">
        <v>34</v>
      </c>
      <c r="I43" s="24">
        <v>70720</v>
      </c>
      <c r="J43" s="25" t="s">
        <v>111</v>
      </c>
      <c r="K43" s="25" t="s">
        <v>112</v>
      </c>
      <c r="L43" s="25">
        <v>900</v>
      </c>
      <c r="M43" s="25" t="s">
        <v>447</v>
      </c>
      <c r="N43" s="25">
        <v>1572</v>
      </c>
      <c r="O43" s="25" t="s">
        <v>784</v>
      </c>
    </row>
    <row r="44" spans="1:15" x14ac:dyDescent="0.25">
      <c r="A44" s="25">
        <v>436</v>
      </c>
      <c r="B44" s="25" t="s">
        <v>177</v>
      </c>
      <c r="C44" s="25" t="s">
        <v>178</v>
      </c>
      <c r="D44" s="25" t="s">
        <v>179</v>
      </c>
      <c r="E44" s="31">
        <v>41806</v>
      </c>
      <c r="F44" s="31"/>
      <c r="G44" s="25" t="s">
        <v>180</v>
      </c>
      <c r="H44" s="32">
        <v>41</v>
      </c>
      <c r="I44" s="24">
        <v>95940</v>
      </c>
      <c r="J44" s="25" t="s">
        <v>111</v>
      </c>
      <c r="K44" s="25" t="s">
        <v>112</v>
      </c>
      <c r="L44" s="25">
        <v>140</v>
      </c>
      <c r="M44" s="25" t="s">
        <v>164</v>
      </c>
      <c r="N44" s="25">
        <v>7190</v>
      </c>
      <c r="O44" s="25" t="s">
        <v>165</v>
      </c>
    </row>
    <row r="45" spans="1:15" x14ac:dyDescent="0.25">
      <c r="A45" s="25">
        <v>10047</v>
      </c>
      <c r="B45" s="25" t="s">
        <v>794</v>
      </c>
      <c r="C45" s="25" t="s">
        <v>795</v>
      </c>
      <c r="D45" s="25" t="s">
        <v>602</v>
      </c>
      <c r="E45" s="31">
        <v>44620</v>
      </c>
      <c r="F45" s="31">
        <v>44699</v>
      </c>
      <c r="G45" s="25" t="s">
        <v>796</v>
      </c>
      <c r="H45" s="32">
        <v>87550</v>
      </c>
      <c r="I45" s="24">
        <v>87550</v>
      </c>
      <c r="J45" s="25" t="s">
        <v>454</v>
      </c>
      <c r="K45" s="25" t="s">
        <v>455</v>
      </c>
      <c r="L45" s="25">
        <v>900</v>
      </c>
      <c r="M45" s="25" t="s">
        <v>456</v>
      </c>
      <c r="N45" s="25">
        <v>2400</v>
      </c>
      <c r="O45" s="25" t="s">
        <v>457</v>
      </c>
    </row>
    <row r="46" spans="1:15" x14ac:dyDescent="0.25">
      <c r="A46" s="25" t="s">
        <v>797</v>
      </c>
      <c r="B46" s="25" t="s">
        <v>502</v>
      </c>
      <c r="C46" s="25" t="s">
        <v>503</v>
      </c>
      <c r="D46" s="25" t="s">
        <v>504</v>
      </c>
      <c r="E46" s="31">
        <v>38335</v>
      </c>
      <c r="F46" s="31">
        <v>44745</v>
      </c>
      <c r="G46" s="25" t="s">
        <v>798</v>
      </c>
      <c r="H46" s="32">
        <v>31.25</v>
      </c>
      <c r="I46" s="24">
        <v>26000</v>
      </c>
      <c r="J46" s="25" t="s">
        <v>454</v>
      </c>
      <c r="K46" s="25" t="s">
        <v>455</v>
      </c>
      <c r="L46" s="25">
        <v>900</v>
      </c>
      <c r="M46" s="25" t="s">
        <v>456</v>
      </c>
      <c r="N46" s="25">
        <v>2400</v>
      </c>
      <c r="O46" s="25" t="s">
        <v>457</v>
      </c>
    </row>
    <row r="47" spans="1:15" x14ac:dyDescent="0.25">
      <c r="A47" s="25">
        <v>10052</v>
      </c>
      <c r="B47" s="25" t="s">
        <v>184</v>
      </c>
      <c r="C47" s="25" t="s">
        <v>185</v>
      </c>
      <c r="D47" s="25" t="s">
        <v>186</v>
      </c>
      <c r="E47" s="31">
        <v>44638</v>
      </c>
      <c r="F47" s="31"/>
      <c r="G47" s="25" t="s">
        <v>187</v>
      </c>
      <c r="H47" s="32">
        <v>28.85</v>
      </c>
      <c r="I47" s="24">
        <v>60008</v>
      </c>
      <c r="J47" s="25" t="s">
        <v>111</v>
      </c>
      <c r="K47" s="25" t="s">
        <v>112</v>
      </c>
      <c r="L47" s="25">
        <v>140</v>
      </c>
      <c r="M47" s="25" t="s">
        <v>164</v>
      </c>
      <c r="N47" s="25">
        <v>7190</v>
      </c>
      <c r="O47" s="25" t="s">
        <v>165</v>
      </c>
    </row>
    <row r="48" spans="1:15" x14ac:dyDescent="0.25">
      <c r="A48" s="25">
        <v>343</v>
      </c>
      <c r="B48" s="25" t="s">
        <v>115</v>
      </c>
      <c r="C48" s="25" t="s">
        <v>116</v>
      </c>
      <c r="D48" s="25" t="s">
        <v>117</v>
      </c>
      <c r="E48" s="31">
        <v>35387</v>
      </c>
      <c r="F48" s="31"/>
      <c r="G48" s="25" t="s">
        <v>118</v>
      </c>
      <c r="H48" s="32">
        <v>120000</v>
      </c>
      <c r="I48" s="24">
        <v>120000</v>
      </c>
      <c r="J48" s="25" t="s">
        <v>111</v>
      </c>
      <c r="K48" s="25" t="s">
        <v>112</v>
      </c>
      <c r="L48" s="25">
        <v>130</v>
      </c>
      <c r="M48" s="25" t="s">
        <v>113</v>
      </c>
      <c r="N48" s="25">
        <v>7170</v>
      </c>
      <c r="O48" s="25" t="s">
        <v>119</v>
      </c>
    </row>
    <row r="49" spans="1:15" x14ac:dyDescent="0.25">
      <c r="A49" s="25">
        <v>541</v>
      </c>
      <c r="B49" s="25" t="s">
        <v>120</v>
      </c>
      <c r="C49" s="25" t="s">
        <v>121</v>
      </c>
      <c r="D49" s="25" t="s">
        <v>122</v>
      </c>
      <c r="E49" s="31">
        <v>42786</v>
      </c>
      <c r="F49" s="31"/>
      <c r="G49" s="25" t="s">
        <v>123</v>
      </c>
      <c r="H49" s="32">
        <v>24.5</v>
      </c>
      <c r="I49" s="24">
        <v>57330</v>
      </c>
      <c r="J49" s="25" t="s">
        <v>111</v>
      </c>
      <c r="K49" s="25" t="s">
        <v>112</v>
      </c>
      <c r="L49" s="25">
        <v>130</v>
      </c>
      <c r="M49" s="25" t="s">
        <v>113</v>
      </c>
      <c r="N49" s="25">
        <v>7190</v>
      </c>
      <c r="O49" s="25" t="s">
        <v>114</v>
      </c>
    </row>
    <row r="50" spans="1:15" x14ac:dyDescent="0.25">
      <c r="A50" s="25">
        <v>39</v>
      </c>
      <c r="B50" s="25" t="s">
        <v>188</v>
      </c>
      <c r="C50" s="25" t="s">
        <v>189</v>
      </c>
      <c r="D50" s="25" t="s">
        <v>179</v>
      </c>
      <c r="E50" s="31">
        <v>35660</v>
      </c>
      <c r="F50" s="31"/>
      <c r="G50" s="25" t="s">
        <v>190</v>
      </c>
      <c r="H50" s="32">
        <v>38</v>
      </c>
      <c r="I50" s="24">
        <v>88920</v>
      </c>
      <c r="J50" s="25" t="s">
        <v>111</v>
      </c>
      <c r="K50" s="25" t="s">
        <v>112</v>
      </c>
      <c r="L50" s="25">
        <v>140</v>
      </c>
      <c r="M50" s="25" t="s">
        <v>164</v>
      </c>
      <c r="N50" s="25">
        <v>7190</v>
      </c>
      <c r="O50" s="25" t="s">
        <v>165</v>
      </c>
    </row>
    <row r="51" spans="1:15" x14ac:dyDescent="0.25">
      <c r="A51" s="25">
        <v>10034</v>
      </c>
      <c r="B51" s="25" t="s">
        <v>505</v>
      </c>
      <c r="C51" s="25" t="s">
        <v>506</v>
      </c>
      <c r="D51" s="25" t="s">
        <v>488</v>
      </c>
      <c r="E51" s="31">
        <v>44529</v>
      </c>
      <c r="F51" s="31"/>
      <c r="G51" s="25" t="s">
        <v>507</v>
      </c>
      <c r="H51" s="32">
        <v>33</v>
      </c>
      <c r="I51" s="24">
        <v>68640</v>
      </c>
      <c r="J51" s="25" t="s">
        <v>393</v>
      </c>
      <c r="K51" s="25" t="s">
        <v>394</v>
      </c>
      <c r="L51" s="25">
        <v>900</v>
      </c>
      <c r="M51" s="25" t="s">
        <v>447</v>
      </c>
      <c r="N51" s="25" t="s">
        <v>448</v>
      </c>
      <c r="O51" s="25" t="s">
        <v>449</v>
      </c>
    </row>
    <row r="52" spans="1:15" x14ac:dyDescent="0.25">
      <c r="A52" s="25">
        <v>483</v>
      </c>
      <c r="B52" s="25" t="s">
        <v>274</v>
      </c>
      <c r="C52" s="25" t="s">
        <v>275</v>
      </c>
      <c r="D52" s="25" t="s">
        <v>270</v>
      </c>
      <c r="E52" s="31">
        <v>42458</v>
      </c>
      <c r="F52" s="31"/>
      <c r="G52" s="25" t="s">
        <v>276</v>
      </c>
      <c r="H52" s="32">
        <v>45000</v>
      </c>
      <c r="I52" s="24">
        <v>45000</v>
      </c>
      <c r="J52" s="25" t="s">
        <v>23</v>
      </c>
      <c r="K52" s="25" t="s">
        <v>24</v>
      </c>
      <c r="L52" s="25">
        <v>160</v>
      </c>
      <c r="M52" s="25" t="s">
        <v>272</v>
      </c>
      <c r="N52" s="25">
        <v>7190</v>
      </c>
      <c r="O52" s="25" t="s">
        <v>273</v>
      </c>
    </row>
    <row r="53" spans="1:15" x14ac:dyDescent="0.25">
      <c r="A53" s="25">
        <v>569</v>
      </c>
      <c r="B53" s="25" t="s">
        <v>799</v>
      </c>
      <c r="C53" s="25" t="s">
        <v>800</v>
      </c>
      <c r="D53" s="25" t="s">
        <v>172</v>
      </c>
      <c r="E53" s="31">
        <v>42905</v>
      </c>
      <c r="F53" s="31">
        <v>44994</v>
      </c>
      <c r="G53" s="25" t="s">
        <v>801</v>
      </c>
      <c r="H53" s="32">
        <v>25.96</v>
      </c>
      <c r="I53" s="24">
        <v>53996.800000000003</v>
      </c>
      <c r="J53" s="25" t="s">
        <v>111</v>
      </c>
      <c r="K53" s="25" t="s">
        <v>112</v>
      </c>
      <c r="L53" s="25">
        <v>140</v>
      </c>
      <c r="M53" s="25" t="s">
        <v>164</v>
      </c>
      <c r="N53" s="25">
        <v>7190</v>
      </c>
      <c r="O53" s="25" t="s">
        <v>165</v>
      </c>
    </row>
    <row r="54" spans="1:15" x14ac:dyDescent="0.25">
      <c r="A54" s="25">
        <v>529</v>
      </c>
      <c r="B54" s="25" t="s">
        <v>191</v>
      </c>
      <c r="C54" s="25" t="s">
        <v>192</v>
      </c>
      <c r="D54" s="25" t="s">
        <v>193</v>
      </c>
      <c r="E54" s="31">
        <v>37298</v>
      </c>
      <c r="F54" s="31"/>
      <c r="G54" s="25" t="s">
        <v>194</v>
      </c>
      <c r="H54" s="32">
        <v>30</v>
      </c>
      <c r="I54" s="24">
        <v>39000</v>
      </c>
      <c r="J54" s="25" t="s">
        <v>111</v>
      </c>
      <c r="K54" s="25" t="s">
        <v>112</v>
      </c>
      <c r="L54" s="25">
        <v>140</v>
      </c>
      <c r="M54" s="25" t="s">
        <v>164</v>
      </c>
      <c r="N54" s="25">
        <v>7190</v>
      </c>
      <c r="O54" s="25" t="s">
        <v>165</v>
      </c>
    </row>
    <row r="55" spans="1:15" x14ac:dyDescent="0.25">
      <c r="A55" s="25">
        <v>510</v>
      </c>
      <c r="B55" s="25" t="s">
        <v>802</v>
      </c>
      <c r="C55" s="25" t="s">
        <v>803</v>
      </c>
      <c r="D55" s="25" t="s">
        <v>804</v>
      </c>
      <c r="E55" s="31">
        <v>42592</v>
      </c>
      <c r="F55" s="31">
        <v>44932</v>
      </c>
      <c r="G55" s="25" t="s">
        <v>805</v>
      </c>
      <c r="H55" s="32">
        <v>37</v>
      </c>
      <c r="I55" s="24">
        <v>76960</v>
      </c>
      <c r="J55" s="25" t="s">
        <v>111</v>
      </c>
      <c r="K55" s="25" t="s">
        <v>112</v>
      </c>
      <c r="L55" s="25">
        <v>900</v>
      </c>
      <c r="M55" s="25" t="s">
        <v>447</v>
      </c>
      <c r="N55" s="25">
        <v>1572</v>
      </c>
      <c r="O55" s="25" t="s">
        <v>784</v>
      </c>
    </row>
    <row r="56" spans="1:15" x14ac:dyDescent="0.25">
      <c r="A56" s="25">
        <v>701</v>
      </c>
      <c r="B56" s="25" t="s">
        <v>512</v>
      </c>
      <c r="C56" s="25" t="s">
        <v>513</v>
      </c>
      <c r="D56" s="25" t="s">
        <v>465</v>
      </c>
      <c r="E56" s="31">
        <v>44181</v>
      </c>
      <c r="F56" s="31"/>
      <c r="G56" s="25" t="s">
        <v>514</v>
      </c>
      <c r="H56" s="32">
        <v>25</v>
      </c>
      <c r="I56" s="24">
        <v>52000</v>
      </c>
      <c r="J56" s="25" t="s">
        <v>111</v>
      </c>
      <c r="K56" s="25" t="s">
        <v>112</v>
      </c>
      <c r="L56" s="25">
        <v>900</v>
      </c>
      <c r="M56" s="25" t="s">
        <v>447</v>
      </c>
      <c r="N56" s="25">
        <v>1571</v>
      </c>
      <c r="O56" s="25" t="s">
        <v>467</v>
      </c>
    </row>
    <row r="57" spans="1:15" x14ac:dyDescent="0.25">
      <c r="A57" s="25">
        <v>700</v>
      </c>
      <c r="B57" s="25" t="s">
        <v>806</v>
      </c>
      <c r="C57" s="25" t="s">
        <v>807</v>
      </c>
      <c r="D57" s="25" t="s">
        <v>134</v>
      </c>
      <c r="E57" s="31">
        <v>44165</v>
      </c>
      <c r="F57" s="31">
        <v>44680</v>
      </c>
      <c r="G57" s="25" t="s">
        <v>808</v>
      </c>
      <c r="H57" s="32">
        <v>27.35</v>
      </c>
      <c r="I57" s="24">
        <v>63999</v>
      </c>
      <c r="J57" s="25" t="s">
        <v>111</v>
      </c>
      <c r="K57" s="25" t="s">
        <v>112</v>
      </c>
      <c r="L57" s="25">
        <v>130</v>
      </c>
      <c r="M57" s="25" t="s">
        <v>113</v>
      </c>
      <c r="N57" s="25">
        <v>7190</v>
      </c>
      <c r="O57" s="25" t="s">
        <v>114</v>
      </c>
    </row>
    <row r="58" spans="1:15" x14ac:dyDescent="0.25">
      <c r="A58" s="25">
        <v>10037</v>
      </c>
      <c r="B58" s="25" t="s">
        <v>809</v>
      </c>
      <c r="C58" s="25" t="s">
        <v>810</v>
      </c>
      <c r="D58" s="25" t="s">
        <v>811</v>
      </c>
      <c r="E58" s="31">
        <v>44536</v>
      </c>
      <c r="F58" s="31">
        <v>44742</v>
      </c>
      <c r="G58" s="25" t="s">
        <v>812</v>
      </c>
      <c r="H58" s="32">
        <v>23.5</v>
      </c>
      <c r="I58" s="24">
        <v>34827</v>
      </c>
      <c r="J58" s="25" t="s">
        <v>393</v>
      </c>
      <c r="K58" s="25" t="s">
        <v>394</v>
      </c>
      <c r="L58" s="25">
        <v>340</v>
      </c>
      <c r="M58" s="25" t="s">
        <v>164</v>
      </c>
      <c r="N58" s="25">
        <v>7190</v>
      </c>
      <c r="O58" s="25" t="s">
        <v>404</v>
      </c>
    </row>
    <row r="59" spans="1:15" x14ac:dyDescent="0.25">
      <c r="A59" s="25">
        <v>10076</v>
      </c>
      <c r="B59" s="25" t="s">
        <v>230</v>
      </c>
      <c r="C59" s="25" t="s">
        <v>231</v>
      </c>
      <c r="D59" s="25" t="s">
        <v>232</v>
      </c>
      <c r="E59" s="31">
        <v>44943</v>
      </c>
      <c r="F59" s="31">
        <v>45230</v>
      </c>
      <c r="G59" s="25" t="s">
        <v>233</v>
      </c>
      <c r="H59" s="32">
        <v>24</v>
      </c>
      <c r="I59" s="24">
        <v>49920</v>
      </c>
      <c r="J59" s="25" t="s">
        <v>111</v>
      </c>
      <c r="K59" s="25" t="s">
        <v>112</v>
      </c>
      <c r="L59" s="25">
        <v>150</v>
      </c>
      <c r="M59" s="25" t="s">
        <v>234</v>
      </c>
      <c r="N59" s="25">
        <v>7190</v>
      </c>
      <c r="O59" s="25" t="s">
        <v>235</v>
      </c>
    </row>
    <row r="60" spans="1:15" x14ac:dyDescent="0.25">
      <c r="A60" s="25">
        <v>327</v>
      </c>
      <c r="B60" s="25" t="s">
        <v>236</v>
      </c>
      <c r="C60" s="25" t="s">
        <v>518</v>
      </c>
      <c r="D60" s="25" t="s">
        <v>519</v>
      </c>
      <c r="E60" s="31">
        <v>40689</v>
      </c>
      <c r="F60" s="31"/>
      <c r="G60" s="25" t="s">
        <v>239</v>
      </c>
      <c r="H60" s="32">
        <v>31.25</v>
      </c>
      <c r="I60" s="24">
        <v>65000</v>
      </c>
      <c r="J60" s="25" t="s">
        <v>454</v>
      </c>
      <c r="K60" s="25" t="s">
        <v>455</v>
      </c>
      <c r="L60" s="25">
        <v>900</v>
      </c>
      <c r="M60" s="25" t="s">
        <v>456</v>
      </c>
      <c r="N60" s="25">
        <v>2400</v>
      </c>
      <c r="O60" s="25" t="s">
        <v>457</v>
      </c>
    </row>
    <row r="61" spans="1:15" x14ac:dyDescent="0.25">
      <c r="A61" s="25">
        <v>236</v>
      </c>
      <c r="B61" s="25" t="s">
        <v>195</v>
      </c>
      <c r="C61" s="25" t="s">
        <v>196</v>
      </c>
      <c r="D61" s="25" t="s">
        <v>197</v>
      </c>
      <c r="E61" s="31">
        <v>38943</v>
      </c>
      <c r="F61" s="31"/>
      <c r="G61" s="25" t="s">
        <v>198</v>
      </c>
      <c r="H61" s="32">
        <v>100000</v>
      </c>
      <c r="I61" s="24">
        <v>100000</v>
      </c>
      <c r="J61" s="25" t="s">
        <v>111</v>
      </c>
      <c r="K61" s="25" t="s">
        <v>112</v>
      </c>
      <c r="L61" s="25">
        <v>140</v>
      </c>
      <c r="M61" s="25" t="s">
        <v>164</v>
      </c>
      <c r="N61" s="25">
        <v>7170</v>
      </c>
      <c r="O61" s="25" t="s">
        <v>199</v>
      </c>
    </row>
    <row r="62" spans="1:15" x14ac:dyDescent="0.25">
      <c r="A62" s="25">
        <v>10072</v>
      </c>
      <c r="B62" s="25" t="s">
        <v>314</v>
      </c>
      <c r="C62" s="25" t="s">
        <v>315</v>
      </c>
      <c r="D62" s="25" t="s">
        <v>316</v>
      </c>
      <c r="E62" s="31">
        <v>44869</v>
      </c>
      <c r="F62" s="31"/>
      <c r="G62" s="25" t="s">
        <v>317</v>
      </c>
      <c r="H62" s="32">
        <v>22</v>
      </c>
      <c r="I62" s="24">
        <v>45760</v>
      </c>
      <c r="J62" s="25" t="s">
        <v>283</v>
      </c>
      <c r="K62" s="25" t="s">
        <v>284</v>
      </c>
      <c r="L62" s="25">
        <v>220</v>
      </c>
      <c r="M62" s="25" t="s">
        <v>80</v>
      </c>
      <c r="N62" s="25">
        <v>7190</v>
      </c>
      <c r="O62" s="25" t="s">
        <v>318</v>
      </c>
    </row>
    <row r="63" spans="1:15" x14ac:dyDescent="0.25">
      <c r="A63" s="25">
        <v>42</v>
      </c>
      <c r="B63" s="25" t="s">
        <v>522</v>
      </c>
      <c r="C63" s="25" t="s">
        <v>523</v>
      </c>
      <c r="D63" s="25" t="s">
        <v>524</v>
      </c>
      <c r="E63" s="31">
        <v>40637</v>
      </c>
      <c r="F63" s="31"/>
      <c r="G63" s="25" t="s">
        <v>525</v>
      </c>
      <c r="H63" s="32">
        <v>31.25</v>
      </c>
      <c r="I63" s="24">
        <v>56062.5</v>
      </c>
      <c r="J63" s="25" t="s">
        <v>454</v>
      </c>
      <c r="K63" s="25" t="s">
        <v>455</v>
      </c>
      <c r="L63" s="25">
        <v>900</v>
      </c>
      <c r="M63" s="25" t="s">
        <v>456</v>
      </c>
      <c r="N63" s="25">
        <v>2400</v>
      </c>
      <c r="O63" s="25" t="s">
        <v>457</v>
      </c>
    </row>
    <row r="64" spans="1:15" x14ac:dyDescent="0.25">
      <c r="A64" s="25">
        <v>329</v>
      </c>
      <c r="B64" s="25" t="s">
        <v>124</v>
      </c>
      <c r="C64" s="25" t="s">
        <v>125</v>
      </c>
      <c r="D64" s="25" t="s">
        <v>126</v>
      </c>
      <c r="E64" s="31">
        <v>40703</v>
      </c>
      <c r="F64" s="31"/>
      <c r="G64" s="25" t="s">
        <v>127</v>
      </c>
      <c r="H64" s="32">
        <v>87516</v>
      </c>
      <c r="I64" s="24">
        <v>87516</v>
      </c>
      <c r="J64" s="25" t="s">
        <v>111</v>
      </c>
      <c r="K64" s="25" t="s">
        <v>112</v>
      </c>
      <c r="L64" s="25">
        <v>130</v>
      </c>
      <c r="M64" s="25" t="s">
        <v>113</v>
      </c>
      <c r="N64" s="25">
        <v>7170</v>
      </c>
      <c r="O64" s="25" t="s">
        <v>119</v>
      </c>
    </row>
    <row r="65" spans="1:15" x14ac:dyDescent="0.25">
      <c r="A65" s="25">
        <v>10075</v>
      </c>
      <c r="B65" s="25" t="s">
        <v>526</v>
      </c>
      <c r="C65" s="25" t="s">
        <v>527</v>
      </c>
      <c r="D65" s="25" t="s">
        <v>528</v>
      </c>
      <c r="E65" s="31">
        <v>44914</v>
      </c>
      <c r="F65" s="31"/>
      <c r="G65" s="25" t="s">
        <v>529</v>
      </c>
      <c r="H65" s="32">
        <v>123900</v>
      </c>
      <c r="I65" s="24">
        <v>123900</v>
      </c>
      <c r="J65" s="25" t="s">
        <v>454</v>
      </c>
      <c r="K65" s="25" t="s">
        <v>455</v>
      </c>
      <c r="L65" s="25">
        <v>900</v>
      </c>
      <c r="M65" s="25" t="s">
        <v>456</v>
      </c>
      <c r="N65" s="25">
        <v>2400</v>
      </c>
      <c r="O65" s="25" t="s">
        <v>457</v>
      </c>
    </row>
    <row r="66" spans="1:15" x14ac:dyDescent="0.25">
      <c r="A66" s="25">
        <v>660</v>
      </c>
      <c r="B66" s="25" t="s">
        <v>60</v>
      </c>
      <c r="C66" s="25" t="s">
        <v>61</v>
      </c>
      <c r="D66" s="25" t="s">
        <v>62</v>
      </c>
      <c r="E66" s="31">
        <v>43682</v>
      </c>
      <c r="F66" s="31"/>
      <c r="G66" s="25" t="s">
        <v>63</v>
      </c>
      <c r="H66" s="32">
        <v>45000</v>
      </c>
      <c r="I66" s="24">
        <v>45000</v>
      </c>
      <c r="J66" s="25" t="s">
        <v>23</v>
      </c>
      <c r="K66" s="25" t="s">
        <v>24</v>
      </c>
      <c r="L66" s="25">
        <v>112</v>
      </c>
      <c r="M66" s="25" t="s">
        <v>64</v>
      </c>
      <c r="N66" s="25">
        <v>7000</v>
      </c>
      <c r="O66" s="25" t="s">
        <v>65</v>
      </c>
    </row>
    <row r="67" spans="1:15" x14ac:dyDescent="0.25">
      <c r="A67" s="25">
        <v>344</v>
      </c>
      <c r="B67" s="25" t="s">
        <v>813</v>
      </c>
      <c r="C67" s="25" t="s">
        <v>814</v>
      </c>
      <c r="D67" s="25" t="s">
        <v>488</v>
      </c>
      <c r="E67" s="31">
        <v>32846</v>
      </c>
      <c r="F67" s="31">
        <v>44652</v>
      </c>
      <c r="G67" s="25" t="s">
        <v>815</v>
      </c>
      <c r="H67" s="32">
        <v>26</v>
      </c>
      <c r="I67" s="24">
        <v>54080</v>
      </c>
      <c r="J67" s="25" t="s">
        <v>415</v>
      </c>
      <c r="K67" s="25" t="s">
        <v>416</v>
      </c>
      <c r="L67" s="25">
        <v>900</v>
      </c>
      <c r="M67" s="25" t="s">
        <v>447</v>
      </c>
      <c r="N67" s="25" t="s">
        <v>461</v>
      </c>
      <c r="O67" s="25" t="s">
        <v>462</v>
      </c>
    </row>
    <row r="68" spans="1:15" x14ac:dyDescent="0.25">
      <c r="A68" s="25">
        <v>10029</v>
      </c>
      <c r="B68" s="25" t="s">
        <v>530</v>
      </c>
      <c r="C68" s="25" t="s">
        <v>531</v>
      </c>
      <c r="D68" s="25" t="s">
        <v>452</v>
      </c>
      <c r="E68" s="31">
        <v>44482</v>
      </c>
      <c r="F68" s="31"/>
      <c r="G68" s="25" t="s">
        <v>532</v>
      </c>
      <c r="H68" s="32">
        <v>26</v>
      </c>
      <c r="I68" s="24">
        <v>54080</v>
      </c>
      <c r="J68" s="25" t="s">
        <v>454</v>
      </c>
      <c r="K68" s="25" t="s">
        <v>455</v>
      </c>
      <c r="L68" s="25">
        <v>900</v>
      </c>
      <c r="M68" s="25" t="s">
        <v>456</v>
      </c>
      <c r="N68" s="25">
        <v>2400</v>
      </c>
      <c r="O68" s="25" t="s">
        <v>457</v>
      </c>
    </row>
    <row r="69" spans="1:15" x14ac:dyDescent="0.25">
      <c r="A69" s="25">
        <v>685</v>
      </c>
      <c r="B69" s="25" t="s">
        <v>533</v>
      </c>
      <c r="C69" s="25" t="s">
        <v>534</v>
      </c>
      <c r="D69" s="25" t="s">
        <v>535</v>
      </c>
      <c r="E69" s="31">
        <v>43927</v>
      </c>
      <c r="F69" s="31"/>
      <c r="G69" s="25" t="s">
        <v>536</v>
      </c>
      <c r="H69" s="32">
        <v>36</v>
      </c>
      <c r="I69" s="24">
        <v>74880</v>
      </c>
      <c r="J69" s="25" t="s">
        <v>111</v>
      </c>
      <c r="K69" s="25" t="s">
        <v>112</v>
      </c>
      <c r="L69" s="25">
        <v>900</v>
      </c>
      <c r="M69" s="25" t="s">
        <v>447</v>
      </c>
      <c r="N69" s="25">
        <v>1571</v>
      </c>
      <c r="O69" s="25" t="s">
        <v>467</v>
      </c>
    </row>
    <row r="70" spans="1:15" x14ac:dyDescent="0.25">
      <c r="A70" s="25">
        <v>524</v>
      </c>
      <c r="B70" s="25" t="s">
        <v>200</v>
      </c>
      <c r="C70" s="25" t="s">
        <v>201</v>
      </c>
      <c r="D70" s="25" t="s">
        <v>202</v>
      </c>
      <c r="E70" s="31">
        <v>42675</v>
      </c>
      <c r="F70" s="31"/>
      <c r="G70" s="25" t="s">
        <v>203</v>
      </c>
      <c r="H70" s="32">
        <v>74400</v>
      </c>
      <c r="I70" s="24">
        <v>74400</v>
      </c>
      <c r="J70" s="25" t="s">
        <v>111</v>
      </c>
      <c r="K70" s="25" t="s">
        <v>112</v>
      </c>
      <c r="L70" s="25">
        <v>140</v>
      </c>
      <c r="M70" s="25" t="s">
        <v>164</v>
      </c>
      <c r="N70" s="25">
        <v>7170</v>
      </c>
      <c r="O70" s="25" t="s">
        <v>199</v>
      </c>
    </row>
    <row r="71" spans="1:15" x14ac:dyDescent="0.25">
      <c r="A71" s="25">
        <v>578</v>
      </c>
      <c r="B71" s="25" t="s">
        <v>128</v>
      </c>
      <c r="C71" s="25" t="s">
        <v>129</v>
      </c>
      <c r="D71" s="25" t="s">
        <v>130</v>
      </c>
      <c r="E71" s="31">
        <v>42940</v>
      </c>
      <c r="F71" s="31"/>
      <c r="G71" s="25" t="s">
        <v>131</v>
      </c>
      <c r="H71" s="32">
        <v>59800</v>
      </c>
      <c r="I71" s="24">
        <v>59800</v>
      </c>
      <c r="J71" s="25" t="s">
        <v>111</v>
      </c>
      <c r="K71" s="25" t="s">
        <v>112</v>
      </c>
      <c r="L71" s="25">
        <v>130</v>
      </c>
      <c r="M71" s="25" t="s">
        <v>113</v>
      </c>
      <c r="N71" s="25">
        <v>7190</v>
      </c>
      <c r="O71" s="25" t="s">
        <v>114</v>
      </c>
    </row>
    <row r="72" spans="1:15" x14ac:dyDescent="0.25">
      <c r="A72" s="25">
        <v>617</v>
      </c>
      <c r="B72" s="25" t="s">
        <v>537</v>
      </c>
      <c r="C72" s="25" t="s">
        <v>538</v>
      </c>
      <c r="D72" s="25" t="s">
        <v>539</v>
      </c>
      <c r="E72" s="31">
        <v>43290</v>
      </c>
      <c r="F72" s="31">
        <v>45120</v>
      </c>
      <c r="G72" s="25" t="s">
        <v>540</v>
      </c>
      <c r="H72" s="32">
        <v>32.21</v>
      </c>
      <c r="I72" s="24">
        <v>66996.800000000003</v>
      </c>
      <c r="J72" s="25" t="s">
        <v>454</v>
      </c>
      <c r="K72" s="25" t="s">
        <v>455</v>
      </c>
      <c r="L72" s="25">
        <v>900</v>
      </c>
      <c r="M72" s="25" t="s">
        <v>456</v>
      </c>
      <c r="N72" s="25">
        <v>2400</v>
      </c>
      <c r="O72" s="25" t="s">
        <v>457</v>
      </c>
    </row>
    <row r="73" spans="1:15" x14ac:dyDescent="0.25">
      <c r="A73" s="25">
        <v>703</v>
      </c>
      <c r="B73" s="25" t="s">
        <v>541</v>
      </c>
      <c r="C73" s="25" t="s">
        <v>542</v>
      </c>
      <c r="D73" s="25" t="s">
        <v>816</v>
      </c>
      <c r="E73" s="31">
        <v>44214</v>
      </c>
      <c r="F73" s="31"/>
      <c r="G73" s="25" t="s">
        <v>544</v>
      </c>
      <c r="H73" s="32">
        <v>26</v>
      </c>
      <c r="I73" s="24">
        <v>60840</v>
      </c>
      <c r="J73" s="25" t="s">
        <v>454</v>
      </c>
      <c r="K73" s="25" t="s">
        <v>455</v>
      </c>
      <c r="L73" s="25">
        <v>900</v>
      </c>
      <c r="M73" s="25" t="s">
        <v>456</v>
      </c>
      <c r="N73" s="25">
        <v>2400</v>
      </c>
      <c r="O73" s="25" t="s">
        <v>457</v>
      </c>
    </row>
    <row r="74" spans="1:15" x14ac:dyDescent="0.25">
      <c r="A74" s="25">
        <v>10070</v>
      </c>
      <c r="B74" s="25" t="s">
        <v>340</v>
      </c>
      <c r="C74" s="25" t="s">
        <v>341</v>
      </c>
      <c r="D74" s="25" t="s">
        <v>342</v>
      </c>
      <c r="E74" s="31">
        <v>44859</v>
      </c>
      <c r="F74" s="31"/>
      <c r="G74" s="25" t="s">
        <v>343</v>
      </c>
      <c r="H74" s="32">
        <v>23.5</v>
      </c>
      <c r="I74" s="24">
        <v>54990</v>
      </c>
      <c r="J74" s="25" t="s">
        <v>328</v>
      </c>
      <c r="K74" s="25" t="s">
        <v>329</v>
      </c>
      <c r="L74" s="25">
        <v>230</v>
      </c>
      <c r="M74" s="25" t="s">
        <v>113</v>
      </c>
      <c r="N74" s="25">
        <v>7190</v>
      </c>
      <c r="O74" s="25" t="s">
        <v>344</v>
      </c>
    </row>
    <row r="75" spans="1:15" x14ac:dyDescent="0.25">
      <c r="A75" s="25">
        <v>10044</v>
      </c>
      <c r="B75" s="25" t="s">
        <v>745</v>
      </c>
      <c r="C75" s="25" t="s">
        <v>746</v>
      </c>
      <c r="D75" s="25" t="s">
        <v>747</v>
      </c>
      <c r="E75" s="31">
        <v>44578</v>
      </c>
      <c r="F75" s="31"/>
      <c r="G75" s="25" t="s">
        <v>748</v>
      </c>
      <c r="H75" s="32">
        <v>22.5</v>
      </c>
      <c r="I75" s="24">
        <v>0</v>
      </c>
      <c r="J75" s="25" t="s">
        <v>111</v>
      </c>
      <c r="K75" s="25" t="s">
        <v>112</v>
      </c>
      <c r="L75" s="25">
        <v>935</v>
      </c>
      <c r="M75" s="25" t="s">
        <v>743</v>
      </c>
      <c r="N75" s="25">
        <v>7190</v>
      </c>
      <c r="O75" s="25" t="s">
        <v>749</v>
      </c>
    </row>
    <row r="76" spans="1:15" x14ac:dyDescent="0.25">
      <c r="A76" s="25">
        <v>651</v>
      </c>
      <c r="B76" s="25" t="s">
        <v>817</v>
      </c>
      <c r="C76" s="25" t="s">
        <v>818</v>
      </c>
      <c r="D76" s="25" t="s">
        <v>819</v>
      </c>
      <c r="E76" s="31">
        <v>43628</v>
      </c>
      <c r="F76" s="31">
        <v>44876</v>
      </c>
      <c r="G76" s="25" t="s">
        <v>820</v>
      </c>
      <c r="H76" s="32">
        <v>75000</v>
      </c>
      <c r="I76" s="24">
        <v>75000</v>
      </c>
      <c r="J76" s="25" t="s">
        <v>454</v>
      </c>
      <c r="K76" s="25" t="s">
        <v>455</v>
      </c>
      <c r="L76" s="25">
        <v>900</v>
      </c>
      <c r="M76" s="25" t="s">
        <v>456</v>
      </c>
      <c r="N76" s="25">
        <v>2400</v>
      </c>
      <c r="O76" s="25" t="s">
        <v>457</v>
      </c>
    </row>
    <row r="77" spans="1:15" x14ac:dyDescent="0.25">
      <c r="A77" s="25">
        <v>681</v>
      </c>
      <c r="B77" s="25" t="s">
        <v>545</v>
      </c>
      <c r="C77" s="25" t="s">
        <v>546</v>
      </c>
      <c r="D77" s="25" t="s">
        <v>547</v>
      </c>
      <c r="E77" s="31">
        <v>43899</v>
      </c>
      <c r="F77" s="31"/>
      <c r="G77" s="25" t="s">
        <v>548</v>
      </c>
      <c r="H77" s="32">
        <v>26</v>
      </c>
      <c r="I77" s="24">
        <v>54080</v>
      </c>
      <c r="J77" s="25" t="s">
        <v>328</v>
      </c>
      <c r="K77" s="25" t="s">
        <v>329</v>
      </c>
      <c r="L77" s="25">
        <v>900</v>
      </c>
      <c r="M77" s="25" t="s">
        <v>164</v>
      </c>
      <c r="N77" s="25" t="s">
        <v>472</v>
      </c>
      <c r="O77" s="25" t="s">
        <v>473</v>
      </c>
    </row>
    <row r="78" spans="1:15" x14ac:dyDescent="0.25">
      <c r="A78" s="25">
        <v>10062</v>
      </c>
      <c r="B78" s="25" t="s">
        <v>286</v>
      </c>
      <c r="C78" s="25" t="s">
        <v>287</v>
      </c>
      <c r="D78" s="25" t="s">
        <v>288</v>
      </c>
      <c r="E78" s="31">
        <v>44805</v>
      </c>
      <c r="F78" s="31">
        <v>45148</v>
      </c>
      <c r="G78" s="25" t="s">
        <v>289</v>
      </c>
      <c r="H78" s="32">
        <v>145000</v>
      </c>
      <c r="I78" s="24">
        <v>145000</v>
      </c>
      <c r="J78" s="25" t="s">
        <v>283</v>
      </c>
      <c r="K78" s="25" t="s">
        <v>284</v>
      </c>
      <c r="L78" s="25">
        <v>210</v>
      </c>
      <c r="M78" s="25" t="s">
        <v>25</v>
      </c>
      <c r="N78" s="25">
        <v>7000</v>
      </c>
      <c r="O78" s="25" t="s">
        <v>285</v>
      </c>
    </row>
    <row r="79" spans="1:15" x14ac:dyDescent="0.25">
      <c r="A79" s="25">
        <v>649</v>
      </c>
      <c r="B79" s="25" t="s">
        <v>750</v>
      </c>
      <c r="C79" s="25" t="s">
        <v>751</v>
      </c>
      <c r="D79" s="25" t="s">
        <v>752</v>
      </c>
      <c r="E79" s="31">
        <v>43605</v>
      </c>
      <c r="F79" s="31"/>
      <c r="G79" s="25" t="s">
        <v>753</v>
      </c>
      <c r="H79" s="32">
        <v>27</v>
      </c>
      <c r="I79" s="24">
        <v>63180</v>
      </c>
      <c r="J79" s="25" t="s">
        <v>111</v>
      </c>
      <c r="K79" s="25" t="s">
        <v>112</v>
      </c>
      <c r="L79" s="25">
        <v>935</v>
      </c>
      <c r="M79" s="25" t="s">
        <v>743</v>
      </c>
      <c r="N79" s="25">
        <v>7190</v>
      </c>
      <c r="O79" s="25" t="s">
        <v>749</v>
      </c>
    </row>
    <row r="80" spans="1:15" x14ac:dyDescent="0.25">
      <c r="A80" s="25">
        <v>405</v>
      </c>
      <c r="B80" s="25" t="s">
        <v>549</v>
      </c>
      <c r="C80" s="25" t="s">
        <v>550</v>
      </c>
      <c r="D80" s="25" t="s">
        <v>488</v>
      </c>
      <c r="E80" s="31">
        <v>41492</v>
      </c>
      <c r="F80" s="31"/>
      <c r="G80" s="25" t="s">
        <v>551</v>
      </c>
      <c r="H80" s="32">
        <v>37</v>
      </c>
      <c r="I80" s="24">
        <v>76960</v>
      </c>
      <c r="J80" s="25" t="s">
        <v>111</v>
      </c>
      <c r="K80" s="25" t="s">
        <v>112</v>
      </c>
      <c r="L80" s="25">
        <v>900</v>
      </c>
      <c r="M80" s="25" t="s">
        <v>447</v>
      </c>
      <c r="N80" s="25">
        <v>1570</v>
      </c>
      <c r="O80" s="25" t="s">
        <v>478</v>
      </c>
    </row>
    <row r="81" spans="1:15" x14ac:dyDescent="0.25">
      <c r="A81" s="25">
        <v>458</v>
      </c>
      <c r="B81" s="25" t="s">
        <v>423</v>
      </c>
      <c r="C81" s="25" t="s">
        <v>424</v>
      </c>
      <c r="D81" s="25" t="s">
        <v>425</v>
      </c>
      <c r="E81" s="31">
        <v>42136</v>
      </c>
      <c r="F81" s="31"/>
      <c r="G81" s="25" t="s">
        <v>426</v>
      </c>
      <c r="H81" s="32">
        <v>30</v>
      </c>
      <c r="I81" s="24">
        <v>62400</v>
      </c>
      <c r="J81" s="25" t="s">
        <v>415</v>
      </c>
      <c r="K81" s="25" t="s">
        <v>416</v>
      </c>
      <c r="L81" s="25">
        <v>440</v>
      </c>
      <c r="M81" s="25" t="s">
        <v>164</v>
      </c>
      <c r="N81" s="25">
        <v>7190</v>
      </c>
      <c r="O81" s="25" t="s">
        <v>422</v>
      </c>
    </row>
    <row r="82" spans="1:15" x14ac:dyDescent="0.25">
      <c r="A82" s="25">
        <v>10010</v>
      </c>
      <c r="B82" s="25" t="s">
        <v>552</v>
      </c>
      <c r="C82" s="25" t="s">
        <v>553</v>
      </c>
      <c r="D82" s="25" t="s">
        <v>554</v>
      </c>
      <c r="E82" s="31">
        <v>44417</v>
      </c>
      <c r="F82" s="31"/>
      <c r="G82" s="25" t="s">
        <v>555</v>
      </c>
      <c r="H82" s="32">
        <v>33</v>
      </c>
      <c r="I82" s="24">
        <v>68640</v>
      </c>
      <c r="J82" s="25" t="s">
        <v>111</v>
      </c>
      <c r="K82" s="25" t="s">
        <v>112</v>
      </c>
      <c r="L82" s="25">
        <v>900</v>
      </c>
      <c r="M82" s="25" t="s">
        <v>447</v>
      </c>
      <c r="N82" s="25">
        <v>1570</v>
      </c>
      <c r="O82" s="25" t="s">
        <v>478</v>
      </c>
    </row>
    <row r="83" spans="1:15" x14ac:dyDescent="0.25">
      <c r="A83" s="25">
        <v>537</v>
      </c>
      <c r="B83" s="25" t="s">
        <v>821</v>
      </c>
      <c r="C83" s="25" t="s">
        <v>822</v>
      </c>
      <c r="D83" s="25" t="s">
        <v>823</v>
      </c>
      <c r="E83" s="31">
        <v>42776</v>
      </c>
      <c r="F83" s="31">
        <v>44871</v>
      </c>
      <c r="G83" s="25" t="s">
        <v>824</v>
      </c>
      <c r="H83" s="32">
        <v>87500</v>
      </c>
      <c r="I83" s="24">
        <v>87500</v>
      </c>
      <c r="J83" s="25" t="s">
        <v>283</v>
      </c>
      <c r="K83" s="25" t="s">
        <v>284</v>
      </c>
      <c r="L83" s="25">
        <v>220</v>
      </c>
      <c r="M83" s="25" t="s">
        <v>80</v>
      </c>
      <c r="N83" s="25">
        <v>7170</v>
      </c>
      <c r="O83" s="25" t="s">
        <v>825</v>
      </c>
    </row>
    <row r="84" spans="1:15" x14ac:dyDescent="0.25">
      <c r="A84" s="25">
        <v>90</v>
      </c>
      <c r="B84" s="25" t="s">
        <v>556</v>
      </c>
      <c r="C84" s="25" t="s">
        <v>560</v>
      </c>
      <c r="D84" s="25" t="s">
        <v>561</v>
      </c>
      <c r="E84" s="31">
        <v>35156</v>
      </c>
      <c r="F84" s="31"/>
      <c r="G84" s="25"/>
      <c r="H84" s="32">
        <v>52000</v>
      </c>
      <c r="I84" s="24">
        <v>52000</v>
      </c>
      <c r="J84" s="25" t="s">
        <v>454</v>
      </c>
      <c r="K84" s="25" t="s">
        <v>455</v>
      </c>
      <c r="L84" s="25">
        <v>900</v>
      </c>
      <c r="M84" s="25" t="s">
        <v>456</v>
      </c>
      <c r="N84" s="25">
        <v>2400</v>
      </c>
      <c r="O84" s="25" t="s">
        <v>457</v>
      </c>
    </row>
    <row r="85" spans="1:15" x14ac:dyDescent="0.25">
      <c r="A85" s="25">
        <v>203</v>
      </c>
      <c r="B85" s="25" t="s">
        <v>556</v>
      </c>
      <c r="C85" s="25" t="s">
        <v>557</v>
      </c>
      <c r="D85" s="25" t="s">
        <v>558</v>
      </c>
      <c r="E85" s="31">
        <v>38538</v>
      </c>
      <c r="F85" s="31"/>
      <c r="G85" s="25" t="s">
        <v>559</v>
      </c>
      <c r="H85" s="32">
        <v>300000</v>
      </c>
      <c r="I85" s="24">
        <v>300000</v>
      </c>
      <c r="J85" s="25" t="s">
        <v>454</v>
      </c>
      <c r="K85" s="25" t="s">
        <v>455</v>
      </c>
      <c r="L85" s="25">
        <v>900</v>
      </c>
      <c r="M85" s="25" t="s">
        <v>456</v>
      </c>
      <c r="N85" s="25">
        <v>2400</v>
      </c>
      <c r="O85" s="25" t="s">
        <v>457</v>
      </c>
    </row>
    <row r="86" spans="1:15" x14ac:dyDescent="0.25">
      <c r="A86" s="25">
        <v>10015</v>
      </c>
      <c r="B86" s="25" t="s">
        <v>427</v>
      </c>
      <c r="C86" s="25" t="s">
        <v>428</v>
      </c>
      <c r="D86" s="25" t="s">
        <v>429</v>
      </c>
      <c r="E86" s="31">
        <v>44417</v>
      </c>
      <c r="F86" s="31"/>
      <c r="G86" s="25" t="s">
        <v>430</v>
      </c>
      <c r="H86" s="32">
        <v>84000</v>
      </c>
      <c r="I86" s="24">
        <v>84000</v>
      </c>
      <c r="J86" s="25" t="s">
        <v>415</v>
      </c>
      <c r="K86" s="25" t="s">
        <v>416</v>
      </c>
      <c r="L86" s="25">
        <v>440</v>
      </c>
      <c r="M86" s="25" t="s">
        <v>164</v>
      </c>
      <c r="N86" s="25">
        <v>7170</v>
      </c>
      <c r="O86" s="25" t="s">
        <v>431</v>
      </c>
    </row>
    <row r="87" spans="1:15" x14ac:dyDescent="0.25">
      <c r="A87" s="25">
        <v>10049</v>
      </c>
      <c r="B87" s="25" t="s">
        <v>826</v>
      </c>
      <c r="C87" s="25" t="s">
        <v>827</v>
      </c>
      <c r="D87" s="25" t="s">
        <v>756</v>
      </c>
      <c r="E87" s="31">
        <v>44627</v>
      </c>
      <c r="F87" s="31">
        <v>44659</v>
      </c>
      <c r="G87" s="25" t="s">
        <v>828</v>
      </c>
      <c r="H87" s="32">
        <v>27</v>
      </c>
      <c r="I87" s="24">
        <v>59670</v>
      </c>
      <c r="J87" s="25" t="s">
        <v>393</v>
      </c>
      <c r="K87" s="25" t="s">
        <v>394</v>
      </c>
      <c r="L87" s="25">
        <v>936</v>
      </c>
      <c r="M87" s="25" t="s">
        <v>743</v>
      </c>
      <c r="N87" s="25">
        <v>7190</v>
      </c>
      <c r="O87" s="25" t="s">
        <v>766</v>
      </c>
    </row>
    <row r="88" spans="1:15" x14ac:dyDescent="0.25">
      <c r="A88" s="25">
        <v>711</v>
      </c>
      <c r="B88" s="25" t="s">
        <v>562</v>
      </c>
      <c r="C88" s="25" t="s">
        <v>563</v>
      </c>
      <c r="D88" s="25" t="s">
        <v>476</v>
      </c>
      <c r="E88" s="31">
        <v>44284</v>
      </c>
      <c r="F88" s="31"/>
      <c r="G88" s="25" t="s">
        <v>564</v>
      </c>
      <c r="H88" s="32">
        <v>22.5</v>
      </c>
      <c r="I88" s="24">
        <v>46800</v>
      </c>
      <c r="J88" s="25" t="s">
        <v>111</v>
      </c>
      <c r="K88" s="25" t="s">
        <v>112</v>
      </c>
      <c r="L88" s="25">
        <v>900</v>
      </c>
      <c r="M88" s="25" t="s">
        <v>447</v>
      </c>
      <c r="N88" s="25">
        <v>1570</v>
      </c>
      <c r="O88" s="25" t="s">
        <v>478</v>
      </c>
    </row>
    <row r="89" spans="1:15" x14ac:dyDescent="0.25">
      <c r="A89" s="25">
        <v>607</v>
      </c>
      <c r="B89" s="25" t="s">
        <v>212</v>
      </c>
      <c r="C89" s="25" t="s">
        <v>213</v>
      </c>
      <c r="D89" s="25" t="s">
        <v>172</v>
      </c>
      <c r="E89" s="31">
        <v>43178</v>
      </c>
      <c r="F89" s="31"/>
      <c r="G89" s="25" t="s">
        <v>215</v>
      </c>
      <c r="H89" s="32">
        <v>78000</v>
      </c>
      <c r="I89" s="24">
        <v>78000</v>
      </c>
      <c r="J89" s="25" t="s">
        <v>111</v>
      </c>
      <c r="K89" s="25" t="s">
        <v>112</v>
      </c>
      <c r="L89" s="25">
        <v>142</v>
      </c>
      <c r="M89" s="25" t="s">
        <v>216</v>
      </c>
      <c r="N89" s="25">
        <v>7190</v>
      </c>
      <c r="O89" s="25" t="s">
        <v>217</v>
      </c>
    </row>
    <row r="90" spans="1:15" x14ac:dyDescent="0.25">
      <c r="A90" s="25">
        <v>318</v>
      </c>
      <c r="B90" s="25" t="s">
        <v>565</v>
      </c>
      <c r="C90" s="25" t="s">
        <v>566</v>
      </c>
      <c r="D90" s="25" t="s">
        <v>567</v>
      </c>
      <c r="E90" s="31">
        <v>40567</v>
      </c>
      <c r="F90" s="31"/>
      <c r="G90" s="25" t="s">
        <v>568</v>
      </c>
      <c r="H90" s="32">
        <v>92000</v>
      </c>
      <c r="I90" s="24">
        <v>92000</v>
      </c>
      <c r="J90" s="25" t="s">
        <v>454</v>
      </c>
      <c r="K90" s="25" t="s">
        <v>455</v>
      </c>
      <c r="L90" s="25">
        <v>900</v>
      </c>
      <c r="M90" s="25" t="s">
        <v>456</v>
      </c>
      <c r="N90" s="25">
        <v>2400</v>
      </c>
      <c r="O90" s="25" t="s">
        <v>457</v>
      </c>
    </row>
    <row r="91" spans="1:15" x14ac:dyDescent="0.25">
      <c r="A91" s="25">
        <v>10041</v>
      </c>
      <c r="B91" s="25" t="s">
        <v>569</v>
      </c>
      <c r="C91" s="25" t="s">
        <v>570</v>
      </c>
      <c r="D91" s="25" t="s">
        <v>571</v>
      </c>
      <c r="E91" s="31">
        <v>44571</v>
      </c>
      <c r="F91" s="31"/>
      <c r="G91" s="25" t="s">
        <v>572</v>
      </c>
      <c r="H91" s="32">
        <v>26.44</v>
      </c>
      <c r="I91" s="24">
        <v>54995.199999999997</v>
      </c>
      <c r="J91" s="25" t="s">
        <v>454</v>
      </c>
      <c r="K91" s="25" t="s">
        <v>455</v>
      </c>
      <c r="L91" s="25">
        <v>900</v>
      </c>
      <c r="M91" s="25" t="s">
        <v>456</v>
      </c>
      <c r="N91" s="25">
        <v>2400</v>
      </c>
      <c r="O91" s="25" t="s">
        <v>457</v>
      </c>
    </row>
    <row r="92" spans="1:15" x14ac:dyDescent="0.25">
      <c r="A92" s="25">
        <v>10030</v>
      </c>
      <c r="B92" s="25" t="s">
        <v>829</v>
      </c>
      <c r="C92" s="25" t="s">
        <v>830</v>
      </c>
      <c r="D92" s="25" t="s">
        <v>459</v>
      </c>
      <c r="E92" s="31">
        <v>44508</v>
      </c>
      <c r="F92" s="31">
        <v>44771</v>
      </c>
      <c r="G92" s="25" t="s">
        <v>831</v>
      </c>
      <c r="H92" s="32">
        <v>27</v>
      </c>
      <c r="I92" s="24">
        <v>56160</v>
      </c>
      <c r="J92" s="25" t="s">
        <v>111</v>
      </c>
      <c r="K92" s="25" t="s">
        <v>112</v>
      </c>
      <c r="L92" s="25">
        <v>900</v>
      </c>
      <c r="M92" s="25" t="s">
        <v>447</v>
      </c>
      <c r="N92" s="25">
        <v>1572</v>
      </c>
      <c r="O92" s="25" t="s">
        <v>784</v>
      </c>
    </row>
    <row r="93" spans="1:15" x14ac:dyDescent="0.25">
      <c r="A93" s="25">
        <v>480</v>
      </c>
      <c r="B93" s="25" t="s">
        <v>322</v>
      </c>
      <c r="C93" s="25" t="s">
        <v>323</v>
      </c>
      <c r="D93" s="25" t="s">
        <v>78</v>
      </c>
      <c r="E93" s="31">
        <v>42427</v>
      </c>
      <c r="F93" s="31">
        <v>45062</v>
      </c>
      <c r="G93" s="25" t="s">
        <v>324</v>
      </c>
      <c r="H93" s="32">
        <v>55000</v>
      </c>
      <c r="I93" s="24">
        <v>55000</v>
      </c>
      <c r="J93" s="25" t="s">
        <v>283</v>
      </c>
      <c r="K93" s="25" t="s">
        <v>284</v>
      </c>
      <c r="L93" s="25">
        <v>220</v>
      </c>
      <c r="M93" s="25" t="s">
        <v>80</v>
      </c>
      <c r="N93" s="25">
        <v>7000</v>
      </c>
      <c r="O93" s="25" t="s">
        <v>310</v>
      </c>
    </row>
    <row r="94" spans="1:15" x14ac:dyDescent="0.25">
      <c r="A94" s="25">
        <v>646</v>
      </c>
      <c r="B94" s="25" t="s">
        <v>573</v>
      </c>
      <c r="C94" s="25" t="s">
        <v>574</v>
      </c>
      <c r="D94" s="25" t="s">
        <v>575</v>
      </c>
      <c r="E94" s="31">
        <v>43605</v>
      </c>
      <c r="F94" s="31"/>
      <c r="G94" s="25" t="s">
        <v>576</v>
      </c>
      <c r="H94" s="32">
        <v>32</v>
      </c>
      <c r="I94" s="24">
        <v>66560</v>
      </c>
      <c r="J94" s="25" t="s">
        <v>393</v>
      </c>
      <c r="K94" s="25" t="s">
        <v>394</v>
      </c>
      <c r="L94" s="25">
        <v>900</v>
      </c>
      <c r="M94" s="25" t="s">
        <v>447</v>
      </c>
      <c r="N94" s="25" t="s">
        <v>448</v>
      </c>
      <c r="O94" s="25" t="s">
        <v>449</v>
      </c>
    </row>
    <row r="95" spans="1:15" x14ac:dyDescent="0.25">
      <c r="A95" s="25">
        <v>10082</v>
      </c>
      <c r="B95" s="25" t="s">
        <v>577</v>
      </c>
      <c r="C95" s="25" t="s">
        <v>312</v>
      </c>
      <c r="D95" s="25"/>
      <c r="E95" s="31">
        <v>44991</v>
      </c>
      <c r="F95" s="31">
        <v>45053</v>
      </c>
      <c r="G95" s="25" t="s">
        <v>578</v>
      </c>
      <c r="H95" s="32">
        <v>45</v>
      </c>
      <c r="I95" s="24">
        <v>93600</v>
      </c>
      <c r="J95" s="25" t="s">
        <v>454</v>
      </c>
      <c r="K95" s="25" t="s">
        <v>455</v>
      </c>
      <c r="L95" s="25">
        <v>900</v>
      </c>
      <c r="M95" s="25" t="s">
        <v>456</v>
      </c>
      <c r="N95" s="25">
        <v>2400</v>
      </c>
      <c r="O95" s="25" t="s">
        <v>457</v>
      </c>
    </row>
    <row r="96" spans="1:15" x14ac:dyDescent="0.25">
      <c r="A96" s="25">
        <v>10078</v>
      </c>
      <c r="B96" s="25" t="s">
        <v>767</v>
      </c>
      <c r="C96" s="25" t="s">
        <v>768</v>
      </c>
      <c r="D96" s="25" t="s">
        <v>747</v>
      </c>
      <c r="E96" s="31">
        <v>44951</v>
      </c>
      <c r="F96" s="31"/>
      <c r="G96" s="25" t="s">
        <v>769</v>
      </c>
      <c r="H96" s="32">
        <v>27</v>
      </c>
      <c r="I96" s="24">
        <v>59670</v>
      </c>
      <c r="J96" s="25" t="s">
        <v>328</v>
      </c>
      <c r="K96" s="25" t="s">
        <v>329</v>
      </c>
      <c r="L96" s="25">
        <v>936</v>
      </c>
      <c r="M96" s="25" t="s">
        <v>743</v>
      </c>
      <c r="N96" s="25">
        <v>7170</v>
      </c>
      <c r="O96" s="25" t="s">
        <v>766</v>
      </c>
    </row>
    <row r="97" spans="1:15" x14ac:dyDescent="0.25">
      <c r="A97" s="25">
        <v>473</v>
      </c>
      <c r="B97" s="25" t="s">
        <v>832</v>
      </c>
      <c r="C97" s="25" t="s">
        <v>833</v>
      </c>
      <c r="D97" s="25" t="s">
        <v>834</v>
      </c>
      <c r="E97" s="31">
        <v>42338</v>
      </c>
      <c r="F97" s="31">
        <v>44827</v>
      </c>
      <c r="G97" s="25" t="s">
        <v>835</v>
      </c>
      <c r="H97" s="32">
        <v>92000</v>
      </c>
      <c r="I97" s="24">
        <v>92000</v>
      </c>
      <c r="J97" s="25" t="s">
        <v>393</v>
      </c>
      <c r="K97" s="25" t="s">
        <v>394</v>
      </c>
      <c r="L97" s="25">
        <v>340</v>
      </c>
      <c r="M97" s="25" t="s">
        <v>164</v>
      </c>
      <c r="N97" s="25">
        <v>7170</v>
      </c>
      <c r="O97" s="25" t="s">
        <v>400</v>
      </c>
    </row>
    <row r="98" spans="1:15" x14ac:dyDescent="0.25">
      <c r="A98" s="25">
        <v>10051</v>
      </c>
      <c r="B98" s="25" t="s">
        <v>836</v>
      </c>
      <c r="C98" s="25" t="s">
        <v>837</v>
      </c>
      <c r="D98" s="25" t="s">
        <v>452</v>
      </c>
      <c r="E98" s="31">
        <v>44629</v>
      </c>
      <c r="F98" s="31">
        <v>44910</v>
      </c>
      <c r="G98" s="25" t="s">
        <v>838</v>
      </c>
      <c r="H98" s="32">
        <v>24</v>
      </c>
      <c r="I98" s="24">
        <v>31200</v>
      </c>
      <c r="J98" s="25" t="s">
        <v>454</v>
      </c>
      <c r="K98" s="25" t="s">
        <v>455</v>
      </c>
      <c r="L98" s="25">
        <v>900</v>
      </c>
      <c r="M98" s="25" t="s">
        <v>456</v>
      </c>
      <c r="N98" s="25">
        <v>2400</v>
      </c>
      <c r="O98" s="25" t="s">
        <v>457</v>
      </c>
    </row>
    <row r="99" spans="1:15" x14ac:dyDescent="0.25">
      <c r="A99" s="25">
        <v>664</v>
      </c>
      <c r="B99" s="25" t="s">
        <v>132</v>
      </c>
      <c r="C99" s="25" t="s">
        <v>133</v>
      </c>
      <c r="D99" s="25" t="s">
        <v>134</v>
      </c>
      <c r="E99" s="31">
        <v>43745</v>
      </c>
      <c r="F99" s="31"/>
      <c r="G99" s="25" t="s">
        <v>135</v>
      </c>
      <c r="H99" s="32">
        <v>32.47</v>
      </c>
      <c r="I99" s="24">
        <v>75979.8</v>
      </c>
      <c r="J99" s="25" t="s">
        <v>111</v>
      </c>
      <c r="K99" s="25" t="s">
        <v>112</v>
      </c>
      <c r="L99" s="25">
        <v>130</v>
      </c>
      <c r="M99" s="25" t="s">
        <v>113</v>
      </c>
      <c r="N99" s="25">
        <v>7190</v>
      </c>
      <c r="O99" s="25" t="s">
        <v>114</v>
      </c>
    </row>
    <row r="100" spans="1:15" x14ac:dyDescent="0.25">
      <c r="A100" s="25">
        <v>132</v>
      </c>
      <c r="B100" s="25" t="s">
        <v>582</v>
      </c>
      <c r="C100" s="25" t="s">
        <v>583</v>
      </c>
      <c r="D100" s="25" t="s">
        <v>584</v>
      </c>
      <c r="E100" s="31">
        <v>34681</v>
      </c>
      <c r="F100" s="31"/>
      <c r="G100" s="25" t="s">
        <v>585</v>
      </c>
      <c r="H100" s="32">
        <v>85280</v>
      </c>
      <c r="I100" s="24">
        <v>85280</v>
      </c>
      <c r="J100" s="25" t="s">
        <v>454</v>
      </c>
      <c r="K100" s="25" t="s">
        <v>455</v>
      </c>
      <c r="L100" s="25">
        <v>900</v>
      </c>
      <c r="M100" s="25" t="s">
        <v>456</v>
      </c>
      <c r="N100" s="25">
        <v>2400</v>
      </c>
      <c r="O100" s="25" t="s">
        <v>457</v>
      </c>
    </row>
    <row r="101" spans="1:15" x14ac:dyDescent="0.25">
      <c r="A101" s="25">
        <v>10071</v>
      </c>
      <c r="B101" s="25" t="s">
        <v>839</v>
      </c>
      <c r="C101" s="25" t="s">
        <v>840</v>
      </c>
      <c r="D101" s="25" t="s">
        <v>238</v>
      </c>
      <c r="E101" s="31">
        <v>44861</v>
      </c>
      <c r="F101" s="31">
        <v>44953</v>
      </c>
      <c r="G101" s="25" t="s">
        <v>841</v>
      </c>
      <c r="H101" s="32">
        <v>22.5</v>
      </c>
      <c r="I101" s="24">
        <v>46800</v>
      </c>
      <c r="J101" s="25" t="s">
        <v>111</v>
      </c>
      <c r="K101" s="25" t="s">
        <v>112</v>
      </c>
      <c r="L101" s="25">
        <v>150</v>
      </c>
      <c r="M101" s="25" t="s">
        <v>234</v>
      </c>
      <c r="N101" s="25">
        <v>7190</v>
      </c>
      <c r="O101" s="25" t="s">
        <v>235</v>
      </c>
    </row>
    <row r="102" spans="1:15" x14ac:dyDescent="0.25">
      <c r="A102" s="25">
        <v>613</v>
      </c>
      <c r="B102" s="25" t="s">
        <v>31</v>
      </c>
      <c r="C102" s="25" t="s">
        <v>842</v>
      </c>
      <c r="D102" s="25" t="s">
        <v>488</v>
      </c>
      <c r="E102" s="31">
        <v>43234</v>
      </c>
      <c r="F102" s="31">
        <v>44848</v>
      </c>
      <c r="G102" s="25" t="s">
        <v>843</v>
      </c>
      <c r="H102" s="32">
        <v>34</v>
      </c>
      <c r="I102" s="24">
        <v>70720</v>
      </c>
      <c r="J102" s="25" t="s">
        <v>111</v>
      </c>
      <c r="K102" s="25" t="s">
        <v>112</v>
      </c>
      <c r="L102" s="25">
        <v>900</v>
      </c>
      <c r="M102" s="25" t="s">
        <v>447</v>
      </c>
      <c r="N102" s="25">
        <v>1570</v>
      </c>
      <c r="O102" s="25" t="s">
        <v>478</v>
      </c>
    </row>
    <row r="103" spans="1:15" x14ac:dyDescent="0.25">
      <c r="A103" s="25">
        <v>233</v>
      </c>
      <c r="B103" s="25" t="s">
        <v>31</v>
      </c>
      <c r="C103" s="25" t="s">
        <v>32</v>
      </c>
      <c r="D103" s="25" t="s">
        <v>21</v>
      </c>
      <c r="E103" s="31">
        <v>38908</v>
      </c>
      <c r="F103" s="31"/>
      <c r="G103" s="25" t="s">
        <v>33</v>
      </c>
      <c r="H103" s="32">
        <v>45000</v>
      </c>
      <c r="I103" s="24">
        <v>45000</v>
      </c>
      <c r="J103" s="25" t="s">
        <v>23</v>
      </c>
      <c r="K103" s="25" t="s">
        <v>24</v>
      </c>
      <c r="L103" s="25">
        <v>110</v>
      </c>
      <c r="M103" s="25" t="s">
        <v>25</v>
      </c>
      <c r="N103" s="25">
        <v>7000</v>
      </c>
      <c r="O103" s="25" t="s">
        <v>26</v>
      </c>
    </row>
    <row r="104" spans="1:15" x14ac:dyDescent="0.25">
      <c r="A104" s="25">
        <v>10045</v>
      </c>
      <c r="B104" s="25" t="s">
        <v>844</v>
      </c>
      <c r="C104" s="25" t="s">
        <v>845</v>
      </c>
      <c r="D104" s="25" t="s">
        <v>488</v>
      </c>
      <c r="E104" s="31">
        <v>44621</v>
      </c>
      <c r="F104" s="31">
        <v>44743</v>
      </c>
      <c r="G104" s="25" t="s">
        <v>846</v>
      </c>
      <c r="H104" s="32">
        <v>30</v>
      </c>
      <c r="I104" s="24">
        <v>62400</v>
      </c>
      <c r="J104" s="25" t="s">
        <v>111</v>
      </c>
      <c r="K104" s="25" t="s">
        <v>112</v>
      </c>
      <c r="L104" s="25">
        <v>900</v>
      </c>
      <c r="M104" s="25" t="s">
        <v>447</v>
      </c>
      <c r="N104" s="25">
        <v>1570</v>
      </c>
      <c r="O104" s="25" t="s">
        <v>478</v>
      </c>
    </row>
    <row r="105" spans="1:15" x14ac:dyDescent="0.25">
      <c r="A105" s="25">
        <v>10033</v>
      </c>
      <c r="B105" s="25" t="s">
        <v>847</v>
      </c>
      <c r="C105" s="25" t="s">
        <v>848</v>
      </c>
      <c r="D105" s="25" t="s">
        <v>459</v>
      </c>
      <c r="E105" s="31">
        <v>44529</v>
      </c>
      <c r="F105" s="31">
        <v>44932</v>
      </c>
      <c r="G105" s="25" t="s">
        <v>849</v>
      </c>
      <c r="H105" s="32">
        <v>23</v>
      </c>
      <c r="I105" s="24">
        <v>47840</v>
      </c>
      <c r="J105" s="25" t="s">
        <v>393</v>
      </c>
      <c r="K105" s="25" t="s">
        <v>394</v>
      </c>
      <c r="L105" s="25">
        <v>900</v>
      </c>
      <c r="M105" s="25" t="s">
        <v>447</v>
      </c>
      <c r="N105" s="25" t="s">
        <v>448</v>
      </c>
      <c r="O105" s="25" t="s">
        <v>449</v>
      </c>
    </row>
    <row r="106" spans="1:15" x14ac:dyDescent="0.25">
      <c r="A106" s="25">
        <v>678</v>
      </c>
      <c r="B106" s="25" t="s">
        <v>850</v>
      </c>
      <c r="C106" s="25" t="s">
        <v>851</v>
      </c>
      <c r="D106" s="25" t="s">
        <v>785</v>
      </c>
      <c r="E106" s="31">
        <v>43892</v>
      </c>
      <c r="F106" s="31">
        <v>44872</v>
      </c>
      <c r="G106" s="25" t="s">
        <v>852</v>
      </c>
      <c r="H106" s="32">
        <v>24</v>
      </c>
      <c r="I106" s="24">
        <v>49920</v>
      </c>
      <c r="J106" s="25" t="s">
        <v>111</v>
      </c>
      <c r="K106" s="25" t="s">
        <v>112</v>
      </c>
      <c r="L106" s="25">
        <v>140</v>
      </c>
      <c r="M106" s="25" t="s">
        <v>164</v>
      </c>
      <c r="N106" s="25">
        <v>7190</v>
      </c>
      <c r="O106" s="25" t="s">
        <v>165</v>
      </c>
    </row>
    <row r="107" spans="1:15" x14ac:dyDescent="0.25">
      <c r="A107" s="25">
        <v>633</v>
      </c>
      <c r="B107" s="25" t="s">
        <v>34</v>
      </c>
      <c r="C107" s="25" t="s">
        <v>586</v>
      </c>
      <c r="D107" s="25" t="s">
        <v>476</v>
      </c>
      <c r="E107" s="31">
        <v>43398</v>
      </c>
      <c r="F107" s="31"/>
      <c r="G107" s="25" t="s">
        <v>587</v>
      </c>
      <c r="H107" s="32">
        <v>27</v>
      </c>
      <c r="I107" s="24">
        <v>56160</v>
      </c>
      <c r="J107" s="25" t="s">
        <v>111</v>
      </c>
      <c r="K107" s="25" t="s">
        <v>112</v>
      </c>
      <c r="L107" s="25">
        <v>900</v>
      </c>
      <c r="M107" s="25" t="s">
        <v>447</v>
      </c>
      <c r="N107" s="25">
        <v>1570</v>
      </c>
      <c r="O107" s="25" t="s">
        <v>478</v>
      </c>
    </row>
    <row r="108" spans="1:15" x14ac:dyDescent="0.25">
      <c r="A108" s="25">
        <v>504</v>
      </c>
      <c r="B108" s="25" t="s">
        <v>34</v>
      </c>
      <c r="C108" s="25" t="s">
        <v>35</v>
      </c>
      <c r="D108" s="25" t="s">
        <v>36</v>
      </c>
      <c r="E108" s="31">
        <v>42576</v>
      </c>
      <c r="F108" s="31"/>
      <c r="G108" s="25" t="s">
        <v>37</v>
      </c>
      <c r="H108" s="32">
        <v>21.84</v>
      </c>
      <c r="I108" s="24">
        <v>45427.199999999997</v>
      </c>
      <c r="J108" s="25" t="s">
        <v>23</v>
      </c>
      <c r="K108" s="25" t="s">
        <v>24</v>
      </c>
      <c r="L108" s="25">
        <v>110</v>
      </c>
      <c r="M108" s="25" t="s">
        <v>25</v>
      </c>
      <c r="N108" s="25">
        <v>7190</v>
      </c>
      <c r="O108" s="25" t="s">
        <v>38</v>
      </c>
    </row>
    <row r="109" spans="1:15" x14ac:dyDescent="0.25">
      <c r="A109" s="25">
        <v>635</v>
      </c>
      <c r="B109" s="25" t="s">
        <v>588</v>
      </c>
      <c r="C109" s="25" t="s">
        <v>589</v>
      </c>
      <c r="D109" s="25" t="s">
        <v>476</v>
      </c>
      <c r="E109" s="31">
        <v>43434</v>
      </c>
      <c r="F109" s="31"/>
      <c r="G109" s="25" t="s">
        <v>590</v>
      </c>
      <c r="H109" s="32">
        <v>27</v>
      </c>
      <c r="I109" s="24">
        <v>56160</v>
      </c>
      <c r="J109" s="25" t="s">
        <v>111</v>
      </c>
      <c r="K109" s="25" t="s">
        <v>112</v>
      </c>
      <c r="L109" s="25">
        <v>900</v>
      </c>
      <c r="M109" s="25" t="s">
        <v>447</v>
      </c>
      <c r="N109" s="25">
        <v>1570</v>
      </c>
      <c r="O109" s="25" t="s">
        <v>478</v>
      </c>
    </row>
    <row r="110" spans="1:15" x14ac:dyDescent="0.25">
      <c r="A110" s="25">
        <v>571</v>
      </c>
      <c r="B110" s="25" t="s">
        <v>66</v>
      </c>
      <c r="C110" s="25" t="s">
        <v>67</v>
      </c>
      <c r="D110" s="25" t="s">
        <v>62</v>
      </c>
      <c r="E110" s="31">
        <v>42919</v>
      </c>
      <c r="F110" s="31"/>
      <c r="G110" s="25" t="s">
        <v>68</v>
      </c>
      <c r="H110" s="32">
        <v>75000</v>
      </c>
      <c r="I110" s="24">
        <v>75000</v>
      </c>
      <c r="J110" s="25" t="s">
        <v>23</v>
      </c>
      <c r="K110" s="25" t="s">
        <v>24</v>
      </c>
      <c r="L110" s="25">
        <v>112</v>
      </c>
      <c r="M110" s="25" t="s">
        <v>64</v>
      </c>
      <c r="N110" s="25">
        <v>7000</v>
      </c>
      <c r="O110" s="25" t="s">
        <v>65</v>
      </c>
    </row>
    <row r="111" spans="1:15" x14ac:dyDescent="0.25">
      <c r="A111" s="25">
        <v>10043</v>
      </c>
      <c r="B111" s="25" t="s">
        <v>853</v>
      </c>
      <c r="C111" s="25" t="s">
        <v>854</v>
      </c>
      <c r="D111" s="25" t="s">
        <v>488</v>
      </c>
      <c r="E111" s="31">
        <v>44579</v>
      </c>
      <c r="F111" s="31">
        <v>44802</v>
      </c>
      <c r="G111" s="25" t="s">
        <v>855</v>
      </c>
      <c r="H111" s="32">
        <v>30</v>
      </c>
      <c r="I111" s="24">
        <v>62400</v>
      </c>
      <c r="J111" s="25" t="s">
        <v>111</v>
      </c>
      <c r="K111" s="25" t="s">
        <v>112</v>
      </c>
      <c r="L111" s="25">
        <v>900</v>
      </c>
      <c r="M111" s="25" t="s">
        <v>447</v>
      </c>
      <c r="N111" s="25">
        <v>1570</v>
      </c>
      <c r="O111" s="25" t="s">
        <v>478</v>
      </c>
    </row>
    <row r="112" spans="1:15" x14ac:dyDescent="0.25">
      <c r="A112" s="25">
        <v>10079</v>
      </c>
      <c r="B112" s="25" t="s">
        <v>594</v>
      </c>
      <c r="C112" s="25" t="s">
        <v>595</v>
      </c>
      <c r="D112" s="25" t="s">
        <v>596</v>
      </c>
      <c r="E112" s="31">
        <v>44963</v>
      </c>
      <c r="F112" s="31"/>
      <c r="G112" s="25" t="s">
        <v>597</v>
      </c>
      <c r="H112" s="32">
        <v>63860</v>
      </c>
      <c r="I112" s="24">
        <v>63860</v>
      </c>
      <c r="J112" s="25" t="s">
        <v>454</v>
      </c>
      <c r="K112" s="25" t="s">
        <v>455</v>
      </c>
      <c r="L112" s="25">
        <v>900</v>
      </c>
      <c r="M112" s="25" t="s">
        <v>456</v>
      </c>
      <c r="N112" s="25">
        <v>2400</v>
      </c>
      <c r="O112" s="25" t="s">
        <v>457</v>
      </c>
    </row>
    <row r="113" spans="1:15" x14ac:dyDescent="0.25">
      <c r="A113" s="25">
        <v>659</v>
      </c>
      <c r="B113" s="25" t="s">
        <v>856</v>
      </c>
      <c r="C113" s="25" t="s">
        <v>857</v>
      </c>
      <c r="D113" s="25" t="s">
        <v>858</v>
      </c>
      <c r="E113" s="31">
        <v>43671</v>
      </c>
      <c r="F113" s="31">
        <v>44946</v>
      </c>
      <c r="G113" s="25" t="s">
        <v>859</v>
      </c>
      <c r="H113" s="32">
        <v>65000</v>
      </c>
      <c r="I113" s="24">
        <v>65000</v>
      </c>
      <c r="J113" s="25" t="s">
        <v>23</v>
      </c>
      <c r="K113" s="25" t="s">
        <v>24</v>
      </c>
      <c r="L113" s="25">
        <v>112</v>
      </c>
      <c r="M113" s="25" t="s">
        <v>64</v>
      </c>
      <c r="N113" s="25">
        <v>7190</v>
      </c>
      <c r="O113" s="25" t="s">
        <v>860</v>
      </c>
    </row>
    <row r="114" spans="1:15" x14ac:dyDescent="0.25">
      <c r="A114" s="25">
        <v>10003</v>
      </c>
      <c r="B114" s="25" t="s">
        <v>861</v>
      </c>
      <c r="C114" s="25" t="s">
        <v>862</v>
      </c>
      <c r="D114" s="25" t="s">
        <v>863</v>
      </c>
      <c r="E114" s="31">
        <v>44361</v>
      </c>
      <c r="F114" s="31">
        <v>44911</v>
      </c>
      <c r="G114" s="25" t="s">
        <v>864</v>
      </c>
      <c r="H114" s="32">
        <v>23</v>
      </c>
      <c r="I114" s="24">
        <v>47840</v>
      </c>
      <c r="J114" s="25" t="s">
        <v>328</v>
      </c>
      <c r="K114" s="25" t="s">
        <v>329</v>
      </c>
      <c r="L114" s="25">
        <v>240</v>
      </c>
      <c r="M114" s="25" t="s">
        <v>164</v>
      </c>
      <c r="N114" s="25">
        <v>7190</v>
      </c>
      <c r="O114" s="25" t="s">
        <v>333</v>
      </c>
    </row>
    <row r="115" spans="1:15" x14ac:dyDescent="0.25">
      <c r="A115" s="25">
        <v>494</v>
      </c>
      <c r="B115" s="25" t="s">
        <v>369</v>
      </c>
      <c r="C115" s="25" t="s">
        <v>370</v>
      </c>
      <c r="D115" s="25" t="s">
        <v>197</v>
      </c>
      <c r="E115" s="31">
        <v>42541</v>
      </c>
      <c r="F115" s="31"/>
      <c r="G115" s="25" t="s">
        <v>371</v>
      </c>
      <c r="H115" s="32">
        <v>92000</v>
      </c>
      <c r="I115" s="24">
        <v>92000</v>
      </c>
      <c r="J115" s="25" t="s">
        <v>328</v>
      </c>
      <c r="K115" s="25" t="s">
        <v>329</v>
      </c>
      <c r="L115" s="25">
        <v>240</v>
      </c>
      <c r="M115" s="25" t="s">
        <v>164</v>
      </c>
      <c r="N115" s="25">
        <v>7170</v>
      </c>
      <c r="O115" s="25" t="s">
        <v>363</v>
      </c>
    </row>
    <row r="116" spans="1:15" x14ac:dyDescent="0.25">
      <c r="A116" s="25">
        <v>10040</v>
      </c>
      <c r="B116" s="25" t="s">
        <v>598</v>
      </c>
      <c r="C116" s="25" t="s">
        <v>599</v>
      </c>
      <c r="D116" s="25" t="s">
        <v>543</v>
      </c>
      <c r="E116" s="31">
        <v>44571</v>
      </c>
      <c r="F116" s="31"/>
      <c r="G116" s="25" t="s">
        <v>600</v>
      </c>
      <c r="H116" s="32">
        <v>28.846</v>
      </c>
      <c r="I116" s="24">
        <v>59999.68</v>
      </c>
      <c r="J116" s="25" t="s">
        <v>454</v>
      </c>
      <c r="K116" s="25" t="s">
        <v>455</v>
      </c>
      <c r="L116" s="25">
        <v>900</v>
      </c>
      <c r="M116" s="25" t="s">
        <v>456</v>
      </c>
      <c r="N116" s="25">
        <v>2400</v>
      </c>
      <c r="O116" s="25" t="s">
        <v>457</v>
      </c>
    </row>
    <row r="117" spans="1:15" x14ac:dyDescent="0.25">
      <c r="A117" s="25">
        <v>10059</v>
      </c>
      <c r="B117" s="25" t="s">
        <v>136</v>
      </c>
      <c r="C117" s="25" t="s">
        <v>601</v>
      </c>
      <c r="D117" s="25" t="s">
        <v>602</v>
      </c>
      <c r="E117" s="31">
        <v>44795</v>
      </c>
      <c r="F117" s="31"/>
      <c r="G117" s="25" t="s">
        <v>603</v>
      </c>
      <c r="H117" s="32">
        <v>97850</v>
      </c>
      <c r="I117" s="24">
        <v>97850</v>
      </c>
      <c r="J117" s="25" t="s">
        <v>454</v>
      </c>
      <c r="K117" s="25" t="s">
        <v>455</v>
      </c>
      <c r="L117" s="25">
        <v>900</v>
      </c>
      <c r="M117" s="25" t="s">
        <v>456</v>
      </c>
      <c r="N117" s="25">
        <v>2400</v>
      </c>
      <c r="O117" s="25" t="s">
        <v>457</v>
      </c>
    </row>
    <row r="118" spans="1:15" x14ac:dyDescent="0.25">
      <c r="A118" s="25">
        <v>543</v>
      </c>
      <c r="B118" s="25" t="s">
        <v>136</v>
      </c>
      <c r="C118" s="25" t="s">
        <v>137</v>
      </c>
      <c r="D118" s="25" t="s">
        <v>138</v>
      </c>
      <c r="E118" s="31">
        <v>42793</v>
      </c>
      <c r="F118" s="31"/>
      <c r="G118" s="25" t="s">
        <v>139</v>
      </c>
      <c r="H118" s="32">
        <v>30.77</v>
      </c>
      <c r="I118" s="24">
        <v>72001.8</v>
      </c>
      <c r="J118" s="25" t="s">
        <v>111</v>
      </c>
      <c r="K118" s="25" t="s">
        <v>112</v>
      </c>
      <c r="L118" s="25">
        <v>130</v>
      </c>
      <c r="M118" s="25" t="s">
        <v>113</v>
      </c>
      <c r="N118" s="25">
        <v>7190</v>
      </c>
      <c r="O118" s="25" t="s">
        <v>114</v>
      </c>
    </row>
    <row r="119" spans="1:15" x14ac:dyDescent="0.25">
      <c r="A119" s="25">
        <v>10050</v>
      </c>
      <c r="B119" s="25" t="s">
        <v>432</v>
      </c>
      <c r="C119" s="25" t="s">
        <v>433</v>
      </c>
      <c r="D119" s="25" t="s">
        <v>172</v>
      </c>
      <c r="E119" s="31">
        <v>44620</v>
      </c>
      <c r="F119" s="31"/>
      <c r="G119" s="25" t="s">
        <v>434</v>
      </c>
      <c r="H119" s="32">
        <v>29.81</v>
      </c>
      <c r="I119" s="24">
        <v>65880.100000000006</v>
      </c>
      <c r="J119" s="25" t="s">
        <v>415</v>
      </c>
      <c r="K119" s="25" t="s">
        <v>416</v>
      </c>
      <c r="L119" s="25">
        <v>440</v>
      </c>
      <c r="M119" s="25" t="s">
        <v>164</v>
      </c>
      <c r="N119" s="25">
        <v>7190</v>
      </c>
      <c r="O119" s="25" t="s">
        <v>422</v>
      </c>
    </row>
    <row r="120" spans="1:15" x14ac:dyDescent="0.25">
      <c r="A120" s="25">
        <v>10048</v>
      </c>
      <c r="B120" s="25" t="s">
        <v>865</v>
      </c>
      <c r="C120" s="25" t="s">
        <v>402</v>
      </c>
      <c r="D120" s="25" t="s">
        <v>74</v>
      </c>
      <c r="E120" s="31">
        <v>44621</v>
      </c>
      <c r="F120" s="31">
        <v>44957</v>
      </c>
      <c r="G120" s="25" t="s">
        <v>866</v>
      </c>
      <c r="H120" s="32">
        <v>55000</v>
      </c>
      <c r="I120" s="24">
        <v>55000</v>
      </c>
      <c r="J120" s="25" t="s">
        <v>23</v>
      </c>
      <c r="K120" s="25" t="s">
        <v>24</v>
      </c>
      <c r="L120" s="25">
        <v>112</v>
      </c>
      <c r="M120" s="25" t="s">
        <v>64</v>
      </c>
      <c r="N120" s="25">
        <v>7000</v>
      </c>
      <c r="O120" s="25" t="s">
        <v>65</v>
      </c>
    </row>
    <row r="121" spans="1:15" x14ac:dyDescent="0.25">
      <c r="A121" s="25">
        <v>10018</v>
      </c>
      <c r="B121" s="25" t="s">
        <v>867</v>
      </c>
      <c r="C121" s="25" t="s">
        <v>868</v>
      </c>
      <c r="D121" s="25" t="s">
        <v>413</v>
      </c>
      <c r="E121" s="31">
        <v>44424</v>
      </c>
      <c r="F121" s="31">
        <v>44752</v>
      </c>
      <c r="G121" s="25" t="s">
        <v>869</v>
      </c>
      <c r="H121" s="32">
        <v>32.65</v>
      </c>
      <c r="I121" s="24">
        <v>76401</v>
      </c>
      <c r="J121" s="25" t="s">
        <v>415</v>
      </c>
      <c r="K121" s="25" t="s">
        <v>416</v>
      </c>
      <c r="L121" s="25">
        <v>430</v>
      </c>
      <c r="M121" s="25" t="s">
        <v>113</v>
      </c>
      <c r="N121" s="25">
        <v>7190</v>
      </c>
      <c r="O121" s="25" t="s">
        <v>417</v>
      </c>
    </row>
    <row r="122" spans="1:15" x14ac:dyDescent="0.25">
      <c r="A122" s="25">
        <v>10053</v>
      </c>
      <c r="B122" s="25" t="s">
        <v>754</v>
      </c>
      <c r="C122" s="25" t="s">
        <v>755</v>
      </c>
      <c r="D122" s="25" t="s">
        <v>756</v>
      </c>
      <c r="E122" s="31">
        <v>44641</v>
      </c>
      <c r="F122" s="31"/>
      <c r="G122" s="25" t="s">
        <v>757</v>
      </c>
      <c r="H122" s="32">
        <v>27</v>
      </c>
      <c r="I122" s="24">
        <v>63180</v>
      </c>
      <c r="J122" s="25" t="s">
        <v>111</v>
      </c>
      <c r="K122" s="25" t="s">
        <v>112</v>
      </c>
      <c r="L122" s="25">
        <v>935</v>
      </c>
      <c r="M122" s="25" t="s">
        <v>743</v>
      </c>
      <c r="N122" s="25">
        <v>7190</v>
      </c>
      <c r="O122" s="25" t="s">
        <v>749</v>
      </c>
    </row>
    <row r="123" spans="1:15" x14ac:dyDescent="0.25">
      <c r="A123" s="25">
        <v>453</v>
      </c>
      <c r="B123" s="25" t="s">
        <v>604</v>
      </c>
      <c r="C123" s="25" t="s">
        <v>605</v>
      </c>
      <c r="D123" s="25" t="s">
        <v>606</v>
      </c>
      <c r="E123" s="31">
        <v>38973</v>
      </c>
      <c r="F123" s="31"/>
      <c r="G123" s="25" t="s">
        <v>607</v>
      </c>
      <c r="H123" s="32">
        <v>31.25</v>
      </c>
      <c r="I123" s="24">
        <v>48750</v>
      </c>
      <c r="J123" s="25" t="s">
        <v>454</v>
      </c>
      <c r="K123" s="25" t="s">
        <v>455</v>
      </c>
      <c r="L123" s="25">
        <v>900</v>
      </c>
      <c r="M123" s="25" t="s">
        <v>456</v>
      </c>
      <c r="N123" s="25">
        <v>2400</v>
      </c>
      <c r="O123" s="25" t="s">
        <v>457</v>
      </c>
    </row>
    <row r="124" spans="1:15" x14ac:dyDescent="0.25">
      <c r="A124" s="25">
        <v>515</v>
      </c>
      <c r="B124" s="25" t="s">
        <v>608</v>
      </c>
      <c r="C124" s="25" t="s">
        <v>609</v>
      </c>
      <c r="D124" s="25" t="s">
        <v>248</v>
      </c>
      <c r="E124" s="31">
        <v>42618</v>
      </c>
      <c r="F124" s="31"/>
      <c r="G124" s="25" t="s">
        <v>610</v>
      </c>
      <c r="H124" s="32">
        <v>22.5</v>
      </c>
      <c r="I124" s="24">
        <v>46800</v>
      </c>
      <c r="J124" s="25" t="s">
        <v>111</v>
      </c>
      <c r="K124" s="25" t="s">
        <v>112</v>
      </c>
      <c r="L124" s="25">
        <v>900</v>
      </c>
      <c r="M124" s="25" t="s">
        <v>447</v>
      </c>
      <c r="N124" s="25">
        <v>1571</v>
      </c>
      <c r="O124" s="25" t="s">
        <v>467</v>
      </c>
    </row>
    <row r="125" spans="1:15" x14ac:dyDescent="0.25">
      <c r="A125" s="25">
        <v>10067</v>
      </c>
      <c r="B125" s="25" t="s">
        <v>243</v>
      </c>
      <c r="C125" s="25" t="s">
        <v>244</v>
      </c>
      <c r="D125" s="25" t="s">
        <v>238</v>
      </c>
      <c r="E125" s="31">
        <v>44824</v>
      </c>
      <c r="F125" s="31">
        <v>45231</v>
      </c>
      <c r="G125" s="25" t="s">
        <v>245</v>
      </c>
      <c r="H125" s="32">
        <v>24</v>
      </c>
      <c r="I125" s="24">
        <v>49920</v>
      </c>
      <c r="J125" s="25" t="s">
        <v>111</v>
      </c>
      <c r="K125" s="25" t="s">
        <v>112</v>
      </c>
      <c r="L125" s="25">
        <v>150</v>
      </c>
      <c r="M125" s="25" t="s">
        <v>234</v>
      </c>
      <c r="N125" s="25">
        <v>7190</v>
      </c>
      <c r="O125" s="25" t="s">
        <v>235</v>
      </c>
    </row>
    <row r="126" spans="1:15" x14ac:dyDescent="0.25">
      <c r="A126" s="25">
        <v>603</v>
      </c>
      <c r="B126" s="25" t="s">
        <v>411</v>
      </c>
      <c r="C126" s="25" t="s">
        <v>412</v>
      </c>
      <c r="D126" s="25" t="s">
        <v>413</v>
      </c>
      <c r="E126" s="31">
        <v>43178</v>
      </c>
      <c r="F126" s="31"/>
      <c r="G126" s="25" t="s">
        <v>414</v>
      </c>
      <c r="H126" s="32">
        <v>30.77</v>
      </c>
      <c r="I126" s="24">
        <v>72001.8</v>
      </c>
      <c r="J126" s="25" t="s">
        <v>415</v>
      </c>
      <c r="K126" s="25" t="s">
        <v>416</v>
      </c>
      <c r="L126" s="25">
        <v>430</v>
      </c>
      <c r="M126" s="25" t="s">
        <v>113</v>
      </c>
      <c r="N126" s="25">
        <v>7190</v>
      </c>
      <c r="O126" s="25" t="s">
        <v>417</v>
      </c>
    </row>
    <row r="127" spans="1:15" x14ac:dyDescent="0.25">
      <c r="A127" s="25">
        <v>512</v>
      </c>
      <c r="B127" s="25" t="s">
        <v>390</v>
      </c>
      <c r="C127" s="25" t="s">
        <v>391</v>
      </c>
      <c r="D127" s="25" t="s">
        <v>134</v>
      </c>
      <c r="E127" s="31">
        <v>42605</v>
      </c>
      <c r="F127" s="31"/>
      <c r="G127" s="25" t="s">
        <v>392</v>
      </c>
      <c r="H127" s="32">
        <v>27.35</v>
      </c>
      <c r="I127" s="24">
        <v>63999</v>
      </c>
      <c r="J127" s="25" t="s">
        <v>393</v>
      </c>
      <c r="K127" s="25" t="s">
        <v>394</v>
      </c>
      <c r="L127" s="25">
        <v>330</v>
      </c>
      <c r="M127" s="25" t="s">
        <v>113</v>
      </c>
      <c r="N127" s="25">
        <v>7190</v>
      </c>
      <c r="O127" s="25" t="s">
        <v>395</v>
      </c>
    </row>
    <row r="128" spans="1:15" x14ac:dyDescent="0.25">
      <c r="A128" s="25">
        <v>653</v>
      </c>
      <c r="B128" s="25" t="s">
        <v>611</v>
      </c>
      <c r="C128" s="25" t="s">
        <v>330</v>
      </c>
      <c r="D128" s="25" t="s">
        <v>445</v>
      </c>
      <c r="E128" s="31">
        <v>43640</v>
      </c>
      <c r="F128" s="31"/>
      <c r="G128" s="25" t="s">
        <v>612</v>
      </c>
      <c r="H128" s="32">
        <v>30</v>
      </c>
      <c r="I128" s="24">
        <v>62400</v>
      </c>
      <c r="J128" s="25" t="s">
        <v>393</v>
      </c>
      <c r="K128" s="25" t="s">
        <v>394</v>
      </c>
      <c r="L128" s="25">
        <v>900</v>
      </c>
      <c r="M128" s="25" t="s">
        <v>447</v>
      </c>
      <c r="N128" s="25" t="s">
        <v>448</v>
      </c>
      <c r="O128" s="25" t="s">
        <v>449</v>
      </c>
    </row>
    <row r="129" spans="1:15" x14ac:dyDescent="0.25">
      <c r="A129" s="25">
        <v>718</v>
      </c>
      <c r="B129" s="25" t="s">
        <v>870</v>
      </c>
      <c r="C129" s="25" t="s">
        <v>871</v>
      </c>
      <c r="D129" s="25" t="s">
        <v>872</v>
      </c>
      <c r="E129" s="31">
        <v>44326</v>
      </c>
      <c r="F129" s="31">
        <v>44835</v>
      </c>
      <c r="G129" s="25" t="s">
        <v>873</v>
      </c>
      <c r="H129" s="32">
        <v>22.5</v>
      </c>
      <c r="I129" s="24">
        <v>46800</v>
      </c>
      <c r="J129" s="25" t="s">
        <v>111</v>
      </c>
      <c r="K129" s="25" t="s">
        <v>112</v>
      </c>
      <c r="L129" s="25">
        <v>150</v>
      </c>
      <c r="M129" s="25" t="s">
        <v>234</v>
      </c>
      <c r="N129" s="25">
        <v>7190</v>
      </c>
      <c r="O129" s="25" t="s">
        <v>235</v>
      </c>
    </row>
    <row r="130" spans="1:15" x14ac:dyDescent="0.25">
      <c r="A130" s="25">
        <v>342</v>
      </c>
      <c r="B130" s="25" t="s">
        <v>617</v>
      </c>
      <c r="C130" s="25" t="s">
        <v>618</v>
      </c>
      <c r="D130" s="25" t="s">
        <v>488</v>
      </c>
      <c r="E130" s="31">
        <v>37830</v>
      </c>
      <c r="F130" s="31"/>
      <c r="G130" s="25" t="s">
        <v>619</v>
      </c>
      <c r="H130" s="32">
        <v>30</v>
      </c>
      <c r="I130" s="24">
        <v>62400</v>
      </c>
      <c r="J130" s="25" t="s">
        <v>415</v>
      </c>
      <c r="K130" s="25" t="s">
        <v>416</v>
      </c>
      <c r="L130" s="25">
        <v>900</v>
      </c>
      <c r="M130" s="25" t="s">
        <v>447</v>
      </c>
      <c r="N130" s="25" t="s">
        <v>461</v>
      </c>
      <c r="O130" s="25" t="s">
        <v>462</v>
      </c>
    </row>
    <row r="131" spans="1:15" x14ac:dyDescent="0.25">
      <c r="A131" s="25">
        <v>461</v>
      </c>
      <c r="B131" s="25" t="s">
        <v>874</v>
      </c>
      <c r="C131" s="25" t="s">
        <v>875</v>
      </c>
      <c r="D131" s="25" t="s">
        <v>636</v>
      </c>
      <c r="E131" s="31">
        <v>42170</v>
      </c>
      <c r="F131" s="31">
        <v>44757</v>
      </c>
      <c r="G131" s="25" t="s">
        <v>876</v>
      </c>
      <c r="H131" s="32">
        <v>33</v>
      </c>
      <c r="I131" s="24">
        <v>68640</v>
      </c>
      <c r="J131" s="25" t="s">
        <v>328</v>
      </c>
      <c r="K131" s="25" t="s">
        <v>329</v>
      </c>
      <c r="L131" s="25">
        <v>900</v>
      </c>
      <c r="M131" s="25" t="s">
        <v>164</v>
      </c>
      <c r="N131" s="25" t="s">
        <v>472</v>
      </c>
      <c r="O131" s="25" t="s">
        <v>473</v>
      </c>
    </row>
    <row r="132" spans="1:15" x14ac:dyDescent="0.25">
      <c r="A132" s="25">
        <v>628</v>
      </c>
      <c r="B132" s="25" t="s">
        <v>375</v>
      </c>
      <c r="C132" s="25" t="s">
        <v>376</v>
      </c>
      <c r="D132" s="25" t="s">
        <v>377</v>
      </c>
      <c r="E132" s="31">
        <v>43377</v>
      </c>
      <c r="F132" s="31"/>
      <c r="G132" s="25" t="s">
        <v>378</v>
      </c>
      <c r="H132" s="32">
        <v>27.5</v>
      </c>
      <c r="I132" s="24">
        <v>57200</v>
      </c>
      <c r="J132" s="25" t="s">
        <v>328</v>
      </c>
      <c r="K132" s="25" t="s">
        <v>329</v>
      </c>
      <c r="L132" s="25">
        <v>240</v>
      </c>
      <c r="M132" s="25" t="s">
        <v>164</v>
      </c>
      <c r="N132" s="25">
        <v>7190</v>
      </c>
      <c r="O132" s="25" t="s">
        <v>333</v>
      </c>
    </row>
    <row r="133" spans="1:15" x14ac:dyDescent="0.25">
      <c r="A133" s="25">
        <v>10032</v>
      </c>
      <c r="B133" s="25" t="s">
        <v>877</v>
      </c>
      <c r="C133" s="25" t="s">
        <v>878</v>
      </c>
      <c r="D133" s="25" t="s">
        <v>238</v>
      </c>
      <c r="E133" s="31">
        <v>44529</v>
      </c>
      <c r="F133" s="31">
        <v>44698</v>
      </c>
      <c r="G133" s="25" t="s">
        <v>879</v>
      </c>
      <c r="H133" s="32">
        <v>21.84</v>
      </c>
      <c r="I133" s="24">
        <v>45427.199999999997</v>
      </c>
      <c r="J133" s="25" t="s">
        <v>111</v>
      </c>
      <c r="K133" s="25" t="s">
        <v>112</v>
      </c>
      <c r="L133" s="25">
        <v>140</v>
      </c>
      <c r="M133" s="25" t="s">
        <v>164</v>
      </c>
      <c r="N133" s="25">
        <v>7190</v>
      </c>
      <c r="O133" s="25" t="s">
        <v>165</v>
      </c>
    </row>
    <row r="134" spans="1:15" x14ac:dyDescent="0.25">
      <c r="A134" s="25">
        <v>582</v>
      </c>
      <c r="B134" s="25" t="s">
        <v>880</v>
      </c>
      <c r="C134" s="25" t="s">
        <v>881</v>
      </c>
      <c r="D134" s="25" t="s">
        <v>78</v>
      </c>
      <c r="E134" s="31">
        <v>42948</v>
      </c>
      <c r="F134" s="31">
        <v>44771</v>
      </c>
      <c r="G134" s="25" t="s">
        <v>882</v>
      </c>
      <c r="H134" s="32">
        <v>50000</v>
      </c>
      <c r="I134" s="24">
        <v>50000</v>
      </c>
      <c r="J134" s="25" t="s">
        <v>23</v>
      </c>
      <c r="K134" s="25" t="s">
        <v>24</v>
      </c>
      <c r="L134" s="25">
        <v>120</v>
      </c>
      <c r="M134" s="25" t="s">
        <v>80</v>
      </c>
      <c r="N134" s="25">
        <v>7000</v>
      </c>
      <c r="O134" s="25" t="s">
        <v>81</v>
      </c>
    </row>
    <row r="135" spans="1:15" x14ac:dyDescent="0.25">
      <c r="A135" s="25">
        <v>10060</v>
      </c>
      <c r="B135" s="25" t="s">
        <v>620</v>
      </c>
      <c r="C135" s="25" t="s">
        <v>621</v>
      </c>
      <c r="D135" s="25" t="s">
        <v>622</v>
      </c>
      <c r="E135" s="31">
        <v>44795</v>
      </c>
      <c r="F135" s="31"/>
      <c r="G135" s="25" t="s">
        <v>623</v>
      </c>
      <c r="H135" s="32">
        <v>190000</v>
      </c>
      <c r="I135" s="24">
        <v>190000</v>
      </c>
      <c r="J135" s="25" t="s">
        <v>454</v>
      </c>
      <c r="K135" s="25" t="s">
        <v>455</v>
      </c>
      <c r="L135" s="25">
        <v>900</v>
      </c>
      <c r="M135" s="25" t="s">
        <v>456</v>
      </c>
      <c r="N135" s="25">
        <v>2400</v>
      </c>
      <c r="O135" s="25" t="s">
        <v>457</v>
      </c>
    </row>
    <row r="136" spans="1:15" x14ac:dyDescent="0.25">
      <c r="A136" s="25">
        <v>10065</v>
      </c>
      <c r="B136" s="25" t="s">
        <v>401</v>
      </c>
      <c r="C136" s="25" t="s">
        <v>402</v>
      </c>
      <c r="D136" s="25" t="s">
        <v>206</v>
      </c>
      <c r="E136" s="31">
        <v>44823</v>
      </c>
      <c r="F136" s="31"/>
      <c r="G136" s="25" t="s">
        <v>403</v>
      </c>
      <c r="H136" s="32">
        <v>32</v>
      </c>
      <c r="I136" s="24">
        <v>74880</v>
      </c>
      <c r="J136" s="25" t="s">
        <v>393</v>
      </c>
      <c r="K136" s="25" t="s">
        <v>394</v>
      </c>
      <c r="L136" s="25">
        <v>340</v>
      </c>
      <c r="M136" s="25" t="s">
        <v>164</v>
      </c>
      <c r="N136" s="25">
        <v>7190</v>
      </c>
      <c r="O136" s="25" t="s">
        <v>404</v>
      </c>
    </row>
    <row r="137" spans="1:15" x14ac:dyDescent="0.25">
      <c r="A137" s="25">
        <v>11000</v>
      </c>
      <c r="B137" s="25" t="s">
        <v>883</v>
      </c>
      <c r="C137" s="25" t="s">
        <v>884</v>
      </c>
      <c r="D137" s="25" t="s">
        <v>238</v>
      </c>
      <c r="E137" s="31">
        <v>44538</v>
      </c>
      <c r="F137" s="31">
        <v>44792</v>
      </c>
      <c r="G137" s="25" t="s">
        <v>885</v>
      </c>
      <c r="H137" s="32">
        <v>21.84</v>
      </c>
      <c r="I137" s="24">
        <v>45427.199999999997</v>
      </c>
      <c r="J137" s="25" t="s">
        <v>328</v>
      </c>
      <c r="K137" s="25" t="s">
        <v>329</v>
      </c>
      <c r="L137" s="25">
        <v>220</v>
      </c>
      <c r="M137" s="25" t="s">
        <v>164</v>
      </c>
      <c r="N137" s="25">
        <v>7190</v>
      </c>
      <c r="O137" s="25" t="s">
        <v>333</v>
      </c>
    </row>
    <row r="138" spans="1:15" x14ac:dyDescent="0.25">
      <c r="A138" s="25">
        <v>496</v>
      </c>
      <c r="B138" s="25" t="s">
        <v>204</v>
      </c>
      <c r="C138" s="25" t="s">
        <v>205</v>
      </c>
      <c r="D138" s="25" t="s">
        <v>206</v>
      </c>
      <c r="E138" s="31">
        <v>42549</v>
      </c>
      <c r="F138" s="31">
        <v>45162</v>
      </c>
      <c r="G138" s="25" t="s">
        <v>207</v>
      </c>
      <c r="H138" s="32">
        <v>33.65</v>
      </c>
      <c r="I138" s="24">
        <v>69992</v>
      </c>
      <c r="J138" s="25" t="s">
        <v>111</v>
      </c>
      <c r="K138" s="25" t="s">
        <v>112</v>
      </c>
      <c r="L138" s="25">
        <v>140</v>
      </c>
      <c r="M138" s="25" t="s">
        <v>164</v>
      </c>
      <c r="N138" s="25">
        <v>7190</v>
      </c>
      <c r="O138" s="25" t="s">
        <v>165</v>
      </c>
    </row>
    <row r="139" spans="1:15" x14ac:dyDescent="0.25">
      <c r="A139" s="25">
        <v>10054</v>
      </c>
      <c r="B139" s="25" t="s">
        <v>886</v>
      </c>
      <c r="C139" s="25" t="s">
        <v>887</v>
      </c>
      <c r="D139" s="25" t="s">
        <v>888</v>
      </c>
      <c r="E139" s="31">
        <v>44648</v>
      </c>
      <c r="F139" s="31">
        <v>44684</v>
      </c>
      <c r="G139" s="25" t="s">
        <v>889</v>
      </c>
      <c r="H139" s="32">
        <v>65000</v>
      </c>
      <c r="I139" s="24">
        <v>65000</v>
      </c>
      <c r="J139" s="25" t="s">
        <v>454</v>
      </c>
      <c r="K139" s="25" t="s">
        <v>455</v>
      </c>
      <c r="L139" s="25">
        <v>900</v>
      </c>
      <c r="M139" s="25" t="s">
        <v>456</v>
      </c>
      <c r="N139" s="25">
        <v>2400</v>
      </c>
      <c r="O139" s="25" t="s">
        <v>457</v>
      </c>
    </row>
    <row r="140" spans="1:15" x14ac:dyDescent="0.25">
      <c r="A140" s="25">
        <v>10019</v>
      </c>
      <c r="B140" s="25" t="s">
        <v>140</v>
      </c>
      <c r="C140" s="25" t="s">
        <v>141</v>
      </c>
      <c r="D140" s="25" t="s">
        <v>142</v>
      </c>
      <c r="E140" s="31">
        <v>44431</v>
      </c>
      <c r="F140" s="31"/>
      <c r="G140" s="25" t="s">
        <v>143</v>
      </c>
      <c r="H140" s="32">
        <v>24.5</v>
      </c>
      <c r="I140" s="24">
        <v>54145</v>
      </c>
      <c r="J140" s="25" t="s">
        <v>111</v>
      </c>
      <c r="K140" s="25" t="s">
        <v>112</v>
      </c>
      <c r="L140" s="25">
        <v>130</v>
      </c>
      <c r="M140" s="25" t="s">
        <v>113</v>
      </c>
      <c r="N140" s="25">
        <v>7190</v>
      </c>
      <c r="O140" s="25" t="s">
        <v>114</v>
      </c>
    </row>
    <row r="141" spans="1:15" x14ac:dyDescent="0.25">
      <c r="A141" s="25">
        <v>689</v>
      </c>
      <c r="B141" s="25" t="s">
        <v>624</v>
      </c>
      <c r="C141" s="25" t="s">
        <v>625</v>
      </c>
      <c r="D141" s="25" t="s">
        <v>626</v>
      </c>
      <c r="E141" s="31">
        <v>44067</v>
      </c>
      <c r="F141" s="31"/>
      <c r="G141" s="25" t="s">
        <v>627</v>
      </c>
      <c r="H141" s="32">
        <v>150000</v>
      </c>
      <c r="I141" s="24">
        <v>150000</v>
      </c>
      <c r="J141" s="25" t="s">
        <v>454</v>
      </c>
      <c r="K141" s="25" t="s">
        <v>455</v>
      </c>
      <c r="L141" s="25">
        <v>900</v>
      </c>
      <c r="M141" s="25" t="s">
        <v>456</v>
      </c>
      <c r="N141" s="25">
        <v>2400</v>
      </c>
      <c r="O141" s="25" t="s">
        <v>457</v>
      </c>
    </row>
    <row r="142" spans="1:15" x14ac:dyDescent="0.25">
      <c r="A142" s="25">
        <v>10058</v>
      </c>
      <c r="B142" s="25" t="s">
        <v>144</v>
      </c>
      <c r="C142" s="25" t="s">
        <v>145</v>
      </c>
      <c r="D142" s="25" t="s">
        <v>146</v>
      </c>
      <c r="E142" s="31">
        <v>44718</v>
      </c>
      <c r="F142" s="31"/>
      <c r="G142" s="25" t="s">
        <v>147</v>
      </c>
      <c r="H142" s="32">
        <v>27</v>
      </c>
      <c r="I142" s="24">
        <v>63180</v>
      </c>
      <c r="J142" s="25" t="s">
        <v>111</v>
      </c>
      <c r="K142" s="25" t="s">
        <v>112</v>
      </c>
      <c r="L142" s="25">
        <v>130</v>
      </c>
      <c r="M142" s="25" t="s">
        <v>113</v>
      </c>
      <c r="N142" s="25">
        <v>7190</v>
      </c>
      <c r="O142" s="25" t="s">
        <v>114</v>
      </c>
    </row>
    <row r="143" spans="1:15" x14ac:dyDescent="0.25">
      <c r="A143" s="25">
        <v>111</v>
      </c>
      <c r="B143" s="25" t="s">
        <v>890</v>
      </c>
      <c r="C143" s="25" t="s">
        <v>891</v>
      </c>
      <c r="D143" s="25" t="s">
        <v>21</v>
      </c>
      <c r="E143" s="31">
        <v>36444</v>
      </c>
      <c r="F143" s="31">
        <v>44834</v>
      </c>
      <c r="G143" s="25" t="s">
        <v>892</v>
      </c>
      <c r="H143" s="32">
        <v>45000</v>
      </c>
      <c r="I143" s="24">
        <v>45000</v>
      </c>
      <c r="J143" s="25" t="s">
        <v>23</v>
      </c>
      <c r="K143" s="25" t="s">
        <v>24</v>
      </c>
      <c r="L143" s="25">
        <v>110</v>
      </c>
      <c r="M143" s="25" t="s">
        <v>25</v>
      </c>
      <c r="N143" s="25">
        <v>7000</v>
      </c>
      <c r="O143" s="25" t="s">
        <v>26</v>
      </c>
    </row>
    <row r="144" spans="1:15" x14ac:dyDescent="0.25">
      <c r="A144" s="25">
        <v>717</v>
      </c>
      <c r="B144" s="25" t="s">
        <v>628</v>
      </c>
      <c r="C144" s="25" t="s">
        <v>629</v>
      </c>
      <c r="D144" s="25" t="s">
        <v>179</v>
      </c>
      <c r="E144" s="31">
        <v>44320</v>
      </c>
      <c r="F144" s="31"/>
      <c r="G144" s="25" t="s">
        <v>630</v>
      </c>
      <c r="H144" s="32">
        <v>37</v>
      </c>
      <c r="I144" s="24">
        <v>81770</v>
      </c>
      <c r="J144" s="25" t="s">
        <v>111</v>
      </c>
      <c r="K144" s="25" t="s">
        <v>112</v>
      </c>
      <c r="L144" s="25">
        <v>900</v>
      </c>
      <c r="M144" s="25" t="s">
        <v>447</v>
      </c>
      <c r="N144" s="25">
        <v>1570</v>
      </c>
      <c r="O144" s="25" t="s">
        <v>478</v>
      </c>
    </row>
    <row r="145" spans="1:15" x14ac:dyDescent="0.25">
      <c r="A145" s="25">
        <v>442</v>
      </c>
      <c r="B145" s="25" t="s">
        <v>893</v>
      </c>
      <c r="C145" s="25" t="s">
        <v>397</v>
      </c>
      <c r="D145" s="25" t="s">
        <v>206</v>
      </c>
      <c r="E145" s="31">
        <v>43290</v>
      </c>
      <c r="F145" s="31">
        <v>44911</v>
      </c>
      <c r="G145" s="25" t="s">
        <v>894</v>
      </c>
      <c r="H145" s="32">
        <v>73000</v>
      </c>
      <c r="I145" s="24">
        <v>73000</v>
      </c>
      <c r="J145" s="25" t="s">
        <v>328</v>
      </c>
      <c r="K145" s="25" t="s">
        <v>329</v>
      </c>
      <c r="L145" s="25">
        <v>240</v>
      </c>
      <c r="M145" s="25" t="s">
        <v>164</v>
      </c>
      <c r="N145" s="25">
        <v>7190</v>
      </c>
      <c r="O145" s="25" t="s">
        <v>333</v>
      </c>
    </row>
    <row r="146" spans="1:15" x14ac:dyDescent="0.25">
      <c r="A146" s="25">
        <v>387</v>
      </c>
      <c r="B146" s="25" t="s">
        <v>39</v>
      </c>
      <c r="C146" s="25" t="s">
        <v>40</v>
      </c>
      <c r="D146" s="25" t="s">
        <v>41</v>
      </c>
      <c r="E146" s="31">
        <v>41358</v>
      </c>
      <c r="F146" s="31"/>
      <c r="G146" s="25" t="s">
        <v>42</v>
      </c>
      <c r="H146" s="32">
        <v>150000</v>
      </c>
      <c r="I146" s="24">
        <v>150000</v>
      </c>
      <c r="J146" s="25" t="s">
        <v>23</v>
      </c>
      <c r="K146" s="25" t="s">
        <v>24</v>
      </c>
      <c r="L146" s="25">
        <v>110</v>
      </c>
      <c r="M146" s="25" t="s">
        <v>25</v>
      </c>
      <c r="N146" s="25">
        <v>7170</v>
      </c>
      <c r="O146" s="25" t="s">
        <v>43</v>
      </c>
    </row>
    <row r="147" spans="1:15" x14ac:dyDescent="0.25">
      <c r="A147" s="25">
        <v>580</v>
      </c>
      <c r="B147" s="25" t="s">
        <v>631</v>
      </c>
      <c r="C147" s="25" t="s">
        <v>632</v>
      </c>
      <c r="D147" s="25" t="s">
        <v>488</v>
      </c>
      <c r="E147" s="31">
        <v>42940</v>
      </c>
      <c r="F147" s="31">
        <v>45211</v>
      </c>
      <c r="G147" s="25" t="s">
        <v>633</v>
      </c>
      <c r="H147" s="32">
        <v>36</v>
      </c>
      <c r="I147" s="24">
        <v>74880</v>
      </c>
      <c r="J147" s="25" t="s">
        <v>111</v>
      </c>
      <c r="K147" s="25" t="s">
        <v>112</v>
      </c>
      <c r="L147" s="25">
        <v>900</v>
      </c>
      <c r="M147" s="25" t="s">
        <v>447</v>
      </c>
      <c r="N147" s="25">
        <v>1570</v>
      </c>
      <c r="O147" s="25" t="s">
        <v>478</v>
      </c>
    </row>
    <row r="148" spans="1:15" x14ac:dyDescent="0.25">
      <c r="A148" s="25">
        <v>704</v>
      </c>
      <c r="B148" s="25" t="s">
        <v>895</v>
      </c>
      <c r="C148" s="25" t="s">
        <v>896</v>
      </c>
      <c r="D148" s="25" t="s">
        <v>897</v>
      </c>
      <c r="E148" s="31">
        <v>44217</v>
      </c>
      <c r="F148" s="31">
        <v>44897</v>
      </c>
      <c r="G148" s="25" t="s">
        <v>898</v>
      </c>
      <c r="H148" s="32">
        <v>90000.04</v>
      </c>
      <c r="I148" s="24">
        <v>90000.04</v>
      </c>
      <c r="J148" s="25" t="s">
        <v>454</v>
      </c>
      <c r="K148" s="25" t="s">
        <v>455</v>
      </c>
      <c r="L148" s="25">
        <v>900</v>
      </c>
      <c r="M148" s="25" t="s">
        <v>456</v>
      </c>
      <c r="N148" s="25">
        <v>2400</v>
      </c>
      <c r="O148" s="25" t="s">
        <v>457</v>
      </c>
    </row>
    <row r="149" spans="1:15" x14ac:dyDescent="0.25">
      <c r="A149" s="25">
        <v>10013</v>
      </c>
      <c r="B149" s="25" t="s">
        <v>345</v>
      </c>
      <c r="C149" s="25" t="s">
        <v>346</v>
      </c>
      <c r="D149" s="25" t="s">
        <v>347</v>
      </c>
      <c r="E149" s="31">
        <v>44396</v>
      </c>
      <c r="F149" s="31"/>
      <c r="G149" s="25" t="s">
        <v>348</v>
      </c>
      <c r="H149" s="32">
        <v>27.35</v>
      </c>
      <c r="I149" s="24">
        <v>63999</v>
      </c>
      <c r="J149" s="25" t="s">
        <v>328</v>
      </c>
      <c r="K149" s="25" t="s">
        <v>329</v>
      </c>
      <c r="L149" s="25">
        <v>230</v>
      </c>
      <c r="M149" s="25" t="s">
        <v>113</v>
      </c>
      <c r="N149" s="25">
        <v>7190</v>
      </c>
      <c r="O149" s="25" t="s">
        <v>344</v>
      </c>
    </row>
    <row r="150" spans="1:15" x14ac:dyDescent="0.25">
      <c r="A150" s="25">
        <v>588</v>
      </c>
      <c r="B150" s="25" t="s">
        <v>634</v>
      </c>
      <c r="C150" s="25" t="s">
        <v>635</v>
      </c>
      <c r="D150" s="25" t="s">
        <v>636</v>
      </c>
      <c r="E150" s="31">
        <v>42996</v>
      </c>
      <c r="F150" s="31">
        <v>45138</v>
      </c>
      <c r="G150" s="25" t="s">
        <v>637</v>
      </c>
      <c r="H150" s="32">
        <v>34</v>
      </c>
      <c r="I150" s="24">
        <v>70720</v>
      </c>
      <c r="J150" s="25" t="s">
        <v>328</v>
      </c>
      <c r="K150" s="25" t="s">
        <v>329</v>
      </c>
      <c r="L150" s="25">
        <v>900</v>
      </c>
      <c r="M150" s="25" t="s">
        <v>164</v>
      </c>
      <c r="N150" s="25" t="s">
        <v>472</v>
      </c>
      <c r="O150" s="25" t="s">
        <v>473</v>
      </c>
    </row>
    <row r="151" spans="1:15" x14ac:dyDescent="0.25">
      <c r="A151" s="25">
        <v>10039</v>
      </c>
      <c r="B151" s="25" t="s">
        <v>641</v>
      </c>
      <c r="C151" s="25" t="s">
        <v>642</v>
      </c>
      <c r="D151" s="25" t="s">
        <v>643</v>
      </c>
      <c r="E151" s="31">
        <v>44544</v>
      </c>
      <c r="F151" s="31"/>
      <c r="G151" s="25" t="s">
        <v>644</v>
      </c>
      <c r="H151" s="32">
        <v>80000</v>
      </c>
      <c r="I151" s="24">
        <v>80000</v>
      </c>
      <c r="J151" s="25" t="s">
        <v>454</v>
      </c>
      <c r="K151" s="25" t="s">
        <v>455</v>
      </c>
      <c r="L151" s="25">
        <v>900</v>
      </c>
      <c r="M151" s="25" t="s">
        <v>456</v>
      </c>
      <c r="N151" s="25">
        <v>2400</v>
      </c>
      <c r="O151" s="25" t="s">
        <v>457</v>
      </c>
    </row>
    <row r="152" spans="1:15" x14ac:dyDescent="0.25">
      <c r="A152" s="25">
        <v>416</v>
      </c>
      <c r="B152" s="25" t="s">
        <v>383</v>
      </c>
      <c r="C152" s="25" t="s">
        <v>384</v>
      </c>
      <c r="D152" s="25" t="s">
        <v>270</v>
      </c>
      <c r="E152" s="31">
        <v>41540</v>
      </c>
      <c r="F152" s="31"/>
      <c r="G152" s="25" t="s">
        <v>385</v>
      </c>
      <c r="H152" s="32">
        <v>45000</v>
      </c>
      <c r="I152" s="24">
        <v>45000</v>
      </c>
      <c r="J152" s="25" t="s">
        <v>283</v>
      </c>
      <c r="K152" s="25" t="s">
        <v>284</v>
      </c>
      <c r="L152" s="25">
        <v>260</v>
      </c>
      <c r="M152" s="25" t="s">
        <v>272</v>
      </c>
      <c r="N152" s="25">
        <v>7190</v>
      </c>
      <c r="O152" s="25" t="s">
        <v>386</v>
      </c>
    </row>
    <row r="153" spans="1:15" x14ac:dyDescent="0.25">
      <c r="A153" s="25">
        <v>629</v>
      </c>
      <c r="B153" s="25" t="s">
        <v>290</v>
      </c>
      <c r="C153" s="25" t="s">
        <v>291</v>
      </c>
      <c r="D153" s="25" t="s">
        <v>292</v>
      </c>
      <c r="E153" s="31">
        <v>43374</v>
      </c>
      <c r="F153" s="31"/>
      <c r="G153" s="25" t="s">
        <v>293</v>
      </c>
      <c r="H153" s="32">
        <v>27</v>
      </c>
      <c r="I153" s="24">
        <v>56160</v>
      </c>
      <c r="J153" s="25" t="s">
        <v>283</v>
      </c>
      <c r="K153" s="25" t="s">
        <v>284</v>
      </c>
      <c r="L153" s="25">
        <v>210</v>
      </c>
      <c r="M153" s="25" t="s">
        <v>25</v>
      </c>
      <c r="N153" s="25">
        <v>7190</v>
      </c>
      <c r="O153" s="25" t="s">
        <v>294</v>
      </c>
    </row>
    <row r="154" spans="1:15" x14ac:dyDescent="0.25">
      <c r="A154" s="25">
        <v>10031</v>
      </c>
      <c r="B154" s="25" t="s">
        <v>330</v>
      </c>
      <c r="C154" s="25" t="s">
        <v>331</v>
      </c>
      <c r="D154" s="25" t="s">
        <v>238</v>
      </c>
      <c r="E154" s="31">
        <v>44511</v>
      </c>
      <c r="F154" s="31"/>
      <c r="G154" s="25" t="s">
        <v>332</v>
      </c>
      <c r="H154" s="32">
        <v>23</v>
      </c>
      <c r="I154" s="24">
        <v>47840</v>
      </c>
      <c r="J154" s="25" t="s">
        <v>328</v>
      </c>
      <c r="K154" s="25" t="s">
        <v>329</v>
      </c>
      <c r="L154" s="25">
        <v>220</v>
      </c>
      <c r="M154" s="25" t="s">
        <v>164</v>
      </c>
      <c r="N154" s="25">
        <v>7190</v>
      </c>
      <c r="O154" s="25" t="s">
        <v>333</v>
      </c>
    </row>
    <row r="155" spans="1:15" x14ac:dyDescent="0.25">
      <c r="A155" s="25">
        <v>688</v>
      </c>
      <c r="B155" s="25" t="s">
        <v>648</v>
      </c>
      <c r="C155" s="25" t="s">
        <v>649</v>
      </c>
      <c r="D155" s="25" t="s">
        <v>650</v>
      </c>
      <c r="E155" s="31">
        <v>44053</v>
      </c>
      <c r="F155" s="31"/>
      <c r="G155" s="25" t="s">
        <v>651</v>
      </c>
      <c r="H155" s="32">
        <v>32.69</v>
      </c>
      <c r="I155" s="24">
        <v>72244.899999999994</v>
      </c>
      <c r="J155" s="25" t="s">
        <v>454</v>
      </c>
      <c r="K155" s="25" t="s">
        <v>455</v>
      </c>
      <c r="L155" s="25">
        <v>900</v>
      </c>
      <c r="M155" s="25" t="s">
        <v>456</v>
      </c>
      <c r="N155" s="25">
        <v>2400</v>
      </c>
      <c r="O155" s="25" t="s">
        <v>457</v>
      </c>
    </row>
    <row r="156" spans="1:15" x14ac:dyDescent="0.25">
      <c r="A156" s="25">
        <v>656</v>
      </c>
      <c r="B156" s="25" t="s">
        <v>405</v>
      </c>
      <c r="C156" s="25" t="s">
        <v>406</v>
      </c>
      <c r="D156" s="25" t="s">
        <v>172</v>
      </c>
      <c r="E156" s="31">
        <v>43649</v>
      </c>
      <c r="F156" s="31">
        <v>45204</v>
      </c>
      <c r="G156" s="25" t="s">
        <v>407</v>
      </c>
      <c r="H156" s="32">
        <v>28</v>
      </c>
      <c r="I156" s="24">
        <v>61880</v>
      </c>
      <c r="J156" s="25" t="s">
        <v>393</v>
      </c>
      <c r="K156" s="25" t="s">
        <v>394</v>
      </c>
      <c r="L156" s="25">
        <v>340</v>
      </c>
      <c r="M156" s="25" t="s">
        <v>164</v>
      </c>
      <c r="N156" s="25">
        <v>7190</v>
      </c>
      <c r="O156" s="25" t="s">
        <v>404</v>
      </c>
    </row>
    <row r="157" spans="1:15" x14ac:dyDescent="0.25">
      <c r="A157" s="25">
        <v>680</v>
      </c>
      <c r="B157" s="25" t="s">
        <v>655</v>
      </c>
      <c r="C157" s="25" t="s">
        <v>656</v>
      </c>
      <c r="D157" s="25" t="s">
        <v>488</v>
      </c>
      <c r="E157" s="31">
        <v>43906</v>
      </c>
      <c r="F157" s="31"/>
      <c r="G157" s="25" t="s">
        <v>657</v>
      </c>
      <c r="H157" s="32">
        <v>32</v>
      </c>
      <c r="I157" s="24">
        <v>66560</v>
      </c>
      <c r="J157" s="25" t="s">
        <v>328</v>
      </c>
      <c r="K157" s="25" t="s">
        <v>329</v>
      </c>
      <c r="L157" s="25">
        <v>900</v>
      </c>
      <c r="M157" s="25" t="s">
        <v>164</v>
      </c>
      <c r="N157" s="25" t="s">
        <v>472</v>
      </c>
      <c r="O157" s="25" t="s">
        <v>473</v>
      </c>
    </row>
    <row r="158" spans="1:15" x14ac:dyDescent="0.25">
      <c r="A158" s="25">
        <v>10017</v>
      </c>
      <c r="B158" s="25" t="s">
        <v>658</v>
      </c>
      <c r="C158" s="25" t="s">
        <v>659</v>
      </c>
      <c r="D158" s="25" t="s">
        <v>660</v>
      </c>
      <c r="E158" s="31">
        <v>44438</v>
      </c>
      <c r="F158" s="31"/>
      <c r="G158" s="25" t="s">
        <v>661</v>
      </c>
      <c r="H158" s="32">
        <v>30</v>
      </c>
      <c r="I158" s="24">
        <v>62400</v>
      </c>
      <c r="J158" s="25" t="s">
        <v>415</v>
      </c>
      <c r="K158" s="25" t="s">
        <v>416</v>
      </c>
      <c r="L158" s="25">
        <v>900</v>
      </c>
      <c r="M158" s="25" t="s">
        <v>447</v>
      </c>
      <c r="N158" s="25" t="s">
        <v>461</v>
      </c>
      <c r="O158" s="25" t="s">
        <v>462</v>
      </c>
    </row>
    <row r="159" spans="1:15" x14ac:dyDescent="0.25">
      <c r="A159" s="25">
        <v>594</v>
      </c>
      <c r="B159" s="25" t="s">
        <v>899</v>
      </c>
      <c r="C159" s="25" t="s">
        <v>900</v>
      </c>
      <c r="D159" s="25" t="s">
        <v>21</v>
      </c>
      <c r="E159" s="31">
        <v>43032</v>
      </c>
      <c r="F159" s="31">
        <v>44781</v>
      </c>
      <c r="G159" s="25" t="s">
        <v>901</v>
      </c>
      <c r="H159" s="32">
        <v>55000</v>
      </c>
      <c r="I159" s="24">
        <v>55000</v>
      </c>
      <c r="J159" s="25" t="s">
        <v>283</v>
      </c>
      <c r="K159" s="25" t="s">
        <v>284</v>
      </c>
      <c r="L159" s="25">
        <v>210</v>
      </c>
      <c r="M159" s="25" t="s">
        <v>25</v>
      </c>
      <c r="N159" s="25">
        <v>7000</v>
      </c>
      <c r="O159" s="25" t="s">
        <v>285</v>
      </c>
    </row>
    <row r="160" spans="1:15" x14ac:dyDescent="0.25">
      <c r="A160" s="25">
        <v>540</v>
      </c>
      <c r="B160" s="25" t="s">
        <v>902</v>
      </c>
      <c r="C160" s="25" t="s">
        <v>903</v>
      </c>
      <c r="D160" s="25" t="s">
        <v>172</v>
      </c>
      <c r="E160" s="31">
        <v>42779</v>
      </c>
      <c r="F160" s="31">
        <v>44785</v>
      </c>
      <c r="G160" s="25" t="s">
        <v>904</v>
      </c>
      <c r="H160" s="32">
        <v>30</v>
      </c>
      <c r="I160" s="24">
        <v>66300</v>
      </c>
      <c r="J160" s="25" t="s">
        <v>393</v>
      </c>
      <c r="K160" s="25" t="s">
        <v>394</v>
      </c>
      <c r="L160" s="25">
        <v>340</v>
      </c>
      <c r="M160" s="25" t="s">
        <v>164</v>
      </c>
      <c r="N160" s="25">
        <v>7190</v>
      </c>
      <c r="O160" s="25" t="s">
        <v>404</v>
      </c>
    </row>
    <row r="161" spans="1:15" x14ac:dyDescent="0.25">
      <c r="A161" s="25">
        <v>631</v>
      </c>
      <c r="B161" s="25" t="s">
        <v>665</v>
      </c>
      <c r="C161" s="25" t="s">
        <v>666</v>
      </c>
      <c r="D161" s="25" t="s">
        <v>488</v>
      </c>
      <c r="E161" s="31">
        <v>43388</v>
      </c>
      <c r="F161" s="31"/>
      <c r="G161" s="25" t="s">
        <v>667</v>
      </c>
      <c r="H161" s="32">
        <v>38</v>
      </c>
      <c r="I161" s="24">
        <v>79040</v>
      </c>
      <c r="J161" s="25" t="s">
        <v>111</v>
      </c>
      <c r="K161" s="25" t="s">
        <v>112</v>
      </c>
      <c r="L161" s="25">
        <v>900</v>
      </c>
      <c r="M161" s="25" t="s">
        <v>447</v>
      </c>
      <c r="N161" s="25">
        <v>1570</v>
      </c>
      <c r="O161" s="25" t="s">
        <v>478</v>
      </c>
    </row>
    <row r="162" spans="1:15" x14ac:dyDescent="0.25">
      <c r="A162" s="25">
        <v>551</v>
      </c>
      <c r="B162" s="25" t="s">
        <v>250</v>
      </c>
      <c r="C162" s="25" t="s">
        <v>251</v>
      </c>
      <c r="D162" s="25" t="s">
        <v>252</v>
      </c>
      <c r="E162" s="31">
        <v>42835</v>
      </c>
      <c r="F162" s="31"/>
      <c r="G162" s="25" t="s">
        <v>253</v>
      </c>
      <c r="H162" s="32">
        <v>91000</v>
      </c>
      <c r="I162" s="24">
        <v>91000</v>
      </c>
      <c r="J162" s="25" t="s">
        <v>111</v>
      </c>
      <c r="K162" s="25" t="s">
        <v>112</v>
      </c>
      <c r="L162" s="25">
        <v>150</v>
      </c>
      <c r="M162" s="25" t="s">
        <v>234</v>
      </c>
      <c r="N162" s="25">
        <v>7170</v>
      </c>
      <c r="O162" s="25" t="s">
        <v>254</v>
      </c>
    </row>
    <row r="163" spans="1:15" x14ac:dyDescent="0.25">
      <c r="A163" s="25">
        <v>714</v>
      </c>
      <c r="B163" s="25" t="s">
        <v>387</v>
      </c>
      <c r="C163" s="25" t="s">
        <v>388</v>
      </c>
      <c r="D163" s="25" t="s">
        <v>524</v>
      </c>
      <c r="E163" s="31">
        <v>44313</v>
      </c>
      <c r="F163" s="31"/>
      <c r="G163" s="25" t="s">
        <v>389</v>
      </c>
      <c r="H163" s="32">
        <v>31.25</v>
      </c>
      <c r="I163" s="24">
        <v>65000</v>
      </c>
      <c r="J163" s="25" t="s">
        <v>283</v>
      </c>
      <c r="K163" s="25" t="s">
        <v>284</v>
      </c>
      <c r="L163" s="25">
        <v>260</v>
      </c>
      <c r="M163" s="25" t="s">
        <v>272</v>
      </c>
      <c r="N163" s="25">
        <v>7190</v>
      </c>
      <c r="O163" s="25" t="s">
        <v>386</v>
      </c>
    </row>
    <row r="164" spans="1:15" x14ac:dyDescent="0.25">
      <c r="A164" s="25">
        <v>644</v>
      </c>
      <c r="B164" s="25" t="s">
        <v>668</v>
      </c>
      <c r="C164" s="25" t="s">
        <v>669</v>
      </c>
      <c r="D164" s="25" t="s">
        <v>636</v>
      </c>
      <c r="E164" s="31">
        <v>43563</v>
      </c>
      <c r="F164" s="31"/>
      <c r="G164" s="25" t="s">
        <v>670</v>
      </c>
      <c r="H164" s="32">
        <v>34</v>
      </c>
      <c r="I164" s="24">
        <v>70720</v>
      </c>
      <c r="J164" s="25" t="s">
        <v>328</v>
      </c>
      <c r="K164" s="25" t="s">
        <v>329</v>
      </c>
      <c r="L164" s="25">
        <v>900</v>
      </c>
      <c r="M164" s="25" t="s">
        <v>164</v>
      </c>
      <c r="N164" s="25" t="s">
        <v>472</v>
      </c>
      <c r="O164" s="25" t="s">
        <v>473</v>
      </c>
    </row>
    <row r="165" spans="1:15" x14ac:dyDescent="0.25">
      <c r="A165" s="25">
        <v>10069</v>
      </c>
      <c r="B165" s="25" t="s">
        <v>671</v>
      </c>
      <c r="C165" s="25" t="s">
        <v>672</v>
      </c>
      <c r="D165" s="25" t="s">
        <v>488</v>
      </c>
      <c r="E165" s="31">
        <v>44852</v>
      </c>
      <c r="F165" s="31"/>
      <c r="G165" s="25" t="s">
        <v>673</v>
      </c>
      <c r="H165" s="32">
        <v>35</v>
      </c>
      <c r="I165" s="24">
        <v>72800</v>
      </c>
      <c r="J165" s="25" t="s">
        <v>111</v>
      </c>
      <c r="K165" s="25" t="s">
        <v>112</v>
      </c>
      <c r="L165" s="25">
        <v>900</v>
      </c>
      <c r="M165" s="25" t="s">
        <v>447</v>
      </c>
      <c r="N165" s="25">
        <v>1570</v>
      </c>
      <c r="O165" s="25" t="s">
        <v>478</v>
      </c>
    </row>
    <row r="166" spans="1:15" x14ac:dyDescent="0.25">
      <c r="A166" s="25">
        <v>11</v>
      </c>
      <c r="B166" s="25" t="s">
        <v>674</v>
      </c>
      <c r="C166" s="25" t="s">
        <v>675</v>
      </c>
      <c r="D166" s="25" t="s">
        <v>575</v>
      </c>
      <c r="E166" s="31">
        <v>39182</v>
      </c>
      <c r="F166" s="31"/>
      <c r="G166" s="25" t="s">
        <v>676</v>
      </c>
      <c r="H166" s="32">
        <v>33</v>
      </c>
      <c r="I166" s="24">
        <v>68640</v>
      </c>
      <c r="J166" s="25" t="s">
        <v>393</v>
      </c>
      <c r="K166" s="25" t="s">
        <v>394</v>
      </c>
      <c r="L166" s="25">
        <v>900</v>
      </c>
      <c r="M166" s="25" t="s">
        <v>447</v>
      </c>
      <c r="N166" s="25" t="s">
        <v>448</v>
      </c>
      <c r="O166" s="25" t="s">
        <v>449</v>
      </c>
    </row>
    <row r="167" spans="1:15" x14ac:dyDescent="0.25">
      <c r="A167" s="25">
        <v>355</v>
      </c>
      <c r="B167" s="25" t="s">
        <v>905</v>
      </c>
      <c r="C167" s="25" t="s">
        <v>906</v>
      </c>
      <c r="D167" s="25" t="s">
        <v>907</v>
      </c>
      <c r="E167" s="31">
        <v>43103</v>
      </c>
      <c r="F167" s="31">
        <v>45016</v>
      </c>
      <c r="G167" s="25" t="s">
        <v>908</v>
      </c>
      <c r="H167" s="32">
        <v>50000</v>
      </c>
      <c r="I167" s="24">
        <v>50000</v>
      </c>
      <c r="J167" s="25" t="s">
        <v>283</v>
      </c>
      <c r="K167" s="25" t="s">
        <v>284</v>
      </c>
      <c r="L167" s="25">
        <v>260</v>
      </c>
      <c r="M167" s="25" t="s">
        <v>272</v>
      </c>
      <c r="N167" s="25">
        <v>7190</v>
      </c>
      <c r="O167" s="25" t="s">
        <v>386</v>
      </c>
    </row>
    <row r="168" spans="1:15" x14ac:dyDescent="0.25">
      <c r="A168" s="25">
        <v>340</v>
      </c>
      <c r="B168" s="25" t="s">
        <v>218</v>
      </c>
      <c r="C168" s="25" t="s">
        <v>219</v>
      </c>
      <c r="D168" s="25" t="s">
        <v>220</v>
      </c>
      <c r="E168" s="31">
        <v>37405</v>
      </c>
      <c r="F168" s="31"/>
      <c r="G168" s="25" t="s">
        <v>221</v>
      </c>
      <c r="H168" s="32">
        <v>73000</v>
      </c>
      <c r="I168" s="24">
        <v>73000</v>
      </c>
      <c r="J168" s="25" t="s">
        <v>111</v>
      </c>
      <c r="K168" s="25" t="s">
        <v>112</v>
      </c>
      <c r="L168" s="25">
        <v>142</v>
      </c>
      <c r="M168" s="25" t="s">
        <v>216</v>
      </c>
      <c r="N168" s="25">
        <v>7190</v>
      </c>
      <c r="O168" s="25" t="s">
        <v>217</v>
      </c>
    </row>
    <row r="169" spans="1:15" x14ac:dyDescent="0.25">
      <c r="A169" s="25">
        <v>10038</v>
      </c>
      <c r="B169" s="25" t="s">
        <v>677</v>
      </c>
      <c r="C169" s="25" t="s">
        <v>678</v>
      </c>
      <c r="D169" s="25" t="s">
        <v>488</v>
      </c>
      <c r="E169" s="31">
        <v>44545</v>
      </c>
      <c r="F169" s="31"/>
      <c r="G169" s="25" t="s">
        <v>679</v>
      </c>
      <c r="H169" s="32">
        <v>33</v>
      </c>
      <c r="I169" s="24">
        <v>85800</v>
      </c>
      <c r="J169" s="25" t="s">
        <v>111</v>
      </c>
      <c r="K169" s="25" t="s">
        <v>112</v>
      </c>
      <c r="L169" s="25">
        <v>900</v>
      </c>
      <c r="M169" s="25" t="s">
        <v>447</v>
      </c>
      <c r="N169" s="25">
        <v>1570</v>
      </c>
      <c r="O169" s="25" t="s">
        <v>478</v>
      </c>
    </row>
    <row r="170" spans="1:15" x14ac:dyDescent="0.25">
      <c r="A170" s="25">
        <v>10056</v>
      </c>
      <c r="B170" s="25" t="s">
        <v>334</v>
      </c>
      <c r="C170" s="25" t="s">
        <v>335</v>
      </c>
      <c r="D170" s="25" t="s">
        <v>172</v>
      </c>
      <c r="E170" s="31">
        <v>44677</v>
      </c>
      <c r="F170" s="31"/>
      <c r="G170" s="25" t="s">
        <v>336</v>
      </c>
      <c r="H170" s="32">
        <v>31.25</v>
      </c>
      <c r="I170" s="24">
        <v>65000</v>
      </c>
      <c r="J170" s="25" t="s">
        <v>328</v>
      </c>
      <c r="K170" s="25" t="s">
        <v>329</v>
      </c>
      <c r="L170" s="25">
        <v>220</v>
      </c>
      <c r="M170" s="25" t="s">
        <v>164</v>
      </c>
      <c r="N170" s="25">
        <v>7190</v>
      </c>
      <c r="O170" s="25" t="s">
        <v>333</v>
      </c>
    </row>
    <row r="171" spans="1:15" x14ac:dyDescent="0.25">
      <c r="A171" s="25">
        <v>10012</v>
      </c>
      <c r="B171" s="25" t="s">
        <v>222</v>
      </c>
      <c r="C171" s="25" t="s">
        <v>223</v>
      </c>
      <c r="D171" s="25" t="s">
        <v>224</v>
      </c>
      <c r="E171" s="31">
        <v>44396</v>
      </c>
      <c r="F171" s="31"/>
      <c r="G171" s="25" t="s">
        <v>225</v>
      </c>
      <c r="H171" s="32">
        <v>22.5</v>
      </c>
      <c r="I171" s="24">
        <v>46800</v>
      </c>
      <c r="J171" s="25" t="s">
        <v>111</v>
      </c>
      <c r="K171" s="25" t="s">
        <v>112</v>
      </c>
      <c r="L171" s="25">
        <v>142</v>
      </c>
      <c r="M171" s="25" t="s">
        <v>216</v>
      </c>
      <c r="N171" s="25">
        <v>7190</v>
      </c>
      <c r="O171" s="25" t="s">
        <v>217</v>
      </c>
    </row>
    <row r="172" spans="1:15" x14ac:dyDescent="0.25">
      <c r="A172" s="25">
        <v>699</v>
      </c>
      <c r="B172" s="25" t="s">
        <v>909</v>
      </c>
      <c r="C172" s="25" t="s">
        <v>910</v>
      </c>
      <c r="D172" s="25" t="s">
        <v>911</v>
      </c>
      <c r="E172" s="31">
        <v>44165</v>
      </c>
      <c r="F172" s="31">
        <v>44665</v>
      </c>
      <c r="G172" s="25" t="s">
        <v>912</v>
      </c>
      <c r="H172" s="32">
        <v>29.06</v>
      </c>
      <c r="I172" s="24">
        <v>68000.399999999994</v>
      </c>
      <c r="J172" s="25" t="s">
        <v>111</v>
      </c>
      <c r="K172" s="25" t="s">
        <v>112</v>
      </c>
      <c r="L172" s="25">
        <v>130</v>
      </c>
      <c r="M172" s="25" t="s">
        <v>113</v>
      </c>
      <c r="N172" s="25">
        <v>7190</v>
      </c>
      <c r="O172" s="25" t="s">
        <v>114</v>
      </c>
    </row>
    <row r="173" spans="1:15" x14ac:dyDescent="0.25">
      <c r="A173" s="25">
        <v>10042</v>
      </c>
      <c r="B173" s="25" t="s">
        <v>687</v>
      </c>
      <c r="C173" s="25" t="s">
        <v>688</v>
      </c>
      <c r="D173" s="25" t="s">
        <v>913</v>
      </c>
      <c r="E173" s="31">
        <v>44579</v>
      </c>
      <c r="F173" s="31"/>
      <c r="G173" s="25" t="s">
        <v>689</v>
      </c>
      <c r="H173" s="32">
        <v>23</v>
      </c>
      <c r="I173" s="24">
        <v>50830</v>
      </c>
      <c r="J173" s="25" t="s">
        <v>328</v>
      </c>
      <c r="K173" s="25" t="s">
        <v>329</v>
      </c>
      <c r="L173" s="25">
        <v>900</v>
      </c>
      <c r="M173" s="25" t="s">
        <v>164</v>
      </c>
      <c r="N173" s="25" t="s">
        <v>472</v>
      </c>
      <c r="O173" s="25" t="s">
        <v>473</v>
      </c>
    </row>
    <row r="174" spans="1:15" x14ac:dyDescent="0.25">
      <c r="A174" s="25">
        <v>474</v>
      </c>
      <c r="B174" s="25" t="s">
        <v>349</v>
      </c>
      <c r="C174" s="25" t="s">
        <v>350</v>
      </c>
      <c r="D174" s="25" t="s">
        <v>126</v>
      </c>
      <c r="E174" s="31">
        <v>42345</v>
      </c>
      <c r="F174" s="31"/>
      <c r="G174" s="25" t="s">
        <v>351</v>
      </c>
      <c r="H174" s="32">
        <v>80000</v>
      </c>
      <c r="I174" s="24">
        <v>80000</v>
      </c>
      <c r="J174" s="25" t="s">
        <v>328</v>
      </c>
      <c r="K174" s="25" t="s">
        <v>329</v>
      </c>
      <c r="L174" s="25">
        <v>230</v>
      </c>
      <c r="M174" s="25" t="s">
        <v>113</v>
      </c>
      <c r="N174" s="25">
        <v>7170</v>
      </c>
      <c r="O174" s="25" t="s">
        <v>352</v>
      </c>
    </row>
    <row r="175" spans="1:15" x14ac:dyDescent="0.25">
      <c r="A175" s="25">
        <v>10006</v>
      </c>
      <c r="B175" s="25" t="s">
        <v>690</v>
      </c>
      <c r="C175" s="25" t="s">
        <v>691</v>
      </c>
      <c r="D175" s="25" t="s">
        <v>692</v>
      </c>
      <c r="E175" s="31">
        <v>44389</v>
      </c>
      <c r="F175" s="31"/>
      <c r="G175" s="25" t="s">
        <v>693</v>
      </c>
      <c r="H175" s="32">
        <v>31</v>
      </c>
      <c r="I175" s="24">
        <v>64480</v>
      </c>
      <c r="J175" s="25" t="s">
        <v>415</v>
      </c>
      <c r="K175" s="25" t="s">
        <v>416</v>
      </c>
      <c r="L175" s="25">
        <v>900</v>
      </c>
      <c r="M175" s="25" t="s">
        <v>447</v>
      </c>
      <c r="N175" s="25" t="s">
        <v>461</v>
      </c>
      <c r="O175" s="25" t="s">
        <v>462</v>
      </c>
    </row>
    <row r="176" spans="1:15" x14ac:dyDescent="0.25">
      <c r="A176" s="25">
        <v>553</v>
      </c>
      <c r="B176" s="25" t="s">
        <v>337</v>
      </c>
      <c r="C176" s="25" t="s">
        <v>338</v>
      </c>
      <c r="D176" s="25" t="s">
        <v>172</v>
      </c>
      <c r="E176" s="31">
        <v>42843</v>
      </c>
      <c r="F176" s="31"/>
      <c r="G176" s="25" t="s">
        <v>339</v>
      </c>
      <c r="H176" s="32">
        <v>28</v>
      </c>
      <c r="I176" s="24">
        <v>61880</v>
      </c>
      <c r="J176" s="25" t="s">
        <v>328</v>
      </c>
      <c r="K176" s="25" t="s">
        <v>329</v>
      </c>
      <c r="L176" s="25">
        <v>220</v>
      </c>
      <c r="M176" s="25" t="s">
        <v>164</v>
      </c>
      <c r="N176" s="25">
        <v>7190</v>
      </c>
      <c r="O176" s="25" t="s">
        <v>333</v>
      </c>
    </row>
    <row r="177" spans="1:15" x14ac:dyDescent="0.25">
      <c r="A177" s="25">
        <v>10035</v>
      </c>
      <c r="B177" s="25" t="s">
        <v>435</v>
      </c>
      <c r="C177" s="25" t="s">
        <v>436</v>
      </c>
      <c r="D177" s="25" t="s">
        <v>437</v>
      </c>
      <c r="E177" s="31">
        <v>44536</v>
      </c>
      <c r="F177" s="31"/>
      <c r="G177" s="25" t="s">
        <v>438</v>
      </c>
      <c r="H177" s="32">
        <v>70000</v>
      </c>
      <c r="I177" s="24">
        <v>70000</v>
      </c>
      <c r="J177" s="25" t="s">
        <v>415</v>
      </c>
      <c r="K177" s="25" t="s">
        <v>416</v>
      </c>
      <c r="L177" s="25">
        <v>440</v>
      </c>
      <c r="M177" s="25" t="s">
        <v>164</v>
      </c>
      <c r="N177" s="25">
        <v>7190</v>
      </c>
      <c r="O177" s="25" t="s">
        <v>422</v>
      </c>
    </row>
    <row r="178" spans="1:15" x14ac:dyDescent="0.25">
      <c r="A178" s="25">
        <v>303</v>
      </c>
      <c r="B178" s="25" t="s">
        <v>914</v>
      </c>
      <c r="C178" s="25" t="s">
        <v>189</v>
      </c>
      <c r="D178" s="25" t="s">
        <v>915</v>
      </c>
      <c r="E178" s="31">
        <v>40211</v>
      </c>
      <c r="F178" s="31">
        <v>44923</v>
      </c>
      <c r="G178" s="25" t="s">
        <v>916</v>
      </c>
      <c r="H178" s="32">
        <v>51500</v>
      </c>
      <c r="I178" s="24">
        <v>51500</v>
      </c>
      <c r="J178" s="25" t="s">
        <v>23</v>
      </c>
      <c r="K178" s="25" t="s">
        <v>24</v>
      </c>
      <c r="L178" s="25">
        <v>110</v>
      </c>
      <c r="M178" s="25" t="s">
        <v>25</v>
      </c>
      <c r="N178" s="25">
        <v>7000</v>
      </c>
      <c r="O178" s="25" t="s">
        <v>26</v>
      </c>
    </row>
    <row r="179" spans="1:15" x14ac:dyDescent="0.25">
      <c r="A179" s="25">
        <v>443</v>
      </c>
      <c r="B179" s="25" t="s">
        <v>917</v>
      </c>
      <c r="C179" s="25" t="s">
        <v>918</v>
      </c>
      <c r="D179" s="25" t="s">
        <v>919</v>
      </c>
      <c r="E179" s="31">
        <v>41858</v>
      </c>
      <c r="F179" s="31">
        <v>44736</v>
      </c>
      <c r="G179" s="25" t="s">
        <v>920</v>
      </c>
      <c r="H179" s="32">
        <v>120000</v>
      </c>
      <c r="I179" s="24">
        <v>120000</v>
      </c>
      <c r="J179" s="25" t="s">
        <v>283</v>
      </c>
      <c r="K179" s="25" t="s">
        <v>284</v>
      </c>
      <c r="L179" s="25">
        <v>210</v>
      </c>
      <c r="M179" s="25" t="s">
        <v>25</v>
      </c>
      <c r="N179" s="25">
        <v>7170</v>
      </c>
      <c r="O179" s="25" t="s">
        <v>305</v>
      </c>
    </row>
    <row r="180" spans="1:15" x14ac:dyDescent="0.25">
      <c r="A180" s="25">
        <v>10073</v>
      </c>
      <c r="B180" s="25" t="s">
        <v>694</v>
      </c>
      <c r="C180" s="25" t="s">
        <v>695</v>
      </c>
      <c r="D180" s="25" t="s">
        <v>696</v>
      </c>
      <c r="E180" s="31">
        <v>44896</v>
      </c>
      <c r="F180" s="31"/>
      <c r="G180" s="25" t="s">
        <v>697</v>
      </c>
      <c r="H180" s="32">
        <v>130000</v>
      </c>
      <c r="I180" s="24">
        <v>130000</v>
      </c>
      <c r="J180" s="25" t="s">
        <v>454</v>
      </c>
      <c r="K180" s="25" t="s">
        <v>455</v>
      </c>
      <c r="L180" s="25">
        <v>900</v>
      </c>
      <c r="M180" s="25" t="s">
        <v>456</v>
      </c>
      <c r="N180" s="25">
        <v>2400</v>
      </c>
      <c r="O180" s="25" t="s">
        <v>457</v>
      </c>
    </row>
    <row r="181" spans="1:15" x14ac:dyDescent="0.25">
      <c r="A181" s="25">
        <v>73</v>
      </c>
      <c r="B181" s="25" t="s">
        <v>698</v>
      </c>
      <c r="C181" s="25" t="s">
        <v>699</v>
      </c>
      <c r="D181" s="25" t="s">
        <v>488</v>
      </c>
      <c r="E181" s="31">
        <v>32846</v>
      </c>
      <c r="F181" s="31"/>
      <c r="G181" s="25" t="s">
        <v>700</v>
      </c>
      <c r="H181" s="32">
        <v>37</v>
      </c>
      <c r="I181" s="24">
        <v>76960</v>
      </c>
      <c r="J181" s="25" t="s">
        <v>111</v>
      </c>
      <c r="K181" s="25" t="s">
        <v>112</v>
      </c>
      <c r="L181" s="25">
        <v>900</v>
      </c>
      <c r="M181" s="25" t="s">
        <v>447</v>
      </c>
      <c r="N181" s="25">
        <v>1570</v>
      </c>
      <c r="O181" s="25" t="s">
        <v>478</v>
      </c>
    </row>
    <row r="182" spans="1:15" x14ac:dyDescent="0.25">
      <c r="A182" s="25">
        <v>650</v>
      </c>
      <c r="B182" s="25" t="s">
        <v>255</v>
      </c>
      <c r="C182" s="25" t="s">
        <v>256</v>
      </c>
      <c r="D182" s="25" t="s">
        <v>248</v>
      </c>
      <c r="E182" s="31">
        <v>43612</v>
      </c>
      <c r="F182" s="31"/>
      <c r="G182" s="25" t="s">
        <v>257</v>
      </c>
      <c r="H182" s="32">
        <v>28.75</v>
      </c>
      <c r="I182" s="24">
        <v>59800</v>
      </c>
      <c r="J182" s="25" t="s">
        <v>111</v>
      </c>
      <c r="K182" s="25" t="s">
        <v>112</v>
      </c>
      <c r="L182" s="25">
        <v>150</v>
      </c>
      <c r="M182" s="25" t="s">
        <v>234</v>
      </c>
      <c r="N182" s="25">
        <v>7190</v>
      </c>
      <c r="O182" s="25" t="s">
        <v>235</v>
      </c>
    </row>
    <row r="183" spans="1:15" x14ac:dyDescent="0.25">
      <c r="A183" s="25">
        <v>606</v>
      </c>
      <c r="B183" s="25" t="s">
        <v>701</v>
      </c>
      <c r="C183" s="25" t="s">
        <v>702</v>
      </c>
      <c r="D183" s="25" t="s">
        <v>476</v>
      </c>
      <c r="E183" s="31">
        <v>43166</v>
      </c>
      <c r="F183" s="31">
        <v>45100</v>
      </c>
      <c r="G183" s="25" t="s">
        <v>703</v>
      </c>
      <c r="H183" s="32">
        <v>25</v>
      </c>
      <c r="I183" s="24">
        <v>52000</v>
      </c>
      <c r="J183" s="25" t="s">
        <v>111</v>
      </c>
      <c r="K183" s="25" t="s">
        <v>112</v>
      </c>
      <c r="L183" s="25">
        <v>900</v>
      </c>
      <c r="M183" s="25" t="s">
        <v>447</v>
      </c>
      <c r="N183" s="25">
        <v>1570</v>
      </c>
      <c r="O183" s="25" t="s">
        <v>478</v>
      </c>
    </row>
    <row r="184" spans="1:15" x14ac:dyDescent="0.25">
      <c r="A184" s="25">
        <v>497</v>
      </c>
      <c r="B184" s="25" t="s">
        <v>704</v>
      </c>
      <c r="C184" s="25" t="s">
        <v>705</v>
      </c>
      <c r="D184" s="25" t="s">
        <v>575</v>
      </c>
      <c r="E184" s="31">
        <v>42549</v>
      </c>
      <c r="F184" s="31"/>
      <c r="G184" s="25" t="s">
        <v>706</v>
      </c>
      <c r="H184" s="32">
        <v>33</v>
      </c>
      <c r="I184" s="24">
        <v>68640</v>
      </c>
      <c r="J184" s="25" t="s">
        <v>393</v>
      </c>
      <c r="K184" s="25" t="s">
        <v>394</v>
      </c>
      <c r="L184" s="25">
        <v>900</v>
      </c>
      <c r="M184" s="25" t="s">
        <v>447</v>
      </c>
      <c r="N184" s="25" t="s">
        <v>448</v>
      </c>
      <c r="O184" s="25" t="s">
        <v>449</v>
      </c>
    </row>
    <row r="185" spans="1:15" x14ac:dyDescent="0.25">
      <c r="A185" s="25">
        <v>640</v>
      </c>
      <c r="B185" s="25" t="s">
        <v>921</v>
      </c>
      <c r="C185" s="25" t="s">
        <v>922</v>
      </c>
      <c r="D185" s="25" t="s">
        <v>923</v>
      </c>
      <c r="E185" s="31">
        <v>43515</v>
      </c>
      <c r="F185" s="31">
        <v>44790</v>
      </c>
      <c r="G185" s="25" t="s">
        <v>924</v>
      </c>
      <c r="H185" s="32">
        <v>25</v>
      </c>
      <c r="I185" s="24">
        <v>52000</v>
      </c>
      <c r="J185" s="25" t="s">
        <v>111</v>
      </c>
      <c r="K185" s="25" t="s">
        <v>112</v>
      </c>
      <c r="L185" s="25">
        <v>900</v>
      </c>
      <c r="M185" s="25" t="s">
        <v>447</v>
      </c>
      <c r="N185" s="25">
        <v>1572</v>
      </c>
      <c r="O185" s="25" t="s">
        <v>784</v>
      </c>
    </row>
    <row r="186" spans="1:15" x14ac:dyDescent="0.25">
      <c r="A186" s="25">
        <v>716</v>
      </c>
      <c r="B186" s="25" t="s">
        <v>707</v>
      </c>
      <c r="C186" s="25" t="s">
        <v>708</v>
      </c>
      <c r="D186" s="25" t="s">
        <v>480</v>
      </c>
      <c r="E186" s="31">
        <v>44319</v>
      </c>
      <c r="F186" s="31"/>
      <c r="G186" s="25" t="s">
        <v>709</v>
      </c>
      <c r="H186" s="32">
        <v>26</v>
      </c>
      <c r="I186" s="24">
        <v>54080</v>
      </c>
      <c r="J186" s="25" t="s">
        <v>454</v>
      </c>
      <c r="K186" s="25" t="s">
        <v>455</v>
      </c>
      <c r="L186" s="25">
        <v>900</v>
      </c>
      <c r="M186" s="25" t="s">
        <v>456</v>
      </c>
      <c r="N186" s="25">
        <v>2400</v>
      </c>
      <c r="O186" s="25" t="s">
        <v>457</v>
      </c>
    </row>
    <row r="187" spans="1:15" x14ac:dyDescent="0.25">
      <c r="A187" s="25">
        <v>623</v>
      </c>
      <c r="B187" s="25" t="s">
        <v>408</v>
      </c>
      <c r="C187" s="25" t="s">
        <v>409</v>
      </c>
      <c r="D187" s="25" t="s">
        <v>179</v>
      </c>
      <c r="E187" s="31">
        <v>43339</v>
      </c>
      <c r="F187" s="31">
        <v>45229</v>
      </c>
      <c r="G187" s="25" t="s">
        <v>410</v>
      </c>
      <c r="H187" s="32">
        <v>40</v>
      </c>
      <c r="I187" s="24">
        <v>83200</v>
      </c>
      <c r="J187" s="25" t="s">
        <v>393</v>
      </c>
      <c r="K187" s="25" t="s">
        <v>394</v>
      </c>
      <c r="L187" s="25">
        <v>340</v>
      </c>
      <c r="M187" s="25" t="s">
        <v>164</v>
      </c>
      <c r="N187" s="25">
        <v>7190</v>
      </c>
      <c r="O187" s="25" t="s">
        <v>404</v>
      </c>
    </row>
    <row r="188" spans="1:15" x14ac:dyDescent="0.25">
      <c r="A188" s="25">
        <v>684</v>
      </c>
      <c r="B188" s="25" t="s">
        <v>710</v>
      </c>
      <c r="C188" s="25" t="s">
        <v>711</v>
      </c>
      <c r="D188" s="25" t="s">
        <v>476</v>
      </c>
      <c r="E188" s="31">
        <v>43906</v>
      </c>
      <c r="F188" s="31"/>
      <c r="G188" s="25" t="s">
        <v>712</v>
      </c>
      <c r="H188" s="32">
        <v>28</v>
      </c>
      <c r="I188" s="24">
        <v>58240</v>
      </c>
      <c r="J188" s="25" t="s">
        <v>328</v>
      </c>
      <c r="K188" s="25" t="s">
        <v>329</v>
      </c>
      <c r="L188" s="25">
        <v>900</v>
      </c>
      <c r="M188" s="25" t="s">
        <v>164</v>
      </c>
      <c r="N188" s="25" t="s">
        <v>472</v>
      </c>
      <c r="O188" s="25" t="s">
        <v>473</v>
      </c>
    </row>
    <row r="189" spans="1:15" x14ac:dyDescent="0.25">
      <c r="A189" s="25">
        <v>10016</v>
      </c>
      <c r="B189" s="25" t="s">
        <v>148</v>
      </c>
      <c r="C189" s="25" t="s">
        <v>149</v>
      </c>
      <c r="D189" s="25" t="s">
        <v>150</v>
      </c>
      <c r="E189" s="31">
        <v>44431</v>
      </c>
      <c r="F189" s="31"/>
      <c r="G189" s="25" t="s">
        <v>151</v>
      </c>
      <c r="H189" s="32">
        <v>29</v>
      </c>
      <c r="I189" s="24">
        <v>73892</v>
      </c>
      <c r="J189" s="25" t="s">
        <v>111</v>
      </c>
      <c r="K189" s="25" t="s">
        <v>112</v>
      </c>
      <c r="L189" s="25">
        <v>130</v>
      </c>
      <c r="M189" s="25" t="s">
        <v>113</v>
      </c>
      <c r="N189" s="25">
        <v>7190</v>
      </c>
      <c r="O189" s="25" t="s">
        <v>114</v>
      </c>
    </row>
    <row r="190" spans="1:15" x14ac:dyDescent="0.25">
      <c r="A190" s="25">
        <v>64</v>
      </c>
      <c r="B190" s="25" t="s">
        <v>152</v>
      </c>
      <c r="C190" s="25" t="s">
        <v>153</v>
      </c>
      <c r="D190" s="25" t="s">
        <v>154</v>
      </c>
      <c r="E190" s="31">
        <v>35499</v>
      </c>
      <c r="F190" s="31"/>
      <c r="G190" s="25" t="s">
        <v>155</v>
      </c>
      <c r="H190" s="32">
        <v>33</v>
      </c>
      <c r="I190" s="24">
        <v>77220</v>
      </c>
      <c r="J190" s="25" t="s">
        <v>111</v>
      </c>
      <c r="K190" s="25" t="s">
        <v>112</v>
      </c>
      <c r="L190" s="25">
        <v>130</v>
      </c>
      <c r="M190" s="25" t="s">
        <v>113</v>
      </c>
      <c r="N190" s="25">
        <v>7190</v>
      </c>
      <c r="O190" s="25" t="s">
        <v>114</v>
      </c>
    </row>
    <row r="191" spans="1:15" x14ac:dyDescent="0.25">
      <c r="A191" s="25">
        <v>335</v>
      </c>
      <c r="B191" s="25" t="s">
        <v>925</v>
      </c>
      <c r="C191" s="25" t="s">
        <v>926</v>
      </c>
      <c r="D191" s="25" t="s">
        <v>927</v>
      </c>
      <c r="E191" s="31">
        <v>40804</v>
      </c>
      <c r="F191" s="31">
        <v>44771</v>
      </c>
      <c r="G191" s="25" t="s">
        <v>928</v>
      </c>
      <c r="H191" s="32">
        <v>175000</v>
      </c>
      <c r="I191" s="24">
        <v>175000</v>
      </c>
      <c r="J191" s="25" t="s">
        <v>454</v>
      </c>
      <c r="K191" s="25" t="s">
        <v>455</v>
      </c>
      <c r="L191" s="25">
        <v>900</v>
      </c>
      <c r="M191" s="25" t="s">
        <v>456</v>
      </c>
      <c r="N191" s="25">
        <v>2400</v>
      </c>
      <c r="O191" s="25" t="s">
        <v>457</v>
      </c>
    </row>
    <row r="192" spans="1:15" x14ac:dyDescent="0.25">
      <c r="A192" s="25">
        <v>579</v>
      </c>
      <c r="B192" s="25" t="s">
        <v>717</v>
      </c>
      <c r="C192" s="25" t="s">
        <v>718</v>
      </c>
      <c r="D192" s="25" t="s">
        <v>488</v>
      </c>
      <c r="E192" s="31">
        <v>42940</v>
      </c>
      <c r="F192" s="31"/>
      <c r="G192" s="25" t="s">
        <v>719</v>
      </c>
      <c r="H192" s="32">
        <v>37</v>
      </c>
      <c r="I192" s="24">
        <v>76960</v>
      </c>
      <c r="J192" s="25" t="s">
        <v>111</v>
      </c>
      <c r="K192" s="25" t="s">
        <v>112</v>
      </c>
      <c r="L192" s="25">
        <v>900</v>
      </c>
      <c r="M192" s="25" t="s">
        <v>447</v>
      </c>
      <c r="N192" s="25">
        <v>1570</v>
      </c>
      <c r="O192" s="25" t="s">
        <v>478</v>
      </c>
    </row>
    <row r="193" spans="1:15" x14ac:dyDescent="0.25">
      <c r="A193" s="25">
        <v>713</v>
      </c>
      <c r="B193" s="25" t="s">
        <v>258</v>
      </c>
      <c r="C193" s="25" t="s">
        <v>259</v>
      </c>
      <c r="D193" s="25" t="s">
        <v>929</v>
      </c>
      <c r="E193" s="31">
        <v>44305</v>
      </c>
      <c r="F193" s="31"/>
      <c r="G193" s="25" t="s">
        <v>260</v>
      </c>
      <c r="H193" s="32">
        <v>25.75</v>
      </c>
      <c r="I193" s="24">
        <v>53560</v>
      </c>
      <c r="J193" s="25" t="s">
        <v>111</v>
      </c>
      <c r="K193" s="25" t="s">
        <v>112</v>
      </c>
      <c r="L193" s="25">
        <v>150</v>
      </c>
      <c r="M193" s="25" t="s">
        <v>234</v>
      </c>
      <c r="N193" s="25">
        <v>7190</v>
      </c>
      <c r="O193" s="25" t="s">
        <v>235</v>
      </c>
    </row>
    <row r="194" spans="1:15" x14ac:dyDescent="0.25">
      <c r="A194" s="25">
        <v>715</v>
      </c>
      <c r="B194" s="25" t="s">
        <v>261</v>
      </c>
      <c r="C194" s="25" t="s">
        <v>720</v>
      </c>
      <c r="D194" s="25" t="s">
        <v>721</v>
      </c>
      <c r="E194" s="31">
        <v>44313</v>
      </c>
      <c r="F194" s="31"/>
      <c r="G194" s="25" t="s">
        <v>722</v>
      </c>
      <c r="H194" s="32">
        <v>26</v>
      </c>
      <c r="I194" s="24">
        <v>54080</v>
      </c>
      <c r="J194" s="25" t="s">
        <v>415</v>
      </c>
      <c r="K194" s="25" t="s">
        <v>416</v>
      </c>
      <c r="L194" s="25">
        <v>900</v>
      </c>
      <c r="M194" s="25" t="s">
        <v>447</v>
      </c>
      <c r="N194" s="25" t="s">
        <v>461</v>
      </c>
      <c r="O194" s="25" t="s">
        <v>462</v>
      </c>
    </row>
    <row r="195" spans="1:15" x14ac:dyDescent="0.25">
      <c r="A195" s="25">
        <v>10063</v>
      </c>
      <c r="B195" s="25" t="s">
        <v>930</v>
      </c>
      <c r="C195" s="25" t="s">
        <v>931</v>
      </c>
      <c r="D195" s="25" t="s">
        <v>89</v>
      </c>
      <c r="E195" s="31">
        <v>44805</v>
      </c>
      <c r="F195" s="31">
        <v>44888</v>
      </c>
      <c r="G195" s="25" t="s">
        <v>932</v>
      </c>
      <c r="H195" s="32">
        <v>55000</v>
      </c>
      <c r="I195" s="24">
        <v>55000</v>
      </c>
      <c r="J195" s="25" t="s">
        <v>23</v>
      </c>
      <c r="K195" s="25" t="s">
        <v>24</v>
      </c>
      <c r="L195" s="25">
        <v>120</v>
      </c>
      <c r="M195" s="25" t="s">
        <v>80</v>
      </c>
      <c r="N195" s="25">
        <v>7000</v>
      </c>
      <c r="O195" s="25" t="s">
        <v>81</v>
      </c>
    </row>
    <row r="196" spans="1:15" x14ac:dyDescent="0.25">
      <c r="A196" s="25">
        <v>10068</v>
      </c>
      <c r="B196" s="25" t="s">
        <v>933</v>
      </c>
      <c r="C196" s="25" t="s">
        <v>934</v>
      </c>
      <c r="D196" s="25" t="s">
        <v>696</v>
      </c>
      <c r="E196" s="31">
        <v>44837</v>
      </c>
      <c r="F196" s="31">
        <v>44859</v>
      </c>
      <c r="G196" s="25" t="s">
        <v>935</v>
      </c>
      <c r="H196" s="32">
        <v>130000</v>
      </c>
      <c r="I196" s="24">
        <v>130000</v>
      </c>
      <c r="J196" s="25" t="s">
        <v>454</v>
      </c>
      <c r="K196" s="25" t="s">
        <v>455</v>
      </c>
      <c r="L196" s="25">
        <v>900</v>
      </c>
      <c r="M196" s="25" t="s">
        <v>456</v>
      </c>
      <c r="N196" s="25">
        <v>2400</v>
      </c>
      <c r="O196" s="25" t="s">
        <v>457</v>
      </c>
    </row>
    <row r="197" spans="1:15" x14ac:dyDescent="0.25">
      <c r="A197" s="25">
        <v>676</v>
      </c>
      <c r="B197" s="25" t="s">
        <v>936</v>
      </c>
      <c r="C197" s="25" t="s">
        <v>937</v>
      </c>
      <c r="D197" s="25" t="s">
        <v>938</v>
      </c>
      <c r="E197" s="31">
        <v>43885</v>
      </c>
      <c r="F197" s="31">
        <v>44722</v>
      </c>
      <c r="G197" s="25" t="s">
        <v>939</v>
      </c>
      <c r="H197" s="32">
        <v>87000</v>
      </c>
      <c r="I197" s="24">
        <v>87000</v>
      </c>
      <c r="J197" s="25" t="s">
        <v>454</v>
      </c>
      <c r="K197" s="25" t="s">
        <v>455</v>
      </c>
      <c r="L197" s="25">
        <v>900</v>
      </c>
      <c r="M197" s="25" t="s">
        <v>456</v>
      </c>
      <c r="N197" s="25">
        <v>2400</v>
      </c>
      <c r="O197" s="25" t="s">
        <v>457</v>
      </c>
    </row>
    <row r="198" spans="1:15" x14ac:dyDescent="0.25">
      <c r="A198" s="25">
        <v>406</v>
      </c>
      <c r="B198" s="25" t="s">
        <v>103</v>
      </c>
      <c r="C198" s="25" t="s">
        <v>104</v>
      </c>
      <c r="D198" s="25" t="s">
        <v>105</v>
      </c>
      <c r="E198" s="31">
        <v>41500</v>
      </c>
      <c r="F198" s="31"/>
      <c r="G198" s="25" t="s">
        <v>106</v>
      </c>
      <c r="H198" s="32">
        <v>55000</v>
      </c>
      <c r="I198" s="24">
        <v>55000</v>
      </c>
      <c r="J198" s="25" t="s">
        <v>23</v>
      </c>
      <c r="K198" s="25" t="s">
        <v>24</v>
      </c>
      <c r="L198" s="25">
        <v>121</v>
      </c>
      <c r="M198" s="25" t="s">
        <v>101</v>
      </c>
      <c r="N198" s="25">
        <v>7000</v>
      </c>
      <c r="O198" s="25" t="s">
        <v>102</v>
      </c>
    </row>
    <row r="199" spans="1:15" x14ac:dyDescent="0.25">
      <c r="A199" s="25">
        <v>614</v>
      </c>
      <c r="B199" s="25" t="s">
        <v>226</v>
      </c>
      <c r="C199" s="25" t="s">
        <v>227</v>
      </c>
      <c r="D199" s="25" t="s">
        <v>228</v>
      </c>
      <c r="E199" s="31">
        <v>43256</v>
      </c>
      <c r="F199" s="31"/>
      <c r="G199" s="25" t="s">
        <v>229</v>
      </c>
      <c r="H199" s="32">
        <v>65000</v>
      </c>
      <c r="I199" s="24">
        <v>65000</v>
      </c>
      <c r="J199" s="25" t="s">
        <v>111</v>
      </c>
      <c r="K199" s="25" t="s">
        <v>112</v>
      </c>
      <c r="L199" s="25">
        <v>142</v>
      </c>
      <c r="M199" s="25" t="s">
        <v>216</v>
      </c>
      <c r="N199" s="25">
        <v>7190</v>
      </c>
      <c r="O199" s="25" t="s">
        <v>217</v>
      </c>
    </row>
    <row r="200" spans="1:15" x14ac:dyDescent="0.25">
      <c r="A200" s="25">
        <v>399</v>
      </c>
      <c r="B200" s="25" t="s">
        <v>439</v>
      </c>
      <c r="C200" s="25" t="s">
        <v>440</v>
      </c>
      <c r="D200" s="25" t="s">
        <v>441</v>
      </c>
      <c r="E200" s="31">
        <v>41437</v>
      </c>
      <c r="F200" s="31"/>
      <c r="G200" s="25" t="s">
        <v>442</v>
      </c>
      <c r="H200" s="32">
        <v>34.25</v>
      </c>
      <c r="I200" s="24">
        <v>80145</v>
      </c>
      <c r="J200" s="25" t="s">
        <v>415</v>
      </c>
      <c r="K200" s="25" t="s">
        <v>416</v>
      </c>
      <c r="L200" s="25">
        <v>440</v>
      </c>
      <c r="M200" s="25" t="s">
        <v>164</v>
      </c>
      <c r="N200" s="25">
        <v>7190</v>
      </c>
      <c r="O200" s="25" t="s">
        <v>422</v>
      </c>
    </row>
    <row r="201" spans="1:15" x14ac:dyDescent="0.25">
      <c r="A201" s="25">
        <v>527</v>
      </c>
      <c r="B201" s="25" t="s">
        <v>156</v>
      </c>
      <c r="C201" s="25" t="s">
        <v>157</v>
      </c>
      <c r="D201" s="25" t="s">
        <v>158</v>
      </c>
      <c r="E201" s="31">
        <v>42709</v>
      </c>
      <c r="F201" s="31"/>
      <c r="G201" s="25" t="s">
        <v>159</v>
      </c>
      <c r="H201" s="32">
        <v>84000</v>
      </c>
      <c r="I201" s="24">
        <v>84000</v>
      </c>
      <c r="J201" s="25" t="s">
        <v>111</v>
      </c>
      <c r="K201" s="25" t="s">
        <v>112</v>
      </c>
      <c r="L201" s="25">
        <v>130</v>
      </c>
      <c r="M201" s="25" t="s">
        <v>113</v>
      </c>
      <c r="N201" s="25">
        <v>7170</v>
      </c>
      <c r="O201" s="25" t="s">
        <v>119</v>
      </c>
    </row>
    <row r="202" spans="1:15" x14ac:dyDescent="0.25">
      <c r="A202" s="25">
        <v>10083</v>
      </c>
      <c r="B202" s="25" t="s">
        <v>723</v>
      </c>
      <c r="C202" s="25" t="s">
        <v>724</v>
      </c>
      <c r="D202" s="25" t="s">
        <v>248</v>
      </c>
      <c r="E202" s="31">
        <v>44994</v>
      </c>
      <c r="F202" s="31"/>
      <c r="G202" s="25" t="s">
        <v>725</v>
      </c>
      <c r="H202" s="32">
        <v>24</v>
      </c>
      <c r="I202" s="24">
        <v>49920</v>
      </c>
      <c r="J202" s="25" t="s">
        <v>111</v>
      </c>
      <c r="K202" s="25" t="s">
        <v>112</v>
      </c>
      <c r="L202" s="25">
        <v>900</v>
      </c>
      <c r="M202" s="25" t="s">
        <v>447</v>
      </c>
      <c r="N202" s="25">
        <v>1570</v>
      </c>
      <c r="O202" s="25" t="s">
        <v>478</v>
      </c>
    </row>
    <row r="203" spans="1:15" x14ac:dyDescent="0.25">
      <c r="A203" s="25">
        <v>10026</v>
      </c>
      <c r="B203" s="25" t="s">
        <v>940</v>
      </c>
      <c r="C203" s="25" t="s">
        <v>941</v>
      </c>
      <c r="D203" s="25" t="s">
        <v>488</v>
      </c>
      <c r="E203" s="31">
        <v>44466</v>
      </c>
      <c r="F203" s="31">
        <v>44812</v>
      </c>
      <c r="G203" s="25" t="s">
        <v>942</v>
      </c>
      <c r="H203" s="32">
        <v>27</v>
      </c>
      <c r="I203" s="24">
        <v>56160</v>
      </c>
      <c r="J203" s="25" t="s">
        <v>328</v>
      </c>
      <c r="K203" s="25" t="s">
        <v>329</v>
      </c>
      <c r="L203" s="25">
        <v>900</v>
      </c>
      <c r="M203" s="25" t="s">
        <v>164</v>
      </c>
      <c r="N203" s="25" t="s">
        <v>472</v>
      </c>
      <c r="O203" s="25" t="s">
        <v>473</v>
      </c>
    </row>
    <row r="204" spans="1:15" x14ac:dyDescent="0.25">
      <c r="A204" s="25">
        <v>544</v>
      </c>
      <c r="B204" s="25" t="s">
        <v>943</v>
      </c>
      <c r="C204" s="25" t="s">
        <v>944</v>
      </c>
      <c r="D204" s="25" t="s">
        <v>21</v>
      </c>
      <c r="E204" s="31">
        <v>42786</v>
      </c>
      <c r="F204" s="31">
        <v>44665</v>
      </c>
      <c r="G204" s="25" t="s">
        <v>945</v>
      </c>
      <c r="H204" s="32">
        <v>55000</v>
      </c>
      <c r="I204" s="24">
        <v>55000</v>
      </c>
      <c r="J204" s="25" t="s">
        <v>23</v>
      </c>
      <c r="K204" s="25" t="s">
        <v>24</v>
      </c>
      <c r="L204" s="25">
        <v>110</v>
      </c>
      <c r="M204" s="25" t="s">
        <v>25</v>
      </c>
      <c r="N204" s="25">
        <v>7000</v>
      </c>
      <c r="O204" s="25" t="s">
        <v>26</v>
      </c>
    </row>
    <row r="205" spans="1:15" x14ac:dyDescent="0.25">
      <c r="A205" s="25">
        <v>10055</v>
      </c>
      <c r="B205" s="25" t="s">
        <v>726</v>
      </c>
      <c r="C205" s="25" t="s">
        <v>724</v>
      </c>
      <c r="D205" s="25" t="s">
        <v>476</v>
      </c>
      <c r="E205" s="31">
        <v>44670</v>
      </c>
      <c r="F205" s="31"/>
      <c r="G205" s="25" t="s">
        <v>727</v>
      </c>
      <c r="H205" s="32">
        <v>25</v>
      </c>
      <c r="I205" s="24">
        <v>52000</v>
      </c>
      <c r="J205" s="25" t="s">
        <v>415</v>
      </c>
      <c r="K205" s="25" t="s">
        <v>416</v>
      </c>
      <c r="L205" s="25">
        <v>900</v>
      </c>
      <c r="M205" s="25" t="s">
        <v>447</v>
      </c>
      <c r="N205" s="25" t="s">
        <v>461</v>
      </c>
      <c r="O205" s="25" t="s">
        <v>462</v>
      </c>
    </row>
    <row r="206" spans="1:15" x14ac:dyDescent="0.25">
      <c r="A206" s="25">
        <v>706</v>
      </c>
      <c r="B206" s="25" t="s">
        <v>728</v>
      </c>
      <c r="C206" s="25" t="s">
        <v>315</v>
      </c>
      <c r="D206" s="25" t="s">
        <v>465</v>
      </c>
      <c r="E206" s="31">
        <v>44256</v>
      </c>
      <c r="F206" s="31"/>
      <c r="G206" s="25" t="s">
        <v>729</v>
      </c>
      <c r="H206" s="32">
        <v>31</v>
      </c>
      <c r="I206" s="24">
        <v>64480</v>
      </c>
      <c r="J206" s="25" t="s">
        <v>111</v>
      </c>
      <c r="K206" s="25" t="s">
        <v>112</v>
      </c>
      <c r="L206" s="25">
        <v>900</v>
      </c>
      <c r="M206" s="25" t="s">
        <v>447</v>
      </c>
      <c r="N206" s="25">
        <v>1571</v>
      </c>
      <c r="O206" s="25" t="s">
        <v>467</v>
      </c>
    </row>
    <row r="207" spans="1:15" x14ac:dyDescent="0.25">
      <c r="A207" s="25">
        <v>705</v>
      </c>
      <c r="B207" s="25" t="s">
        <v>69</v>
      </c>
      <c r="C207" s="25" t="s">
        <v>277</v>
      </c>
      <c r="D207" s="25" t="s">
        <v>278</v>
      </c>
      <c r="E207" s="31">
        <v>44236</v>
      </c>
      <c r="F207" s="31"/>
      <c r="G207" s="25" t="s">
        <v>279</v>
      </c>
      <c r="H207" s="32">
        <v>55000</v>
      </c>
      <c r="I207" s="24">
        <v>55000</v>
      </c>
      <c r="J207" s="25" t="s">
        <v>23</v>
      </c>
      <c r="K207" s="25" t="s">
        <v>24</v>
      </c>
      <c r="L207" s="25">
        <v>160</v>
      </c>
      <c r="M207" s="25" t="s">
        <v>272</v>
      </c>
      <c r="N207" s="25">
        <v>7190</v>
      </c>
      <c r="O207" s="25" t="s">
        <v>273</v>
      </c>
    </row>
    <row r="208" spans="1:15" x14ac:dyDescent="0.25">
      <c r="A208" s="25">
        <v>10074</v>
      </c>
      <c r="B208" s="25" t="s">
        <v>295</v>
      </c>
      <c r="C208" s="25" t="s">
        <v>296</v>
      </c>
      <c r="D208" s="25" t="s">
        <v>297</v>
      </c>
      <c r="E208" s="31">
        <v>44900</v>
      </c>
      <c r="F208" s="31"/>
      <c r="G208" s="25" t="s">
        <v>298</v>
      </c>
      <c r="H208" s="32">
        <v>25</v>
      </c>
      <c r="I208" s="24">
        <v>52000</v>
      </c>
      <c r="J208" s="25" t="s">
        <v>283</v>
      </c>
      <c r="K208" s="25" t="s">
        <v>284</v>
      </c>
      <c r="L208" s="25">
        <v>210</v>
      </c>
      <c r="M208" s="25" t="s">
        <v>25</v>
      </c>
      <c r="N208" s="25">
        <v>7190</v>
      </c>
      <c r="O208" s="25" t="s">
        <v>294</v>
      </c>
    </row>
    <row r="209" spans="1:15" x14ac:dyDescent="0.25">
      <c r="A209" s="25">
        <v>238</v>
      </c>
      <c r="B209" s="25" t="s">
        <v>69</v>
      </c>
      <c r="C209" s="25" t="s">
        <v>70</v>
      </c>
      <c r="D209" s="25" t="s">
        <v>62</v>
      </c>
      <c r="E209" s="31">
        <v>38964</v>
      </c>
      <c r="F209" s="31"/>
      <c r="G209" s="25" t="s">
        <v>71</v>
      </c>
      <c r="H209" s="32">
        <v>55000</v>
      </c>
      <c r="I209" s="24">
        <v>55000</v>
      </c>
      <c r="J209" s="25" t="s">
        <v>23</v>
      </c>
      <c r="K209" s="25" t="s">
        <v>24</v>
      </c>
      <c r="L209" s="25">
        <v>112</v>
      </c>
      <c r="M209" s="25" t="s">
        <v>64</v>
      </c>
      <c r="N209" s="25">
        <v>7000</v>
      </c>
      <c r="O209" s="25" t="s">
        <v>65</v>
      </c>
    </row>
    <row r="210" spans="1:15" x14ac:dyDescent="0.25">
      <c r="A210" s="25">
        <v>559</v>
      </c>
      <c r="B210" s="25" t="s">
        <v>44</v>
      </c>
      <c r="C210" s="25" t="s">
        <v>45</v>
      </c>
      <c r="D210" s="25" t="s">
        <v>46</v>
      </c>
      <c r="E210" s="31">
        <v>42856</v>
      </c>
      <c r="F210" s="31"/>
      <c r="G210" s="25" t="s">
        <v>47</v>
      </c>
      <c r="H210" s="32">
        <v>85000</v>
      </c>
      <c r="I210" s="24">
        <v>85000</v>
      </c>
      <c r="J210" s="25" t="s">
        <v>23</v>
      </c>
      <c r="K210" s="25" t="s">
        <v>24</v>
      </c>
      <c r="L210" s="25">
        <v>110</v>
      </c>
      <c r="M210" s="25" t="s">
        <v>25</v>
      </c>
      <c r="N210" s="25">
        <v>7170</v>
      </c>
      <c r="O210" s="25" t="s">
        <v>43</v>
      </c>
    </row>
    <row r="211" spans="1:15" x14ac:dyDescent="0.25">
      <c r="A211" s="25">
        <v>10066</v>
      </c>
      <c r="B211" s="25" t="s">
        <v>52</v>
      </c>
      <c r="C211" s="25" t="s">
        <v>53</v>
      </c>
      <c r="D211" s="25" t="s">
        <v>54</v>
      </c>
      <c r="E211" s="31">
        <v>44823</v>
      </c>
      <c r="F211" s="31"/>
      <c r="G211" s="25" t="s">
        <v>55</v>
      </c>
      <c r="H211" s="32">
        <v>55000</v>
      </c>
      <c r="I211" s="24">
        <v>55000</v>
      </c>
      <c r="J211" s="25" t="s">
        <v>23</v>
      </c>
      <c r="K211" s="25" t="s">
        <v>24</v>
      </c>
      <c r="L211" s="25">
        <v>110</v>
      </c>
      <c r="M211" s="25" t="s">
        <v>25</v>
      </c>
      <c r="N211" s="25">
        <v>7000</v>
      </c>
      <c r="O211" s="25" t="s">
        <v>26</v>
      </c>
    </row>
    <row r="212" spans="1:15" x14ac:dyDescent="0.25">
      <c r="A212" s="25">
        <v>666</v>
      </c>
      <c r="B212" s="25" t="s">
        <v>48</v>
      </c>
      <c r="C212" s="25" t="s">
        <v>49</v>
      </c>
      <c r="D212" s="25" t="s">
        <v>50</v>
      </c>
      <c r="E212" s="31">
        <v>43767</v>
      </c>
      <c r="F212" s="31"/>
      <c r="G212" s="25" t="s">
        <v>51</v>
      </c>
      <c r="H212" s="32">
        <v>50000</v>
      </c>
      <c r="I212" s="24">
        <v>50000</v>
      </c>
      <c r="J212" s="25" t="s">
        <v>23</v>
      </c>
      <c r="K212" s="25" t="s">
        <v>24</v>
      </c>
      <c r="L212" s="25">
        <v>110</v>
      </c>
      <c r="M212" s="25" t="s">
        <v>25</v>
      </c>
      <c r="N212" s="25">
        <v>7000</v>
      </c>
      <c r="O212" s="25" t="s">
        <v>26</v>
      </c>
    </row>
    <row r="213" spans="1:15" x14ac:dyDescent="0.25">
      <c r="A213" s="25">
        <v>674</v>
      </c>
      <c r="B213" s="25" t="s">
        <v>264</v>
      </c>
      <c r="C213" s="25" t="s">
        <v>265</v>
      </c>
      <c r="D213" s="25" t="s">
        <v>266</v>
      </c>
      <c r="E213" s="31">
        <v>43878</v>
      </c>
      <c r="F213" s="31"/>
      <c r="G213" s="25" t="s">
        <v>267</v>
      </c>
      <c r="H213" s="32">
        <v>26.25</v>
      </c>
      <c r="I213" s="24">
        <v>54600</v>
      </c>
      <c r="J213" s="25" t="s">
        <v>111</v>
      </c>
      <c r="K213" s="25" t="s">
        <v>112</v>
      </c>
      <c r="L213" s="25">
        <v>150</v>
      </c>
      <c r="M213" s="25" t="s">
        <v>234</v>
      </c>
      <c r="N213" s="25">
        <v>7190</v>
      </c>
      <c r="O213" s="25" t="s">
        <v>235</v>
      </c>
    </row>
    <row r="214" spans="1:15" x14ac:dyDescent="0.25">
      <c r="A214" s="25">
        <v>10028</v>
      </c>
      <c r="B214" s="25" t="s">
        <v>758</v>
      </c>
      <c r="C214" s="25" t="s">
        <v>759</v>
      </c>
      <c r="D214" s="25" t="s">
        <v>760</v>
      </c>
      <c r="E214" s="31">
        <v>44480</v>
      </c>
      <c r="F214" s="31"/>
      <c r="G214" s="25" t="s">
        <v>761</v>
      </c>
      <c r="H214" s="32">
        <v>24</v>
      </c>
      <c r="I214" s="24">
        <v>56160</v>
      </c>
      <c r="J214" s="25" t="s">
        <v>111</v>
      </c>
      <c r="K214" s="25" t="s">
        <v>112</v>
      </c>
      <c r="L214" s="25">
        <v>935</v>
      </c>
      <c r="M214" s="25" t="s">
        <v>743</v>
      </c>
      <c r="N214" s="25">
        <v>7190</v>
      </c>
      <c r="O214" s="25" t="s">
        <v>749</v>
      </c>
    </row>
    <row r="215" spans="1:15" x14ac:dyDescent="0.25">
      <c r="A215" s="25">
        <v>10023</v>
      </c>
      <c r="B215" s="25" t="s">
        <v>56</v>
      </c>
      <c r="C215" s="25" t="s">
        <v>57</v>
      </c>
      <c r="D215" s="25" t="s">
        <v>58</v>
      </c>
      <c r="E215" s="31">
        <v>44452</v>
      </c>
      <c r="F215" s="31"/>
      <c r="G215" s="25" t="s">
        <v>59</v>
      </c>
      <c r="H215" s="32">
        <v>120000</v>
      </c>
      <c r="I215" s="24">
        <v>120000</v>
      </c>
      <c r="J215" s="25" t="s">
        <v>23</v>
      </c>
      <c r="K215" s="25" t="s">
        <v>24</v>
      </c>
      <c r="L215" s="25">
        <v>110</v>
      </c>
      <c r="M215" s="25" t="s">
        <v>25</v>
      </c>
      <c r="N215" s="25">
        <v>7170</v>
      </c>
      <c r="O215" s="25" t="s">
        <v>43</v>
      </c>
    </row>
    <row r="216" spans="1:15" x14ac:dyDescent="0.25">
      <c r="A216" s="25">
        <v>683</v>
      </c>
      <c r="B216" s="25" t="s">
        <v>946</v>
      </c>
      <c r="C216" s="25" t="s">
        <v>947</v>
      </c>
      <c r="D216" s="25" t="s">
        <v>248</v>
      </c>
      <c r="E216" s="31">
        <v>43899</v>
      </c>
      <c r="F216" s="31">
        <v>44818</v>
      </c>
      <c r="G216" s="25" t="s">
        <v>948</v>
      </c>
      <c r="H216" s="32">
        <v>22.5</v>
      </c>
      <c r="I216" s="24">
        <v>35100</v>
      </c>
      <c r="J216" s="25" t="s">
        <v>111</v>
      </c>
      <c r="K216" s="25" t="s">
        <v>112</v>
      </c>
      <c r="L216" s="25">
        <v>150</v>
      </c>
      <c r="M216" s="25" t="s">
        <v>234</v>
      </c>
      <c r="N216" s="25">
        <v>7190</v>
      </c>
      <c r="O216" s="25" t="s">
        <v>235</v>
      </c>
    </row>
    <row r="217" spans="1:15" x14ac:dyDescent="0.25">
      <c r="A217" s="25">
        <v>673</v>
      </c>
      <c r="B217" s="25" t="s">
        <v>379</v>
      </c>
      <c r="C217" s="25" t="s">
        <v>380</v>
      </c>
      <c r="D217" s="25" t="s">
        <v>206</v>
      </c>
      <c r="E217" s="31">
        <v>43871</v>
      </c>
      <c r="F217" s="31"/>
      <c r="G217" s="25" t="s">
        <v>382</v>
      </c>
      <c r="H217" s="32">
        <v>30</v>
      </c>
      <c r="I217" s="24">
        <v>66300</v>
      </c>
      <c r="J217" s="25" t="s">
        <v>328</v>
      </c>
      <c r="K217" s="25" t="s">
        <v>329</v>
      </c>
      <c r="L217" s="25">
        <v>240</v>
      </c>
      <c r="M217" s="25" t="s">
        <v>164</v>
      </c>
      <c r="N217" s="25">
        <v>7190</v>
      </c>
      <c r="O217" s="25" t="s">
        <v>333</v>
      </c>
    </row>
    <row r="218" spans="1:15" x14ac:dyDescent="0.25">
      <c r="A218" s="25">
        <v>604</v>
      </c>
      <c r="B218" s="25" t="s">
        <v>299</v>
      </c>
      <c r="C218" s="25" t="s">
        <v>28</v>
      </c>
      <c r="D218" s="25" t="s">
        <v>21</v>
      </c>
      <c r="E218" s="31">
        <v>43160</v>
      </c>
      <c r="F218" s="31"/>
      <c r="G218" s="25" t="s">
        <v>300</v>
      </c>
      <c r="H218" s="32">
        <v>45000</v>
      </c>
      <c r="I218" s="24">
        <v>45000</v>
      </c>
      <c r="J218" s="25" t="s">
        <v>283</v>
      </c>
      <c r="K218" s="25" t="s">
        <v>284</v>
      </c>
      <c r="L218" s="25">
        <v>210</v>
      </c>
      <c r="M218" s="25" t="s">
        <v>25</v>
      </c>
      <c r="N218" s="25">
        <v>7000</v>
      </c>
      <c r="O218" s="25" t="s">
        <v>285</v>
      </c>
    </row>
    <row r="219" spans="1:15" x14ac:dyDescent="0.25">
      <c r="A219" s="25">
        <v>654</v>
      </c>
      <c r="B219" s="25" t="s">
        <v>733</v>
      </c>
      <c r="C219" s="25" t="s">
        <v>734</v>
      </c>
      <c r="D219" s="25" t="s">
        <v>636</v>
      </c>
      <c r="E219" s="31">
        <v>43661</v>
      </c>
      <c r="F219" s="31"/>
      <c r="G219" s="25" t="s">
        <v>735</v>
      </c>
      <c r="H219" s="32">
        <v>34</v>
      </c>
      <c r="I219" s="24">
        <v>70720</v>
      </c>
      <c r="J219" s="25" t="s">
        <v>328</v>
      </c>
      <c r="K219" s="25" t="s">
        <v>329</v>
      </c>
      <c r="L219" s="25">
        <v>900</v>
      </c>
      <c r="M219" s="25" t="s">
        <v>164</v>
      </c>
      <c r="N219" s="25" t="s">
        <v>472</v>
      </c>
      <c r="O219" s="25" t="s">
        <v>473</v>
      </c>
    </row>
    <row r="220" spans="1:15" x14ac:dyDescent="0.25">
      <c r="A220" s="25">
        <v>10020</v>
      </c>
      <c r="B220" s="25" t="s">
        <v>95</v>
      </c>
      <c r="C220" s="25" t="s">
        <v>96</v>
      </c>
      <c r="D220" s="25" t="s">
        <v>50</v>
      </c>
      <c r="E220" s="31">
        <v>44431</v>
      </c>
      <c r="F220" s="31">
        <v>45138</v>
      </c>
      <c r="G220" s="25" t="s">
        <v>97</v>
      </c>
      <c r="H220" s="32">
        <v>50000</v>
      </c>
      <c r="I220" s="24">
        <v>50000</v>
      </c>
      <c r="J220" s="25" t="s">
        <v>23</v>
      </c>
      <c r="K220" s="25" t="s">
        <v>24</v>
      </c>
      <c r="L220" s="25">
        <v>120</v>
      </c>
      <c r="M220" s="25" t="s">
        <v>80</v>
      </c>
      <c r="N220" s="25">
        <v>7000</v>
      </c>
      <c r="O220" s="25" t="s">
        <v>81</v>
      </c>
    </row>
    <row r="221" spans="1:15" x14ac:dyDescent="0.25">
      <c r="A221" s="25">
        <v>402</v>
      </c>
      <c r="B221" s="25" t="s">
        <v>736</v>
      </c>
      <c r="C221" s="25" t="s">
        <v>737</v>
      </c>
      <c r="D221" s="25" t="s">
        <v>949</v>
      </c>
      <c r="E221" s="31">
        <v>41477</v>
      </c>
      <c r="F221" s="31">
        <v>45163</v>
      </c>
      <c r="G221" s="25" t="s">
        <v>738</v>
      </c>
      <c r="H221" s="32">
        <v>29</v>
      </c>
      <c r="I221" s="24">
        <v>64090</v>
      </c>
      <c r="J221" s="25" t="s">
        <v>454</v>
      </c>
      <c r="K221" s="25" t="s">
        <v>455</v>
      </c>
      <c r="L221" s="25">
        <v>900</v>
      </c>
      <c r="M221" s="25" t="s">
        <v>456</v>
      </c>
      <c r="N221" s="25">
        <v>2400</v>
      </c>
      <c r="O221" s="25" t="s">
        <v>457</v>
      </c>
    </row>
  </sheetData>
  <autoFilter ref="A9:O221" xr:uid="{C7079A93-DDEF-4F68-AB66-56C72B060BBC}"/>
  <pageMargins left="0.75" right="0.75" top="0.75" bottom="0.5" header="0.5" footer="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EDF1C-DDD2-4B7C-9135-75FE32CB9AED}">
  <sheetPr>
    <tabColor theme="9" tint="0.79998168889431442"/>
  </sheetPr>
  <dimension ref="A1:F94"/>
  <sheetViews>
    <sheetView zoomScaleNormal="100" workbookViewId="0">
      <selection activeCell="E25" sqref="E25"/>
    </sheetView>
  </sheetViews>
  <sheetFormatPr defaultColWidth="9.140625" defaultRowHeight="15" x14ac:dyDescent="0.25"/>
  <cols>
    <col min="1" max="1" width="9.140625" style="288"/>
    <col min="2" max="2" width="41" style="288" bestFit="1" customWidth="1"/>
    <col min="3" max="3" width="23.7109375" style="288" bestFit="1" customWidth="1"/>
    <col min="4" max="4" width="71.28515625" style="288" customWidth="1"/>
    <col min="5" max="5" width="47.85546875" style="288" customWidth="1"/>
    <col min="6" max="7" width="9.140625" style="288"/>
    <col min="8" max="8" width="11.5703125" style="288" bestFit="1" customWidth="1"/>
    <col min="9" max="16384" width="9.140625" style="288"/>
  </cols>
  <sheetData>
    <row r="1" spans="1:5" ht="15.75" thickBot="1" x14ac:dyDescent="0.3"/>
    <row r="2" spans="1:5" x14ac:dyDescent="0.25">
      <c r="B2" s="302" t="s">
        <v>1452</v>
      </c>
      <c r="C2" s="289"/>
      <c r="D2" s="289"/>
      <c r="E2" s="294"/>
    </row>
    <row r="3" spans="1:5" x14ac:dyDescent="0.25">
      <c r="B3" s="295"/>
      <c r="C3" s="290" t="s">
        <v>1441</v>
      </c>
      <c r="D3" s="290" t="s">
        <v>1442</v>
      </c>
      <c r="E3" s="296" t="s">
        <v>1447</v>
      </c>
    </row>
    <row r="4" spans="1:5" ht="60" x14ac:dyDescent="0.25">
      <c r="B4" s="295"/>
      <c r="C4" s="288" t="s">
        <v>1066</v>
      </c>
      <c r="D4" s="288" t="s">
        <v>1453</v>
      </c>
      <c r="E4" s="298" t="s">
        <v>1454</v>
      </c>
    </row>
    <row r="5" spans="1:5" ht="45" x14ac:dyDescent="0.25">
      <c r="B5" s="297"/>
      <c r="C5" s="288" t="s">
        <v>1456</v>
      </c>
      <c r="D5" s="288" t="s">
        <v>1443</v>
      </c>
      <c r="E5" s="298" t="s">
        <v>1444</v>
      </c>
    </row>
    <row r="6" spans="1:5" ht="30" x14ac:dyDescent="0.25">
      <c r="A6" s="298"/>
      <c r="C6" s="288" t="s">
        <v>1069</v>
      </c>
      <c r="D6" s="288" t="s">
        <v>1445</v>
      </c>
      <c r="E6" s="298" t="s">
        <v>1095</v>
      </c>
    </row>
    <row r="7" spans="1:5" x14ac:dyDescent="0.25">
      <c r="A7" s="298"/>
      <c r="C7" s="288" t="s">
        <v>1070</v>
      </c>
      <c r="D7" s="288" t="s">
        <v>1446</v>
      </c>
      <c r="E7" s="298"/>
    </row>
    <row r="8" spans="1:5" ht="60" x14ac:dyDescent="0.25">
      <c r="A8" s="298"/>
      <c r="C8" s="288" t="s">
        <v>1448</v>
      </c>
      <c r="D8" s="288" t="s">
        <v>1449</v>
      </c>
      <c r="E8" s="298" t="s">
        <v>1464</v>
      </c>
    </row>
    <row r="9" spans="1:5" ht="30" x14ac:dyDescent="0.25">
      <c r="A9" s="298"/>
      <c r="D9" s="288" t="s">
        <v>1469</v>
      </c>
      <c r="E9" s="298" t="s">
        <v>1470</v>
      </c>
    </row>
    <row r="10" spans="1:5" x14ac:dyDescent="0.25">
      <c r="A10" s="298"/>
      <c r="D10" s="288" t="s">
        <v>1450</v>
      </c>
      <c r="E10" s="298" t="s">
        <v>1489</v>
      </c>
    </row>
    <row r="11" spans="1:5" ht="15.75" thickBot="1" x14ac:dyDescent="0.3">
      <c r="B11" s="299"/>
      <c r="C11" s="291"/>
      <c r="D11" s="291"/>
      <c r="E11" s="300"/>
    </row>
    <row r="13" spans="1:5" ht="15.75" thickBot="1" x14ac:dyDescent="0.3"/>
    <row r="14" spans="1:5" x14ac:dyDescent="0.25">
      <c r="B14" s="293" t="s">
        <v>1451</v>
      </c>
      <c r="C14" s="289"/>
      <c r="D14" s="289"/>
      <c r="E14" s="294"/>
    </row>
    <row r="15" spans="1:5" x14ac:dyDescent="0.25">
      <c r="B15" s="295"/>
      <c r="C15" s="290" t="s">
        <v>1441</v>
      </c>
      <c r="D15" s="290" t="s">
        <v>1442</v>
      </c>
      <c r="E15" s="296" t="s">
        <v>1447</v>
      </c>
    </row>
    <row r="16" spans="1:5" ht="60" x14ac:dyDescent="0.25">
      <c r="B16" s="297"/>
      <c r="C16" s="288" t="s">
        <v>1066</v>
      </c>
      <c r="D16" s="288" t="s">
        <v>1455</v>
      </c>
      <c r="E16" s="298" t="s">
        <v>1454</v>
      </c>
    </row>
    <row r="17" spans="2:5" ht="75" x14ac:dyDescent="0.25">
      <c r="B17" s="297"/>
      <c r="C17" s="288" t="s">
        <v>1457</v>
      </c>
      <c r="D17" s="288" t="s">
        <v>1458</v>
      </c>
      <c r="E17" s="298" t="s">
        <v>1459</v>
      </c>
    </row>
    <row r="18" spans="2:5" ht="45" x14ac:dyDescent="0.25">
      <c r="B18" s="297"/>
      <c r="C18" s="288" t="s">
        <v>1460</v>
      </c>
      <c r="D18" s="288" t="s">
        <v>1461</v>
      </c>
      <c r="E18" s="298" t="s">
        <v>1462</v>
      </c>
    </row>
    <row r="19" spans="2:5" ht="15.75" thickBot="1" x14ac:dyDescent="0.3">
      <c r="B19" s="299"/>
      <c r="C19" s="291" t="s">
        <v>1448</v>
      </c>
      <c r="D19" s="291" t="s">
        <v>1463</v>
      </c>
      <c r="E19" s="300"/>
    </row>
    <row r="21" spans="2:5" ht="15.75" thickBot="1" x14ac:dyDescent="0.3"/>
    <row r="22" spans="2:5" x14ac:dyDescent="0.25">
      <c r="B22" s="303" t="s">
        <v>966</v>
      </c>
      <c r="C22" s="289"/>
      <c r="D22" s="289"/>
      <c r="E22" s="294"/>
    </row>
    <row r="23" spans="2:5" x14ac:dyDescent="0.25">
      <c r="B23" s="295"/>
      <c r="C23" s="290" t="s">
        <v>1441</v>
      </c>
      <c r="D23" s="290" t="s">
        <v>1442</v>
      </c>
      <c r="E23" s="296" t="s">
        <v>1447</v>
      </c>
    </row>
    <row r="24" spans="2:5" x14ac:dyDescent="0.25">
      <c r="B24" s="295"/>
      <c r="C24" s="288" t="s">
        <v>1467</v>
      </c>
      <c r="D24" s="288" t="s">
        <v>1468</v>
      </c>
      <c r="E24" s="296"/>
    </row>
    <row r="25" spans="2:5" ht="30.75" thickBot="1" x14ac:dyDescent="0.3">
      <c r="B25" s="299"/>
      <c r="C25" s="304" t="s">
        <v>1162</v>
      </c>
      <c r="D25" s="301" t="s">
        <v>1539</v>
      </c>
      <c r="E25" s="300" t="s">
        <v>1465</v>
      </c>
    </row>
    <row r="26" spans="2:5" x14ac:dyDescent="0.25">
      <c r="C26" s="47"/>
      <c r="D26" s="292"/>
    </row>
    <row r="27" spans="2:5" ht="15.75" thickBot="1" x14ac:dyDescent="0.3"/>
    <row r="28" spans="2:5" x14ac:dyDescent="0.25">
      <c r="B28" s="305" t="s">
        <v>113</v>
      </c>
      <c r="C28" s="289"/>
      <c r="D28" s="289"/>
      <c r="E28" s="294"/>
    </row>
    <row r="29" spans="2:5" x14ac:dyDescent="0.25">
      <c r="B29" s="295"/>
      <c r="C29" s="290" t="s">
        <v>1441</v>
      </c>
      <c r="D29" s="290" t="s">
        <v>1442</v>
      </c>
      <c r="E29" s="296" t="s">
        <v>1473</v>
      </c>
    </row>
    <row r="30" spans="2:5" ht="30" x14ac:dyDescent="0.25">
      <c r="B30" s="295"/>
      <c r="C30" s="288" t="s">
        <v>1471</v>
      </c>
      <c r="D30" s="288" t="s">
        <v>1472</v>
      </c>
      <c r="E30" s="298" t="s">
        <v>1474</v>
      </c>
    </row>
    <row r="31" spans="2:5" ht="45" x14ac:dyDescent="0.25">
      <c r="B31" s="297"/>
      <c r="C31" s="288" t="s">
        <v>1175</v>
      </c>
      <c r="D31" s="288" t="s">
        <v>1466</v>
      </c>
      <c r="E31" s="298" t="s">
        <v>1475</v>
      </c>
    </row>
    <row r="32" spans="2:5" ht="30" x14ac:dyDescent="0.25">
      <c r="B32" s="297"/>
      <c r="C32" s="288" t="s">
        <v>1206</v>
      </c>
      <c r="D32" s="288" t="s">
        <v>1478</v>
      </c>
      <c r="E32" s="298" t="s">
        <v>1484</v>
      </c>
    </row>
    <row r="33" spans="1:6" ht="30" x14ac:dyDescent="0.25">
      <c r="B33" s="297"/>
      <c r="C33" s="288" t="s">
        <v>1301</v>
      </c>
      <c r="D33" s="288" t="s">
        <v>1479</v>
      </c>
      <c r="E33" s="298" t="s">
        <v>1480</v>
      </c>
    </row>
    <row r="34" spans="1:6" ht="75.75" thickBot="1" x14ac:dyDescent="0.3">
      <c r="B34" s="299"/>
      <c r="C34" s="291" t="s">
        <v>1448</v>
      </c>
      <c r="D34" s="301" t="s">
        <v>1476</v>
      </c>
      <c r="E34" s="300" t="s">
        <v>1477</v>
      </c>
    </row>
    <row r="36" spans="1:6" ht="15.75" thickBot="1" x14ac:dyDescent="0.3"/>
    <row r="37" spans="1:6" x14ac:dyDescent="0.25">
      <c r="B37" s="306" t="s">
        <v>1440</v>
      </c>
      <c r="C37" s="289"/>
      <c r="D37" s="289"/>
      <c r="E37" s="294"/>
    </row>
    <row r="38" spans="1:6" x14ac:dyDescent="0.25">
      <c r="B38" s="295"/>
      <c r="C38" s="290" t="s">
        <v>1441</v>
      </c>
      <c r="D38" s="290" t="s">
        <v>1442</v>
      </c>
      <c r="E38" s="296" t="s">
        <v>1473</v>
      </c>
    </row>
    <row r="39" spans="1:6" x14ac:dyDescent="0.25">
      <c r="B39" s="295"/>
      <c r="C39" s="288" t="s">
        <v>1471</v>
      </c>
      <c r="D39" s="288" t="s">
        <v>1481</v>
      </c>
      <c r="E39" s="296"/>
    </row>
    <row r="40" spans="1:6" ht="30" x14ac:dyDescent="0.25">
      <c r="B40" s="295"/>
      <c r="C40" s="288" t="s">
        <v>1482</v>
      </c>
      <c r="D40" s="288" t="s">
        <v>1483</v>
      </c>
      <c r="E40" s="298" t="s">
        <v>1485</v>
      </c>
    </row>
    <row r="41" spans="1:6" ht="30" x14ac:dyDescent="0.25">
      <c r="B41" s="295"/>
      <c r="C41" s="288" t="s">
        <v>1206</v>
      </c>
      <c r="D41" s="288" t="s">
        <v>1478</v>
      </c>
      <c r="E41" s="298" t="s">
        <v>1484</v>
      </c>
    </row>
    <row r="42" spans="1:6" x14ac:dyDescent="0.25">
      <c r="B42" s="295"/>
      <c r="C42" s="288" t="s">
        <v>1301</v>
      </c>
      <c r="D42" s="288" t="s">
        <v>1486</v>
      </c>
      <c r="E42" s="296"/>
    </row>
    <row r="43" spans="1:6" ht="30" x14ac:dyDescent="0.25">
      <c r="B43" s="295"/>
      <c r="C43" s="288" t="s">
        <v>1448</v>
      </c>
      <c r="D43" s="288" t="s">
        <v>1487</v>
      </c>
      <c r="E43" s="298" t="s">
        <v>1488</v>
      </c>
    </row>
    <row r="44" spans="1:6" ht="36" customHeight="1" thickBot="1" x14ac:dyDescent="0.3">
      <c r="B44" s="299"/>
      <c r="C44" s="291"/>
      <c r="D44" s="301"/>
      <c r="E44" s="300"/>
    </row>
    <row r="46" spans="1:6" x14ac:dyDescent="0.25">
      <c r="A46" s="308"/>
      <c r="B46" s="308"/>
      <c r="C46" s="308"/>
      <c r="D46" s="308"/>
      <c r="E46" s="308"/>
      <c r="F46" s="308"/>
    </row>
    <row r="47" spans="1:6" ht="15.75" thickBot="1" x14ac:dyDescent="0.3">
      <c r="A47" s="308"/>
      <c r="B47" s="308"/>
      <c r="C47" s="308"/>
      <c r="D47" s="308"/>
      <c r="E47" s="308"/>
      <c r="F47" s="308"/>
    </row>
    <row r="48" spans="1:6" x14ac:dyDescent="0.25">
      <c r="A48" s="308"/>
      <c r="B48" s="314" t="s">
        <v>64</v>
      </c>
      <c r="C48" s="289"/>
      <c r="D48" s="289"/>
      <c r="E48" s="294"/>
      <c r="F48" s="308"/>
    </row>
    <row r="49" spans="1:6" x14ac:dyDescent="0.25">
      <c r="A49" s="308"/>
      <c r="B49" s="295"/>
      <c r="C49" s="290" t="s">
        <v>1441</v>
      </c>
      <c r="D49" s="290" t="s">
        <v>1442</v>
      </c>
      <c r="E49" s="296" t="s">
        <v>1473</v>
      </c>
      <c r="F49" s="308"/>
    </row>
    <row r="50" spans="1:6" x14ac:dyDescent="0.25">
      <c r="A50" s="308"/>
      <c r="B50" s="295" t="s">
        <v>989</v>
      </c>
      <c r="C50" s="288" t="s">
        <v>1490</v>
      </c>
      <c r="D50" s="288" t="s">
        <v>1491</v>
      </c>
      <c r="E50" s="296"/>
      <c r="F50" s="308"/>
    </row>
    <row r="51" spans="1:6" ht="30" x14ac:dyDescent="0.25">
      <c r="A51" s="308"/>
      <c r="B51" s="295"/>
      <c r="C51" s="288" t="s">
        <v>1540</v>
      </c>
      <c r="D51" s="288" t="s">
        <v>1492</v>
      </c>
      <c r="E51" s="298" t="s">
        <v>1493</v>
      </c>
      <c r="F51" s="308"/>
    </row>
    <row r="52" spans="1:6" ht="30" x14ac:dyDescent="0.25">
      <c r="A52" s="308"/>
      <c r="B52" s="295"/>
      <c r="C52" s="288" t="s">
        <v>1460</v>
      </c>
      <c r="D52" s="288" t="s">
        <v>1494</v>
      </c>
      <c r="E52" s="298" t="s">
        <v>1495</v>
      </c>
      <c r="F52" s="308"/>
    </row>
    <row r="53" spans="1:6" ht="30" x14ac:dyDescent="0.25">
      <c r="A53" s="308"/>
      <c r="B53" s="295"/>
      <c r="C53" s="288" t="s">
        <v>1448</v>
      </c>
      <c r="D53" s="288" t="s">
        <v>1476</v>
      </c>
      <c r="E53" s="298" t="s">
        <v>1496</v>
      </c>
      <c r="F53" s="308"/>
    </row>
    <row r="54" spans="1:6" ht="30" x14ac:dyDescent="0.25">
      <c r="A54" s="308"/>
      <c r="B54" s="297" t="s">
        <v>990</v>
      </c>
      <c r="C54" s="288" t="s">
        <v>1497</v>
      </c>
      <c r="D54" s="288" t="s">
        <v>1498</v>
      </c>
      <c r="E54" s="298" t="s">
        <v>1499</v>
      </c>
      <c r="F54" s="308"/>
    </row>
    <row r="55" spans="1:6" x14ac:dyDescent="0.25">
      <c r="A55" s="308"/>
      <c r="B55" s="295"/>
      <c r="C55" s="288" t="s">
        <v>1460</v>
      </c>
      <c r="D55" s="288" t="s">
        <v>1500</v>
      </c>
      <c r="E55" s="296"/>
      <c r="F55" s="308"/>
    </row>
    <row r="56" spans="1:6" x14ac:dyDescent="0.25">
      <c r="A56" s="308"/>
      <c r="B56" s="297" t="s">
        <v>966</v>
      </c>
      <c r="C56" s="288" t="s">
        <v>1501</v>
      </c>
      <c r="D56" s="288" t="s">
        <v>1502</v>
      </c>
      <c r="E56" s="298" t="s">
        <v>1503</v>
      </c>
      <c r="F56" s="308"/>
    </row>
    <row r="57" spans="1:6" x14ac:dyDescent="0.25">
      <c r="A57" s="308"/>
      <c r="B57" s="297" t="s">
        <v>113</v>
      </c>
      <c r="C57" s="288" t="s">
        <v>1504</v>
      </c>
      <c r="D57" s="288" t="s">
        <v>1505</v>
      </c>
      <c r="E57" s="298" t="s">
        <v>1506</v>
      </c>
      <c r="F57" s="308"/>
    </row>
    <row r="58" spans="1:6" x14ac:dyDescent="0.25">
      <c r="A58" s="308"/>
      <c r="B58" s="297" t="s">
        <v>967</v>
      </c>
      <c r="C58" s="288" t="s">
        <v>1490</v>
      </c>
      <c r="D58" s="288" t="s">
        <v>1507</v>
      </c>
      <c r="E58" s="298" t="s">
        <v>1508</v>
      </c>
      <c r="F58" s="308"/>
    </row>
    <row r="59" spans="1:6" ht="45" x14ac:dyDescent="0.25">
      <c r="A59" s="308"/>
      <c r="B59" s="295"/>
      <c r="C59" s="288" t="s">
        <v>1509</v>
      </c>
      <c r="D59" s="288" t="s">
        <v>1505</v>
      </c>
      <c r="E59" s="298" t="s">
        <v>1510</v>
      </c>
      <c r="F59" s="308"/>
    </row>
    <row r="60" spans="1:6" ht="30" x14ac:dyDescent="0.25">
      <c r="A60" s="308"/>
      <c r="B60" s="295"/>
      <c r="C60" s="288" t="s">
        <v>1206</v>
      </c>
      <c r="D60" s="288" t="s">
        <v>1478</v>
      </c>
      <c r="E60" s="298" t="s">
        <v>1484</v>
      </c>
      <c r="F60" s="308"/>
    </row>
    <row r="61" spans="1:6" x14ac:dyDescent="0.25">
      <c r="A61" s="308"/>
      <c r="B61" s="295"/>
      <c r="C61" s="288" t="s">
        <v>1301</v>
      </c>
      <c r="D61" s="288" t="s">
        <v>1486</v>
      </c>
      <c r="E61" s="296"/>
      <c r="F61" s="308"/>
    </row>
    <row r="62" spans="1:6" x14ac:dyDescent="0.25">
      <c r="A62" s="308"/>
      <c r="B62" s="295"/>
      <c r="C62" s="290"/>
      <c r="D62" s="290"/>
      <c r="E62" s="296"/>
      <c r="F62" s="308"/>
    </row>
    <row r="63" spans="1:6" ht="36" customHeight="1" thickBot="1" x14ac:dyDescent="0.3">
      <c r="A63" s="308"/>
      <c r="B63" s="299"/>
      <c r="C63" s="291"/>
      <c r="D63" s="301"/>
      <c r="E63" s="300"/>
      <c r="F63" s="308"/>
    </row>
    <row r="64" spans="1:6" x14ac:dyDescent="0.25">
      <c r="A64" s="308"/>
      <c r="B64" s="308"/>
      <c r="C64" s="308"/>
      <c r="D64" s="308"/>
      <c r="E64" s="308"/>
      <c r="F64" s="308"/>
    </row>
    <row r="65" spans="1:6" x14ac:dyDescent="0.25">
      <c r="A65" s="308"/>
      <c r="B65" s="308"/>
      <c r="C65" s="308"/>
      <c r="D65" s="308"/>
      <c r="E65" s="308"/>
      <c r="F65" s="308"/>
    </row>
    <row r="66" spans="1:6" ht="15.75" thickBot="1" x14ac:dyDescent="0.3"/>
    <row r="67" spans="1:6" x14ac:dyDescent="0.25">
      <c r="B67" s="309" t="s">
        <v>1517</v>
      </c>
      <c r="C67" s="289"/>
      <c r="D67" s="289"/>
      <c r="E67" s="294"/>
    </row>
    <row r="68" spans="1:6" x14ac:dyDescent="0.25">
      <c r="B68" s="297" t="s">
        <v>975</v>
      </c>
      <c r="C68" s="290" t="s">
        <v>1441</v>
      </c>
      <c r="D68" s="290" t="s">
        <v>1442</v>
      </c>
      <c r="E68" s="296" t="s">
        <v>1473</v>
      </c>
    </row>
    <row r="69" spans="1:6" ht="45" x14ac:dyDescent="0.25">
      <c r="B69" s="295"/>
      <c r="C69" s="288" t="s">
        <v>1490</v>
      </c>
      <c r="D69" s="288" t="s">
        <v>1511</v>
      </c>
      <c r="E69" s="298" t="s">
        <v>1512</v>
      </c>
    </row>
    <row r="70" spans="1:6" ht="30" x14ac:dyDescent="0.25">
      <c r="B70" s="295"/>
      <c r="C70" s="288" t="s">
        <v>1513</v>
      </c>
      <c r="D70" s="288" t="s">
        <v>1514</v>
      </c>
      <c r="E70" s="298" t="s">
        <v>1515</v>
      </c>
    </row>
    <row r="71" spans="1:6" x14ac:dyDescent="0.25">
      <c r="B71" s="295"/>
      <c r="C71" s="288" t="s">
        <v>1301</v>
      </c>
      <c r="D71" s="288" t="s">
        <v>1516</v>
      </c>
      <c r="E71" s="296"/>
    </row>
    <row r="72" spans="1:6" ht="45" x14ac:dyDescent="0.25">
      <c r="B72" s="297" t="s">
        <v>976</v>
      </c>
      <c r="C72" s="288" t="s">
        <v>1513</v>
      </c>
      <c r="D72" s="288" t="s">
        <v>1518</v>
      </c>
      <c r="E72" s="298" t="s">
        <v>1519</v>
      </c>
    </row>
    <row r="73" spans="1:6" x14ac:dyDescent="0.25">
      <c r="B73" s="295"/>
      <c r="C73" s="290"/>
      <c r="D73" s="290"/>
      <c r="E73" s="296"/>
    </row>
    <row r="74" spans="1:6" ht="15.75" thickBot="1" x14ac:dyDescent="0.3">
      <c r="B74" s="299"/>
      <c r="C74" s="307"/>
      <c r="D74" s="301"/>
      <c r="E74" s="300"/>
    </row>
    <row r="75" spans="1:6" x14ac:dyDescent="0.25">
      <c r="C75" s="311"/>
      <c r="D75" s="292"/>
    </row>
    <row r="76" spans="1:6" ht="15.75" thickBot="1" x14ac:dyDescent="0.3"/>
    <row r="77" spans="1:6" x14ac:dyDescent="0.25">
      <c r="B77" s="312" t="s">
        <v>996</v>
      </c>
      <c r="C77" s="289"/>
      <c r="D77" s="289"/>
      <c r="E77" s="294"/>
    </row>
    <row r="78" spans="1:6" x14ac:dyDescent="0.25">
      <c r="B78" s="297"/>
      <c r="C78" s="290" t="s">
        <v>1441</v>
      </c>
      <c r="D78" s="290" t="s">
        <v>1442</v>
      </c>
      <c r="E78" s="296" t="s">
        <v>1473</v>
      </c>
    </row>
    <row r="79" spans="1:6" ht="30" x14ac:dyDescent="0.25">
      <c r="B79" s="295"/>
      <c r="C79" s="288" t="s">
        <v>1520</v>
      </c>
      <c r="D79" s="288" t="s">
        <v>1521</v>
      </c>
      <c r="E79" s="298" t="s">
        <v>1522</v>
      </c>
    </row>
    <row r="80" spans="1:6" x14ac:dyDescent="0.25">
      <c r="B80" s="295"/>
      <c r="C80" s="288" t="s">
        <v>1523</v>
      </c>
      <c r="D80" s="288" t="s">
        <v>1524</v>
      </c>
      <c r="E80" s="298" t="s">
        <v>1525</v>
      </c>
    </row>
    <row r="81" spans="2:5" x14ac:dyDescent="0.25">
      <c r="B81" s="295"/>
      <c r="C81" s="288" t="s">
        <v>1526</v>
      </c>
      <c r="D81" s="288" t="s">
        <v>1528</v>
      </c>
      <c r="E81" s="298" t="s">
        <v>1527</v>
      </c>
    </row>
    <row r="82" spans="2:5" x14ac:dyDescent="0.25">
      <c r="B82" s="297"/>
      <c r="E82" s="298"/>
    </row>
    <row r="83" spans="2:5" x14ac:dyDescent="0.25">
      <c r="B83" s="295"/>
      <c r="C83" s="290"/>
      <c r="D83" s="290"/>
      <c r="E83" s="296"/>
    </row>
    <row r="84" spans="2:5" ht="15.75" thickBot="1" x14ac:dyDescent="0.3">
      <c r="B84" s="299"/>
      <c r="C84" s="307"/>
      <c r="D84" s="301"/>
      <c r="E84" s="300"/>
    </row>
    <row r="85" spans="2:5" x14ac:dyDescent="0.25">
      <c r="C85" s="311"/>
      <c r="D85" s="292"/>
    </row>
    <row r="86" spans="2:5" ht="15.75" thickBot="1" x14ac:dyDescent="0.3"/>
    <row r="87" spans="2:5" x14ac:dyDescent="0.25">
      <c r="B87" s="313" t="s">
        <v>1529</v>
      </c>
      <c r="C87" s="289"/>
      <c r="D87" s="289"/>
      <c r="E87" s="294"/>
    </row>
    <row r="88" spans="2:5" x14ac:dyDescent="0.25">
      <c r="B88" s="297"/>
      <c r="C88" s="290" t="s">
        <v>1441</v>
      </c>
      <c r="D88" s="290" t="s">
        <v>1442</v>
      </c>
      <c r="E88" s="296" t="s">
        <v>1473</v>
      </c>
    </row>
    <row r="89" spans="2:5" x14ac:dyDescent="0.25">
      <c r="B89" s="295"/>
      <c r="C89" s="288" t="s">
        <v>1530</v>
      </c>
      <c r="D89" s="288" t="s">
        <v>1531</v>
      </c>
      <c r="E89" s="298" t="s">
        <v>1532</v>
      </c>
    </row>
    <row r="90" spans="2:5" ht="30" x14ac:dyDescent="0.25">
      <c r="B90" s="295"/>
      <c r="C90" s="288" t="s">
        <v>1533</v>
      </c>
      <c r="D90" s="288" t="s">
        <v>1534</v>
      </c>
      <c r="E90" s="298" t="s">
        <v>1535</v>
      </c>
    </row>
    <row r="91" spans="2:5" ht="30" x14ac:dyDescent="0.25">
      <c r="B91" s="295"/>
      <c r="C91" s="288" t="s">
        <v>1536</v>
      </c>
      <c r="D91" s="288" t="s">
        <v>1537</v>
      </c>
      <c r="E91" s="298" t="s">
        <v>1538</v>
      </c>
    </row>
    <row r="92" spans="2:5" x14ac:dyDescent="0.25">
      <c r="B92" s="297"/>
      <c r="E92" s="298"/>
    </row>
    <row r="93" spans="2:5" x14ac:dyDescent="0.25">
      <c r="B93" s="295"/>
      <c r="C93" s="290"/>
      <c r="D93" s="290"/>
      <c r="E93" s="296"/>
    </row>
    <row r="94" spans="2:5" ht="15.75" thickBot="1" x14ac:dyDescent="0.3">
      <c r="B94" s="299"/>
      <c r="C94" s="307"/>
      <c r="D94" s="301"/>
      <c r="E94" s="300"/>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C1CB1-112D-407F-801C-63D3F7625C96}">
  <sheetPr>
    <tabColor theme="9" tint="0.79998168889431442"/>
  </sheetPr>
  <dimension ref="A1:AQ108"/>
  <sheetViews>
    <sheetView tabSelected="1" zoomScale="85" zoomScaleNormal="85" workbookViewId="0">
      <pane xSplit="4" ySplit="2" topLeftCell="U27" activePane="bottomRight" state="frozen"/>
      <selection pane="topRight" activeCell="E1" sqref="E1"/>
      <selection pane="bottomLeft" activeCell="A3" sqref="A3"/>
      <selection pane="bottomRight" activeCell="Y53" sqref="Y53"/>
    </sheetView>
  </sheetViews>
  <sheetFormatPr defaultColWidth="9.140625" defaultRowHeight="15" outlineLevelRow="1" outlineLevelCol="1" x14ac:dyDescent="0.25"/>
  <cols>
    <col min="1" max="1" width="29.42578125" customWidth="1"/>
    <col min="2" max="4" width="11.7109375" style="66" hidden="1" customWidth="1" outlineLevel="1"/>
    <col min="5" max="5" width="11.7109375" style="66" customWidth="1" collapsed="1"/>
    <col min="6" max="15" width="11.7109375" style="66" customWidth="1"/>
    <col min="16" max="16" width="10.85546875" style="66" customWidth="1"/>
    <col min="17" max="17" width="2" style="66" customWidth="1"/>
    <col min="18" max="19" width="12.5703125" style="66" customWidth="1"/>
    <col min="20" max="20" width="2" style="66" customWidth="1"/>
    <col min="21" max="22" width="14.140625" style="3" customWidth="1"/>
    <col min="23" max="23" width="19.7109375" style="3" customWidth="1"/>
    <col min="24" max="24" width="18.85546875" style="66" customWidth="1"/>
    <col min="25" max="26" width="11.7109375" style="66" customWidth="1"/>
    <col min="27" max="27" width="11.28515625" style="66" customWidth="1"/>
    <col min="28" max="36" width="11.7109375" style="66" customWidth="1"/>
    <col min="37" max="37" width="2" style="66" customWidth="1"/>
    <col min="38" max="38" width="12.5703125" style="66" customWidth="1"/>
    <col min="39" max="39" width="2" style="66" customWidth="1"/>
    <col min="40" max="40" width="14.140625" style="3" bestFit="1" customWidth="1"/>
    <col min="41" max="43" width="14.140625" style="3" customWidth="1"/>
    <col min="44" max="16384" width="9.140625" style="66"/>
  </cols>
  <sheetData>
    <row r="1" spans="1:43" customFormat="1" ht="30.75" customHeight="1" x14ac:dyDescent="0.25">
      <c r="A1" s="155" t="s">
        <v>950</v>
      </c>
      <c r="B1" s="77">
        <v>44927</v>
      </c>
      <c r="C1" s="77">
        <v>44958</v>
      </c>
      <c r="D1" s="77">
        <v>44986</v>
      </c>
      <c r="E1" s="77">
        <v>45017</v>
      </c>
      <c r="F1" s="77">
        <v>45047</v>
      </c>
      <c r="G1" s="77">
        <v>45078</v>
      </c>
      <c r="H1" s="77">
        <v>45108</v>
      </c>
      <c r="I1" s="77">
        <v>45139</v>
      </c>
      <c r="J1" s="77">
        <v>45170</v>
      </c>
      <c r="K1" s="77">
        <v>45200</v>
      </c>
      <c r="L1" s="77">
        <v>45231</v>
      </c>
      <c r="M1" s="77">
        <v>45261</v>
      </c>
      <c r="N1" s="77">
        <v>45292</v>
      </c>
      <c r="O1" s="77">
        <v>45323</v>
      </c>
      <c r="P1" s="77">
        <v>45352</v>
      </c>
      <c r="Q1" s="78"/>
      <c r="R1" s="77" t="s">
        <v>951</v>
      </c>
      <c r="S1" s="77" t="s">
        <v>951</v>
      </c>
      <c r="T1" s="78"/>
      <c r="U1" s="315" t="s">
        <v>952</v>
      </c>
      <c r="V1" s="86" t="s">
        <v>953</v>
      </c>
      <c r="W1" s="95" t="s">
        <v>954</v>
      </c>
      <c r="X1" s="78"/>
      <c r="Y1" s="77">
        <v>45383</v>
      </c>
      <c r="Z1" s="77">
        <v>45413</v>
      </c>
      <c r="AA1" s="77">
        <v>45444</v>
      </c>
      <c r="AB1" s="77">
        <v>45474</v>
      </c>
      <c r="AC1" s="77">
        <v>45505</v>
      </c>
      <c r="AD1" s="77">
        <v>45536</v>
      </c>
      <c r="AE1" s="77">
        <v>45566</v>
      </c>
      <c r="AF1" s="77">
        <v>45597</v>
      </c>
      <c r="AG1" s="77">
        <v>45627</v>
      </c>
      <c r="AH1" s="77">
        <v>45658</v>
      </c>
      <c r="AI1" s="77">
        <v>45689</v>
      </c>
      <c r="AJ1" s="77">
        <v>45717</v>
      </c>
      <c r="AK1" s="78"/>
      <c r="AL1" s="77" t="s">
        <v>955</v>
      </c>
      <c r="AM1" s="78"/>
      <c r="AN1" s="315" t="s">
        <v>952</v>
      </c>
      <c r="AO1" s="86" t="s">
        <v>956</v>
      </c>
      <c r="AP1" s="89" t="s">
        <v>957</v>
      </c>
      <c r="AQ1" s="95" t="s">
        <v>954</v>
      </c>
    </row>
    <row r="2" spans="1:43" customFormat="1" ht="30.75" customHeight="1" x14ac:dyDescent="0.25">
      <c r="A2" s="4"/>
      <c r="B2" s="77" t="s">
        <v>958</v>
      </c>
      <c r="C2" s="77" t="s">
        <v>958</v>
      </c>
      <c r="D2" s="77" t="s">
        <v>958</v>
      </c>
      <c r="E2" s="77" t="s">
        <v>958</v>
      </c>
      <c r="F2" s="77" t="s">
        <v>958</v>
      </c>
      <c r="G2" s="77" t="s">
        <v>958</v>
      </c>
      <c r="H2" s="77" t="s">
        <v>958</v>
      </c>
      <c r="I2" s="77" t="s">
        <v>958</v>
      </c>
      <c r="J2" s="77" t="s">
        <v>958</v>
      </c>
      <c r="K2" s="77" t="s">
        <v>958</v>
      </c>
      <c r="L2" s="77" t="s">
        <v>958</v>
      </c>
      <c r="M2" s="77" t="s">
        <v>958</v>
      </c>
      <c r="N2" s="77" t="s">
        <v>958</v>
      </c>
      <c r="O2" s="77" t="s">
        <v>958</v>
      </c>
      <c r="P2" s="77" t="s">
        <v>958</v>
      </c>
      <c r="Q2" s="78"/>
      <c r="R2" s="77" t="s">
        <v>960</v>
      </c>
      <c r="S2" s="77" t="s">
        <v>961</v>
      </c>
      <c r="T2" s="78"/>
      <c r="U2" s="315"/>
      <c r="V2" s="86" t="s">
        <v>962</v>
      </c>
      <c r="W2" s="96"/>
      <c r="X2" s="78"/>
      <c r="Y2" s="77" t="s">
        <v>959</v>
      </c>
      <c r="Z2" s="77" t="s">
        <v>959</v>
      </c>
      <c r="AA2" s="77" t="s">
        <v>959</v>
      </c>
      <c r="AB2" s="77" t="s">
        <v>959</v>
      </c>
      <c r="AC2" s="77" t="s">
        <v>959</v>
      </c>
      <c r="AD2" s="77" t="s">
        <v>959</v>
      </c>
      <c r="AE2" s="77" t="s">
        <v>959</v>
      </c>
      <c r="AF2" s="77" t="s">
        <v>959</v>
      </c>
      <c r="AG2" s="77" t="s">
        <v>959</v>
      </c>
      <c r="AH2" s="77" t="s">
        <v>959</v>
      </c>
      <c r="AI2" s="77" t="s">
        <v>959</v>
      </c>
      <c r="AJ2" s="77" t="s">
        <v>959</v>
      </c>
      <c r="AK2" s="78"/>
      <c r="AL2" s="77" t="s">
        <v>961</v>
      </c>
      <c r="AM2" s="78"/>
      <c r="AN2" s="315"/>
      <c r="AO2" s="86" t="s">
        <v>962</v>
      </c>
      <c r="AP2" s="90"/>
      <c r="AQ2" s="96"/>
    </row>
    <row r="3" spans="1:43" x14ac:dyDescent="0.25">
      <c r="A3" s="156" t="s">
        <v>963</v>
      </c>
      <c r="U3" s="79"/>
      <c r="V3" s="87"/>
      <c r="W3" s="97"/>
      <c r="AN3" s="79"/>
      <c r="AO3" s="87"/>
      <c r="AP3" s="91"/>
      <c r="AQ3" s="97"/>
    </row>
    <row r="4" spans="1:43" x14ac:dyDescent="0.25">
      <c r="A4" s="157" t="s">
        <v>964</v>
      </c>
      <c r="B4" s="67">
        <f>'New Vehicles - Group'!B16+'New Vehicles - Group'!B18</f>
        <v>235946.4</v>
      </c>
      <c r="C4" s="67">
        <f>'New Vehicles - Group'!C16+'New Vehicles - Group'!C18</f>
        <v>149272.12</v>
      </c>
      <c r="D4" s="67">
        <f>'New Vehicles - Group'!D16+'New Vehicles - Group'!D18</f>
        <v>321380.92000000004</v>
      </c>
      <c r="E4" s="67">
        <f>'New Vehicles - Group'!E16+'New Vehicles - Group'!E18</f>
        <v>283912.3</v>
      </c>
      <c r="F4" s="67">
        <f>'New Vehicles - Group'!F16+'New Vehicles - Group'!F18</f>
        <v>280824</v>
      </c>
      <c r="G4" s="67">
        <f>'New Vehicles - Group'!G16+'New Vehicles - Group'!G18</f>
        <v>587463.18000000005</v>
      </c>
      <c r="H4" s="67">
        <f>'New Vehicles - Group'!H16+'New Vehicles - Group'!H18</f>
        <v>108493.68</v>
      </c>
      <c r="I4" s="67">
        <f>'New Vehicles - Group'!I16+'New Vehicles - Group'!I18</f>
        <v>258995.4200000001</v>
      </c>
      <c r="J4" s="67">
        <f>'New Vehicles - Group'!J16+'New Vehicles - Group'!J18</f>
        <v>310064.15000000002</v>
      </c>
      <c r="K4" s="67">
        <f>'New Vehicles - Group'!K16+'New Vehicles - Group'!K18</f>
        <v>157019.91999999998</v>
      </c>
      <c r="L4" s="67">
        <f>'New Vehicles - Group'!L16+'New Vehicles - Group'!L18</f>
        <v>212664.96999999994</v>
      </c>
      <c r="M4" s="67">
        <f>'New Vehicles - Group'!M16+'New Vehicles - Group'!M18</f>
        <v>254575.2</v>
      </c>
      <c r="N4" s="67">
        <f>'New Vehicles - Group'!N16+'New Vehicles - Group'!N18</f>
        <v>247768.77</v>
      </c>
      <c r="O4" s="67">
        <f>'New Vehicles - Group'!O16+'New Vehicles - Group'!O18</f>
        <v>176629.27</v>
      </c>
      <c r="P4" s="67">
        <f>'New Vehicles - Group'!P16+'New Vehicles - Group'!P18</f>
        <v>314984.34999999992</v>
      </c>
      <c r="R4" s="69">
        <f t="shared" ref="R4:R9" si="0">SUM(B4:M4)</f>
        <v>3160612.26</v>
      </c>
      <c r="S4" s="69">
        <f t="shared" ref="S4:S9" si="1">SUM(E4:P4)</f>
        <v>3193395.21</v>
      </c>
      <c r="U4" s="80">
        <v>0.33</v>
      </c>
      <c r="V4" s="88">
        <f>R4/($R$9-$R$6)</f>
        <v>0.20222621444371824</v>
      </c>
      <c r="W4" s="97"/>
      <c r="Y4" s="71">
        <f>'New Vehicles - Group'!E37+'New Vehicles - Group'!E39</f>
        <v>243276.93888888889</v>
      </c>
      <c r="Z4" s="71">
        <f>'New Vehicles - Group'!F37+'New Vehicles - Group'!F39</f>
        <v>243276.93888888889</v>
      </c>
      <c r="AA4" s="71">
        <f>'New Vehicles - Group'!G37+'New Vehicles - Group'!G39</f>
        <v>290808.18888888886</v>
      </c>
      <c r="AB4" s="71">
        <f>'New Vehicles - Group'!H37+'New Vehicles - Group'!H39</f>
        <v>237126.93888888889</v>
      </c>
      <c r="AC4" s="71">
        <f>'New Vehicles - Group'!I37+'New Vehicles - Group'!I39</f>
        <v>237126.93888888889</v>
      </c>
      <c r="AD4" s="71">
        <f>'New Vehicles - Group'!J37+'New Vehicles - Group'!J39</f>
        <v>283439.43888888886</v>
      </c>
      <c r="AE4" s="71">
        <f>'New Vehicles - Group'!K37+'New Vehicles - Group'!K39</f>
        <v>243276.93888888889</v>
      </c>
      <c r="AF4" s="71">
        <f>'New Vehicles - Group'!L37+'New Vehicles - Group'!L39</f>
        <v>235076.93888888889</v>
      </c>
      <c r="AG4" s="71">
        <f>'New Vehicles - Group'!M37+'New Vehicles - Group'!M39</f>
        <v>258876.93888888889</v>
      </c>
      <c r="AH4" s="71">
        <f>'New Vehicles - Group'!N37+'New Vehicles - Group'!N39</f>
        <v>216626.93888888889</v>
      </c>
      <c r="AI4" s="71">
        <f>'New Vehicles - Group'!O37+'New Vehicles - Group'!O39</f>
        <v>216626.93888888889</v>
      </c>
      <c r="AJ4" s="71">
        <f>'New Vehicles - Group'!P37+'New Vehicles - Group'!P39</f>
        <v>303089.43888888886</v>
      </c>
      <c r="AL4" s="69">
        <f t="shared" ref="AL4:AL9" si="2">SUM(Y4:AJ4)</f>
        <v>3008629.5166666661</v>
      </c>
      <c r="AN4" s="80">
        <v>0.33</v>
      </c>
      <c r="AO4" s="88">
        <f>AL4/($AL$9-$AL$6)</f>
        <v>0.1758914009791139</v>
      </c>
      <c r="AP4" s="91"/>
      <c r="AQ4" s="97"/>
    </row>
    <row r="5" spans="1:43" x14ac:dyDescent="0.25">
      <c r="A5" s="157" t="s">
        <v>965</v>
      </c>
      <c r="B5" s="67">
        <f>'Used Vehicles - Group'!B22</f>
        <v>161476.22000000012</v>
      </c>
      <c r="C5" s="67">
        <f>'Used Vehicles - Group'!C22</f>
        <v>248128.22999999984</v>
      </c>
      <c r="D5" s="67">
        <f>'Used Vehicles - Group'!D22</f>
        <v>293152.72999999981</v>
      </c>
      <c r="E5" s="67">
        <f>'Used Vehicles - Group'!E22</f>
        <v>186659.14</v>
      </c>
      <c r="F5" s="67">
        <f>'Used Vehicles - Group'!F22</f>
        <v>192979.51999999973</v>
      </c>
      <c r="G5" s="67">
        <f>'Used Vehicles - Group'!G22</f>
        <v>322087.64000000013</v>
      </c>
      <c r="H5" s="67">
        <f>'Used Vehicles - Group'!H22</f>
        <v>185605.65</v>
      </c>
      <c r="I5" s="67">
        <f>'Used Vehicles - Group'!I22</f>
        <v>221465.96000000002</v>
      </c>
      <c r="J5" s="67">
        <f>'Used Vehicles - Group'!J22</f>
        <v>291674.07000000012</v>
      </c>
      <c r="K5" s="67">
        <f>'Used Vehicles - Group'!K22</f>
        <v>223015.61000000004</v>
      </c>
      <c r="L5" s="67">
        <f>'Used Vehicles - Group'!L22</f>
        <v>197174.68000000011</v>
      </c>
      <c r="M5" s="67">
        <f>'Used Vehicles - Group'!M22</f>
        <v>282964.18999999994</v>
      </c>
      <c r="N5" s="67">
        <f>'Used Vehicles - Group'!N22</f>
        <v>244080.81000000011</v>
      </c>
      <c r="O5" s="67">
        <f>'Used Vehicles - Group'!O22</f>
        <v>226949.52999999985</v>
      </c>
      <c r="P5" s="67">
        <f>'Used Vehicles - Group'!P22</f>
        <v>313777.93</v>
      </c>
      <c r="R5" s="69">
        <f t="shared" si="0"/>
        <v>2806383.6399999997</v>
      </c>
      <c r="S5" s="69">
        <f t="shared" si="1"/>
        <v>2888434.73</v>
      </c>
      <c r="U5" s="80">
        <v>0.25</v>
      </c>
      <c r="V5" s="88">
        <f>R5/($R$9-$R$6)</f>
        <v>0.17956151944876103</v>
      </c>
      <c r="W5" s="97"/>
      <c r="Y5" s="71">
        <f>'Used Vehicles - Group'!E48</f>
        <v>240792.00000000003</v>
      </c>
      <c r="Z5" s="71">
        <f>'Used Vehicles - Group'!F48</f>
        <v>282133.66666666663</v>
      </c>
      <c r="AA5" s="71">
        <f>'Used Vehicles - Group'!G48</f>
        <v>420394.0833333332</v>
      </c>
      <c r="AB5" s="71">
        <f>'Used Vehicles - Group'!H48</f>
        <v>311892</v>
      </c>
      <c r="AC5" s="71">
        <f>'Used Vehicles - Group'!I48</f>
        <v>323142</v>
      </c>
      <c r="AD5" s="71">
        <f>'Used Vehicles - Group'!J48</f>
        <v>430579.5</v>
      </c>
      <c r="AE5" s="71">
        <f>'Used Vehicles - Group'!K48</f>
        <v>311892</v>
      </c>
      <c r="AF5" s="71">
        <f>'Used Vehicles - Group'!L48</f>
        <v>381892</v>
      </c>
      <c r="AG5" s="71">
        <f>'Used Vehicles - Group'!M48</f>
        <v>392079.5</v>
      </c>
      <c r="AH5" s="71">
        <f>'Used Vehicles - Group'!N48</f>
        <v>286892</v>
      </c>
      <c r="AI5" s="71">
        <f>'Used Vehicles - Group'!O48</f>
        <v>286892</v>
      </c>
      <c r="AJ5" s="71">
        <f>'Used Vehicles - Group'!P48</f>
        <v>424704.50000000006</v>
      </c>
      <c r="AL5" s="69">
        <f t="shared" si="2"/>
        <v>4093285.25</v>
      </c>
      <c r="AN5" s="80">
        <v>0.25</v>
      </c>
      <c r="AO5" s="88">
        <f>AL5/($AL$9-$AL$6)</f>
        <v>0.23930286970903578</v>
      </c>
      <c r="AP5" s="91"/>
      <c r="AQ5" s="97"/>
    </row>
    <row r="6" spans="1:43" x14ac:dyDescent="0.25">
      <c r="A6" s="157" t="s">
        <v>966</v>
      </c>
      <c r="B6" s="67">
        <f>'F&amp;I'!B12</f>
        <v>133391.37</v>
      </c>
      <c r="C6" s="67">
        <f>'F&amp;I'!C12</f>
        <v>125628.19000000002</v>
      </c>
      <c r="D6" s="67">
        <f>'F&amp;I'!D12</f>
        <v>332335.28999999998</v>
      </c>
      <c r="E6" s="67">
        <f>'F&amp;I'!E12</f>
        <v>150006.46000000002</v>
      </c>
      <c r="F6" s="67">
        <f>'F&amp;I'!F12</f>
        <v>168139.02999999997</v>
      </c>
      <c r="G6" s="67">
        <f>'F&amp;I'!G12</f>
        <v>419093.80999999994</v>
      </c>
      <c r="H6" s="67">
        <f>'F&amp;I'!H12</f>
        <v>86055.72</v>
      </c>
      <c r="I6" s="67">
        <f>'F&amp;I'!I12</f>
        <v>126021.19</v>
      </c>
      <c r="J6" s="67">
        <f>'F&amp;I'!J12</f>
        <v>273129.20999999996</v>
      </c>
      <c r="K6" s="67">
        <f>'F&amp;I'!K12</f>
        <v>138773.15</v>
      </c>
      <c r="L6" s="67">
        <f>'F&amp;I'!L12</f>
        <v>172104.92</v>
      </c>
      <c r="M6" s="67">
        <f>'F&amp;I'!M12</f>
        <v>237357.05</v>
      </c>
      <c r="N6" s="67">
        <f>'F&amp;I'!N12</f>
        <v>151593.87</v>
      </c>
      <c r="O6" s="67">
        <f>'F&amp;I'!O12</f>
        <v>148915.72</v>
      </c>
      <c r="P6" s="67">
        <f>'F&amp;I'!P12</f>
        <v>198014.64</v>
      </c>
      <c r="R6" s="69">
        <f t="shared" si="0"/>
        <v>2362035.3899999997</v>
      </c>
      <c r="S6" s="69">
        <f t="shared" si="1"/>
        <v>2269204.7699999996</v>
      </c>
      <c r="U6" s="80">
        <v>7.0000000000000007E-2</v>
      </c>
      <c r="V6" s="88">
        <f>R6/$R$9</f>
        <v>0.13128889822430495</v>
      </c>
      <c r="W6" s="97"/>
      <c r="Y6" s="71">
        <f>'F&amp;I'!E28</f>
        <v>153321.42982724719</v>
      </c>
      <c r="Z6" s="71">
        <f>'F&amp;I'!F28</f>
        <v>162417.13610252808</v>
      </c>
      <c r="AA6" s="71">
        <f>'F&amp;I'!G28</f>
        <v>258046.12642275283</v>
      </c>
      <c r="AB6" s="71">
        <f>'F&amp;I'!H28</f>
        <v>163015.11189438205</v>
      </c>
      <c r="AC6" s="71">
        <f>'F&amp;I'!I28</f>
        <v>165752.72279325844</v>
      </c>
      <c r="AD6" s="71">
        <f>'F&amp;I'!J28</f>
        <v>253990.33369213482</v>
      </c>
      <c r="AE6" s="71">
        <f>'F&amp;I'!K28</f>
        <v>164822.38779438203</v>
      </c>
      <c r="AF6" s="71">
        <f>'F&amp;I'!L28</f>
        <v>179387.38318988762</v>
      </c>
      <c r="AG6" s="71">
        <f>'F&amp;I'!M28</f>
        <v>237219.04848707866</v>
      </c>
      <c r="AH6" s="71">
        <f>'F&amp;I'!N28</f>
        <v>150981.43758820224</v>
      </c>
      <c r="AI6" s="71">
        <f>'F&amp;I'!O28</f>
        <v>150981.43758820224</v>
      </c>
      <c r="AJ6" s="71">
        <f>'F&amp;I'!P28</f>
        <v>255290.36827752812</v>
      </c>
      <c r="AL6" s="69">
        <f t="shared" si="2"/>
        <v>2295224.9236575845</v>
      </c>
      <c r="AN6" s="80">
        <v>7.0000000000000007E-2</v>
      </c>
      <c r="AO6" s="88">
        <f>AL6/$AL$9</f>
        <v>0.1183089451328052</v>
      </c>
      <c r="AP6" s="91"/>
      <c r="AQ6" s="97"/>
    </row>
    <row r="7" spans="1:43" x14ac:dyDescent="0.25">
      <c r="A7" s="157" t="s">
        <v>113</v>
      </c>
      <c r="B7" s="67">
        <f>'Parts - Group '!B16</f>
        <v>225653.55000000002</v>
      </c>
      <c r="C7" s="67">
        <f>'Parts - Group '!C16</f>
        <v>209744.87</v>
      </c>
      <c r="D7" s="67">
        <f>'Parts - Group '!D16</f>
        <v>437050.03000000014</v>
      </c>
      <c r="E7" s="67">
        <f>'Parts - Group '!E16</f>
        <v>233454.56999999998</v>
      </c>
      <c r="F7" s="67">
        <f>'Parts - Group '!F16</f>
        <v>249262.66</v>
      </c>
      <c r="G7" s="67">
        <f>'Parts - Group '!G16</f>
        <v>435376.72000000003</v>
      </c>
      <c r="H7" s="67">
        <f>'Parts - Group '!H16</f>
        <v>265233.52999999997</v>
      </c>
      <c r="I7" s="67">
        <f>'Parts - Group '!I16</f>
        <v>266030.30000000005</v>
      </c>
      <c r="J7" s="67">
        <f>'Parts - Group '!J16</f>
        <v>374300.31</v>
      </c>
      <c r="K7" s="67">
        <f>'Parts - Group '!K16</f>
        <v>254952.01999999996</v>
      </c>
      <c r="L7" s="67">
        <f>'Parts - Group '!L16</f>
        <v>333713.92000000004</v>
      </c>
      <c r="M7" s="67">
        <f>'Parts - Group '!M16</f>
        <v>328297.55</v>
      </c>
      <c r="N7" s="67">
        <f>'Parts - Group '!N16</f>
        <v>200493.9599999999</v>
      </c>
      <c r="O7" s="67">
        <f>'Parts - Group '!O16</f>
        <v>279581.93</v>
      </c>
      <c r="P7" s="67">
        <f>'Parts - Group '!P16</f>
        <v>376121.5</v>
      </c>
      <c r="R7" s="69">
        <f t="shared" si="0"/>
        <v>3613070.0300000003</v>
      </c>
      <c r="S7" s="69">
        <f t="shared" si="1"/>
        <v>3596818.97</v>
      </c>
      <c r="U7" s="80">
        <v>0.14000000000000001</v>
      </c>
      <c r="V7" s="88">
        <f>R7/($R$9-$R$6)</f>
        <v>0.23117592876987436</v>
      </c>
      <c r="W7" s="97"/>
      <c r="Y7" s="71">
        <f>'Parts - Group '!E37+'Parts - Group '!E38</f>
        <v>251248.42354300572</v>
      </c>
      <c r="Z7" s="71">
        <f>'Parts - Group '!F37+'Parts - Group '!F38</f>
        <v>285509.572207961</v>
      </c>
      <c r="AA7" s="71">
        <f>'Parts - Group '!G37+'Parts - Group '!G38</f>
        <v>343805.34921052807</v>
      </c>
      <c r="AB7" s="71">
        <f>'Parts - Group '!H37+'Parts - Group '!H38</f>
        <v>285509.572207961</v>
      </c>
      <c r="AC7" s="71">
        <f>'Parts - Group '!I37+'Parts - Group '!I38</f>
        <v>279799.3807638018</v>
      </c>
      <c r="AD7" s="71">
        <f>'Parts - Group '!J37+'Parts - Group '!J38</f>
        <v>369543.80643132416</v>
      </c>
      <c r="AE7" s="71">
        <f>'Parts - Group '!K37+'Parts - Group '!K38</f>
        <v>274089.18931964261</v>
      </c>
      <c r="AF7" s="71">
        <f>'Parts - Group '!L37+'Parts - Group '!L38</f>
        <v>268378.99787548342</v>
      </c>
      <c r="AG7" s="71">
        <f>'Parts - Group '!M37+'Parts - Group '!M38</f>
        <v>355623.42354300572</v>
      </c>
      <c r="AH7" s="71">
        <f>'Parts - Group '!N37+'Parts - Group '!N38</f>
        <v>251248.42354300572</v>
      </c>
      <c r="AI7" s="71">
        <f>'Parts - Group '!O37+'Parts - Group '!O38</f>
        <v>239828.04065468727</v>
      </c>
      <c r="AJ7" s="71">
        <f>'Parts - Group '!P37+'Parts - Group '!P38</f>
        <v>371503.99787548342</v>
      </c>
      <c r="AL7" s="69">
        <f t="shared" si="2"/>
        <v>3576088.1771758897</v>
      </c>
      <c r="AN7" s="80">
        <v>0.14000000000000001</v>
      </c>
      <c r="AO7" s="88">
        <f>AL7/($AL$9-$AL$6)</f>
        <v>0.20906633934948587</v>
      </c>
      <c r="AP7" s="91"/>
      <c r="AQ7" s="97"/>
    </row>
    <row r="8" spans="1:43" x14ac:dyDescent="0.25">
      <c r="A8" s="157" t="s">
        <v>967</v>
      </c>
      <c r="B8" s="67">
        <f>'Service - Group '!B16</f>
        <v>411999.29999999993</v>
      </c>
      <c r="C8" s="67">
        <f>'Service - Group '!C16</f>
        <v>431636.64999999997</v>
      </c>
      <c r="D8" s="67">
        <f>'Service - Group '!D16</f>
        <v>583458.80000000005</v>
      </c>
      <c r="E8" s="67">
        <f>'Service - Group '!E16</f>
        <v>368801.33</v>
      </c>
      <c r="F8" s="67">
        <f>'Service - Group '!F16</f>
        <v>597915.25</v>
      </c>
      <c r="G8" s="67">
        <f>'Service - Group '!G16</f>
        <v>504621.73</v>
      </c>
      <c r="H8" s="67">
        <f>'Service - Group '!H16</f>
        <v>449670.81999999995</v>
      </c>
      <c r="I8" s="67">
        <f>'Service - Group '!I16</f>
        <v>578960.68999999994</v>
      </c>
      <c r="J8" s="67">
        <f>'Service - Group '!J16</f>
        <v>493007.28</v>
      </c>
      <c r="K8" s="67">
        <f>'Service - Group '!K16</f>
        <v>499217.16999999993</v>
      </c>
      <c r="L8" s="67">
        <f>'Service - Group '!L16</f>
        <v>600508.47000000009</v>
      </c>
      <c r="M8" s="67">
        <f>'Service - Group '!M16</f>
        <v>529229.31999999995</v>
      </c>
      <c r="N8" s="67">
        <f>'Service - Group '!N16</f>
        <v>491371.74</v>
      </c>
      <c r="O8" s="67">
        <f>'Service - Group '!O16</f>
        <v>496542.52</v>
      </c>
      <c r="P8" s="67">
        <f>'Service - Group '!P16</f>
        <v>519480.52999999997</v>
      </c>
      <c r="R8" s="69">
        <f t="shared" si="0"/>
        <v>6049026.8099999996</v>
      </c>
      <c r="S8" s="69">
        <f t="shared" si="1"/>
        <v>6129326.8500000006</v>
      </c>
      <c r="U8" s="80">
        <v>0.28000000000000003</v>
      </c>
      <c r="V8" s="88">
        <f>R8/($R$9-$R$6)</f>
        <v>0.38703633733764642</v>
      </c>
      <c r="W8" s="97"/>
      <c r="Y8" s="71">
        <f>'Service - Group '!E36</f>
        <v>512300.08568302717</v>
      </c>
      <c r="Z8" s="71">
        <f>'Service - Group '!F36</f>
        <v>582159.18827616703</v>
      </c>
      <c r="AA8" s="71">
        <f>'Service - Group '!G36</f>
        <v>477370.534386457</v>
      </c>
      <c r="AB8" s="71">
        <f>'Service - Group '!H36</f>
        <v>582159.18827616703</v>
      </c>
      <c r="AC8" s="71">
        <f>'Service - Group '!I36</f>
        <v>570516.00451064389</v>
      </c>
      <c r="AD8" s="71">
        <f>'Service - Group '!J36</f>
        <v>535586.45321407379</v>
      </c>
      <c r="AE8" s="71">
        <f>'Service - Group '!K36</f>
        <v>558872.82074512041</v>
      </c>
      <c r="AF8" s="71">
        <f>'Service - Group '!L36</f>
        <v>547229.63697959716</v>
      </c>
      <c r="AG8" s="71">
        <f>'Service - Group '!M36</f>
        <v>512300.08568302717</v>
      </c>
      <c r="AH8" s="71">
        <f>'Service - Group '!N36</f>
        <v>512300.08568302717</v>
      </c>
      <c r="AI8" s="71">
        <f>'Service - Group '!O36</f>
        <v>489013.71815198037</v>
      </c>
      <c r="AJ8" s="71">
        <f>'Service - Group '!P36</f>
        <v>547229.63697959716</v>
      </c>
      <c r="AL8" s="69">
        <f t="shared" si="2"/>
        <v>6427037.4385688845</v>
      </c>
      <c r="AN8" s="80">
        <v>0.28000000000000003</v>
      </c>
      <c r="AO8" s="88">
        <f>AL8/($AL$9-$AL$6)</f>
        <v>0.3757393899623645</v>
      </c>
      <c r="AP8" s="91"/>
      <c r="AQ8" s="97"/>
    </row>
    <row r="9" spans="1:43" x14ac:dyDescent="0.25">
      <c r="A9" s="158" t="s">
        <v>968</v>
      </c>
      <c r="B9" s="68">
        <f>SUM(B4:B8)</f>
        <v>1168466.8400000001</v>
      </c>
      <c r="C9" s="68">
        <f t="shared" ref="C9:P9" si="3">SUM(C4:C8)</f>
        <v>1164410.0599999998</v>
      </c>
      <c r="D9" s="68">
        <f t="shared" si="3"/>
        <v>1967377.7700000003</v>
      </c>
      <c r="E9" s="68">
        <f t="shared" si="3"/>
        <v>1222833.8</v>
      </c>
      <c r="F9" s="68">
        <f t="shared" si="3"/>
        <v>1489120.4599999997</v>
      </c>
      <c r="G9" s="68">
        <f t="shared" si="3"/>
        <v>2268643.08</v>
      </c>
      <c r="H9" s="68">
        <f t="shared" si="3"/>
        <v>1095059.3999999999</v>
      </c>
      <c r="I9" s="68">
        <f t="shared" si="3"/>
        <v>1451473.56</v>
      </c>
      <c r="J9" s="68">
        <f t="shared" si="3"/>
        <v>1742175.0200000003</v>
      </c>
      <c r="K9" s="68">
        <f t="shared" si="3"/>
        <v>1272977.8699999999</v>
      </c>
      <c r="L9" s="68">
        <f t="shared" si="3"/>
        <v>1516166.9600000002</v>
      </c>
      <c r="M9" s="68">
        <f t="shared" si="3"/>
        <v>1632423.31</v>
      </c>
      <c r="N9" s="68">
        <f t="shared" si="3"/>
        <v>1335309.1499999999</v>
      </c>
      <c r="O9" s="68">
        <f t="shared" si="3"/>
        <v>1328618.9699999997</v>
      </c>
      <c r="P9" s="68">
        <f t="shared" si="3"/>
        <v>1722378.95</v>
      </c>
      <c r="R9" s="68">
        <f t="shared" si="0"/>
        <v>17991128.129999999</v>
      </c>
      <c r="S9" s="68">
        <f t="shared" si="1"/>
        <v>18077180.530000001</v>
      </c>
      <c r="U9" s="80">
        <f>U4+U5+U7+U8</f>
        <v>1</v>
      </c>
      <c r="V9" s="88">
        <f>V4+V5+V7+V8</f>
        <v>1</v>
      </c>
      <c r="W9" s="97"/>
      <c r="Y9" s="72">
        <f>SUM(Y4:Y8)</f>
        <v>1400938.8779421691</v>
      </c>
      <c r="Z9" s="72">
        <f t="shared" ref="Z9:AJ9" si="4">SUM(Z4:Z8)</f>
        <v>1555496.5021422117</v>
      </c>
      <c r="AA9" s="72">
        <f t="shared" si="4"/>
        <v>1790424.2822419601</v>
      </c>
      <c r="AB9" s="72">
        <f t="shared" si="4"/>
        <v>1579702.811267399</v>
      </c>
      <c r="AC9" s="72">
        <f t="shared" si="4"/>
        <v>1576337.0469565929</v>
      </c>
      <c r="AD9" s="72">
        <f t="shared" si="4"/>
        <v>1873139.5322264216</v>
      </c>
      <c r="AE9" s="72">
        <f t="shared" si="4"/>
        <v>1552953.336748034</v>
      </c>
      <c r="AF9" s="72">
        <f t="shared" si="4"/>
        <v>1611964.9569338572</v>
      </c>
      <c r="AG9" s="72">
        <f t="shared" si="4"/>
        <v>1756098.9966020007</v>
      </c>
      <c r="AH9" s="72">
        <f t="shared" si="4"/>
        <v>1418048.8857031241</v>
      </c>
      <c r="AI9" s="72">
        <f t="shared" si="4"/>
        <v>1383342.1352837586</v>
      </c>
      <c r="AJ9" s="72">
        <f t="shared" si="4"/>
        <v>1901817.9420214975</v>
      </c>
      <c r="AL9" s="68">
        <f t="shared" si="2"/>
        <v>19400265.306069024</v>
      </c>
      <c r="AN9" s="80">
        <f>AN4+AN5+AN7+AN8</f>
        <v>1</v>
      </c>
      <c r="AO9" s="88">
        <f>AO4+AO5+AO7+AO8</f>
        <v>1</v>
      </c>
      <c r="AP9" s="91"/>
      <c r="AQ9" s="97"/>
    </row>
    <row r="10" spans="1:43" x14ac:dyDescent="0.25">
      <c r="A10" s="156" t="s">
        <v>969</v>
      </c>
      <c r="B10" s="67"/>
      <c r="C10" s="67"/>
      <c r="D10" s="67"/>
      <c r="E10" s="67"/>
      <c r="F10" s="67"/>
      <c r="G10" s="67"/>
      <c r="H10" s="67"/>
      <c r="I10" s="67"/>
      <c r="J10" s="67"/>
      <c r="K10" s="67"/>
      <c r="L10" s="67"/>
      <c r="M10" s="67"/>
      <c r="N10" s="67"/>
      <c r="O10" s="67"/>
      <c r="P10" s="67"/>
      <c r="R10" s="67"/>
      <c r="S10" s="67"/>
      <c r="U10" s="80"/>
      <c r="V10" s="88"/>
      <c r="W10" s="97"/>
      <c r="Y10" s="71"/>
      <c r="Z10" s="71"/>
      <c r="AA10" s="71"/>
      <c r="AB10" s="71"/>
      <c r="AC10" s="71"/>
      <c r="AD10" s="71"/>
      <c r="AE10" s="71"/>
      <c r="AF10" s="71"/>
      <c r="AG10" s="71"/>
      <c r="AH10" s="71"/>
      <c r="AI10" s="71"/>
      <c r="AJ10" s="71"/>
      <c r="AL10" s="67"/>
      <c r="AN10" s="80"/>
      <c r="AO10" s="88"/>
      <c r="AP10" s="91"/>
      <c r="AQ10" s="97"/>
    </row>
    <row r="11" spans="1:43" x14ac:dyDescent="0.25">
      <c r="A11" s="157" t="s">
        <v>964</v>
      </c>
      <c r="B11" s="67">
        <f>-'New Vehicles - Group'!B17</f>
        <v>-225860.28000000003</v>
      </c>
      <c r="C11" s="67">
        <f>-'New Vehicles - Group'!C17</f>
        <v>-157923.16</v>
      </c>
      <c r="D11" s="67">
        <f>-'New Vehicles - Group'!D17</f>
        <v>-86034.610000000015</v>
      </c>
      <c r="E11" s="67">
        <f>-'New Vehicles - Group'!E17</f>
        <v>-214955.87</v>
      </c>
      <c r="F11" s="67">
        <f>-'New Vehicles - Group'!F17</f>
        <v>-226042.44999999998</v>
      </c>
      <c r="G11" s="67">
        <f>-'New Vehicles - Group'!G17</f>
        <v>-237265.7</v>
      </c>
      <c r="H11" s="67">
        <f>-'New Vehicles - Group'!H17</f>
        <v>-209982.91999999998</v>
      </c>
      <c r="I11" s="67">
        <f>-'New Vehicles - Group'!I17</f>
        <v>-203970.06999999998</v>
      </c>
      <c r="J11" s="67">
        <f>-'New Vehicles - Group'!J17</f>
        <v>-181519.63</v>
      </c>
      <c r="K11" s="67">
        <f>-'New Vehicles - Group'!K17</f>
        <v>-169890.68</v>
      </c>
      <c r="L11" s="67">
        <f>-'New Vehicles - Group'!L17</f>
        <v>-205495.36000000002</v>
      </c>
      <c r="M11" s="67">
        <f>-'New Vehicles - Group'!M17</f>
        <v>-166460.78999999998</v>
      </c>
      <c r="N11" s="67">
        <f>-'New Vehicles - Group'!N17</f>
        <v>-189651.88999999998</v>
      </c>
      <c r="O11" s="67">
        <f>-'New Vehicles - Group'!O17</f>
        <v>-207247.08</v>
      </c>
      <c r="P11" s="67">
        <f>-'New Vehicles - Group'!P17</f>
        <v>-152121.53999999998</v>
      </c>
      <c r="R11" s="69">
        <f t="shared" ref="R11:R16" si="5">SUM(B11:M11)</f>
        <v>-2285401.52</v>
      </c>
      <c r="S11" s="69">
        <f t="shared" ref="S11:S16" si="6">SUM(E11:P11)</f>
        <v>-2364603.98</v>
      </c>
      <c r="U11" s="80"/>
      <c r="V11" s="88"/>
      <c r="W11" s="97"/>
      <c r="Y11" s="71">
        <f>-'New Vehicles - Group'!E38</f>
        <v>-160883.06076443783</v>
      </c>
      <c r="Z11" s="71">
        <f>-'New Vehicles - Group'!F38</f>
        <v>-160883.06076443783</v>
      </c>
      <c r="AA11" s="71">
        <f>-'New Vehicles - Group'!G38</f>
        <v>-161008.10451443784</v>
      </c>
      <c r="AB11" s="71">
        <f>-'New Vehicles - Group'!H38</f>
        <v>-159364.61076443782</v>
      </c>
      <c r="AC11" s="71">
        <f>-'New Vehicles - Group'!I38</f>
        <v>-159364.61076443782</v>
      </c>
      <c r="AD11" s="71">
        <f>-'New Vehicles - Group'!J38</f>
        <v>-159486.36388943784</v>
      </c>
      <c r="AE11" s="71">
        <f>-'New Vehicles - Group'!K38</f>
        <v>-160883.06076443783</v>
      </c>
      <c r="AF11" s="71">
        <f>-'New Vehicles - Group'!L38</f>
        <v>-158858.46076443786</v>
      </c>
      <c r="AG11" s="71">
        <f>-'New Vehicles - Group'!M38</f>
        <v>-151344.14826443786</v>
      </c>
      <c r="AH11" s="71">
        <f>-'New Vehicles - Group'!N38</f>
        <v>-151234.46076443786</v>
      </c>
      <c r="AI11" s="71">
        <f>-'New Vehicles - Group'!O38</f>
        <v>-151234.46076443786</v>
      </c>
      <c r="AJ11" s="71">
        <f>-'New Vehicles - Group'!P38</f>
        <v>-163037.09201443783</v>
      </c>
      <c r="AL11" s="69">
        <f t="shared" ref="AL11:AL16" si="7">SUM(Y11:AJ11)</f>
        <v>-1897581.4947982542</v>
      </c>
      <c r="AN11" s="80"/>
      <c r="AO11" s="88"/>
      <c r="AP11" s="91"/>
      <c r="AQ11" s="97"/>
    </row>
    <row r="12" spans="1:43" x14ac:dyDescent="0.25">
      <c r="A12" s="157" t="s">
        <v>965</v>
      </c>
      <c r="B12" s="67">
        <f>-'Used Vehicles - Group'!B23</f>
        <v>-172513.51</v>
      </c>
      <c r="C12" s="67">
        <f>-'Used Vehicles - Group'!C23</f>
        <v>-170236.53000000003</v>
      </c>
      <c r="D12" s="67">
        <f>-'Used Vehicles - Group'!D23</f>
        <v>-201772.10928927976</v>
      </c>
      <c r="E12" s="67">
        <f>-'Used Vehicles - Group'!E23</f>
        <v>-189804.90000000002</v>
      </c>
      <c r="F12" s="67">
        <f>-'Used Vehicles - Group'!F23</f>
        <v>-181967.26</v>
      </c>
      <c r="G12" s="67">
        <f>-'Used Vehicles - Group'!G23</f>
        <v>-219991.56999999998</v>
      </c>
      <c r="H12" s="67">
        <f>-'Used Vehicles - Group'!H23</f>
        <v>-194956.06</v>
      </c>
      <c r="I12" s="67">
        <f>-'Used Vehicles - Group'!I23</f>
        <v>-213864.40000000002</v>
      </c>
      <c r="J12" s="67">
        <f>-'Used Vehicles - Group'!J23</f>
        <v>-204743.89</v>
      </c>
      <c r="K12" s="67">
        <f>-'Used Vehicles - Group'!K23</f>
        <v>-195556.41</v>
      </c>
      <c r="L12" s="67">
        <f>-'Used Vehicles - Group'!L23</f>
        <v>-230124.55999999997</v>
      </c>
      <c r="M12" s="67">
        <f>-'Used Vehicles - Group'!M23</f>
        <v>-207392.57</v>
      </c>
      <c r="N12" s="67">
        <f>-'Used Vehicles - Group'!N23</f>
        <v>-211495.80000000005</v>
      </c>
      <c r="O12" s="67">
        <f>-'Used Vehicles - Group'!O23</f>
        <v>-212538.44000000003</v>
      </c>
      <c r="P12" s="67">
        <f>-'Used Vehicles - Group'!P23</f>
        <v>-219195.9</v>
      </c>
      <c r="R12" s="69">
        <f t="shared" si="5"/>
        <v>-2382923.7692892798</v>
      </c>
      <c r="S12" s="69">
        <f t="shared" si="6"/>
        <v>-2481631.7600000002</v>
      </c>
      <c r="U12" s="80"/>
      <c r="V12" s="88"/>
      <c r="W12" s="97"/>
      <c r="Y12" s="71">
        <f>-'Used Vehicles - Group'!E49</f>
        <v>-188236.55589694955</v>
      </c>
      <c r="Z12" s="71">
        <f>-'Used Vehicles - Group'!F49</f>
        <v>-194385.55589694958</v>
      </c>
      <c r="AA12" s="71">
        <f>-'Used Vehicles - Group'!G49</f>
        <v>-202481.06214694958</v>
      </c>
      <c r="AB12" s="71">
        <f>-'Used Vehicles - Group'!H49</f>
        <v>-195956.45589694957</v>
      </c>
      <c r="AC12" s="71">
        <f>-'Used Vehicles - Group'!I49</f>
        <v>-197340.20589694957</v>
      </c>
      <c r="AD12" s="71">
        <f>-'Used Vehicles - Group'!J49</f>
        <v>-198976.82777194955</v>
      </c>
      <c r="AE12" s="71">
        <f>-'Used Vehicles - Group'!K49</f>
        <v>-195956.45589694957</v>
      </c>
      <c r="AF12" s="71">
        <f>-'Used Vehicles - Group'!L49</f>
        <v>-209116.45589694957</v>
      </c>
      <c r="AG12" s="71">
        <f>-'Used Vehicles - Group'!M49</f>
        <v>-190011.24339694955</v>
      </c>
      <c r="AH12" s="71">
        <f>-'Used Vehicles - Group'!N49</f>
        <v>-188381.45589694954</v>
      </c>
      <c r="AI12" s="71">
        <f>-'Used Vehicles - Group'!O49</f>
        <v>-188381.45589694954</v>
      </c>
      <c r="AJ12" s="71">
        <f>-'Used Vehicles - Group'!P49</f>
        <v>-198207.93714694955</v>
      </c>
      <c r="AL12" s="69">
        <f t="shared" si="7"/>
        <v>-2347431.667638395</v>
      </c>
      <c r="AN12" s="80"/>
      <c r="AO12" s="88"/>
      <c r="AP12" s="91"/>
      <c r="AQ12" s="97"/>
    </row>
    <row r="13" spans="1:43" x14ac:dyDescent="0.25">
      <c r="A13" s="157" t="s">
        <v>966</v>
      </c>
      <c r="B13" s="67">
        <f>-'F&amp;I'!B13</f>
        <v>-55588.01</v>
      </c>
      <c r="C13" s="67">
        <f>-'F&amp;I'!C13</f>
        <v>-49354.299999999996</v>
      </c>
      <c r="D13" s="67">
        <f>-'F&amp;I'!D13</f>
        <v>-70618.87999999999</v>
      </c>
      <c r="E13" s="67">
        <f>-'F&amp;I'!E13</f>
        <v>-62389.799999999996</v>
      </c>
      <c r="F13" s="67">
        <f>-'F&amp;I'!F13</f>
        <v>-73634.62</v>
      </c>
      <c r="G13" s="67">
        <f>-'F&amp;I'!G13</f>
        <v>-77554.38</v>
      </c>
      <c r="H13" s="67">
        <f>-'F&amp;I'!H13</f>
        <v>-62824.83</v>
      </c>
      <c r="I13" s="67">
        <f>-'F&amp;I'!I13</f>
        <v>-67112.62</v>
      </c>
      <c r="J13" s="67">
        <f>-'F&amp;I'!J13</f>
        <v>-63200.800000000003</v>
      </c>
      <c r="K13" s="67">
        <f>-'F&amp;I'!K13</f>
        <v>-69175.657281553402</v>
      </c>
      <c r="L13" s="67">
        <f>-'F&amp;I'!L13</f>
        <v>-80704.398381294959</v>
      </c>
      <c r="M13" s="67">
        <f>-'F&amp;I'!M13</f>
        <v>-60423.63</v>
      </c>
      <c r="N13" s="67">
        <f>-'F&amp;I'!N13</f>
        <v>-69106.34</v>
      </c>
      <c r="O13" s="67">
        <f>-'F&amp;I'!O13</f>
        <v>-54286.299999999988</v>
      </c>
      <c r="P13" s="67">
        <f>-'F&amp;I'!P13</f>
        <v>-64688.298347826094</v>
      </c>
      <c r="R13" s="69">
        <f t="shared" si="5"/>
        <v>-792581.92566284828</v>
      </c>
      <c r="S13" s="69">
        <f t="shared" si="6"/>
        <v>-805101.67401067447</v>
      </c>
      <c r="U13" s="80"/>
      <c r="V13" s="88"/>
      <c r="W13" s="97"/>
      <c r="Y13" s="71">
        <f>-'F&amp;I'!E29</f>
        <v>-67868.470088157294</v>
      </c>
      <c r="Z13" s="71">
        <f>-'F&amp;I'!F29</f>
        <v>-67868.470088157294</v>
      </c>
      <c r="AA13" s="71">
        <f>-'F&amp;I'!G29</f>
        <v>-67868.470088157294</v>
      </c>
      <c r="AB13" s="71">
        <f>-'F&amp;I'!H29</f>
        <v>-67868.470088157294</v>
      </c>
      <c r="AC13" s="71">
        <f>-'F&amp;I'!I29</f>
        <v>-67868.470088157294</v>
      </c>
      <c r="AD13" s="71">
        <f>-'F&amp;I'!J29</f>
        <v>-67868.470088157294</v>
      </c>
      <c r="AE13" s="71">
        <f>-'F&amp;I'!K29</f>
        <v>-67868.470088157294</v>
      </c>
      <c r="AF13" s="71">
        <f>-'F&amp;I'!L29</f>
        <v>-67868.470088157294</v>
      </c>
      <c r="AG13" s="71">
        <f>-'F&amp;I'!M29</f>
        <v>-67868.470088157294</v>
      </c>
      <c r="AH13" s="71">
        <f>-'F&amp;I'!N29</f>
        <v>-67868.470088157294</v>
      </c>
      <c r="AI13" s="71">
        <f>-'F&amp;I'!O29</f>
        <v>-67868.470088157294</v>
      </c>
      <c r="AJ13" s="71">
        <f>-'F&amp;I'!P29</f>
        <v>-67868.470088157294</v>
      </c>
      <c r="AL13" s="69">
        <f t="shared" si="7"/>
        <v>-814421.6410578877</v>
      </c>
      <c r="AN13" s="80"/>
      <c r="AO13" s="88"/>
      <c r="AP13" s="91"/>
      <c r="AQ13" s="97"/>
    </row>
    <row r="14" spans="1:43" x14ac:dyDescent="0.25">
      <c r="A14" s="157" t="s">
        <v>113</v>
      </c>
      <c r="B14" s="67">
        <f>-'Parts - Group '!B19</f>
        <v>-117847.76000000001</v>
      </c>
      <c r="C14" s="67">
        <f>-'Parts - Group '!C19</f>
        <v>-117175.14</v>
      </c>
      <c r="D14" s="67">
        <f>-'Parts - Group '!D19</f>
        <v>-156405.11000000002</v>
      </c>
      <c r="E14" s="67">
        <f>-'Parts - Group '!E19</f>
        <v>-99590.260000000009</v>
      </c>
      <c r="F14" s="67">
        <f>-'Parts - Group '!F19</f>
        <v>-130400.54999999999</v>
      </c>
      <c r="G14" s="67">
        <f>-'Parts - Group '!G19</f>
        <v>-136643.61000000002</v>
      </c>
      <c r="H14" s="67">
        <f>-'Parts - Group '!H19</f>
        <v>-118244.78000000001</v>
      </c>
      <c r="I14" s="67">
        <f>-'Parts - Group '!I19</f>
        <v>-133079.96</v>
      </c>
      <c r="J14" s="67">
        <f>-'Parts - Group '!J19</f>
        <v>-125248.67999999998</v>
      </c>
      <c r="K14" s="67">
        <f>-'Parts - Group '!K19</f>
        <v>-130528.71999999999</v>
      </c>
      <c r="L14" s="67">
        <f>-'Parts - Group '!L19</f>
        <v>-120352.55</v>
      </c>
      <c r="M14" s="67">
        <f>-'Parts - Group '!M19</f>
        <v>-124585</v>
      </c>
      <c r="N14" s="67">
        <f>-'Parts - Group '!N19</f>
        <v>-143808.39000000001</v>
      </c>
      <c r="O14" s="67">
        <f>-'Parts - Group '!O19</f>
        <v>-105320.07999999999</v>
      </c>
      <c r="P14" s="67">
        <f>-'Parts - Group '!P19</f>
        <v>-89598.14</v>
      </c>
      <c r="R14" s="69">
        <f t="shared" si="5"/>
        <v>-1510102.12</v>
      </c>
      <c r="S14" s="69">
        <f t="shared" si="6"/>
        <v>-1457400.72</v>
      </c>
      <c r="U14" s="80"/>
      <c r="V14" s="88"/>
      <c r="W14" s="97"/>
      <c r="Y14" s="71">
        <f>-'Parts - Group '!E41</f>
        <v>-103368.46981964035</v>
      </c>
      <c r="Z14" s="71">
        <f>-'Parts - Group '!F41</f>
        <v>-103368.46981964035</v>
      </c>
      <c r="AA14" s="71">
        <f>-'Parts - Group '!G41</f>
        <v>-103368.46981964035</v>
      </c>
      <c r="AB14" s="71">
        <f>-'Parts - Group '!H41</f>
        <v>-103368.46981964035</v>
      </c>
      <c r="AC14" s="71">
        <f>-'Parts - Group '!I41</f>
        <v>-103368.46981964035</v>
      </c>
      <c r="AD14" s="71">
        <f>-'Parts - Group '!J41</f>
        <v>-103368.46981964035</v>
      </c>
      <c r="AE14" s="71">
        <f>-'Parts - Group '!K41</f>
        <v>-103368.46981964035</v>
      </c>
      <c r="AF14" s="71">
        <f>-'Parts - Group '!L41</f>
        <v>-103368.46981964035</v>
      </c>
      <c r="AG14" s="71">
        <f>-'Parts - Group '!M41</f>
        <v>-103368.46981964035</v>
      </c>
      <c r="AH14" s="71">
        <f>-'Parts - Group '!N41</f>
        <v>-103368.46981964035</v>
      </c>
      <c r="AI14" s="71">
        <f>-'Parts - Group '!O41</f>
        <v>-103368.46981964035</v>
      </c>
      <c r="AJ14" s="71">
        <f>-'Parts - Group '!P41</f>
        <v>-103368.46981964035</v>
      </c>
      <c r="AL14" s="69">
        <f t="shared" si="7"/>
        <v>-1240421.6378356842</v>
      </c>
      <c r="AN14" s="80"/>
      <c r="AO14" s="88"/>
      <c r="AP14" s="91"/>
      <c r="AQ14" s="97"/>
    </row>
    <row r="15" spans="1:43" x14ac:dyDescent="0.25">
      <c r="A15" s="157" t="s">
        <v>967</v>
      </c>
      <c r="B15" s="67">
        <f>-'Service - Group '!B17</f>
        <v>-250111.85</v>
      </c>
      <c r="C15" s="67">
        <f>-'Service - Group '!C17</f>
        <v>-253029.46</v>
      </c>
      <c r="D15" s="67">
        <f>-'Service - Group '!D17</f>
        <v>-338657.47</v>
      </c>
      <c r="E15" s="67">
        <f>-'Service - Group '!E17</f>
        <v>-236025.40000000002</v>
      </c>
      <c r="F15" s="67">
        <f>-'Service - Group '!F17</f>
        <v>-296984.34999999998</v>
      </c>
      <c r="G15" s="67">
        <f>-'Service - Group '!G17</f>
        <v>-345964.33999999997</v>
      </c>
      <c r="H15" s="67">
        <f>-'Service - Group '!H17</f>
        <v>-327172.05</v>
      </c>
      <c r="I15" s="67">
        <f>-'Service - Group '!I17</f>
        <v>-345931.47000000003</v>
      </c>
      <c r="J15" s="67">
        <f>-'Service - Group '!J17</f>
        <v>-282332.25999999995</v>
      </c>
      <c r="K15" s="67">
        <f>-'Service - Group '!K17</f>
        <v>-294102.37</v>
      </c>
      <c r="L15" s="67">
        <f>-'Service - Group '!L17</f>
        <v>-277769.85000000003</v>
      </c>
      <c r="M15" s="67">
        <f>-'Service - Group '!M17</f>
        <v>-272482.42000000004</v>
      </c>
      <c r="N15" s="67">
        <f>-'Service - Group '!N17</f>
        <v>-287596.89</v>
      </c>
      <c r="O15" s="67">
        <f>-'Service - Group '!O17</f>
        <v>-266250.59000000003</v>
      </c>
      <c r="P15" s="67">
        <f>-'Service - Group '!P17</f>
        <v>-299875.52</v>
      </c>
      <c r="R15" s="69">
        <f t="shared" si="5"/>
        <v>-3520563.29</v>
      </c>
      <c r="S15" s="69">
        <f t="shared" si="6"/>
        <v>-3532487.51</v>
      </c>
      <c r="U15" s="80"/>
      <c r="V15" s="88"/>
      <c r="W15" s="97"/>
      <c r="Y15" s="71">
        <f>-'Service - Group '!E37</f>
        <v>-298285.58329523605</v>
      </c>
      <c r="Z15" s="71">
        <f>-'Service - Group '!F37</f>
        <v>-298285.58329523605</v>
      </c>
      <c r="AA15" s="71">
        <f>-'Service - Group '!G37</f>
        <v>-298285.58329523605</v>
      </c>
      <c r="AB15" s="71">
        <f>-'Service - Group '!H37</f>
        <v>-298285.58329523605</v>
      </c>
      <c r="AC15" s="71">
        <f>-'Service - Group '!I37</f>
        <v>-298285.58329523605</v>
      </c>
      <c r="AD15" s="71">
        <f>-'Service - Group '!J37</f>
        <v>-298285.58329523605</v>
      </c>
      <c r="AE15" s="71">
        <f>-'Service - Group '!K37</f>
        <v>-298285.58329523605</v>
      </c>
      <c r="AF15" s="71">
        <f>-'Service - Group '!L37</f>
        <v>-298285.58329523605</v>
      </c>
      <c r="AG15" s="71">
        <f>-'Service - Group '!M37</f>
        <v>-298285.58329523605</v>
      </c>
      <c r="AH15" s="71">
        <f>-'Service - Group '!N37</f>
        <v>-298285.58329523605</v>
      </c>
      <c r="AI15" s="71">
        <f>-'Service - Group '!O37</f>
        <v>-298285.58329523605</v>
      </c>
      <c r="AJ15" s="71">
        <f>-'Service - Group '!P37</f>
        <v>-298285.58329523605</v>
      </c>
      <c r="AL15" s="69">
        <f t="shared" si="7"/>
        <v>-3579426.9995428319</v>
      </c>
      <c r="AN15" s="80"/>
      <c r="AO15" s="88"/>
      <c r="AP15" s="91"/>
      <c r="AQ15" s="97"/>
    </row>
    <row r="16" spans="1:43" x14ac:dyDescent="0.25">
      <c r="A16" s="158" t="s">
        <v>970</v>
      </c>
      <c r="B16" s="68">
        <f>SUM(B11:B15)</f>
        <v>-821921.41</v>
      </c>
      <c r="C16" s="68">
        <f t="shared" ref="C16:P16" si="8">SUM(C11:C15)</f>
        <v>-747718.59000000008</v>
      </c>
      <c r="D16" s="68">
        <f t="shared" si="8"/>
        <v>-853488.17928927974</v>
      </c>
      <c r="E16" s="68">
        <f t="shared" si="8"/>
        <v>-802766.2300000001</v>
      </c>
      <c r="F16" s="68">
        <f t="shared" si="8"/>
        <v>-909029.22999999986</v>
      </c>
      <c r="G16" s="68">
        <f t="shared" si="8"/>
        <v>-1017419.6</v>
      </c>
      <c r="H16" s="68">
        <f t="shared" si="8"/>
        <v>-913180.6399999999</v>
      </c>
      <c r="I16" s="68">
        <f t="shared" si="8"/>
        <v>-963958.52</v>
      </c>
      <c r="J16" s="68">
        <f t="shared" si="8"/>
        <v>-857045.26</v>
      </c>
      <c r="K16" s="68">
        <f t="shared" si="8"/>
        <v>-859253.83728155331</v>
      </c>
      <c r="L16" s="68">
        <f t="shared" si="8"/>
        <v>-914446.71838129498</v>
      </c>
      <c r="M16" s="68">
        <f t="shared" si="8"/>
        <v>-831344.41</v>
      </c>
      <c r="N16" s="68">
        <f t="shared" si="8"/>
        <v>-901659.31</v>
      </c>
      <c r="O16" s="68">
        <f t="shared" si="8"/>
        <v>-845642.49</v>
      </c>
      <c r="P16" s="68">
        <f t="shared" si="8"/>
        <v>-825479.39834782609</v>
      </c>
      <c r="R16" s="68">
        <f t="shared" si="5"/>
        <v>-10491572.624952126</v>
      </c>
      <c r="S16" s="68">
        <f t="shared" si="6"/>
        <v>-10641225.644010676</v>
      </c>
      <c r="U16" s="80"/>
      <c r="V16" s="88"/>
      <c r="W16" s="97"/>
      <c r="Y16" s="72">
        <f>SUM(Y11:Y15)</f>
        <v>-818642.13986442098</v>
      </c>
      <c r="Z16" s="72">
        <f t="shared" ref="Z16:AJ16" si="9">SUM(Z11:Z15)</f>
        <v>-824791.13986442098</v>
      </c>
      <c r="AA16" s="72">
        <f t="shared" si="9"/>
        <v>-833011.68986442103</v>
      </c>
      <c r="AB16" s="72">
        <f t="shared" si="9"/>
        <v>-824843.58986442117</v>
      </c>
      <c r="AC16" s="72">
        <f t="shared" si="9"/>
        <v>-826227.33986442117</v>
      </c>
      <c r="AD16" s="72">
        <f t="shared" si="9"/>
        <v>-827985.71486442117</v>
      </c>
      <c r="AE16" s="72">
        <f t="shared" si="9"/>
        <v>-826362.03986442112</v>
      </c>
      <c r="AF16" s="72">
        <f t="shared" si="9"/>
        <v>-837497.43986442103</v>
      </c>
      <c r="AG16" s="72">
        <f t="shared" si="9"/>
        <v>-810877.91486442112</v>
      </c>
      <c r="AH16" s="72">
        <f t="shared" si="9"/>
        <v>-809138.43986442103</v>
      </c>
      <c r="AI16" s="72">
        <f t="shared" si="9"/>
        <v>-809138.43986442103</v>
      </c>
      <c r="AJ16" s="72">
        <f t="shared" si="9"/>
        <v>-830767.55236442108</v>
      </c>
      <c r="AL16" s="68">
        <f t="shared" si="7"/>
        <v>-9879283.4408730529</v>
      </c>
      <c r="AN16" s="80"/>
      <c r="AO16" s="88"/>
      <c r="AP16" s="91"/>
      <c r="AQ16" s="97"/>
    </row>
    <row r="17" spans="1:43" x14ac:dyDescent="0.25">
      <c r="A17" s="156" t="s">
        <v>971</v>
      </c>
      <c r="U17" s="80"/>
      <c r="V17" s="88"/>
      <c r="W17" s="97"/>
      <c r="AN17" s="80"/>
      <c r="AO17" s="88"/>
      <c r="AP17" s="91"/>
      <c r="AQ17" s="97"/>
    </row>
    <row r="18" spans="1:43" x14ac:dyDescent="0.25">
      <c r="A18" s="157" t="s">
        <v>964</v>
      </c>
      <c r="B18" s="69">
        <f>B4+B11</f>
        <v>10086.119999999966</v>
      </c>
      <c r="C18" s="69">
        <f t="shared" ref="C18:P19" si="10">C4+C11</f>
        <v>-8651.0400000000081</v>
      </c>
      <c r="D18" s="69">
        <f t="shared" si="10"/>
        <v>235346.31000000003</v>
      </c>
      <c r="E18" s="69">
        <f t="shared" si="10"/>
        <v>68956.429999999993</v>
      </c>
      <c r="F18" s="69">
        <f t="shared" si="10"/>
        <v>54781.550000000017</v>
      </c>
      <c r="G18" s="69">
        <f t="shared" si="10"/>
        <v>350197.48000000004</v>
      </c>
      <c r="H18" s="69">
        <f t="shared" si="10"/>
        <v>-101489.23999999999</v>
      </c>
      <c r="I18" s="69">
        <f t="shared" si="10"/>
        <v>55025.350000000122</v>
      </c>
      <c r="J18" s="69">
        <f t="shared" si="10"/>
        <v>128544.52000000002</v>
      </c>
      <c r="K18" s="69">
        <f t="shared" si="10"/>
        <v>-12870.760000000009</v>
      </c>
      <c r="L18" s="69">
        <f t="shared" si="10"/>
        <v>7169.6099999999278</v>
      </c>
      <c r="M18" s="69">
        <f t="shared" si="10"/>
        <v>88114.410000000033</v>
      </c>
      <c r="N18" s="69">
        <f>N4+N11</f>
        <v>58116.880000000005</v>
      </c>
      <c r="O18" s="69">
        <f t="shared" si="10"/>
        <v>-30617.809999999998</v>
      </c>
      <c r="P18" s="69">
        <f t="shared" si="10"/>
        <v>162862.80999999994</v>
      </c>
      <c r="R18" s="69">
        <f t="shared" ref="R18:R24" si="11">SUM(B18:M18)</f>
        <v>875210.74000000011</v>
      </c>
      <c r="S18" s="69">
        <f t="shared" ref="S18:S24" si="12">SUM(E18:P18)</f>
        <v>828791.2300000001</v>
      </c>
      <c r="U18" s="80"/>
      <c r="V18" s="88"/>
      <c r="W18" s="97"/>
      <c r="Y18" s="71">
        <f>Y4+Y11</f>
        <v>82393.878124451061</v>
      </c>
      <c r="Z18" s="71">
        <f t="shared" ref="Z18:AJ18" si="13">Z4+Z11</f>
        <v>82393.878124451061</v>
      </c>
      <c r="AA18" s="71">
        <f t="shared" si="13"/>
        <v>129800.08437445102</v>
      </c>
      <c r="AB18" s="71">
        <f t="shared" si="13"/>
        <v>77762.328124451073</v>
      </c>
      <c r="AC18" s="71">
        <f t="shared" si="13"/>
        <v>77762.328124451073</v>
      </c>
      <c r="AD18" s="71">
        <f t="shared" si="13"/>
        <v>123953.07499945103</v>
      </c>
      <c r="AE18" s="71">
        <f t="shared" si="13"/>
        <v>82393.878124451061</v>
      </c>
      <c r="AF18" s="71">
        <f t="shared" si="13"/>
        <v>76218.478124451038</v>
      </c>
      <c r="AG18" s="71">
        <f t="shared" si="13"/>
        <v>107532.79062445104</v>
      </c>
      <c r="AH18" s="71">
        <f t="shared" si="13"/>
        <v>65392.478124451038</v>
      </c>
      <c r="AI18" s="71">
        <f t="shared" si="13"/>
        <v>65392.478124451038</v>
      </c>
      <c r="AJ18" s="71">
        <f t="shared" si="13"/>
        <v>140052.34687445103</v>
      </c>
      <c r="AL18" s="69">
        <f t="shared" ref="AL18:AL24" si="14">SUM(Y18:AJ18)</f>
        <v>1111048.0218684124</v>
      </c>
      <c r="AN18" s="80"/>
      <c r="AO18" s="88"/>
      <c r="AP18" s="91"/>
      <c r="AQ18" s="97"/>
    </row>
    <row r="19" spans="1:43" x14ac:dyDescent="0.25">
      <c r="A19" s="157" t="s">
        <v>965</v>
      </c>
      <c r="B19" s="69">
        <f>B5+B12</f>
        <v>-11037.289999999892</v>
      </c>
      <c r="C19" s="69">
        <f t="shared" si="10"/>
        <v>77891.699999999808</v>
      </c>
      <c r="D19" s="69">
        <f t="shared" si="10"/>
        <v>91380.620710720046</v>
      </c>
      <c r="E19" s="69">
        <f t="shared" si="10"/>
        <v>-3145.7600000000093</v>
      </c>
      <c r="F19" s="69">
        <f t="shared" si="10"/>
        <v>11012.259999999718</v>
      </c>
      <c r="G19" s="69">
        <f t="shared" si="10"/>
        <v>102096.07000000015</v>
      </c>
      <c r="H19" s="69">
        <f t="shared" si="10"/>
        <v>-9350.4100000000035</v>
      </c>
      <c r="I19" s="69">
        <f t="shared" si="10"/>
        <v>7601.5599999999977</v>
      </c>
      <c r="J19" s="69">
        <f t="shared" si="10"/>
        <v>86930.180000000109</v>
      </c>
      <c r="K19" s="69">
        <f t="shared" si="10"/>
        <v>27459.200000000041</v>
      </c>
      <c r="L19" s="69">
        <f t="shared" si="10"/>
        <v>-32949.879999999859</v>
      </c>
      <c r="M19" s="69">
        <f t="shared" si="10"/>
        <v>75571.619999999937</v>
      </c>
      <c r="N19" s="69">
        <f t="shared" si="10"/>
        <v>32585.010000000068</v>
      </c>
      <c r="O19" s="69">
        <f t="shared" si="10"/>
        <v>14411.089999999822</v>
      </c>
      <c r="P19" s="69">
        <f t="shared" si="10"/>
        <v>94582.03</v>
      </c>
      <c r="R19" s="69">
        <f t="shared" si="11"/>
        <v>423459.87071072002</v>
      </c>
      <c r="S19" s="69">
        <f t="shared" si="12"/>
        <v>406802.97</v>
      </c>
      <c r="U19" s="80"/>
      <c r="V19" s="88"/>
      <c r="W19" s="97"/>
      <c r="Y19" s="71">
        <f t="shared" ref="Y19:AJ23" si="15">Y5+Y12</f>
        <v>52555.444103050482</v>
      </c>
      <c r="Z19" s="71">
        <f t="shared" si="15"/>
        <v>87748.110769717052</v>
      </c>
      <c r="AA19" s="71">
        <f t="shared" si="15"/>
        <v>217913.02118638362</v>
      </c>
      <c r="AB19" s="71">
        <f t="shared" si="15"/>
        <v>115935.54410305043</v>
      </c>
      <c r="AC19" s="71">
        <f t="shared" si="15"/>
        <v>125801.79410305043</v>
      </c>
      <c r="AD19" s="71">
        <f t="shared" si="15"/>
        <v>231602.67222805045</v>
      </c>
      <c r="AE19" s="71">
        <f t="shared" si="15"/>
        <v>115935.54410305043</v>
      </c>
      <c r="AF19" s="71">
        <f t="shared" si="15"/>
        <v>172775.54410305043</v>
      </c>
      <c r="AG19" s="71">
        <f t="shared" si="15"/>
        <v>202068.25660305045</v>
      </c>
      <c r="AH19" s="71">
        <f t="shared" si="15"/>
        <v>98510.544103050459</v>
      </c>
      <c r="AI19" s="71">
        <f t="shared" si="15"/>
        <v>98510.544103050459</v>
      </c>
      <c r="AJ19" s="71">
        <f t="shared" si="15"/>
        <v>226496.56285305051</v>
      </c>
      <c r="AL19" s="69">
        <f t="shared" si="14"/>
        <v>1745853.5823616048</v>
      </c>
      <c r="AN19" s="80"/>
      <c r="AO19" s="88"/>
      <c r="AP19" s="91"/>
      <c r="AQ19" s="97"/>
    </row>
    <row r="20" spans="1:43" x14ac:dyDescent="0.25">
      <c r="A20" s="157" t="s">
        <v>966</v>
      </c>
      <c r="B20" s="69">
        <f t="shared" ref="B20:P22" si="16">B6+B13</f>
        <v>77803.359999999986</v>
      </c>
      <c r="C20" s="69">
        <f t="shared" si="16"/>
        <v>76273.890000000014</v>
      </c>
      <c r="D20" s="69">
        <f t="shared" si="16"/>
        <v>261716.40999999997</v>
      </c>
      <c r="E20" s="69">
        <f t="shared" si="16"/>
        <v>87616.660000000033</v>
      </c>
      <c r="F20" s="69">
        <f t="shared" si="16"/>
        <v>94504.409999999974</v>
      </c>
      <c r="G20" s="69">
        <f t="shared" si="16"/>
        <v>341539.42999999993</v>
      </c>
      <c r="H20" s="69">
        <f t="shared" si="16"/>
        <v>23230.89</v>
      </c>
      <c r="I20" s="69">
        <f t="shared" si="16"/>
        <v>58908.570000000007</v>
      </c>
      <c r="J20" s="69">
        <f t="shared" si="16"/>
        <v>209928.40999999997</v>
      </c>
      <c r="K20" s="69">
        <f t="shared" si="16"/>
        <v>69597.492718446592</v>
      </c>
      <c r="L20" s="69">
        <f t="shared" si="16"/>
        <v>91400.521618705054</v>
      </c>
      <c r="M20" s="69">
        <f t="shared" si="16"/>
        <v>176933.41999999998</v>
      </c>
      <c r="N20" s="69">
        <f t="shared" si="16"/>
        <v>82487.53</v>
      </c>
      <c r="O20" s="69">
        <f t="shared" si="16"/>
        <v>94629.420000000013</v>
      </c>
      <c r="P20" s="69">
        <f t="shared" si="16"/>
        <v>133326.34165217393</v>
      </c>
      <c r="R20" s="69">
        <f t="shared" si="11"/>
        <v>1569453.4643371513</v>
      </c>
      <c r="S20" s="69">
        <f t="shared" si="12"/>
        <v>1464103.0959893253</v>
      </c>
      <c r="U20" s="80"/>
      <c r="V20" s="88"/>
      <c r="W20" s="97"/>
      <c r="Y20" s="71">
        <f t="shared" si="15"/>
        <v>85452.9597390899</v>
      </c>
      <c r="Z20" s="71">
        <f t="shared" si="15"/>
        <v>94548.666014370785</v>
      </c>
      <c r="AA20" s="71">
        <f t="shared" si="15"/>
        <v>190177.65633459552</v>
      </c>
      <c r="AB20" s="71">
        <f t="shared" si="15"/>
        <v>95146.641806224754</v>
      </c>
      <c r="AC20" s="71">
        <f t="shared" si="15"/>
        <v>97884.252705101142</v>
      </c>
      <c r="AD20" s="71">
        <f t="shared" si="15"/>
        <v>186121.86360397754</v>
      </c>
      <c r="AE20" s="71">
        <f t="shared" si="15"/>
        <v>96953.917706224733</v>
      </c>
      <c r="AF20" s="71">
        <f t="shared" si="15"/>
        <v>111518.91310173033</v>
      </c>
      <c r="AG20" s="71">
        <f t="shared" si="15"/>
        <v>169350.57839892135</v>
      </c>
      <c r="AH20" s="71">
        <f t="shared" si="15"/>
        <v>83112.96750004495</v>
      </c>
      <c r="AI20" s="71">
        <f t="shared" si="15"/>
        <v>83112.96750004495</v>
      </c>
      <c r="AJ20" s="71">
        <f t="shared" si="15"/>
        <v>187421.89818937081</v>
      </c>
      <c r="AL20" s="69">
        <f t="shared" si="14"/>
        <v>1480803.2825996967</v>
      </c>
      <c r="AN20" s="80"/>
      <c r="AO20" s="88"/>
      <c r="AP20" s="91"/>
      <c r="AQ20" s="97"/>
    </row>
    <row r="21" spans="1:43" x14ac:dyDescent="0.25">
      <c r="A21" s="157" t="s">
        <v>113</v>
      </c>
      <c r="B21" s="69">
        <f t="shared" si="16"/>
        <v>107805.79000000001</v>
      </c>
      <c r="C21" s="69">
        <f t="shared" si="16"/>
        <v>92569.73</v>
      </c>
      <c r="D21" s="69">
        <f t="shared" si="16"/>
        <v>280644.92000000016</v>
      </c>
      <c r="E21" s="69">
        <f t="shared" si="16"/>
        <v>133864.30999999997</v>
      </c>
      <c r="F21" s="69">
        <f t="shared" si="16"/>
        <v>118862.11000000002</v>
      </c>
      <c r="G21" s="69">
        <f t="shared" si="16"/>
        <v>298733.11</v>
      </c>
      <c r="H21" s="69">
        <f t="shared" si="16"/>
        <v>146988.74999999994</v>
      </c>
      <c r="I21" s="69">
        <f t="shared" si="16"/>
        <v>132950.34000000005</v>
      </c>
      <c r="J21" s="69">
        <f t="shared" si="16"/>
        <v>249051.63</v>
      </c>
      <c r="K21" s="69">
        <f t="shared" si="16"/>
        <v>124423.29999999997</v>
      </c>
      <c r="L21" s="69">
        <f t="shared" si="16"/>
        <v>213361.37000000005</v>
      </c>
      <c r="M21" s="69">
        <f t="shared" si="16"/>
        <v>203712.55</v>
      </c>
      <c r="N21" s="69">
        <f t="shared" si="16"/>
        <v>56685.569999999891</v>
      </c>
      <c r="O21" s="69">
        <f t="shared" si="16"/>
        <v>174261.85</v>
      </c>
      <c r="P21" s="69">
        <f t="shared" si="16"/>
        <v>286523.36</v>
      </c>
      <c r="R21" s="69">
        <f t="shared" si="11"/>
        <v>2102967.91</v>
      </c>
      <c r="S21" s="69">
        <f t="shared" si="12"/>
        <v>2139418.25</v>
      </c>
      <c r="U21" s="80"/>
      <c r="V21" s="88"/>
      <c r="W21" s="97"/>
      <c r="Y21" s="71">
        <f t="shared" si="15"/>
        <v>147879.95372336538</v>
      </c>
      <c r="Z21" s="71">
        <f t="shared" si="15"/>
        <v>182141.10238832067</v>
      </c>
      <c r="AA21" s="71">
        <f t="shared" si="15"/>
        <v>240436.87939088774</v>
      </c>
      <c r="AB21" s="71">
        <f t="shared" si="15"/>
        <v>182141.10238832067</v>
      </c>
      <c r="AC21" s="71">
        <f t="shared" si="15"/>
        <v>176430.91094416147</v>
      </c>
      <c r="AD21" s="71">
        <f t="shared" si="15"/>
        <v>266175.33661168383</v>
      </c>
      <c r="AE21" s="71">
        <f t="shared" si="15"/>
        <v>170720.71950000228</v>
      </c>
      <c r="AF21" s="71">
        <f t="shared" si="15"/>
        <v>165010.52805584308</v>
      </c>
      <c r="AG21" s="71">
        <f t="shared" si="15"/>
        <v>252254.95372336538</v>
      </c>
      <c r="AH21" s="71">
        <f t="shared" si="15"/>
        <v>147879.95372336538</v>
      </c>
      <c r="AI21" s="71">
        <f t="shared" si="15"/>
        <v>136459.57083504694</v>
      </c>
      <c r="AJ21" s="71">
        <f t="shared" si="15"/>
        <v>268135.52805584308</v>
      </c>
      <c r="AL21" s="69">
        <f t="shared" si="14"/>
        <v>2335666.539340206</v>
      </c>
      <c r="AN21" s="80"/>
      <c r="AO21" s="88"/>
      <c r="AP21" s="91"/>
      <c r="AQ21" s="97"/>
    </row>
    <row r="22" spans="1:43" x14ac:dyDescent="0.25">
      <c r="A22" s="157" t="s">
        <v>967</v>
      </c>
      <c r="B22" s="69">
        <f t="shared" si="16"/>
        <v>161887.44999999992</v>
      </c>
      <c r="C22" s="69">
        <f t="shared" si="16"/>
        <v>178607.18999999997</v>
      </c>
      <c r="D22" s="69">
        <f t="shared" si="16"/>
        <v>244801.33000000007</v>
      </c>
      <c r="E22" s="69">
        <f t="shared" si="16"/>
        <v>132775.93</v>
      </c>
      <c r="F22" s="69">
        <f t="shared" si="16"/>
        <v>300930.90000000002</v>
      </c>
      <c r="G22" s="69">
        <f t="shared" si="16"/>
        <v>158657.39000000001</v>
      </c>
      <c r="H22" s="69">
        <f t="shared" si="16"/>
        <v>122498.76999999996</v>
      </c>
      <c r="I22" s="69">
        <f t="shared" si="16"/>
        <v>233029.21999999991</v>
      </c>
      <c r="J22" s="69">
        <f t="shared" si="16"/>
        <v>210675.02000000008</v>
      </c>
      <c r="K22" s="69">
        <f t="shared" si="16"/>
        <v>205114.79999999993</v>
      </c>
      <c r="L22" s="69">
        <f t="shared" si="16"/>
        <v>322738.62000000005</v>
      </c>
      <c r="M22" s="69">
        <f t="shared" si="16"/>
        <v>256746.89999999991</v>
      </c>
      <c r="N22" s="69">
        <f t="shared" si="16"/>
        <v>203774.84999999998</v>
      </c>
      <c r="O22" s="69">
        <f t="shared" si="16"/>
        <v>230291.93</v>
      </c>
      <c r="P22" s="69">
        <f t="shared" si="16"/>
        <v>219605.00999999995</v>
      </c>
      <c r="R22" s="69">
        <f t="shared" si="11"/>
        <v>2528463.52</v>
      </c>
      <c r="S22" s="69">
        <f t="shared" si="12"/>
        <v>2596839.34</v>
      </c>
      <c r="U22" s="80"/>
      <c r="V22" s="88"/>
      <c r="W22" s="97"/>
      <c r="Y22" s="71">
        <f t="shared" si="15"/>
        <v>214014.50238779112</v>
      </c>
      <c r="Z22" s="71">
        <f t="shared" si="15"/>
        <v>283873.60498093098</v>
      </c>
      <c r="AA22" s="71">
        <f t="shared" si="15"/>
        <v>179084.95109122095</v>
      </c>
      <c r="AB22" s="71">
        <f t="shared" si="15"/>
        <v>283873.60498093098</v>
      </c>
      <c r="AC22" s="71">
        <f t="shared" si="15"/>
        <v>272230.42121540784</v>
      </c>
      <c r="AD22" s="71">
        <f t="shared" si="15"/>
        <v>237300.86991883774</v>
      </c>
      <c r="AE22" s="71">
        <f t="shared" si="15"/>
        <v>260587.23744988436</v>
      </c>
      <c r="AF22" s="71">
        <f t="shared" si="15"/>
        <v>248944.0536843611</v>
      </c>
      <c r="AG22" s="71">
        <f t="shared" si="15"/>
        <v>214014.50238779112</v>
      </c>
      <c r="AH22" s="71">
        <f t="shared" si="15"/>
        <v>214014.50238779112</v>
      </c>
      <c r="AI22" s="71">
        <f t="shared" si="15"/>
        <v>190728.13485674432</v>
      </c>
      <c r="AJ22" s="71">
        <f t="shared" si="15"/>
        <v>248944.0536843611</v>
      </c>
      <c r="AL22" s="69">
        <f t="shared" si="14"/>
        <v>2847610.4390260526</v>
      </c>
      <c r="AN22" s="80"/>
      <c r="AO22" s="88"/>
      <c r="AP22" s="91"/>
      <c r="AQ22" s="97"/>
    </row>
    <row r="23" spans="1:43" x14ac:dyDescent="0.25">
      <c r="A23" s="158" t="s">
        <v>972</v>
      </c>
      <c r="B23" s="68">
        <f>SUM(B18:B22)</f>
        <v>346545.43</v>
      </c>
      <c r="C23" s="68">
        <f t="shared" ref="C23:P23" si="17">SUM(C18:C22)</f>
        <v>416691.46999999974</v>
      </c>
      <c r="D23" s="68">
        <f t="shared" si="17"/>
        <v>1113889.5907107203</v>
      </c>
      <c r="E23" s="68">
        <f t="shared" si="17"/>
        <v>420067.57</v>
      </c>
      <c r="F23" s="68">
        <f t="shared" si="17"/>
        <v>580091.22999999975</v>
      </c>
      <c r="G23" s="68">
        <f t="shared" si="17"/>
        <v>1251223.48</v>
      </c>
      <c r="H23" s="68">
        <f t="shared" si="17"/>
        <v>181878.75999999989</v>
      </c>
      <c r="I23" s="68">
        <f t="shared" si="17"/>
        <v>487515.0400000001</v>
      </c>
      <c r="J23" s="68">
        <f t="shared" si="17"/>
        <v>885129.76000000024</v>
      </c>
      <c r="K23" s="68">
        <f t="shared" si="17"/>
        <v>413724.03271844651</v>
      </c>
      <c r="L23" s="68">
        <f t="shared" si="17"/>
        <v>601720.24161870521</v>
      </c>
      <c r="M23" s="68">
        <f t="shared" si="17"/>
        <v>801078.89999999991</v>
      </c>
      <c r="N23" s="68">
        <f t="shared" si="17"/>
        <v>433649.83999999997</v>
      </c>
      <c r="O23" s="68">
        <f t="shared" si="17"/>
        <v>482976.47999999986</v>
      </c>
      <c r="P23" s="68">
        <f t="shared" si="17"/>
        <v>896899.55165217374</v>
      </c>
      <c r="R23" s="68">
        <f t="shared" si="11"/>
        <v>7499555.5050478708</v>
      </c>
      <c r="S23" s="68">
        <f t="shared" si="12"/>
        <v>7435954.8859893233</v>
      </c>
      <c r="U23" s="80"/>
      <c r="V23" s="88"/>
      <c r="W23" s="97"/>
      <c r="Y23" s="72">
        <f t="shared" si="15"/>
        <v>582296.7380777481</v>
      </c>
      <c r="Z23" s="72">
        <f t="shared" si="15"/>
        <v>730705.36227779067</v>
      </c>
      <c r="AA23" s="72">
        <f t="shared" si="15"/>
        <v>957412.59237753903</v>
      </c>
      <c r="AB23" s="72">
        <f t="shared" si="15"/>
        <v>754859.22140297783</v>
      </c>
      <c r="AC23" s="72">
        <f t="shared" si="15"/>
        <v>750109.70709217177</v>
      </c>
      <c r="AD23" s="72">
        <f t="shared" si="15"/>
        <v>1045153.8173620005</v>
      </c>
      <c r="AE23" s="72">
        <f t="shared" si="15"/>
        <v>726591.29688361287</v>
      </c>
      <c r="AF23" s="72">
        <f t="shared" si="15"/>
        <v>774467.51706943614</v>
      </c>
      <c r="AG23" s="72">
        <f t="shared" si="15"/>
        <v>945221.08173757955</v>
      </c>
      <c r="AH23" s="72">
        <f t="shared" si="15"/>
        <v>608910.44583870308</v>
      </c>
      <c r="AI23" s="72">
        <f t="shared" si="15"/>
        <v>574203.6954193376</v>
      </c>
      <c r="AJ23" s="72">
        <f t="shared" si="15"/>
        <v>1071050.3896570764</v>
      </c>
      <c r="AL23" s="68">
        <f t="shared" si="14"/>
        <v>9520981.8651959728</v>
      </c>
      <c r="AN23" s="80"/>
      <c r="AO23" s="88"/>
      <c r="AP23" s="91"/>
      <c r="AQ23" s="97"/>
    </row>
    <row r="24" spans="1:43" x14ac:dyDescent="0.25">
      <c r="A24" s="158" t="s">
        <v>973</v>
      </c>
      <c r="B24" s="68">
        <f>-'Toyota - Admin'!B4</f>
        <v>-499466.25</v>
      </c>
      <c r="C24" s="68">
        <f>-'Toyota - Admin'!C4</f>
        <v>-553670.17999999993</v>
      </c>
      <c r="D24" s="68">
        <f>-'Toyota - Admin'!D4</f>
        <v>-126684.46999999986</v>
      </c>
      <c r="E24" s="68">
        <f>-'Toyota - Admin'!E4</f>
        <v>-540083.30999999971</v>
      </c>
      <c r="F24" s="68">
        <f>-'Toyota - Admin'!F4</f>
        <v>-648053.46999999951</v>
      </c>
      <c r="G24" s="68">
        <f>-'Toyota - Admin'!G4</f>
        <v>-596262.0400000005</v>
      </c>
      <c r="H24" s="68">
        <f>-'Toyota - Admin'!H4</f>
        <v>-543170.77000000014</v>
      </c>
      <c r="I24" s="68">
        <f>-'Toyota - Admin'!I4</f>
        <v>-612226.25999999966</v>
      </c>
      <c r="J24" s="68">
        <f>-'Toyota - Admin'!J4</f>
        <v>-561055.66999999981</v>
      </c>
      <c r="K24" s="68">
        <f>-'Toyota - Admin'!K4</f>
        <v>-547436.88000000024</v>
      </c>
      <c r="L24" s="68">
        <f>-'Toyota - Admin'!L4</f>
        <v>-571713.93999999959</v>
      </c>
      <c r="M24" s="68">
        <f>-'Toyota - Admin'!M4</f>
        <v>-560376.72000000055</v>
      </c>
      <c r="N24" s="68">
        <f>-'Toyota - Admin'!N4</f>
        <v>-571135.65999999992</v>
      </c>
      <c r="O24" s="68">
        <f>-'Toyota - Admin'!O4</f>
        <v>-551693.85999999929</v>
      </c>
      <c r="P24" s="68">
        <f>-'Toyota - Admin'!P4</f>
        <v>-562294.41000000015</v>
      </c>
      <c r="R24" s="68">
        <f t="shared" si="11"/>
        <v>-6360199.959999999</v>
      </c>
      <c r="S24" s="68">
        <f t="shared" si="12"/>
        <v>-6865502.9900000002</v>
      </c>
      <c r="U24" s="80"/>
      <c r="V24" s="88"/>
      <c r="W24" s="98">
        <v>0.35</v>
      </c>
      <c r="Y24" s="72">
        <f>-'Toyota - Admin'!E18</f>
        <v>-684555.61304695136</v>
      </c>
      <c r="Z24" s="72">
        <f>-'Toyota - Admin'!F18</f>
        <v>-670946.20245284727</v>
      </c>
      <c r="AA24" s="72">
        <f>-'Toyota - Admin'!G18</f>
        <v>-655178.44251394877</v>
      </c>
      <c r="AB24" s="72">
        <f>-'Toyota - Admin'!H18</f>
        <v>-659930.5700861403</v>
      </c>
      <c r="AC24" s="72">
        <f>-'Toyota - Admin'!I18</f>
        <v>-666883.14056225494</v>
      </c>
      <c r="AD24" s="72">
        <f>-'Toyota - Admin'!J18</f>
        <v>-671043.76540865586</v>
      </c>
      <c r="AE24" s="72">
        <f>-'Toyota - Admin'!K18</f>
        <v>-686396.57191477169</v>
      </c>
      <c r="AF24" s="72">
        <f>-'Toyota - Admin'!L18</f>
        <v>-671987.29967814463</v>
      </c>
      <c r="AG24" s="72">
        <f>-'Toyota - Admin'!M18</f>
        <v>-656953.76567639725</v>
      </c>
      <c r="AH24" s="72">
        <f>-'Toyota - Admin'!N18</f>
        <v>-684380.11399244482</v>
      </c>
      <c r="AI24" s="72">
        <f>-'Toyota - Admin'!O18</f>
        <v>-687647.6160174153</v>
      </c>
      <c r="AJ24" s="72">
        <f>-'Toyota - Admin'!P18</f>
        <v>-671316.86102660303</v>
      </c>
      <c r="AL24" s="68">
        <f t="shared" si="14"/>
        <v>-8067219.962376575</v>
      </c>
      <c r="AN24" s="80"/>
      <c r="AO24" s="88"/>
      <c r="AP24" s="92"/>
      <c r="AQ24" s="98">
        <f>-AL24/AL9</f>
        <v>0.41583039381697995</v>
      </c>
    </row>
    <row r="25" spans="1:43" x14ac:dyDescent="0.25">
      <c r="A25" s="158" t="s">
        <v>974</v>
      </c>
      <c r="B25" s="67"/>
      <c r="C25" s="67"/>
      <c r="D25" s="67"/>
      <c r="E25" s="67"/>
      <c r="F25" s="67"/>
      <c r="G25" s="67"/>
      <c r="H25" s="67"/>
      <c r="I25" s="67"/>
      <c r="J25" s="67"/>
      <c r="K25" s="67"/>
      <c r="L25" s="67"/>
      <c r="M25" s="67"/>
      <c r="N25" s="67"/>
      <c r="O25" s="67"/>
      <c r="P25" s="67"/>
      <c r="R25" s="67"/>
      <c r="S25" s="67"/>
      <c r="U25" s="80"/>
      <c r="V25" s="88"/>
      <c r="W25" s="97"/>
      <c r="Y25" s="71"/>
      <c r="Z25" s="71"/>
      <c r="AA25" s="71"/>
      <c r="AB25" s="71"/>
      <c r="AC25" s="71"/>
      <c r="AD25" s="71"/>
      <c r="AE25" s="71"/>
      <c r="AF25" s="71"/>
      <c r="AG25" s="71"/>
      <c r="AH25" s="71"/>
      <c r="AI25" s="71"/>
      <c r="AJ25" s="71"/>
      <c r="AL25" s="67"/>
      <c r="AN25" s="80"/>
      <c r="AO25" s="88"/>
      <c r="AP25" s="91"/>
      <c r="AQ25" s="97"/>
    </row>
    <row r="26" spans="1:43" x14ac:dyDescent="0.25">
      <c r="A26" s="157" t="s">
        <v>964</v>
      </c>
      <c r="B26" s="67">
        <f>'LEX - New Vehicles'!B15</f>
        <v>95147.950000000041</v>
      </c>
      <c r="C26" s="67">
        <f>'LEX - New Vehicles'!C15</f>
        <v>95751.080000000104</v>
      </c>
      <c r="D26" s="67">
        <f>'LEX - New Vehicles'!D15</f>
        <v>306383.74000000011</v>
      </c>
      <c r="E26" s="67">
        <f>'LEX - New Vehicles'!E15</f>
        <v>310228.49999999988</v>
      </c>
      <c r="F26" s="67">
        <f>'LEX - New Vehicles'!F15</f>
        <v>381621.29000000039</v>
      </c>
      <c r="G26" s="67">
        <f>'LEX - New Vehicles'!G15</f>
        <v>334195.52999999933</v>
      </c>
      <c r="H26" s="67">
        <f>'LEX - New Vehicles'!H15</f>
        <v>251749.79</v>
      </c>
      <c r="I26" s="67">
        <f>'LEX - New Vehicles'!I15</f>
        <v>375282.86000000092</v>
      </c>
      <c r="J26" s="67">
        <f>'LEX - New Vehicles'!J15</f>
        <v>326939.80000000005</v>
      </c>
      <c r="K26" s="67">
        <f>'LEX - New Vehicles'!K15</f>
        <v>271223.74999999965</v>
      </c>
      <c r="L26" s="67">
        <f>'LEX - New Vehicles'!L15</f>
        <v>291224.08999999939</v>
      </c>
      <c r="M26" s="67">
        <f>'LEX - New Vehicles'!M15</f>
        <v>223009.77000000019</v>
      </c>
      <c r="N26" s="67">
        <f>'LEX - New Vehicles'!N15</f>
        <v>254553.79999999981</v>
      </c>
      <c r="O26" s="67">
        <f>'LEX - New Vehicles'!O15</f>
        <v>232349.7100000002</v>
      </c>
      <c r="P26" s="67">
        <f>'LEX - New Vehicles'!P15</f>
        <v>283481.67999999912</v>
      </c>
      <c r="R26" s="69">
        <f t="shared" ref="R26:R52" si="18">SUM(B26:M26)</f>
        <v>3262758.15</v>
      </c>
      <c r="S26" s="69">
        <f>SUM(E26:P26)</f>
        <v>3535860.5699999989</v>
      </c>
      <c r="U26" s="80">
        <v>0.33</v>
      </c>
      <c r="V26" s="88">
        <f>R26/($R$33-$R$28-$R$31-$R$32)</f>
        <v>0.6655818605311542</v>
      </c>
      <c r="W26" s="97"/>
      <c r="Y26" s="71">
        <f>'LEX - New Vehicles'!E34</f>
        <v>266000</v>
      </c>
      <c r="Z26" s="71">
        <f>'LEX - New Vehicles'!F34</f>
        <v>266000</v>
      </c>
      <c r="AA26" s="71">
        <f>'LEX - New Vehicles'!G34</f>
        <v>330260</v>
      </c>
      <c r="AB26" s="71">
        <f>'LEX - New Vehicles'!H34</f>
        <v>266000</v>
      </c>
      <c r="AC26" s="71">
        <f>'LEX - New Vehicles'!I34</f>
        <v>266000</v>
      </c>
      <c r="AD26" s="71">
        <f>'LEX - New Vehicles'!J34</f>
        <v>330260</v>
      </c>
      <c r="AE26" s="71">
        <f>'LEX - New Vehicles'!K34</f>
        <v>266000</v>
      </c>
      <c r="AF26" s="71">
        <f>'LEX - New Vehicles'!L34</f>
        <v>266000</v>
      </c>
      <c r="AG26" s="71">
        <f>'LEX - New Vehicles'!M34</f>
        <v>330260</v>
      </c>
      <c r="AH26" s="71">
        <f>'LEX - New Vehicles'!N34</f>
        <v>247000</v>
      </c>
      <c r="AI26" s="71">
        <f>'LEX - New Vehicles'!O34</f>
        <v>247000</v>
      </c>
      <c r="AJ26" s="71">
        <f>'LEX - New Vehicles'!P34</f>
        <v>357995</v>
      </c>
      <c r="AL26" s="69">
        <f>SUM(Y26:AJ26)</f>
        <v>3438775</v>
      </c>
      <c r="AN26" s="80">
        <v>0.33</v>
      </c>
      <c r="AO26" s="88">
        <f>AL26/($AL$33-$AL$28-$AL$31-$AL$32)</f>
        <v>0.65200208299481055</v>
      </c>
      <c r="AP26" s="91"/>
      <c r="AQ26" s="97"/>
    </row>
    <row r="27" spans="1:43" x14ac:dyDescent="0.25">
      <c r="A27" s="157" t="s">
        <v>965</v>
      </c>
      <c r="B27" s="67">
        <f>'LEX - Used Vehicles'!B17</f>
        <v>31917.690000000002</v>
      </c>
      <c r="C27" s="67">
        <f>'LEX - Used Vehicles'!C17</f>
        <v>33290.280000000028</v>
      </c>
      <c r="D27" s="67">
        <f>'LEX - Used Vehicles'!D17</f>
        <v>59021.59000000004</v>
      </c>
      <c r="E27" s="67">
        <f>'LEX - Used Vehicles'!E17</f>
        <v>25739.99000000002</v>
      </c>
      <c r="F27" s="67">
        <f>'LEX - Used Vehicles'!F17</f>
        <v>79470.95000000007</v>
      </c>
      <c r="G27" s="67">
        <f>'LEX - Used Vehicles'!G17</f>
        <v>79109.539999999979</v>
      </c>
      <c r="H27" s="67">
        <f>'LEX - Used Vehicles'!H17</f>
        <v>66436.750000000087</v>
      </c>
      <c r="I27" s="67">
        <f>'LEX - Used Vehicles'!I17</f>
        <v>87480.550000000017</v>
      </c>
      <c r="J27" s="67">
        <f>'LEX - Used Vehicles'!J17</f>
        <v>98044.829999999929</v>
      </c>
      <c r="K27" s="67">
        <f>'LEX - Used Vehicles'!K17</f>
        <v>54378.619999999995</v>
      </c>
      <c r="L27" s="67">
        <f>'LEX - Used Vehicles'!L17</f>
        <v>33464.339999999967</v>
      </c>
      <c r="M27" s="67">
        <f>'LEX - Used Vehicles'!M17</f>
        <v>29929.380000000016</v>
      </c>
      <c r="N27" s="67">
        <f>'LEX - Used Vehicles'!N17</f>
        <v>26353.47</v>
      </c>
      <c r="O27" s="67">
        <f>'LEX - Used Vehicles'!O17</f>
        <v>66397.97000000003</v>
      </c>
      <c r="P27" s="67">
        <f>'LEX - Used Vehicles'!P17</f>
        <v>33072.229999999974</v>
      </c>
      <c r="R27" s="69">
        <f t="shared" si="18"/>
        <v>678284.51000000024</v>
      </c>
      <c r="S27" s="69">
        <f t="shared" ref="S27:S52" si="19">SUM(E27:P27)</f>
        <v>679878.62000000011</v>
      </c>
      <c r="U27" s="80">
        <v>0.25</v>
      </c>
      <c r="V27" s="88">
        <f>R27/($R$33-$R$28-$R$31-$R$32)</f>
        <v>0.13836571556346045</v>
      </c>
      <c r="W27" s="97"/>
      <c r="Y27" s="71">
        <f>'LEX - Used Vehicles'!E38</f>
        <v>65000</v>
      </c>
      <c r="Z27" s="71">
        <f>'LEX - Used Vehicles'!F38</f>
        <v>65000</v>
      </c>
      <c r="AA27" s="71">
        <f>'LEX - Used Vehicles'!G38</f>
        <v>86420</v>
      </c>
      <c r="AB27" s="71">
        <f>'LEX - Used Vehicles'!H38</f>
        <v>65000</v>
      </c>
      <c r="AC27" s="71">
        <f>'LEX - Used Vehicles'!I38</f>
        <v>65000</v>
      </c>
      <c r="AD27" s="71">
        <f>'LEX - Used Vehicles'!J38</f>
        <v>86420</v>
      </c>
      <c r="AE27" s="71">
        <f>'LEX - Used Vehicles'!K38</f>
        <v>65000</v>
      </c>
      <c r="AF27" s="71">
        <f>'LEX - Used Vehicles'!L38</f>
        <v>65000</v>
      </c>
      <c r="AG27" s="71">
        <f>'LEX - Used Vehicles'!M38</f>
        <v>86420</v>
      </c>
      <c r="AH27" s="71">
        <f>'LEX - Used Vehicles'!N38</f>
        <v>65000</v>
      </c>
      <c r="AI27" s="71">
        <f>'LEX - Used Vehicles'!O38</f>
        <v>65000</v>
      </c>
      <c r="AJ27" s="71">
        <f>'LEX - Used Vehicles'!P38</f>
        <v>86165</v>
      </c>
      <c r="AL27" s="69">
        <f t="shared" ref="AL27:AL32" si="20">SUM(Y27:AJ27)</f>
        <v>865425</v>
      </c>
      <c r="AN27" s="80">
        <v>0.25</v>
      </c>
      <c r="AO27" s="88">
        <f>AL27/($AL$33-$AL$28-$AL$31-$AL$32)</f>
        <v>0.164087182986902</v>
      </c>
      <c r="AP27" s="91"/>
      <c r="AQ27" s="97"/>
    </row>
    <row r="28" spans="1:43" x14ac:dyDescent="0.25">
      <c r="A28" s="157" t="s">
        <v>966</v>
      </c>
      <c r="B28" s="69">
        <f>'LEX - F&amp;I'!B12</f>
        <v>-1615.38</v>
      </c>
      <c r="C28" s="69">
        <f>'LEX - F&amp;I'!C12</f>
        <v>15810.419999999998</v>
      </c>
      <c r="D28" s="69">
        <f>'LEX - F&amp;I'!D12</f>
        <v>27934.000000000004</v>
      </c>
      <c r="E28" s="69">
        <f>'LEX - F&amp;I'!E12</f>
        <v>36967.229999999996</v>
      </c>
      <c r="F28" s="69">
        <f>'LEX - F&amp;I'!F12</f>
        <v>58388.67</v>
      </c>
      <c r="G28" s="69">
        <f>'LEX - F&amp;I'!G12</f>
        <v>62990.33</v>
      </c>
      <c r="H28" s="69">
        <f>'LEX - F&amp;I'!H12</f>
        <v>27349.09</v>
      </c>
      <c r="I28" s="69">
        <f>'LEX - F&amp;I'!I12</f>
        <v>41186.06</v>
      </c>
      <c r="J28" s="69">
        <f>'LEX - F&amp;I'!J12</f>
        <v>52189.520000000004</v>
      </c>
      <c r="K28" s="69">
        <f>'LEX - F&amp;I'!K12</f>
        <v>48511.18</v>
      </c>
      <c r="L28" s="69">
        <f>'LEX - F&amp;I'!L12</f>
        <v>24839.260000000002</v>
      </c>
      <c r="M28" s="69">
        <f>'LEX - F&amp;I'!M12</f>
        <v>44854.78</v>
      </c>
      <c r="N28" s="69">
        <f>'LEX - F&amp;I'!N12</f>
        <v>27288.48</v>
      </c>
      <c r="O28" s="69">
        <f>'LEX - F&amp;I'!O12</f>
        <v>21811.52</v>
      </c>
      <c r="P28" s="69">
        <f>'LEX - F&amp;I'!P12</f>
        <v>61347.42</v>
      </c>
      <c r="R28" s="69">
        <f t="shared" si="18"/>
        <v>439405.16000000003</v>
      </c>
      <c r="S28" s="69">
        <f t="shared" si="19"/>
        <v>507723.54</v>
      </c>
      <c r="U28" s="80">
        <v>7.0000000000000007E-2</v>
      </c>
      <c r="V28" s="88">
        <f>R28/$R$33</f>
        <v>6.4915896150571278E-2</v>
      </c>
      <c r="W28" s="97"/>
      <c r="Y28" s="138">
        <f>'LEX - F&amp;I'!E28</f>
        <v>34950.51619277108</v>
      </c>
      <c r="Z28" s="138">
        <f>'LEX - F&amp;I'!F28</f>
        <v>34950.51619277108</v>
      </c>
      <c r="AA28" s="138">
        <f>'LEX - F&amp;I'!G28</f>
        <v>70650.516192771087</v>
      </c>
      <c r="AB28" s="138">
        <f>'LEX - F&amp;I'!H28</f>
        <v>34950.51619277108</v>
      </c>
      <c r="AC28" s="138">
        <f>'LEX - F&amp;I'!I28</f>
        <v>34950.51619277108</v>
      </c>
      <c r="AD28" s="138">
        <f>'LEX - F&amp;I'!J28</f>
        <v>70650.516192771087</v>
      </c>
      <c r="AE28" s="138">
        <f>'LEX - F&amp;I'!K28</f>
        <v>34950.51619277108</v>
      </c>
      <c r="AF28" s="138">
        <f>'LEX - F&amp;I'!L28</f>
        <v>34950.51619277108</v>
      </c>
      <c r="AG28" s="138">
        <f>'LEX - F&amp;I'!M28</f>
        <v>70650.516192771087</v>
      </c>
      <c r="AH28" s="138">
        <f>'LEX - F&amp;I'!N28</f>
        <v>33245.612963855419</v>
      </c>
      <c r="AI28" s="138">
        <f>'LEX - F&amp;I'!O28</f>
        <v>33245.612963855419</v>
      </c>
      <c r="AJ28" s="138">
        <f>'LEX - F&amp;I'!P28</f>
        <v>72782.871036144585</v>
      </c>
      <c r="AL28" s="69">
        <f t="shared" si="20"/>
        <v>560928.74269879528</v>
      </c>
      <c r="AN28" s="80">
        <v>7.0000000000000007E-2</v>
      </c>
      <c r="AO28" s="88">
        <f>AL28/$AL$33</f>
        <v>7.4996478828651153E-2</v>
      </c>
      <c r="AP28" s="91"/>
      <c r="AQ28" s="97"/>
    </row>
    <row r="29" spans="1:43" x14ac:dyDescent="0.25">
      <c r="A29" s="157" t="s">
        <v>113</v>
      </c>
      <c r="B29" s="66">
        <f>'LEX - Parts'!B9</f>
        <v>4466</v>
      </c>
      <c r="C29" s="66">
        <f>'LEX - Parts'!C9</f>
        <v>4466</v>
      </c>
      <c r="D29" s="66">
        <f>'LEX - Parts'!D9</f>
        <v>21161.66</v>
      </c>
      <c r="E29" s="66">
        <f>'LEX - Parts'!E9+'LEX - Parts'!E8</f>
        <v>3237</v>
      </c>
      <c r="F29" s="66">
        <f>'LEX - Parts'!F9+'LEX - Parts'!F8</f>
        <v>3237</v>
      </c>
      <c r="G29" s="66">
        <f>'LEX - Parts'!G9+'LEX - Parts'!G8</f>
        <v>46463.88</v>
      </c>
      <c r="H29" s="66">
        <f>'LEX - Parts'!H9+'LEX - Parts'!H8</f>
        <v>3916</v>
      </c>
      <c r="I29" s="66">
        <f>'LEX - Parts'!I9+'LEX - Parts'!I8</f>
        <v>4810</v>
      </c>
      <c r="J29" s="66">
        <f>'LEX - Parts'!J9+'LEX - Parts'!J8</f>
        <v>44034.3</v>
      </c>
      <c r="K29" s="66">
        <f>'LEX - Parts'!K9+'LEX - Parts'!K8</f>
        <v>6709.8099999999977</v>
      </c>
      <c r="L29" s="66">
        <f>'LEX - Parts'!L9+'LEX - Parts'!L8</f>
        <v>9066.75</v>
      </c>
      <c r="M29" s="66">
        <f>'LEX - Parts'!M9+'LEX - Parts'!M8</f>
        <v>36961.300000000003</v>
      </c>
      <c r="N29" s="66">
        <f>'LEX - Parts'!N9+'LEX - Parts'!N8</f>
        <v>7783.4500000000007</v>
      </c>
      <c r="O29" s="66">
        <f>'LEX - Parts'!O9+'LEX - Parts'!O8</f>
        <v>7781.1599999999989</v>
      </c>
      <c r="P29" s="66">
        <f>'LEX - Parts'!P9+'LEX - Parts'!P8</f>
        <v>40122.409999999996</v>
      </c>
      <c r="R29" s="69">
        <f t="shared" si="18"/>
        <v>188529.7</v>
      </c>
      <c r="S29" s="69">
        <f t="shared" si="19"/>
        <v>214123.06</v>
      </c>
      <c r="U29" s="80">
        <v>0.14000000000000001</v>
      </c>
      <c r="V29" s="88">
        <f>R29/($R$33-$R$28-$R$31-$R$32)</f>
        <v>3.8458856808427665E-2</v>
      </c>
      <c r="W29" s="97"/>
      <c r="Y29" s="66">
        <f>'LEX - Parts'!E22+'LEX - Parts'!E21</f>
        <v>5705.1491671964086</v>
      </c>
      <c r="Z29" s="66">
        <f>'LEX - Parts'!F22+'LEX - Parts'!F21</f>
        <v>6483.1240536322821</v>
      </c>
      <c r="AA29" s="66">
        <f>'LEX - Parts'!G22+'LEX - Parts'!G21</f>
        <v>26736.161723978472</v>
      </c>
      <c r="AB29" s="66">
        <f>'LEX - Parts'!H22+'LEX - Parts'!H21</f>
        <v>6483.1240536322821</v>
      </c>
      <c r="AC29" s="66">
        <f>'LEX - Parts'!I22+'LEX - Parts'!I21</f>
        <v>6353.4615725596359</v>
      </c>
      <c r="AD29" s="66">
        <f>'LEX - Parts'!J22+'LEX - Parts'!J21</f>
        <v>27384.474129341699</v>
      </c>
      <c r="AE29" s="66">
        <f>'LEX - Parts'!K22+'LEX - Parts'!K21</f>
        <v>6223.7990914869906</v>
      </c>
      <c r="AF29" s="66">
        <f>'LEX - Parts'!L22+'LEX - Parts'!L21</f>
        <v>6094.1366104143463</v>
      </c>
      <c r="AG29" s="66">
        <f>'LEX - Parts'!M22+'LEX - Parts'!M21</f>
        <v>27125.14916719641</v>
      </c>
      <c r="AH29" s="66">
        <f>'LEX - Parts'!N22+'LEX - Parts'!N21</f>
        <v>5705.1491671964086</v>
      </c>
      <c r="AI29" s="66">
        <f>'LEX - Parts'!O22+'LEX - Parts'!O21</f>
        <v>5445.8242050511162</v>
      </c>
      <c r="AJ29" s="66">
        <f>'LEX - Parts'!P22+'LEX - Parts'!P21</f>
        <v>27259.136610414345</v>
      </c>
      <c r="AL29" s="69">
        <f t="shared" si="20"/>
        <v>156998.6895521004</v>
      </c>
      <c r="AN29" s="80">
        <v>0.14000000000000001</v>
      </c>
      <c r="AO29" s="88">
        <f>AL29/($AL$33-$AL$28-$AL$31-$AL$32)</f>
        <v>2.9767423752768085E-2</v>
      </c>
      <c r="AP29" s="91"/>
      <c r="AQ29" s="97"/>
    </row>
    <row r="30" spans="1:43" x14ac:dyDescent="0.25">
      <c r="A30" s="157" t="s">
        <v>967</v>
      </c>
      <c r="B30" s="73">
        <f>'LEX - Service'!B16</f>
        <v>39272.159999999996</v>
      </c>
      <c r="C30" s="73">
        <f>'LEX - Service'!C16</f>
        <v>32732.649999999994</v>
      </c>
      <c r="D30" s="73">
        <f>'LEX - Service'!D16</f>
        <v>121206.96000000002</v>
      </c>
      <c r="E30" s="73">
        <f>'LEX - Service'!E16</f>
        <v>58246.039999999994</v>
      </c>
      <c r="F30" s="73">
        <f>'LEX - Service'!F16</f>
        <v>88113.76999999999</v>
      </c>
      <c r="G30" s="73">
        <f>'LEX - Service'!G16</f>
        <v>61767.519999999997</v>
      </c>
      <c r="H30" s="73">
        <f>'LEX - Service'!H16</f>
        <v>63612.799999999988</v>
      </c>
      <c r="I30" s="73">
        <f>'LEX - Service'!I16</f>
        <v>68618.570000000007</v>
      </c>
      <c r="J30" s="73">
        <f>'LEX - Service'!J16</f>
        <v>59284.109999999993</v>
      </c>
      <c r="K30" s="73">
        <f>'LEX - Service'!K16</f>
        <v>55689.82</v>
      </c>
      <c r="L30" s="73">
        <f>'LEX - Service'!L16</f>
        <v>65348.270000000004</v>
      </c>
      <c r="M30" s="73">
        <f>'LEX - Service'!M16</f>
        <v>58648.959999999992</v>
      </c>
      <c r="N30" s="73">
        <f>'LEX - Service'!N16</f>
        <v>50442.150000000009</v>
      </c>
      <c r="O30" s="73">
        <f>'LEX - Service'!O16</f>
        <v>51306.57</v>
      </c>
      <c r="P30" s="73">
        <f>'LEX - Service'!P16</f>
        <v>64458.93</v>
      </c>
      <c r="R30" s="69">
        <f t="shared" si="18"/>
        <v>772541.62999999989</v>
      </c>
      <c r="S30" s="69">
        <f t="shared" si="19"/>
        <v>745537.51</v>
      </c>
      <c r="U30" s="80">
        <v>0.28000000000000003</v>
      </c>
      <c r="V30" s="88">
        <f>R30/($R$33-$R$28-$R$31-$R$32)</f>
        <v>0.15759356709695765</v>
      </c>
      <c r="W30" s="97"/>
      <c r="Y30" s="70">
        <f>'LEX - Service'!E36</f>
        <v>64802.693513763319</v>
      </c>
      <c r="Z30" s="70">
        <f>'LEX - Service'!F36</f>
        <v>73639.42444745831</v>
      </c>
      <c r="AA30" s="70">
        <f>'LEX - Service'!G36</f>
        <v>60384.32804691582</v>
      </c>
      <c r="AB30" s="70">
        <f>'LEX - Service'!H36</f>
        <v>73639.42444745831</v>
      </c>
      <c r="AC30" s="70">
        <f>'LEX - Service'!I36</f>
        <v>72166.635958509156</v>
      </c>
      <c r="AD30" s="70">
        <f>'LEX - Service'!J36</f>
        <v>67748.270491661649</v>
      </c>
      <c r="AE30" s="70">
        <f>'LEX - Service'!K36</f>
        <v>70693.847469559973</v>
      </c>
      <c r="AF30" s="70">
        <f>'LEX - Service'!L36</f>
        <v>69221.058980610833</v>
      </c>
      <c r="AG30" s="70">
        <f>'LEX - Service'!M36</f>
        <v>64802.693513763319</v>
      </c>
      <c r="AH30" s="70">
        <f>'LEX - Service'!N36</f>
        <v>64802.693513763319</v>
      </c>
      <c r="AI30" s="70">
        <f>'LEX - Service'!O36</f>
        <v>61857.116535864989</v>
      </c>
      <c r="AJ30" s="70">
        <f>'LEX - Service'!P36</f>
        <v>69221.058980610833</v>
      </c>
      <c r="AL30" s="69">
        <f t="shared" si="20"/>
        <v>812979.24589993991</v>
      </c>
      <c r="AN30" s="80">
        <v>0.28000000000000003</v>
      </c>
      <c r="AO30" s="88">
        <f>AL30/($AL$33-$AL$28-$AL$31-$AL$32)</f>
        <v>0.15414331026551931</v>
      </c>
      <c r="AP30" s="91"/>
      <c r="AQ30" s="97"/>
    </row>
    <row r="31" spans="1:43" x14ac:dyDescent="0.25">
      <c r="A31" s="157" t="s">
        <v>975</v>
      </c>
      <c r="B31" s="73">
        <f>'Bridgestone Group'!B10</f>
        <v>68606.329999999987</v>
      </c>
      <c r="C31" s="73">
        <f>'Bridgestone Group'!C10</f>
        <v>73858.100000000006</v>
      </c>
      <c r="D31" s="73">
        <f>'Bridgestone Group'!D10</f>
        <v>120541.18</v>
      </c>
      <c r="E31" s="73">
        <f>'Bridgestone Group'!E10</f>
        <v>71259.270000000019</v>
      </c>
      <c r="F31" s="73">
        <f>'Bridgestone Group'!F10</f>
        <v>99432.169999999984</v>
      </c>
      <c r="G31" s="73">
        <f>'Bridgestone Group'!G10</f>
        <v>90339.969999999987</v>
      </c>
      <c r="H31" s="73">
        <f>'Bridgestone Group'!H10</f>
        <v>94891.56</v>
      </c>
      <c r="I31" s="73">
        <f>'Bridgestone Group'!I10</f>
        <v>96009.540000000008</v>
      </c>
      <c r="J31" s="73">
        <f>'Bridgestone Group'!J10</f>
        <v>95237.450000000012</v>
      </c>
      <c r="K31" s="73">
        <f>'Bridgestone Group'!K10</f>
        <v>89421.35</v>
      </c>
      <c r="L31" s="73">
        <f>'Bridgestone Group'!L10</f>
        <v>108574.36</v>
      </c>
      <c r="M31" s="73">
        <f>'Bridgestone Group'!M10</f>
        <v>94417.919999999998</v>
      </c>
      <c r="N31" s="73">
        <f>'Bridgestone Group'!N10</f>
        <v>95206.099999999991</v>
      </c>
      <c r="O31" s="73">
        <f>'Bridgestone Group'!O10</f>
        <v>84503.669999999984</v>
      </c>
      <c r="P31" s="73">
        <f>'Bridgestone Group'!P10</f>
        <v>93482.450000000012</v>
      </c>
      <c r="R31" s="69">
        <f t="shared" si="18"/>
        <v>1102589.2</v>
      </c>
      <c r="S31" s="69">
        <f t="shared" si="19"/>
        <v>1112775.8099999998</v>
      </c>
      <c r="U31" s="80"/>
      <c r="V31" s="88">
        <f>R31/$R$33</f>
        <v>0.16289195603424741</v>
      </c>
      <c r="W31" s="97"/>
      <c r="Y31" s="66">
        <f>'Bridgestone Group'!E24</f>
        <v>67968.757580634148</v>
      </c>
      <c r="Z31" s="66">
        <f>'Bridgestone Group'!F24</f>
        <v>82914.114696958568</v>
      </c>
      <c r="AA31" s="66">
        <f>'Bridgestone Group'!G24</f>
        <v>79656.67885491511</v>
      </c>
      <c r="AB31" s="66">
        <f>'Bridgestone Group'!H24</f>
        <v>87167.026431821985</v>
      </c>
      <c r="AC31" s="66">
        <f>'Bridgestone Group'!I24</f>
        <v>99551.209988998598</v>
      </c>
      <c r="AD31" s="66">
        <f>'Bridgestone Group'!J24</f>
        <v>99916.836934537598</v>
      </c>
      <c r="AE31" s="66">
        <f>'Bridgestone Group'!K24</f>
        <v>100387.4387046234</v>
      </c>
      <c r="AF31" s="66">
        <f>'Bridgestone Group'!L24</f>
        <v>109829.11089339707</v>
      </c>
      <c r="AG31" s="66">
        <f>'Bridgestone Group'!M24</f>
        <v>100718.0740419801</v>
      </c>
      <c r="AH31" s="66">
        <f>'Bridgestone Group'!N24</f>
        <v>97513.12561221006</v>
      </c>
      <c r="AI31" s="66">
        <f>'Bridgestone Group'!O24</f>
        <v>83787.119961140546</v>
      </c>
      <c r="AJ31" s="66">
        <f>'Bridgestone Group'!P24</f>
        <v>111030.96655456083</v>
      </c>
      <c r="AL31" s="69">
        <f t="shared" si="20"/>
        <v>1120440.4602557779</v>
      </c>
      <c r="AN31" s="80"/>
      <c r="AO31" s="88">
        <f>AL31/$AL$33</f>
        <v>0.14980350062299824</v>
      </c>
      <c r="AP31" s="91"/>
      <c r="AQ31" s="97"/>
    </row>
    <row r="32" spans="1:43" x14ac:dyDescent="0.25">
      <c r="A32" s="157" t="s">
        <v>976</v>
      </c>
      <c r="B32" s="73">
        <f>'Retail Detailing'!B11</f>
        <v>13406.01</v>
      </c>
      <c r="C32" s="73">
        <f>'Retail Detailing'!C11</f>
        <v>5969.2900000000009</v>
      </c>
      <c r="D32" s="73">
        <f>'Retail Detailing'!D11</f>
        <v>9669.56</v>
      </c>
      <c r="E32" s="73">
        <f>'Retail Detailing'!E11</f>
        <v>11016.48</v>
      </c>
      <c r="F32" s="73">
        <f>'Retail Detailing'!F11</f>
        <v>22140.660000000003</v>
      </c>
      <c r="G32" s="73">
        <f>'Retail Detailing'!G11</f>
        <v>22716.809999999998</v>
      </c>
      <c r="H32" s="73">
        <f>'Retail Detailing'!H11</f>
        <v>31513.950000000004</v>
      </c>
      <c r="I32" s="73">
        <f>'Retail Detailing'!I11</f>
        <v>44750.28</v>
      </c>
      <c r="J32" s="73">
        <f>'Retail Detailing'!J11</f>
        <v>43975.44</v>
      </c>
      <c r="K32" s="73">
        <f>'Retail Detailing'!K11</f>
        <v>42367.37</v>
      </c>
      <c r="L32" s="73">
        <f>'Retail Detailing'!L11</f>
        <v>47083.969999999994</v>
      </c>
      <c r="M32" s="73">
        <f>'Retail Detailing'!M11</f>
        <v>30119.45</v>
      </c>
      <c r="N32" s="73">
        <f>'Retail Detailing'!N11</f>
        <v>27557.989999999998</v>
      </c>
      <c r="O32" s="73">
        <f>'Retail Detailing'!O11</f>
        <v>34030.450000000004</v>
      </c>
      <c r="P32" s="73">
        <f>'Retail Detailing'!P11</f>
        <v>30603.61</v>
      </c>
      <c r="R32" s="69">
        <f t="shared" si="18"/>
        <v>324729.27</v>
      </c>
      <c r="S32" s="69">
        <f t="shared" si="19"/>
        <v>387876.45999999996</v>
      </c>
      <c r="U32" s="80"/>
      <c r="V32" s="88">
        <f>R32/$R$33</f>
        <v>4.7974155716266099E-2</v>
      </c>
      <c r="W32" s="97"/>
      <c r="Y32" s="70">
        <f>'Retail Detailing'!E26</f>
        <v>43654.492856658413</v>
      </c>
      <c r="Z32" s="70">
        <f>'Retail Detailing'!F26</f>
        <v>43654.492856658413</v>
      </c>
      <c r="AA32" s="70">
        <f>'Retail Detailing'!G26</f>
        <v>43654.492856658413</v>
      </c>
      <c r="AB32" s="70">
        <f>'Retail Detailing'!H26</f>
        <v>43654.492856658413</v>
      </c>
      <c r="AC32" s="70">
        <f>'Retail Detailing'!I26</f>
        <v>43654.492856658413</v>
      </c>
      <c r="AD32" s="70">
        <f>'Retail Detailing'!J26</f>
        <v>43654.492856658413</v>
      </c>
      <c r="AE32" s="70">
        <f>'Retail Detailing'!K26</f>
        <v>43654.492856658413</v>
      </c>
      <c r="AF32" s="70">
        <f>'Retail Detailing'!L26</f>
        <v>43654.492856658413</v>
      </c>
      <c r="AG32" s="70">
        <f>'Retail Detailing'!M26</f>
        <v>43654.492856658413</v>
      </c>
      <c r="AH32" s="70">
        <f>'Retail Detailing'!N26</f>
        <v>43654.492856658413</v>
      </c>
      <c r="AI32" s="70">
        <f>'Retail Detailing'!O26</f>
        <v>43654.492856658413</v>
      </c>
      <c r="AJ32" s="70">
        <f>'Retail Detailing'!P26</f>
        <v>43654.492856658413</v>
      </c>
      <c r="AL32" s="69">
        <f t="shared" si="20"/>
        <v>523853.91427990096</v>
      </c>
      <c r="AN32" s="80"/>
      <c r="AO32" s="88">
        <f>AL32/$AL$33</f>
        <v>7.0039554048480751E-2</v>
      </c>
      <c r="AP32" s="91"/>
      <c r="AQ32" s="97"/>
    </row>
    <row r="33" spans="1:43" x14ac:dyDescent="0.25">
      <c r="A33" s="158" t="s">
        <v>977</v>
      </c>
      <c r="B33" s="68">
        <f>SUM(B26:B32)</f>
        <v>251200.76000000004</v>
      </c>
      <c r="C33" s="68">
        <f>SUM(C26:C32)</f>
        <v>261877.82000000015</v>
      </c>
      <c r="D33" s="68">
        <f>SUM(D26:D32)</f>
        <v>665918.69000000018</v>
      </c>
      <c r="E33" s="68">
        <f>SUM(E26:E32)</f>
        <v>516694.50999999983</v>
      </c>
      <c r="F33" s="68">
        <f t="shared" ref="F33:P33" si="21">SUM(F26:F32)</f>
        <v>732404.51000000036</v>
      </c>
      <c r="G33" s="68">
        <f t="shared" si="21"/>
        <v>697583.57999999938</v>
      </c>
      <c r="H33" s="68">
        <f t="shared" si="21"/>
        <v>539469.94000000006</v>
      </c>
      <c r="I33" s="68">
        <f t="shared" si="21"/>
        <v>718137.86000000103</v>
      </c>
      <c r="J33" s="68">
        <f t="shared" si="21"/>
        <v>719705.45</v>
      </c>
      <c r="K33" s="68">
        <f t="shared" si="21"/>
        <v>568301.89999999967</v>
      </c>
      <c r="L33" s="68">
        <f t="shared" si="21"/>
        <v>579601.03999999934</v>
      </c>
      <c r="M33" s="68">
        <f t="shared" si="21"/>
        <v>517941.56000000017</v>
      </c>
      <c r="N33" s="68">
        <f t="shared" si="21"/>
        <v>489185.43999999977</v>
      </c>
      <c r="O33" s="68">
        <f t="shared" si="21"/>
        <v>498181.05000000022</v>
      </c>
      <c r="P33" s="68">
        <f t="shared" si="21"/>
        <v>606568.72999999905</v>
      </c>
      <c r="R33" s="68">
        <f t="shared" si="18"/>
        <v>6768837.6200000001</v>
      </c>
      <c r="S33" s="68">
        <f t="shared" si="19"/>
        <v>7183775.5699999984</v>
      </c>
      <c r="U33" s="80">
        <f>U26+U27+U29+U30</f>
        <v>1</v>
      </c>
      <c r="V33" s="88"/>
      <c r="W33" s="97"/>
      <c r="Y33" s="72">
        <f t="shared" ref="Y33:AJ33" si="22">SUM(Y26:Y32)</f>
        <v>548081.60931102338</v>
      </c>
      <c r="Z33" s="72">
        <f t="shared" si="22"/>
        <v>572641.67224747862</v>
      </c>
      <c r="AA33" s="72">
        <f t="shared" si="22"/>
        <v>697762.17767523893</v>
      </c>
      <c r="AB33" s="72">
        <f t="shared" si="22"/>
        <v>576894.58398234204</v>
      </c>
      <c r="AC33" s="72">
        <f t="shared" si="22"/>
        <v>587676.31656949688</v>
      </c>
      <c r="AD33" s="72">
        <f t="shared" si="22"/>
        <v>726034.59060497046</v>
      </c>
      <c r="AE33" s="72">
        <f t="shared" si="22"/>
        <v>586910.09431509988</v>
      </c>
      <c r="AF33" s="72">
        <f t="shared" si="22"/>
        <v>594749.31553385186</v>
      </c>
      <c r="AG33" s="72">
        <f t="shared" si="22"/>
        <v>723630.92577236937</v>
      </c>
      <c r="AH33" s="72">
        <f t="shared" si="22"/>
        <v>556921.07411368366</v>
      </c>
      <c r="AI33" s="72">
        <f t="shared" si="22"/>
        <v>539990.16652257054</v>
      </c>
      <c r="AJ33" s="72">
        <f t="shared" si="22"/>
        <v>768108.52603838895</v>
      </c>
      <c r="AL33" s="68">
        <f>SUM(Y33:AJ33)</f>
        <v>7479401.0526865143</v>
      </c>
      <c r="AN33" s="80">
        <f>AN26+AN27+AN29+AN30</f>
        <v>1</v>
      </c>
      <c r="AO33" s="88"/>
      <c r="AP33" s="91"/>
      <c r="AQ33" s="97"/>
    </row>
    <row r="34" spans="1:43" x14ac:dyDescent="0.25">
      <c r="A34" s="158" t="s">
        <v>978</v>
      </c>
      <c r="U34" s="80"/>
      <c r="V34" s="88"/>
      <c r="W34" s="97"/>
      <c r="AN34" s="80"/>
      <c r="AO34" s="88"/>
      <c r="AP34" s="91"/>
      <c r="AQ34" s="97"/>
    </row>
    <row r="35" spans="1:43" x14ac:dyDescent="0.25">
      <c r="A35" s="157" t="s">
        <v>964</v>
      </c>
      <c r="B35" s="66">
        <f>-'LEX - New Vehicles'!B16</f>
        <v>-71688.03</v>
      </c>
      <c r="C35" s="66">
        <f>-'LEX - New Vehicles'!C16</f>
        <v>-37538.829999999994</v>
      </c>
      <c r="D35" s="66">
        <f>-'LEX - New Vehicles'!D16</f>
        <v>-95233.41</v>
      </c>
      <c r="E35" s="66">
        <f>-'LEX - New Vehicles'!E16</f>
        <v>-111776.40000000001</v>
      </c>
      <c r="F35" s="66">
        <f>-'LEX - New Vehicles'!F16</f>
        <v>-129141.08</v>
      </c>
      <c r="G35" s="66">
        <f>-'LEX - New Vehicles'!G16</f>
        <v>-125484.70999999999</v>
      </c>
      <c r="H35" s="66">
        <f>-'LEX - New Vehicles'!H16</f>
        <v>-102770.62999999999</v>
      </c>
      <c r="I35" s="66">
        <f>-'LEX - New Vehicles'!I16</f>
        <v>-130775.37</v>
      </c>
      <c r="J35" s="66">
        <f>-'LEX - New Vehicles'!J16</f>
        <v>-128433.68</v>
      </c>
      <c r="K35" s="66">
        <f>-'LEX - New Vehicles'!K16</f>
        <v>-67344.11</v>
      </c>
      <c r="L35" s="66">
        <f>-'LEX - New Vehicles'!L16</f>
        <v>-88013.23000000001</v>
      </c>
      <c r="M35" s="66">
        <f>-'LEX - New Vehicles'!M16</f>
        <v>-51723.82</v>
      </c>
      <c r="N35" s="66">
        <f>-'LEX - New Vehicles'!N16</f>
        <v>-70133.779999999984</v>
      </c>
      <c r="O35" s="66">
        <f>-'LEX - New Vehicles'!O16</f>
        <v>-73795.64</v>
      </c>
      <c r="P35" s="66">
        <f>-'LEX - New Vehicles'!P16</f>
        <v>-73606.669999999984</v>
      </c>
      <c r="R35" s="69">
        <f t="shared" si="18"/>
        <v>-1139923.3</v>
      </c>
      <c r="S35" s="69">
        <f t="shared" si="19"/>
        <v>-1152999.1199999996</v>
      </c>
      <c r="U35" s="80"/>
      <c r="V35" s="88"/>
      <c r="W35" s="97"/>
      <c r="Y35" s="66">
        <f>-'LEX - New Vehicles'!E35</f>
        <v>-80807.799418490293</v>
      </c>
      <c r="Z35" s="66">
        <f>-'LEX - New Vehicles'!F35</f>
        <v>-80807.799418490293</v>
      </c>
      <c r="AA35" s="66">
        <f>-'LEX - New Vehicles'!G35</f>
        <v>-81000.579418490292</v>
      </c>
      <c r="AB35" s="66">
        <f>-'LEX - New Vehicles'!H35</f>
        <v>-80807.799418490293</v>
      </c>
      <c r="AC35" s="66">
        <f>-'LEX - New Vehicles'!I35</f>
        <v>-80807.799418490293</v>
      </c>
      <c r="AD35" s="66">
        <f>-'LEX - New Vehicles'!J35</f>
        <v>-81000.579418490292</v>
      </c>
      <c r="AE35" s="66">
        <f>-'LEX - New Vehicles'!K35</f>
        <v>-80807.799418490293</v>
      </c>
      <c r="AF35" s="66">
        <f>-'LEX - New Vehicles'!L35</f>
        <v>-80807.799418490293</v>
      </c>
      <c r="AG35" s="66">
        <f>-'LEX - New Vehicles'!M35</f>
        <v>-81000.579418490292</v>
      </c>
      <c r="AH35" s="66">
        <f>-'LEX - New Vehicles'!N35</f>
        <v>-79450.799418490293</v>
      </c>
      <c r="AI35" s="66">
        <f>-'LEX - New Vehicles'!O35</f>
        <v>-79450.799418490293</v>
      </c>
      <c r="AJ35" s="66">
        <f>-'LEX - New Vehicles'!P35</f>
        <v>-86908.784418490293</v>
      </c>
      <c r="AL35" s="69">
        <f>SUM(Y35:AJ35)</f>
        <v>-973658.91802188335</v>
      </c>
      <c r="AN35" s="80"/>
      <c r="AO35" s="88"/>
      <c r="AP35" s="91"/>
      <c r="AQ35" s="97"/>
    </row>
    <row r="36" spans="1:43" x14ac:dyDescent="0.25">
      <c r="A36" s="157" t="s">
        <v>965</v>
      </c>
      <c r="B36" s="66">
        <f>-'LEX - Used Vehicles'!B18</f>
        <v>-9692.6600000000017</v>
      </c>
      <c r="C36" s="66">
        <f>-'LEX - Used Vehicles'!C18</f>
        <v>-12061.939999999999</v>
      </c>
      <c r="D36" s="66">
        <f>-'LEX - Used Vehicles'!D18</f>
        <v>-9950</v>
      </c>
      <c r="E36" s="66">
        <f>-'LEX - Used Vehicles'!E18</f>
        <v>-11422.800000000003</v>
      </c>
      <c r="F36" s="66">
        <f>-'LEX - Used Vehicles'!F18</f>
        <v>-10589.000000000002</v>
      </c>
      <c r="G36" s="66">
        <f>-'LEX - Used Vehicles'!G18</f>
        <v>-9036</v>
      </c>
      <c r="H36" s="66">
        <f>-'LEX - Used Vehicles'!H18</f>
        <v>-5985.630000000001</v>
      </c>
      <c r="I36" s="66">
        <f>-'LEX - Used Vehicles'!I18</f>
        <v>-10718</v>
      </c>
      <c r="J36" s="66">
        <f>-'LEX - Used Vehicles'!J18</f>
        <v>-9363.99</v>
      </c>
      <c r="K36" s="66">
        <f>-'LEX - Used Vehicles'!K18</f>
        <v>-26418.78</v>
      </c>
      <c r="L36" s="66">
        <f>-'LEX - Used Vehicles'!L18</f>
        <v>-27223.58</v>
      </c>
      <c r="M36" s="66">
        <f>-'LEX - Used Vehicles'!M18</f>
        <v>-30424.53</v>
      </c>
      <c r="N36" s="66">
        <f>-'LEX - Used Vehicles'!N18</f>
        <v>-30412.799999999999</v>
      </c>
      <c r="O36" s="66">
        <f>-'LEX - Used Vehicles'!O18</f>
        <v>-35773.14</v>
      </c>
      <c r="P36" s="66">
        <f>-'LEX - Used Vehicles'!P18</f>
        <v>-34599.730000000003</v>
      </c>
      <c r="R36" s="69">
        <f t="shared" si="18"/>
        <v>-172886.91</v>
      </c>
      <c r="S36" s="69">
        <f t="shared" si="19"/>
        <v>-241967.98</v>
      </c>
      <c r="U36" s="80"/>
      <c r="V36" s="88"/>
      <c r="W36" s="97"/>
      <c r="Y36" s="66">
        <f>-'LEX - Used Vehicles'!E39</f>
        <v>-25937.768070771035</v>
      </c>
      <c r="Z36" s="66">
        <f>-'LEX - Used Vehicles'!F39</f>
        <v>-25937.768070771035</v>
      </c>
      <c r="AA36" s="66">
        <f>-'LEX - Used Vehicles'!G39</f>
        <v>-26002.028070771034</v>
      </c>
      <c r="AB36" s="66">
        <f>-'LEX - Used Vehicles'!H39</f>
        <v>-25937.768070771035</v>
      </c>
      <c r="AC36" s="66">
        <f>-'LEX - Used Vehicles'!I39</f>
        <v>-25937.768070771035</v>
      </c>
      <c r="AD36" s="66">
        <f>-'LEX - Used Vehicles'!J39</f>
        <v>-26002.028070771034</v>
      </c>
      <c r="AE36" s="66">
        <f>-'LEX - Used Vehicles'!K39</f>
        <v>-25937.768070771035</v>
      </c>
      <c r="AF36" s="66">
        <f>-'LEX - Used Vehicles'!L39</f>
        <v>-25937.768070771035</v>
      </c>
      <c r="AG36" s="66">
        <f>-'LEX - Used Vehicles'!M39</f>
        <v>-26002.028070771034</v>
      </c>
      <c r="AH36" s="66">
        <f>-'LEX - Used Vehicles'!N39</f>
        <v>-25937.768070771035</v>
      </c>
      <c r="AI36" s="66">
        <f>-'LEX - Used Vehicles'!O39</f>
        <v>-25937.768070771035</v>
      </c>
      <c r="AJ36" s="66">
        <f>-'LEX - Used Vehicles'!P39</f>
        <v>-26001.263070771034</v>
      </c>
      <c r="AL36" s="69">
        <f t="shared" ref="AL36:AL41" si="23">SUM(Y36:AJ36)</f>
        <v>-311509.49184925237</v>
      </c>
      <c r="AN36" s="80"/>
      <c r="AO36" s="88"/>
      <c r="AP36" s="91"/>
      <c r="AQ36" s="97"/>
    </row>
    <row r="37" spans="1:43" x14ac:dyDescent="0.25">
      <c r="A37" s="157" t="s">
        <v>966</v>
      </c>
      <c r="B37" s="66">
        <f>-'LEX - F&amp;I'!B13</f>
        <v>-10588</v>
      </c>
      <c r="C37" s="66">
        <f>-'LEX - F&amp;I'!C13</f>
        <v>-10588</v>
      </c>
      <c r="D37" s="66">
        <f>-'LEX - F&amp;I'!D13</f>
        <v>-10588.000000000002</v>
      </c>
      <c r="E37" s="66">
        <f>-'LEX - F&amp;I'!E13</f>
        <v>-14625</v>
      </c>
      <c r="F37" s="66">
        <f>-'LEX - F&amp;I'!F13</f>
        <v>-14625</v>
      </c>
      <c r="G37" s="66">
        <f>-'LEX - F&amp;I'!G13</f>
        <v>-19647</v>
      </c>
      <c r="H37" s="66">
        <f>-'LEX - F&amp;I'!H13</f>
        <v>-9790</v>
      </c>
      <c r="I37" s="66">
        <f>-'LEX - F&amp;I'!I13</f>
        <v>-7423</v>
      </c>
      <c r="J37" s="66">
        <f>-'LEX - F&amp;I'!J13</f>
        <v>-15538.999999999998</v>
      </c>
      <c r="K37" s="66">
        <f>-'LEX - F&amp;I'!K13</f>
        <v>-18819</v>
      </c>
      <c r="L37" s="66">
        <f>-'LEX - F&amp;I'!L13</f>
        <v>-22681.000000000004</v>
      </c>
      <c r="M37" s="66">
        <f>-'LEX - F&amp;I'!M13</f>
        <v>-14668</v>
      </c>
      <c r="N37" s="66">
        <f>-'LEX - F&amp;I'!N13</f>
        <v>-17707</v>
      </c>
      <c r="O37" s="66">
        <f>-'LEX - F&amp;I'!O13</f>
        <v>-13909.999999999998</v>
      </c>
      <c r="P37" s="66">
        <f>-'LEX - F&amp;I'!P13</f>
        <v>-13375</v>
      </c>
      <c r="R37" s="69">
        <f t="shared" si="18"/>
        <v>-169581</v>
      </c>
      <c r="S37" s="69">
        <f t="shared" si="19"/>
        <v>-182809</v>
      </c>
      <c r="U37" s="80"/>
      <c r="V37" s="88"/>
      <c r="W37" s="97"/>
      <c r="Y37" s="66">
        <f>-'LEX - F&amp;I'!E29</f>
        <v>-11835.678639685219</v>
      </c>
      <c r="Z37" s="66">
        <f>-'LEX - F&amp;I'!F29</f>
        <v>-11835.678639685219</v>
      </c>
      <c r="AA37" s="66">
        <f>-'LEX - F&amp;I'!G29</f>
        <v>-11835.678639685219</v>
      </c>
      <c r="AB37" s="66">
        <f>-'LEX - F&amp;I'!H29</f>
        <v>-11835.678639685219</v>
      </c>
      <c r="AC37" s="66">
        <f>-'LEX - F&amp;I'!I29</f>
        <v>-11835.678639685219</v>
      </c>
      <c r="AD37" s="66">
        <f>-'LEX - F&amp;I'!J29</f>
        <v>-11835.678639685219</v>
      </c>
      <c r="AE37" s="66">
        <f>-'LEX - F&amp;I'!K29</f>
        <v>-11835.678639685219</v>
      </c>
      <c r="AF37" s="66">
        <f>-'LEX - F&amp;I'!L29</f>
        <v>-11835.678639685219</v>
      </c>
      <c r="AG37" s="66">
        <f>-'LEX - F&amp;I'!M29</f>
        <v>-11835.678639685219</v>
      </c>
      <c r="AH37" s="66">
        <f>-'LEX - F&amp;I'!N29</f>
        <v>-11835.678639685219</v>
      </c>
      <c r="AI37" s="66">
        <f>-'LEX - F&amp;I'!O29</f>
        <v>-11835.678639685219</v>
      </c>
      <c r="AJ37" s="66">
        <f>-'LEX - F&amp;I'!P29</f>
        <v>-11835.678639685219</v>
      </c>
      <c r="AL37" s="69">
        <f t="shared" si="23"/>
        <v>-142028.14367622259</v>
      </c>
      <c r="AN37" s="80"/>
      <c r="AO37" s="88"/>
      <c r="AP37" s="91"/>
      <c r="AQ37" s="97"/>
    </row>
    <row r="38" spans="1:43" x14ac:dyDescent="0.25">
      <c r="A38" s="157" t="s">
        <v>113</v>
      </c>
      <c r="B38" s="66">
        <f>-'LEX - Parts'!B10</f>
        <v>0</v>
      </c>
      <c r="C38" s="66">
        <f>-'LEX - Parts'!C10</f>
        <v>0</v>
      </c>
      <c r="D38" s="66">
        <f>-'LEX - Parts'!D10</f>
        <v>0</v>
      </c>
      <c r="E38" s="66">
        <f>-'LEX - Parts'!E10</f>
        <v>0</v>
      </c>
      <c r="F38" s="66">
        <f>-'LEX - Parts'!F10</f>
        <v>0</v>
      </c>
      <c r="G38" s="66">
        <f>-'LEX - Parts'!G10</f>
        <v>0</v>
      </c>
      <c r="H38" s="66">
        <f>-'LEX - Parts'!H10</f>
        <v>0</v>
      </c>
      <c r="I38" s="66">
        <f>-'LEX - Parts'!I10</f>
        <v>0</v>
      </c>
      <c r="J38" s="66">
        <f>-'LEX - Parts'!J10</f>
        <v>0</v>
      </c>
      <c r="K38" s="66">
        <f>-'LEX - Parts'!K10</f>
        <v>-6550</v>
      </c>
      <c r="L38" s="66">
        <f>-'LEX - Parts'!L10</f>
        <v>-6507</v>
      </c>
      <c r="M38" s="66">
        <f>-'LEX - Parts'!M10</f>
        <v>-5801</v>
      </c>
      <c r="N38" s="66">
        <f>-'LEX - Parts'!N10</f>
        <v>-6317</v>
      </c>
      <c r="O38" s="66">
        <f>-'LEX - Parts'!O10</f>
        <v>-4790.9999999999991</v>
      </c>
      <c r="P38" s="66">
        <f>-'LEX - Parts'!P10</f>
        <v>-4168</v>
      </c>
      <c r="R38" s="69">
        <f t="shared" si="18"/>
        <v>-18858</v>
      </c>
      <c r="S38" s="69">
        <f t="shared" si="19"/>
        <v>-34134</v>
      </c>
      <c r="U38" s="80"/>
      <c r="V38" s="88"/>
      <c r="W38" s="97"/>
      <c r="Y38" s="66">
        <f>-'LEX - Parts'!E23</f>
        <v>-5013.1365641828634</v>
      </c>
      <c r="Z38" s="66">
        <f>-'LEX - Parts'!F23</f>
        <v>-5013.1365641828634</v>
      </c>
      <c r="AA38" s="66">
        <f>-'LEX - Parts'!G23</f>
        <v>-5013.1365641828634</v>
      </c>
      <c r="AB38" s="66">
        <f>-'LEX - Parts'!H23</f>
        <v>-5013.1365641828634</v>
      </c>
      <c r="AC38" s="66">
        <f>-'LEX - Parts'!I23</f>
        <v>-5013.1365641828634</v>
      </c>
      <c r="AD38" s="66">
        <f>-'LEX - Parts'!J23</f>
        <v>-5013.1365641828634</v>
      </c>
      <c r="AE38" s="66">
        <f>-'LEX - Parts'!K23</f>
        <v>-5013.1365641828634</v>
      </c>
      <c r="AF38" s="66">
        <f>-'LEX - Parts'!L23</f>
        <v>-5013.1365641828634</v>
      </c>
      <c r="AG38" s="66">
        <f>-'LEX - Parts'!M23</f>
        <v>-5013.1365641828634</v>
      </c>
      <c r="AH38" s="66">
        <f>-'LEX - Parts'!N23</f>
        <v>-5013.1365641828634</v>
      </c>
      <c r="AI38" s="66">
        <f>-'LEX - Parts'!O23</f>
        <v>-5013.1365641828634</v>
      </c>
      <c r="AJ38" s="66">
        <f>-'LEX - Parts'!P23</f>
        <v>-5013.1365641828634</v>
      </c>
      <c r="AL38" s="69">
        <f t="shared" si="23"/>
        <v>-60157.638770194346</v>
      </c>
      <c r="AN38" s="80"/>
      <c r="AO38" s="88"/>
      <c r="AP38" s="91"/>
      <c r="AQ38" s="97"/>
    </row>
    <row r="39" spans="1:43" x14ac:dyDescent="0.25">
      <c r="A39" s="157" t="s">
        <v>967</v>
      </c>
      <c r="B39" s="66">
        <f>-'LEX - Service'!B17</f>
        <v>-30979.330000000005</v>
      </c>
      <c r="C39" s="66">
        <f>-'LEX - Service'!C17</f>
        <v>-25448.28</v>
      </c>
      <c r="D39" s="66">
        <f>-'LEX - Service'!D17</f>
        <v>-164246.58000000002</v>
      </c>
      <c r="E39" s="66">
        <f>-'LEX - Service'!E17</f>
        <v>-41024.450000000004</v>
      </c>
      <c r="F39" s="66">
        <f>-'LEX - Service'!F17</f>
        <v>-33238.219999999994</v>
      </c>
      <c r="G39" s="66">
        <f>-'LEX - Service'!G17</f>
        <v>-42686.840000000004</v>
      </c>
      <c r="H39" s="66">
        <f>-'LEX - Service'!H17</f>
        <v>-49406.07</v>
      </c>
      <c r="I39" s="66">
        <f>-'LEX - Service'!I17</f>
        <v>-44629.05</v>
      </c>
      <c r="J39" s="66">
        <f>-'LEX - Service'!J17</f>
        <v>-50892.62</v>
      </c>
      <c r="K39" s="66">
        <f>-'LEX - Service'!K17</f>
        <v>-55515.5</v>
      </c>
      <c r="L39" s="66">
        <f>-'LEX - Service'!L17</f>
        <v>-53001.560000000005</v>
      </c>
      <c r="M39" s="66">
        <f>-'LEX - Service'!M17</f>
        <v>-47162.47</v>
      </c>
      <c r="N39" s="66">
        <f>-'LEX - Service'!N17</f>
        <v>-37051.500000000007</v>
      </c>
      <c r="O39" s="66">
        <f>-'LEX - Service'!O17</f>
        <v>-38077.08</v>
      </c>
      <c r="P39" s="66">
        <f>-'LEX - Service'!P17</f>
        <v>-47531.62</v>
      </c>
      <c r="R39" s="69">
        <f t="shared" si="18"/>
        <v>-638230.97</v>
      </c>
      <c r="S39" s="69">
        <f t="shared" si="19"/>
        <v>-540216.9800000001</v>
      </c>
      <c r="U39" s="80"/>
      <c r="V39" s="88"/>
      <c r="W39" s="97"/>
      <c r="Y39" s="66">
        <f>-'LEX - Service'!E37</f>
        <v>-37841.735074350356</v>
      </c>
      <c r="Z39" s="66">
        <f>-'LEX - Service'!F37</f>
        <v>-37841.735074350356</v>
      </c>
      <c r="AA39" s="66">
        <f>-'LEX - Service'!G37</f>
        <v>-37841.735074350356</v>
      </c>
      <c r="AB39" s="66">
        <f>-'LEX - Service'!H37</f>
        <v>-37841.735074350356</v>
      </c>
      <c r="AC39" s="66">
        <f>-'LEX - Service'!I37</f>
        <v>-37841.735074350356</v>
      </c>
      <c r="AD39" s="66">
        <f>-'LEX - Service'!J37</f>
        <v>-37841.735074350356</v>
      </c>
      <c r="AE39" s="66">
        <f>-'LEX - Service'!K37</f>
        <v>-37841.735074350356</v>
      </c>
      <c r="AF39" s="66">
        <f>-'LEX - Service'!L37</f>
        <v>-37841.735074350356</v>
      </c>
      <c r="AG39" s="66">
        <f>-'LEX - Service'!M37</f>
        <v>-37841.735074350356</v>
      </c>
      <c r="AH39" s="66">
        <f>-'LEX - Service'!N37</f>
        <v>-37841.735074350356</v>
      </c>
      <c r="AI39" s="66">
        <f>-'LEX - Service'!O37</f>
        <v>-37841.735074350356</v>
      </c>
      <c r="AJ39" s="66">
        <f>-'LEX - Service'!P37</f>
        <v>-37841.735074350356</v>
      </c>
      <c r="AL39" s="69">
        <f t="shared" si="23"/>
        <v>-454100.82089220436</v>
      </c>
      <c r="AN39" s="80"/>
      <c r="AO39" s="88"/>
      <c r="AP39" s="91"/>
      <c r="AQ39" s="97"/>
    </row>
    <row r="40" spans="1:43" x14ac:dyDescent="0.25">
      <c r="A40" s="157" t="s">
        <v>975</v>
      </c>
      <c r="B40" s="66">
        <f>-'Bridgestone Group'!B11</f>
        <v>-36243.840000000004</v>
      </c>
      <c r="C40" s="66">
        <f>-'Bridgestone Group'!C11</f>
        <v>-50177.54</v>
      </c>
      <c r="D40" s="66">
        <f>-'Bridgestone Group'!D11</f>
        <v>-60890.66</v>
      </c>
      <c r="E40" s="66">
        <f>-'Bridgestone Group'!E11</f>
        <v>-40854.99</v>
      </c>
      <c r="F40" s="66">
        <f>-'Bridgestone Group'!F11</f>
        <v>-51013.510000000009</v>
      </c>
      <c r="G40" s="66">
        <f>-'Bridgestone Group'!G11</f>
        <v>-62285.469999999994</v>
      </c>
      <c r="H40" s="66">
        <f>-'Bridgestone Group'!H11</f>
        <v>-47075.53</v>
      </c>
      <c r="I40" s="66">
        <f>-'Bridgestone Group'!I11</f>
        <v>-51253.939999999995</v>
      </c>
      <c r="J40" s="66">
        <f>-'Bridgestone Group'!J11</f>
        <v>-51225.86</v>
      </c>
      <c r="K40" s="66">
        <f>-'Bridgestone Group'!K11</f>
        <v>-47617.89</v>
      </c>
      <c r="L40" s="66">
        <f>-'Bridgestone Group'!L11</f>
        <v>-53702.39</v>
      </c>
      <c r="M40" s="66">
        <f>-'Bridgestone Group'!M11</f>
        <v>-48472.479999999996</v>
      </c>
      <c r="N40" s="66">
        <f>-'Bridgestone Group'!N11</f>
        <v>-54761.87999999999</v>
      </c>
      <c r="O40" s="66">
        <f>-'Bridgestone Group'!O11</f>
        <v>-52162.659999999989</v>
      </c>
      <c r="P40" s="66">
        <f>-'Bridgestone Group'!P11</f>
        <v>-47860.23</v>
      </c>
      <c r="R40" s="69">
        <f t="shared" si="18"/>
        <v>-600814.1</v>
      </c>
      <c r="S40" s="69">
        <f t="shared" si="19"/>
        <v>-608286.82999999996</v>
      </c>
      <c r="U40" s="80"/>
      <c r="V40" s="88"/>
      <c r="W40" s="97"/>
      <c r="Y40" s="66">
        <f>-'Bridgestone Group'!E25</f>
        <v>-45808.990204233924</v>
      </c>
      <c r="Z40" s="66">
        <f>-'Bridgestone Group'!F25</f>
        <v>-45808.990204233924</v>
      </c>
      <c r="AA40" s="66">
        <f>-'Bridgestone Group'!G25</f>
        <v>-45808.990204233924</v>
      </c>
      <c r="AB40" s="66">
        <f>-'Bridgestone Group'!H25</f>
        <v>-45808.990204233924</v>
      </c>
      <c r="AC40" s="66">
        <f>-'Bridgestone Group'!I25</f>
        <v>-45808.990204233924</v>
      </c>
      <c r="AD40" s="66">
        <f>-'Bridgestone Group'!J25</f>
        <v>-45808.990204233924</v>
      </c>
      <c r="AE40" s="66">
        <f>-'Bridgestone Group'!K25</f>
        <v>-45808.990204233924</v>
      </c>
      <c r="AF40" s="66">
        <f>-'Bridgestone Group'!L25</f>
        <v>-45808.990204233924</v>
      </c>
      <c r="AG40" s="66">
        <f>-'Bridgestone Group'!M25</f>
        <v>-45808.990204233924</v>
      </c>
      <c r="AH40" s="66">
        <f>-'Bridgestone Group'!N25</f>
        <v>-45808.990204233924</v>
      </c>
      <c r="AI40" s="66">
        <f>-'Bridgestone Group'!O25</f>
        <v>-45808.990204233924</v>
      </c>
      <c r="AJ40" s="66">
        <f>-'Bridgestone Group'!P25</f>
        <v>-45808.990204233924</v>
      </c>
      <c r="AL40" s="69">
        <f t="shared" si="23"/>
        <v>-549707.88245080702</v>
      </c>
      <c r="AN40" s="80"/>
      <c r="AO40" s="88"/>
      <c r="AP40" s="91"/>
      <c r="AQ40" s="97"/>
    </row>
    <row r="41" spans="1:43" x14ac:dyDescent="0.25">
      <c r="A41" s="157" t="s">
        <v>976</v>
      </c>
      <c r="B41" s="66">
        <f>-'Retail Detailing'!B12</f>
        <v>-35264.179999999993</v>
      </c>
      <c r="C41" s="66">
        <f>-'Retail Detailing'!C12</f>
        <v>-43929.45</v>
      </c>
      <c r="D41" s="66">
        <f>-'Retail Detailing'!D12</f>
        <v>-42667.69</v>
      </c>
      <c r="E41" s="66">
        <f>-'Retail Detailing'!E12</f>
        <v>-31745.640000000003</v>
      </c>
      <c r="F41" s="66">
        <f>-'Retail Detailing'!F12</f>
        <v>-36838.19</v>
      </c>
      <c r="G41" s="66">
        <f>-'Retail Detailing'!G12</f>
        <v>-37329.96</v>
      </c>
      <c r="H41" s="66">
        <f>-'Retail Detailing'!H12</f>
        <v>-44464.2</v>
      </c>
      <c r="I41" s="66">
        <f>-'Retail Detailing'!I12</f>
        <v>-49581.359999999993</v>
      </c>
      <c r="J41" s="66">
        <f>-'Retail Detailing'!J12</f>
        <v>-46765.590000000004</v>
      </c>
      <c r="K41" s="66">
        <f>-'Retail Detailing'!K12</f>
        <v>-50542.310000000005</v>
      </c>
      <c r="L41" s="66">
        <f>-'Retail Detailing'!L12</f>
        <v>-42364.610000000008</v>
      </c>
      <c r="M41" s="66">
        <f>-'Retail Detailing'!M12</f>
        <v>-37985.339999999997</v>
      </c>
      <c r="N41" s="66">
        <f>-'Retail Detailing'!N12</f>
        <v>-48435.929999999993</v>
      </c>
      <c r="O41" s="66">
        <f>-'Retail Detailing'!O12</f>
        <v>-47286.87</v>
      </c>
      <c r="P41" s="66">
        <f>-'Retail Detailing'!P12</f>
        <v>-43758.270000000004</v>
      </c>
      <c r="R41" s="69">
        <f t="shared" si="18"/>
        <v>-499478.52</v>
      </c>
      <c r="S41" s="69">
        <f t="shared" si="19"/>
        <v>-517098.26999999996</v>
      </c>
      <c r="U41" s="80"/>
      <c r="V41" s="88"/>
      <c r="W41" s="97"/>
      <c r="Y41" s="66">
        <f>-'Retail Detailing'!E27</f>
        <v>-46660.363203848145</v>
      </c>
      <c r="Z41" s="66">
        <f>-'Retail Detailing'!F27</f>
        <v>-46660.363203848145</v>
      </c>
      <c r="AA41" s="66">
        <f>-'Retail Detailing'!G27</f>
        <v>-46660.363203848145</v>
      </c>
      <c r="AB41" s="66">
        <f>-'Retail Detailing'!H27</f>
        <v>-46660.363203848145</v>
      </c>
      <c r="AC41" s="66">
        <f>-'Retail Detailing'!I27</f>
        <v>-46660.363203848145</v>
      </c>
      <c r="AD41" s="66">
        <f>-'Retail Detailing'!J27</f>
        <v>-46660.363203848145</v>
      </c>
      <c r="AE41" s="66">
        <f>-'Retail Detailing'!K27</f>
        <v>-46660.363203848145</v>
      </c>
      <c r="AF41" s="66">
        <f>-'Retail Detailing'!L27</f>
        <v>-46660.363203848145</v>
      </c>
      <c r="AG41" s="66">
        <f>-'Retail Detailing'!M27</f>
        <v>-46660.363203848145</v>
      </c>
      <c r="AH41" s="66">
        <f>-'Retail Detailing'!N27</f>
        <v>-46660.363203848145</v>
      </c>
      <c r="AI41" s="66">
        <f>-'Retail Detailing'!O27</f>
        <v>-46660.363203848145</v>
      </c>
      <c r="AJ41" s="66">
        <f>-'Retail Detailing'!P27</f>
        <v>-46660.363203848145</v>
      </c>
      <c r="AL41" s="69">
        <f t="shared" si="23"/>
        <v>-559924.35844617768</v>
      </c>
      <c r="AN41" s="80"/>
      <c r="AO41" s="88"/>
      <c r="AP41" s="91"/>
      <c r="AQ41" s="97"/>
    </row>
    <row r="42" spans="1:43" x14ac:dyDescent="0.25">
      <c r="A42" s="158" t="s">
        <v>979</v>
      </c>
      <c r="B42" s="74">
        <f>SUM(B35:B41)</f>
        <v>-194456.04</v>
      </c>
      <c r="C42" s="74">
        <f>SUM(C35:C41)</f>
        <v>-179744.03999999998</v>
      </c>
      <c r="D42" s="74">
        <f>SUM(D35:D41)</f>
        <v>-383576.34</v>
      </c>
      <c r="E42" s="74">
        <f>SUM(E35:E41)</f>
        <v>-251449.28000000003</v>
      </c>
      <c r="F42" s="74">
        <f t="shared" ref="F42:P42" si="24">SUM(F35:F41)</f>
        <v>-275445</v>
      </c>
      <c r="G42" s="74">
        <f t="shared" si="24"/>
        <v>-296469.98</v>
      </c>
      <c r="H42" s="74">
        <f t="shared" si="24"/>
        <v>-259492.06</v>
      </c>
      <c r="I42" s="74">
        <f t="shared" si="24"/>
        <v>-294380.71999999997</v>
      </c>
      <c r="J42" s="74">
        <f t="shared" si="24"/>
        <v>-302220.74</v>
      </c>
      <c r="K42" s="74">
        <f t="shared" si="24"/>
        <v>-272807.59000000003</v>
      </c>
      <c r="L42" s="74">
        <f t="shared" si="24"/>
        <v>-293493.37</v>
      </c>
      <c r="M42" s="74">
        <f t="shared" si="24"/>
        <v>-236237.63999999998</v>
      </c>
      <c r="N42" s="74">
        <f t="shared" si="24"/>
        <v>-264819.88999999996</v>
      </c>
      <c r="O42" s="74">
        <f t="shared" si="24"/>
        <v>-265796.38999999996</v>
      </c>
      <c r="P42" s="74">
        <f t="shared" si="24"/>
        <v>-264899.52</v>
      </c>
      <c r="R42" s="68">
        <f t="shared" si="18"/>
        <v>-3239772.8000000003</v>
      </c>
      <c r="S42" s="68">
        <f t="shared" si="19"/>
        <v>-3277512.1800000006</v>
      </c>
      <c r="U42" s="80"/>
      <c r="V42" s="88"/>
      <c r="W42" s="97"/>
      <c r="Y42" s="74">
        <f t="shared" ref="Y42:AJ42" si="25">SUM(Y35:Y41)</f>
        <v>-253905.47117556183</v>
      </c>
      <c r="Z42" s="74">
        <f t="shared" si="25"/>
        <v>-253905.47117556183</v>
      </c>
      <c r="AA42" s="74">
        <f t="shared" si="25"/>
        <v>-254162.51117556181</v>
      </c>
      <c r="AB42" s="74">
        <f t="shared" si="25"/>
        <v>-253905.47117556183</v>
      </c>
      <c r="AC42" s="74">
        <f t="shared" si="25"/>
        <v>-253905.47117556183</v>
      </c>
      <c r="AD42" s="74">
        <f t="shared" si="25"/>
        <v>-254162.51117556181</v>
      </c>
      <c r="AE42" s="74">
        <f t="shared" si="25"/>
        <v>-253905.47117556183</v>
      </c>
      <c r="AF42" s="74">
        <f t="shared" si="25"/>
        <v>-253905.47117556183</v>
      </c>
      <c r="AG42" s="74">
        <f t="shared" si="25"/>
        <v>-254162.51117556181</v>
      </c>
      <c r="AH42" s="74">
        <f t="shared" si="25"/>
        <v>-252548.47117556183</v>
      </c>
      <c r="AI42" s="74">
        <f t="shared" si="25"/>
        <v>-252548.47117556183</v>
      </c>
      <c r="AJ42" s="74">
        <f t="shared" si="25"/>
        <v>-260069.95117556182</v>
      </c>
      <c r="AL42" s="68">
        <f>SUM(Y42:AJ42)</f>
        <v>-3051087.2541067414</v>
      </c>
      <c r="AN42" s="80"/>
      <c r="AO42" s="88"/>
      <c r="AP42" s="91"/>
      <c r="AQ42" s="97"/>
    </row>
    <row r="43" spans="1:43" x14ac:dyDescent="0.25">
      <c r="A43" s="158" t="s">
        <v>980</v>
      </c>
      <c r="U43" s="80"/>
      <c r="V43" s="88"/>
      <c r="W43" s="97"/>
      <c r="AN43" s="80"/>
      <c r="AO43" s="88"/>
      <c r="AP43" s="91"/>
      <c r="AQ43" s="97"/>
    </row>
    <row r="44" spans="1:43" x14ac:dyDescent="0.25">
      <c r="A44" s="157" t="s">
        <v>964</v>
      </c>
      <c r="B44" s="66">
        <f>B26+B35</f>
        <v>23459.920000000042</v>
      </c>
      <c r="C44" s="66">
        <f>C26+C35</f>
        <v>58212.250000000109</v>
      </c>
      <c r="D44" s="66">
        <f>D26+D35</f>
        <v>211150.3300000001</v>
      </c>
      <c r="E44" s="66">
        <f>E26+E35</f>
        <v>198452.09999999986</v>
      </c>
      <c r="F44" s="66">
        <f t="shared" ref="F44:P44" si="26">F26+F35</f>
        <v>252480.21000000037</v>
      </c>
      <c r="G44" s="66">
        <f t="shared" si="26"/>
        <v>208710.81999999934</v>
      </c>
      <c r="H44" s="66">
        <f t="shared" si="26"/>
        <v>148979.16000000003</v>
      </c>
      <c r="I44" s="66">
        <f t="shared" si="26"/>
        <v>244507.49000000092</v>
      </c>
      <c r="J44" s="66">
        <f t="shared" si="26"/>
        <v>198506.12000000005</v>
      </c>
      <c r="K44" s="66">
        <f t="shared" si="26"/>
        <v>203879.63999999966</v>
      </c>
      <c r="L44" s="66">
        <f t="shared" si="26"/>
        <v>203210.85999999937</v>
      </c>
      <c r="M44" s="66">
        <f t="shared" si="26"/>
        <v>171285.95000000019</v>
      </c>
      <c r="N44" s="66">
        <f t="shared" si="26"/>
        <v>184420.01999999984</v>
      </c>
      <c r="O44" s="66">
        <f t="shared" si="26"/>
        <v>158554.07000000018</v>
      </c>
      <c r="P44" s="66">
        <f t="shared" si="26"/>
        <v>209875.00999999914</v>
      </c>
      <c r="R44" s="69">
        <f t="shared" si="18"/>
        <v>2122834.8500000006</v>
      </c>
      <c r="S44" s="69">
        <f t="shared" si="19"/>
        <v>2382861.4499999993</v>
      </c>
      <c r="U44" s="80"/>
      <c r="V44" s="88"/>
      <c r="W44" s="97"/>
      <c r="Y44" s="66">
        <f>Y26+Y35</f>
        <v>185192.20058150971</v>
      </c>
      <c r="Z44" s="66">
        <f t="shared" ref="Z44:AJ44" si="27">Z26+Z35</f>
        <v>185192.20058150971</v>
      </c>
      <c r="AA44" s="66">
        <f t="shared" si="27"/>
        <v>249259.42058150971</v>
      </c>
      <c r="AB44" s="66">
        <f t="shared" si="27"/>
        <v>185192.20058150971</v>
      </c>
      <c r="AC44" s="66">
        <f t="shared" si="27"/>
        <v>185192.20058150971</v>
      </c>
      <c r="AD44" s="66">
        <f t="shared" si="27"/>
        <v>249259.42058150971</v>
      </c>
      <c r="AE44" s="66">
        <f t="shared" si="27"/>
        <v>185192.20058150971</v>
      </c>
      <c r="AF44" s="66">
        <f t="shared" si="27"/>
        <v>185192.20058150971</v>
      </c>
      <c r="AG44" s="66">
        <f t="shared" si="27"/>
        <v>249259.42058150971</v>
      </c>
      <c r="AH44" s="66">
        <f t="shared" si="27"/>
        <v>167549.20058150971</v>
      </c>
      <c r="AI44" s="66">
        <f t="shared" si="27"/>
        <v>167549.20058150971</v>
      </c>
      <c r="AJ44" s="66">
        <f t="shared" si="27"/>
        <v>271086.21558150969</v>
      </c>
      <c r="AL44" s="69">
        <f>SUM(Y44:AJ44)</f>
        <v>2465116.0819781162</v>
      </c>
      <c r="AN44" s="80"/>
      <c r="AO44" s="88"/>
      <c r="AP44" s="91"/>
      <c r="AQ44" s="97"/>
    </row>
    <row r="45" spans="1:43" x14ac:dyDescent="0.25">
      <c r="A45" s="157" t="s">
        <v>965</v>
      </c>
      <c r="B45" s="66">
        <f t="shared" ref="B45:P50" si="28">B27+B36</f>
        <v>22225.03</v>
      </c>
      <c r="C45" s="66">
        <f t="shared" si="28"/>
        <v>21228.340000000029</v>
      </c>
      <c r="D45" s="66">
        <f t="shared" si="28"/>
        <v>49071.59000000004</v>
      </c>
      <c r="E45" s="66">
        <f t="shared" si="28"/>
        <v>14317.190000000017</v>
      </c>
      <c r="F45" s="66">
        <f t="shared" si="28"/>
        <v>68881.95000000007</v>
      </c>
      <c r="G45" s="66">
        <f t="shared" si="28"/>
        <v>70073.539999999979</v>
      </c>
      <c r="H45" s="66">
        <f t="shared" si="28"/>
        <v>60451.120000000083</v>
      </c>
      <c r="I45" s="66">
        <f t="shared" si="28"/>
        <v>76762.550000000017</v>
      </c>
      <c r="J45" s="66">
        <f t="shared" si="28"/>
        <v>88680.839999999924</v>
      </c>
      <c r="K45" s="66">
        <f t="shared" si="28"/>
        <v>27959.839999999997</v>
      </c>
      <c r="L45" s="66">
        <f t="shared" si="28"/>
        <v>6240.7599999999657</v>
      </c>
      <c r="M45" s="66">
        <f t="shared" si="28"/>
        <v>-495.14999999998327</v>
      </c>
      <c r="N45" s="66">
        <f t="shared" si="28"/>
        <v>-4059.3299999999981</v>
      </c>
      <c r="O45" s="66">
        <f t="shared" si="28"/>
        <v>30624.830000000031</v>
      </c>
      <c r="P45" s="66">
        <f t="shared" si="28"/>
        <v>-1527.5000000000291</v>
      </c>
      <c r="R45" s="69">
        <f t="shared" si="18"/>
        <v>505397.60000000021</v>
      </c>
      <c r="S45" s="69">
        <f t="shared" si="19"/>
        <v>437910.64</v>
      </c>
      <c r="U45" s="80"/>
      <c r="V45" s="88"/>
      <c r="W45" s="97"/>
      <c r="Y45" s="66">
        <f t="shared" ref="Y45:AJ50" si="29">Y27+Y36</f>
        <v>39062.231929228961</v>
      </c>
      <c r="Z45" s="66">
        <f t="shared" si="29"/>
        <v>39062.231929228961</v>
      </c>
      <c r="AA45" s="66">
        <f t="shared" si="29"/>
        <v>60417.971929228966</v>
      </c>
      <c r="AB45" s="66">
        <f t="shared" si="29"/>
        <v>39062.231929228961</v>
      </c>
      <c r="AC45" s="66">
        <f t="shared" si="29"/>
        <v>39062.231929228961</v>
      </c>
      <c r="AD45" s="66">
        <f t="shared" si="29"/>
        <v>60417.971929228966</v>
      </c>
      <c r="AE45" s="66">
        <f t="shared" si="29"/>
        <v>39062.231929228961</v>
      </c>
      <c r="AF45" s="66">
        <f t="shared" si="29"/>
        <v>39062.231929228961</v>
      </c>
      <c r="AG45" s="66">
        <f t="shared" si="29"/>
        <v>60417.971929228966</v>
      </c>
      <c r="AH45" s="66">
        <f t="shared" si="29"/>
        <v>39062.231929228961</v>
      </c>
      <c r="AI45" s="66">
        <f t="shared" si="29"/>
        <v>39062.231929228961</v>
      </c>
      <c r="AJ45" s="66">
        <f t="shared" si="29"/>
        <v>60163.736929228966</v>
      </c>
      <c r="AL45" s="69">
        <f t="shared" ref="AL45:AL50" si="30">SUM(Y45:AJ45)</f>
        <v>553915.50815074774</v>
      </c>
      <c r="AN45" s="80"/>
      <c r="AO45" s="88"/>
      <c r="AP45" s="91"/>
      <c r="AQ45" s="97"/>
    </row>
    <row r="46" spans="1:43" x14ac:dyDescent="0.25">
      <c r="A46" s="157" t="s">
        <v>966</v>
      </c>
      <c r="B46" s="66">
        <f t="shared" si="28"/>
        <v>-12203.380000000001</v>
      </c>
      <c r="C46" s="66">
        <f t="shared" si="28"/>
        <v>5222.4199999999983</v>
      </c>
      <c r="D46" s="66">
        <f t="shared" si="28"/>
        <v>17346</v>
      </c>
      <c r="E46" s="66">
        <f t="shared" si="28"/>
        <v>22342.229999999996</v>
      </c>
      <c r="F46" s="66">
        <f t="shared" si="28"/>
        <v>43763.67</v>
      </c>
      <c r="G46" s="66">
        <f t="shared" si="28"/>
        <v>43343.33</v>
      </c>
      <c r="H46" s="66">
        <f t="shared" si="28"/>
        <v>17559.09</v>
      </c>
      <c r="I46" s="66">
        <f t="shared" si="28"/>
        <v>33763.06</v>
      </c>
      <c r="J46" s="66">
        <f t="shared" si="28"/>
        <v>36650.520000000004</v>
      </c>
      <c r="K46" s="66">
        <f t="shared" si="28"/>
        <v>29692.18</v>
      </c>
      <c r="L46" s="66">
        <f t="shared" si="28"/>
        <v>2158.2599999999984</v>
      </c>
      <c r="M46" s="66">
        <f t="shared" si="28"/>
        <v>30186.78</v>
      </c>
      <c r="N46" s="66">
        <f t="shared" si="28"/>
        <v>9581.48</v>
      </c>
      <c r="O46" s="66">
        <f t="shared" si="28"/>
        <v>7901.5200000000023</v>
      </c>
      <c r="P46" s="66">
        <f t="shared" si="28"/>
        <v>47972.42</v>
      </c>
      <c r="R46" s="69">
        <f t="shared" si="18"/>
        <v>269824.16000000003</v>
      </c>
      <c r="S46" s="69">
        <f t="shared" si="19"/>
        <v>324914.54000000004</v>
      </c>
      <c r="U46" s="80"/>
      <c r="V46" s="88"/>
      <c r="W46" s="97"/>
      <c r="Y46" s="66">
        <f t="shared" si="29"/>
        <v>23114.837553085861</v>
      </c>
      <c r="Z46" s="66">
        <f t="shared" si="29"/>
        <v>23114.837553085861</v>
      </c>
      <c r="AA46" s="66">
        <f t="shared" si="29"/>
        <v>58814.837553085868</v>
      </c>
      <c r="AB46" s="66">
        <f t="shared" si="29"/>
        <v>23114.837553085861</v>
      </c>
      <c r="AC46" s="66">
        <f t="shared" si="29"/>
        <v>23114.837553085861</v>
      </c>
      <c r="AD46" s="66">
        <f t="shared" si="29"/>
        <v>58814.837553085868</v>
      </c>
      <c r="AE46" s="66">
        <f t="shared" si="29"/>
        <v>23114.837553085861</v>
      </c>
      <c r="AF46" s="66">
        <f t="shared" si="29"/>
        <v>23114.837553085861</v>
      </c>
      <c r="AG46" s="66">
        <f t="shared" si="29"/>
        <v>58814.837553085868</v>
      </c>
      <c r="AH46" s="66">
        <f t="shared" si="29"/>
        <v>21409.934324170201</v>
      </c>
      <c r="AI46" s="66">
        <f t="shared" si="29"/>
        <v>21409.934324170201</v>
      </c>
      <c r="AJ46" s="66">
        <f t="shared" si="29"/>
        <v>60947.192396459366</v>
      </c>
      <c r="AL46" s="69">
        <f t="shared" si="30"/>
        <v>418900.59902257257</v>
      </c>
      <c r="AN46" s="80"/>
      <c r="AO46" s="88"/>
      <c r="AP46" s="91"/>
      <c r="AQ46" s="97"/>
    </row>
    <row r="47" spans="1:43" x14ac:dyDescent="0.25">
      <c r="A47" s="157" t="s">
        <v>113</v>
      </c>
      <c r="B47" s="66">
        <f t="shared" si="28"/>
        <v>4466</v>
      </c>
      <c r="C47" s="66">
        <f t="shared" si="28"/>
        <v>4466</v>
      </c>
      <c r="D47" s="66">
        <f t="shared" si="28"/>
        <v>21161.66</v>
      </c>
      <c r="E47" s="66">
        <f t="shared" si="28"/>
        <v>3237</v>
      </c>
      <c r="F47" s="66">
        <f t="shared" si="28"/>
        <v>3237</v>
      </c>
      <c r="G47" s="66">
        <f t="shared" si="28"/>
        <v>46463.88</v>
      </c>
      <c r="H47" s="66">
        <f t="shared" si="28"/>
        <v>3916</v>
      </c>
      <c r="I47" s="66">
        <f t="shared" si="28"/>
        <v>4810</v>
      </c>
      <c r="J47" s="66">
        <f t="shared" si="28"/>
        <v>44034.3</v>
      </c>
      <c r="K47" s="66">
        <f t="shared" si="28"/>
        <v>159.80999999999767</v>
      </c>
      <c r="L47" s="66">
        <f t="shared" si="28"/>
        <v>2559.75</v>
      </c>
      <c r="M47" s="66">
        <f t="shared" si="28"/>
        <v>31160.300000000003</v>
      </c>
      <c r="N47" s="66">
        <f t="shared" si="28"/>
        <v>1466.4500000000007</v>
      </c>
      <c r="O47" s="66">
        <f t="shared" si="28"/>
        <v>2990.16</v>
      </c>
      <c r="P47" s="66">
        <f t="shared" si="28"/>
        <v>35954.409999999996</v>
      </c>
      <c r="R47" s="69">
        <f t="shared" si="18"/>
        <v>169671.7</v>
      </c>
      <c r="S47" s="69">
        <f t="shared" si="19"/>
        <v>179989.06</v>
      </c>
      <c r="U47" s="80"/>
      <c r="V47" s="88"/>
      <c r="W47" s="97"/>
      <c r="Y47" s="66">
        <f t="shared" si="29"/>
        <v>692.01260301354523</v>
      </c>
      <c r="Z47" s="66">
        <f t="shared" si="29"/>
        <v>1469.9874894494187</v>
      </c>
      <c r="AA47" s="66">
        <f t="shared" si="29"/>
        <v>21723.025159795608</v>
      </c>
      <c r="AB47" s="66">
        <f t="shared" si="29"/>
        <v>1469.9874894494187</v>
      </c>
      <c r="AC47" s="66">
        <f t="shared" si="29"/>
        <v>1340.3250083767725</v>
      </c>
      <c r="AD47" s="66">
        <f t="shared" si="29"/>
        <v>22371.337565158836</v>
      </c>
      <c r="AE47" s="66">
        <f t="shared" si="29"/>
        <v>1210.6625273041273</v>
      </c>
      <c r="AF47" s="66">
        <f t="shared" si="29"/>
        <v>1081.0000462314829</v>
      </c>
      <c r="AG47" s="66">
        <f t="shared" si="29"/>
        <v>22112.012603013547</v>
      </c>
      <c r="AH47" s="66">
        <f t="shared" si="29"/>
        <v>692.01260301354523</v>
      </c>
      <c r="AI47" s="66">
        <f t="shared" si="29"/>
        <v>432.68764086825286</v>
      </c>
      <c r="AJ47" s="66">
        <f t="shared" si="29"/>
        <v>22246.000046231482</v>
      </c>
      <c r="AL47" s="69">
        <f t="shared" si="30"/>
        <v>96841.050781906044</v>
      </c>
      <c r="AN47" s="80"/>
      <c r="AO47" s="88"/>
      <c r="AP47" s="91"/>
      <c r="AQ47" s="97"/>
    </row>
    <row r="48" spans="1:43" x14ac:dyDescent="0.25">
      <c r="A48" s="157" t="s">
        <v>967</v>
      </c>
      <c r="B48" s="66">
        <f t="shared" si="28"/>
        <v>8292.8299999999908</v>
      </c>
      <c r="C48" s="66">
        <f t="shared" si="28"/>
        <v>7284.3699999999953</v>
      </c>
      <c r="D48" s="66">
        <f t="shared" si="28"/>
        <v>-43039.619999999995</v>
      </c>
      <c r="E48" s="66">
        <f t="shared" si="28"/>
        <v>17221.589999999989</v>
      </c>
      <c r="F48" s="66">
        <f t="shared" si="28"/>
        <v>54875.549999999996</v>
      </c>
      <c r="G48" s="66">
        <f t="shared" si="28"/>
        <v>19080.679999999993</v>
      </c>
      <c r="H48" s="66">
        <f t="shared" si="28"/>
        <v>14206.729999999989</v>
      </c>
      <c r="I48" s="66">
        <f t="shared" si="28"/>
        <v>23989.520000000004</v>
      </c>
      <c r="J48" s="66">
        <f t="shared" si="28"/>
        <v>8391.4899999999907</v>
      </c>
      <c r="K48" s="66">
        <f t="shared" si="28"/>
        <v>174.31999999999971</v>
      </c>
      <c r="L48" s="66">
        <f t="shared" si="28"/>
        <v>12346.71</v>
      </c>
      <c r="M48" s="66">
        <f t="shared" si="28"/>
        <v>11486.489999999991</v>
      </c>
      <c r="N48" s="66">
        <f t="shared" si="28"/>
        <v>13390.650000000001</v>
      </c>
      <c r="O48" s="66">
        <f t="shared" si="28"/>
        <v>13229.489999999998</v>
      </c>
      <c r="P48" s="66">
        <f t="shared" si="28"/>
        <v>16927.309999999998</v>
      </c>
      <c r="R48" s="69">
        <f t="shared" si="18"/>
        <v>134310.65999999992</v>
      </c>
      <c r="S48" s="69">
        <f t="shared" si="19"/>
        <v>205320.52999999991</v>
      </c>
      <c r="U48" s="80"/>
      <c r="V48" s="88"/>
      <c r="W48" s="97"/>
      <c r="Y48" s="66">
        <f t="shared" si="29"/>
        <v>26960.958439412963</v>
      </c>
      <c r="Z48" s="66">
        <f t="shared" si="29"/>
        <v>35797.689373107954</v>
      </c>
      <c r="AA48" s="66">
        <f t="shared" si="29"/>
        <v>22542.592972565464</v>
      </c>
      <c r="AB48" s="66">
        <f t="shared" si="29"/>
        <v>35797.689373107954</v>
      </c>
      <c r="AC48" s="66">
        <f t="shared" si="29"/>
        <v>34324.9008841588</v>
      </c>
      <c r="AD48" s="66">
        <f t="shared" si="29"/>
        <v>29906.535417311294</v>
      </c>
      <c r="AE48" s="66">
        <f t="shared" si="29"/>
        <v>32852.112395209617</v>
      </c>
      <c r="AF48" s="66">
        <f t="shared" si="29"/>
        <v>31379.323906260477</v>
      </c>
      <c r="AG48" s="66">
        <f t="shared" si="29"/>
        <v>26960.958439412963</v>
      </c>
      <c r="AH48" s="66">
        <f t="shared" si="29"/>
        <v>26960.958439412963</v>
      </c>
      <c r="AI48" s="66">
        <f t="shared" si="29"/>
        <v>24015.381461514633</v>
      </c>
      <c r="AJ48" s="66">
        <f t="shared" si="29"/>
        <v>31379.323906260477</v>
      </c>
      <c r="AL48" s="69">
        <f t="shared" si="30"/>
        <v>358878.42500773555</v>
      </c>
      <c r="AN48" s="80"/>
      <c r="AO48" s="88"/>
      <c r="AP48" s="91"/>
      <c r="AQ48" s="97"/>
    </row>
    <row r="49" spans="1:43" x14ac:dyDescent="0.25">
      <c r="A49" s="157" t="s">
        <v>975</v>
      </c>
      <c r="B49" s="66">
        <f t="shared" si="28"/>
        <v>32362.489999999983</v>
      </c>
      <c r="C49" s="66">
        <f t="shared" si="28"/>
        <v>23680.560000000005</v>
      </c>
      <c r="D49" s="66">
        <f t="shared" si="28"/>
        <v>59650.51999999999</v>
      </c>
      <c r="E49" s="66">
        <f t="shared" si="28"/>
        <v>30404.280000000021</v>
      </c>
      <c r="F49" s="66">
        <f t="shared" si="28"/>
        <v>48418.659999999974</v>
      </c>
      <c r="G49" s="66">
        <f t="shared" si="28"/>
        <v>28054.499999999993</v>
      </c>
      <c r="H49" s="66">
        <f t="shared" si="28"/>
        <v>47816.03</v>
      </c>
      <c r="I49" s="66">
        <f t="shared" si="28"/>
        <v>44755.600000000013</v>
      </c>
      <c r="J49" s="66">
        <f t="shared" si="28"/>
        <v>44011.590000000011</v>
      </c>
      <c r="K49" s="66">
        <f t="shared" si="28"/>
        <v>41803.460000000006</v>
      </c>
      <c r="L49" s="66">
        <f t="shared" si="28"/>
        <v>54871.97</v>
      </c>
      <c r="M49" s="66">
        <f t="shared" si="28"/>
        <v>45945.440000000002</v>
      </c>
      <c r="N49" s="66">
        <f t="shared" si="28"/>
        <v>40444.22</v>
      </c>
      <c r="O49" s="66">
        <f t="shared" si="28"/>
        <v>32341.009999999995</v>
      </c>
      <c r="P49" s="66">
        <f t="shared" si="28"/>
        <v>45622.220000000008</v>
      </c>
      <c r="R49" s="69">
        <f t="shared" si="18"/>
        <v>501775.10000000003</v>
      </c>
      <c r="S49" s="69">
        <f t="shared" si="19"/>
        <v>504488.98000000016</v>
      </c>
      <c r="U49" s="80"/>
      <c r="V49" s="88"/>
      <c r="W49" s="97"/>
      <c r="Y49" s="66">
        <f t="shared" si="29"/>
        <v>22159.767376400225</v>
      </c>
      <c r="Z49" s="66">
        <f t="shared" si="29"/>
        <v>37105.124492724644</v>
      </c>
      <c r="AA49" s="66">
        <f t="shared" si="29"/>
        <v>33847.688650681186</v>
      </c>
      <c r="AB49" s="66">
        <f t="shared" si="29"/>
        <v>41358.036227588062</v>
      </c>
      <c r="AC49" s="66">
        <f t="shared" si="29"/>
        <v>53742.219784764675</v>
      </c>
      <c r="AD49" s="66">
        <f t="shared" si="29"/>
        <v>54107.846730303674</v>
      </c>
      <c r="AE49" s="66">
        <f t="shared" si="29"/>
        <v>54578.448500389481</v>
      </c>
      <c r="AF49" s="66">
        <f t="shared" si="29"/>
        <v>64020.120689163145</v>
      </c>
      <c r="AG49" s="66">
        <f t="shared" si="29"/>
        <v>54909.083837746177</v>
      </c>
      <c r="AH49" s="66">
        <f t="shared" si="29"/>
        <v>51704.135407976137</v>
      </c>
      <c r="AI49" s="66">
        <f t="shared" si="29"/>
        <v>37978.129756906623</v>
      </c>
      <c r="AJ49" s="66">
        <f t="shared" si="29"/>
        <v>65221.976350326906</v>
      </c>
      <c r="AL49" s="69">
        <f t="shared" si="30"/>
        <v>570732.5778049709</v>
      </c>
      <c r="AN49" s="80"/>
      <c r="AO49" s="88"/>
      <c r="AP49" s="91"/>
      <c r="AQ49" s="97"/>
    </row>
    <row r="50" spans="1:43" x14ac:dyDescent="0.25">
      <c r="A50" s="157" t="s">
        <v>976</v>
      </c>
      <c r="B50" s="66">
        <f t="shared" si="28"/>
        <v>-21858.169999999991</v>
      </c>
      <c r="C50" s="66">
        <f t="shared" si="28"/>
        <v>-37960.159999999996</v>
      </c>
      <c r="D50" s="66">
        <f t="shared" si="28"/>
        <v>-32998.130000000005</v>
      </c>
      <c r="E50" s="66">
        <f t="shared" si="28"/>
        <v>-20729.160000000003</v>
      </c>
      <c r="F50" s="66">
        <f t="shared" si="28"/>
        <v>-14697.529999999999</v>
      </c>
      <c r="G50" s="66">
        <f t="shared" si="28"/>
        <v>-14613.150000000001</v>
      </c>
      <c r="H50" s="66">
        <f t="shared" si="28"/>
        <v>-12950.249999999993</v>
      </c>
      <c r="I50" s="66">
        <f t="shared" si="28"/>
        <v>-4831.0799999999945</v>
      </c>
      <c r="J50" s="66">
        <f t="shared" si="28"/>
        <v>-2790.1500000000015</v>
      </c>
      <c r="K50" s="66">
        <f t="shared" si="28"/>
        <v>-8174.9400000000023</v>
      </c>
      <c r="L50" s="66">
        <f t="shared" si="28"/>
        <v>4719.359999999986</v>
      </c>
      <c r="M50" s="66">
        <f t="shared" si="28"/>
        <v>-7865.8899999999958</v>
      </c>
      <c r="N50" s="66">
        <f t="shared" si="28"/>
        <v>-20877.939999999995</v>
      </c>
      <c r="O50" s="66">
        <f t="shared" si="28"/>
        <v>-13256.419999999998</v>
      </c>
      <c r="P50" s="66">
        <f t="shared" si="28"/>
        <v>-13154.660000000003</v>
      </c>
      <c r="R50" s="69">
        <f t="shared" si="18"/>
        <v>-174749.24999999997</v>
      </c>
      <c r="S50" s="69">
        <f t="shared" si="19"/>
        <v>-129221.80999999998</v>
      </c>
      <c r="U50" s="80"/>
      <c r="V50" s="88"/>
      <c r="W50" s="97"/>
      <c r="Y50" s="66">
        <f t="shared" si="29"/>
        <v>-3005.8703471897315</v>
      </c>
      <c r="Z50" s="66">
        <f t="shared" si="29"/>
        <v>-3005.8703471897315</v>
      </c>
      <c r="AA50" s="66">
        <f t="shared" si="29"/>
        <v>-3005.8703471897315</v>
      </c>
      <c r="AB50" s="66">
        <f t="shared" si="29"/>
        <v>-3005.8703471897315</v>
      </c>
      <c r="AC50" s="66">
        <f t="shared" si="29"/>
        <v>-3005.8703471897315</v>
      </c>
      <c r="AD50" s="66">
        <f t="shared" si="29"/>
        <v>-3005.8703471897315</v>
      </c>
      <c r="AE50" s="66">
        <f t="shared" si="29"/>
        <v>-3005.8703471897315</v>
      </c>
      <c r="AF50" s="66">
        <f t="shared" si="29"/>
        <v>-3005.8703471897315</v>
      </c>
      <c r="AG50" s="66">
        <f t="shared" si="29"/>
        <v>-3005.8703471897315</v>
      </c>
      <c r="AH50" s="66">
        <f t="shared" si="29"/>
        <v>-3005.8703471897315</v>
      </c>
      <c r="AI50" s="66">
        <f t="shared" si="29"/>
        <v>-3005.8703471897315</v>
      </c>
      <c r="AJ50" s="66">
        <f t="shared" si="29"/>
        <v>-3005.8703471897315</v>
      </c>
      <c r="AL50" s="69">
        <f t="shared" si="30"/>
        <v>-36070.444166276779</v>
      </c>
      <c r="AN50" s="80"/>
      <c r="AO50" s="88"/>
      <c r="AP50" s="91"/>
      <c r="AQ50" s="97"/>
    </row>
    <row r="51" spans="1:43" x14ac:dyDescent="0.25">
      <c r="A51" s="158" t="s">
        <v>981</v>
      </c>
      <c r="B51" s="74">
        <f>SUM(B44:B50)</f>
        <v>56744.720000000023</v>
      </c>
      <c r="C51" s="74">
        <f>SUM(C44:C50)</f>
        <v>82133.780000000144</v>
      </c>
      <c r="D51" s="74">
        <f>SUM(D44:D50)</f>
        <v>282342.35000000009</v>
      </c>
      <c r="E51" s="74">
        <f>SUM(E44:E50)</f>
        <v>265245.22999999986</v>
      </c>
      <c r="F51" s="74">
        <f t="shared" ref="F51:P51" si="31">SUM(F44:F50)</f>
        <v>456959.51000000036</v>
      </c>
      <c r="G51" s="74">
        <f t="shared" si="31"/>
        <v>401113.59999999928</v>
      </c>
      <c r="H51" s="74">
        <f t="shared" si="31"/>
        <v>279977.88000000012</v>
      </c>
      <c r="I51" s="74">
        <f t="shared" si="31"/>
        <v>423757.140000001</v>
      </c>
      <c r="J51" s="74">
        <f t="shared" si="31"/>
        <v>417484.70999999996</v>
      </c>
      <c r="K51" s="74">
        <f t="shared" si="31"/>
        <v>295494.30999999965</v>
      </c>
      <c r="L51" s="74">
        <f t="shared" si="31"/>
        <v>286107.66999999934</v>
      </c>
      <c r="M51" s="74">
        <f t="shared" si="31"/>
        <v>281703.92000000016</v>
      </c>
      <c r="N51" s="74">
        <f t="shared" si="31"/>
        <v>224365.54999999987</v>
      </c>
      <c r="O51" s="74">
        <f t="shared" si="31"/>
        <v>232384.66000000021</v>
      </c>
      <c r="P51" s="74">
        <f t="shared" si="31"/>
        <v>341669.20999999915</v>
      </c>
      <c r="R51" s="68">
        <f t="shared" si="18"/>
        <v>3529064.8199999994</v>
      </c>
      <c r="S51" s="68">
        <f t="shared" si="19"/>
        <v>3906263.3899999987</v>
      </c>
      <c r="U51" s="80"/>
      <c r="V51" s="88"/>
      <c r="W51" s="98">
        <v>0.28000000000000003</v>
      </c>
      <c r="Y51" s="74">
        <f>SUM(Y44:Y50)</f>
        <v>294176.13813546154</v>
      </c>
      <c r="Z51" s="74">
        <f t="shared" ref="Z51:AJ51" si="32">SUM(Z44:Z50)</f>
        <v>318736.20107191685</v>
      </c>
      <c r="AA51" s="74">
        <f t="shared" si="32"/>
        <v>443599.66649967706</v>
      </c>
      <c r="AB51" s="74">
        <f t="shared" si="32"/>
        <v>322989.11280678026</v>
      </c>
      <c r="AC51" s="74">
        <f t="shared" si="32"/>
        <v>333770.8453939351</v>
      </c>
      <c r="AD51" s="74">
        <f t="shared" si="32"/>
        <v>471872.07942940865</v>
      </c>
      <c r="AE51" s="74">
        <f t="shared" si="32"/>
        <v>333004.62313953805</v>
      </c>
      <c r="AF51" s="74">
        <f t="shared" si="32"/>
        <v>340843.84435828996</v>
      </c>
      <c r="AG51" s="74">
        <f t="shared" si="32"/>
        <v>469468.41459680756</v>
      </c>
      <c r="AH51" s="74">
        <f t="shared" si="32"/>
        <v>304372.60293812177</v>
      </c>
      <c r="AI51" s="74">
        <f t="shared" si="32"/>
        <v>287441.69534700864</v>
      </c>
      <c r="AJ51" s="74">
        <f t="shared" si="32"/>
        <v>508038.57486282714</v>
      </c>
      <c r="AL51" s="68">
        <f>SUM(Y51:AJ51)</f>
        <v>4428313.7985797729</v>
      </c>
      <c r="AN51" s="80"/>
      <c r="AO51" s="88"/>
      <c r="AP51" s="91"/>
      <c r="AQ51" s="98"/>
    </row>
    <row r="52" spans="1:43" x14ac:dyDescent="0.25">
      <c r="A52" s="158" t="s">
        <v>982</v>
      </c>
      <c r="B52" s="74">
        <f>-'Other - Admin'!B4</f>
        <v>-151275.34000000003</v>
      </c>
      <c r="C52" s="74">
        <f>-'Other - Admin'!C4</f>
        <v>-179688.80000000002</v>
      </c>
      <c r="D52" s="74">
        <f>-'Other - Admin'!D4</f>
        <v>-212169.49999999997</v>
      </c>
      <c r="E52" s="74">
        <f>-'Other - Admin'!E4</f>
        <v>-165344.91999999981</v>
      </c>
      <c r="F52" s="74">
        <f>-'Other - Admin'!F4</f>
        <v>-190870.14</v>
      </c>
      <c r="G52" s="74">
        <f>-'Other - Admin'!G4</f>
        <v>-219482.11999999994</v>
      </c>
      <c r="H52" s="74">
        <f>-'Other - Admin'!H4</f>
        <v>-218427.28999999995</v>
      </c>
      <c r="I52" s="74">
        <f>-'Other - Admin'!I4</f>
        <v>-199854.25000000012</v>
      </c>
      <c r="J52" s="74">
        <f>-'Other - Admin'!J4</f>
        <v>-188467.02000000005</v>
      </c>
      <c r="K52" s="74">
        <f>-'Other - Admin'!K4</f>
        <v>-201296.07000000004</v>
      </c>
      <c r="L52" s="74">
        <f>-'Other - Admin'!L4</f>
        <v>-200693.35000000003</v>
      </c>
      <c r="M52" s="74">
        <f>-'Other - Admin'!M4</f>
        <v>-196989.33000000005</v>
      </c>
      <c r="N52" s="74">
        <f>-'Other - Admin'!N4</f>
        <v>-214047.11000000007</v>
      </c>
      <c r="O52" s="74">
        <f>-'Other - Admin'!O4</f>
        <v>-206020.68</v>
      </c>
      <c r="P52" s="74">
        <f>-'Other - Admin'!P4</f>
        <v>-187535.90000000008</v>
      </c>
      <c r="R52" s="68">
        <f t="shared" si="18"/>
        <v>-2324558.13</v>
      </c>
      <c r="S52" s="68">
        <f t="shared" si="19"/>
        <v>-2389028.1800000002</v>
      </c>
      <c r="U52" s="80"/>
      <c r="V52" s="88"/>
      <c r="W52" s="97"/>
      <c r="Y52" s="74">
        <f>-'Other - Admin'!E20</f>
        <v>-198915.12452138335</v>
      </c>
      <c r="Z52" s="74">
        <f>-'Other - Admin'!F20</f>
        <v>-196326.53511548741</v>
      </c>
      <c r="AA52" s="74">
        <f>-'Other - Admin'!G20</f>
        <v>-193327.41505438602</v>
      </c>
      <c r="AB52" s="74">
        <f>-'Other - Admin'!H20</f>
        <v>-194231.29748219447</v>
      </c>
      <c r="AC52" s="74">
        <f>-'Other - Admin'!I20</f>
        <v>-195553.71700607982</v>
      </c>
      <c r="AD52" s="74">
        <f>-'Other - Admin'!J20</f>
        <v>-196345.09215967884</v>
      </c>
      <c r="AE52" s="74">
        <f>-'Other - Admin'!K20</f>
        <v>-199265.28565356304</v>
      </c>
      <c r="AF52" s="74">
        <f>-'Other - Admin'!L20</f>
        <v>-196524.55789019007</v>
      </c>
      <c r="AG52" s="74">
        <f>-'Other - Admin'!M20</f>
        <v>-193665.09189193745</v>
      </c>
      <c r="AH52" s="74">
        <f>-'Other - Admin'!N20</f>
        <v>-198881.74357588988</v>
      </c>
      <c r="AI52" s="74">
        <f>-'Other - Admin'!O20</f>
        <v>-199503.24155091945</v>
      </c>
      <c r="AJ52" s="74">
        <f>-'Other - Admin'!P20</f>
        <v>-196397.03654173171</v>
      </c>
      <c r="AL52" s="68">
        <f>SUM(Y52:AJ52)</f>
        <v>-2358936.1384434411</v>
      </c>
      <c r="AN52" s="80"/>
      <c r="AO52" s="88"/>
      <c r="AP52" s="92"/>
      <c r="AQ52" s="98">
        <f>-AL52/AL33</f>
        <v>0.31539104827065512</v>
      </c>
    </row>
    <row r="53" spans="1:43" ht="15.75" thickBot="1" x14ac:dyDescent="0.3">
      <c r="A53" s="158" t="s">
        <v>983</v>
      </c>
      <c r="B53" s="84">
        <f>B23+B24+B51+B52</f>
        <v>-247451.44</v>
      </c>
      <c r="C53" s="84">
        <f>C23+C24+C51+C52</f>
        <v>-234533.73000000007</v>
      </c>
      <c r="D53" s="84">
        <f>D23+D24+D51+D52</f>
        <v>1057377.9707107204</v>
      </c>
      <c r="E53" s="84">
        <f>E23+E24+E51+E52</f>
        <v>-20115.429999999644</v>
      </c>
      <c r="F53" s="84">
        <f t="shared" ref="F53:O53" si="33">F23+F24+F51+F52</f>
        <v>198127.13000000059</v>
      </c>
      <c r="G53" s="84">
        <f t="shared" si="33"/>
        <v>836592.91999999876</v>
      </c>
      <c r="H53" s="84">
        <f t="shared" si="33"/>
        <v>-299741.42000000004</v>
      </c>
      <c r="I53" s="84">
        <f t="shared" si="33"/>
        <v>99191.670000001322</v>
      </c>
      <c r="J53" s="84">
        <f t="shared" si="33"/>
        <v>553091.78000000038</v>
      </c>
      <c r="K53" s="84">
        <f t="shared" si="33"/>
        <v>-39514.607281554112</v>
      </c>
      <c r="L53" s="84">
        <f t="shared" si="33"/>
        <v>115420.62161870493</v>
      </c>
      <c r="M53" s="84">
        <f t="shared" si="33"/>
        <v>325416.76999999944</v>
      </c>
      <c r="N53" s="84">
        <f t="shared" si="33"/>
        <v>-127167.38000000015</v>
      </c>
      <c r="O53" s="84">
        <f t="shared" si="33"/>
        <v>-42353.399999999208</v>
      </c>
      <c r="P53" s="84">
        <f>P23+P24+P51+P52</f>
        <v>488738.45165217266</v>
      </c>
      <c r="Q53" s="84"/>
      <c r="R53" s="85">
        <f>SUM(B53:M53)</f>
        <v>2343862.2350478722</v>
      </c>
      <c r="S53" s="85">
        <f>SUM(E53:P53)</f>
        <v>2087687.1059893251</v>
      </c>
      <c r="U53" s="80"/>
      <c r="V53" s="88"/>
      <c r="W53" s="98"/>
      <c r="Y53" s="84">
        <f>Y23+Y24+Y51+Y52</f>
        <v>-6997.8613551250601</v>
      </c>
      <c r="Z53" s="84">
        <f t="shared" ref="Z53:AJ53" si="34">Z23+Z24+Z51+Z52</f>
        <v>182168.82578137284</v>
      </c>
      <c r="AA53" s="84">
        <f t="shared" si="34"/>
        <v>552506.40130888135</v>
      </c>
      <c r="AB53" s="84">
        <f t="shared" si="34"/>
        <v>223686.46664142332</v>
      </c>
      <c r="AC53" s="84">
        <f t="shared" si="34"/>
        <v>221443.69491777211</v>
      </c>
      <c r="AD53" s="84">
        <f t="shared" si="34"/>
        <v>649637.03922307445</v>
      </c>
      <c r="AE53" s="84">
        <f t="shared" si="34"/>
        <v>173934.06245481619</v>
      </c>
      <c r="AF53" s="84">
        <f t="shared" si="34"/>
        <v>246799.50385939141</v>
      </c>
      <c r="AG53" s="84">
        <f t="shared" si="34"/>
        <v>564070.63876605243</v>
      </c>
      <c r="AH53" s="84">
        <f t="shared" si="34"/>
        <v>30021.191208490141</v>
      </c>
      <c r="AI53" s="84">
        <f t="shared" si="34"/>
        <v>-25505.466801988514</v>
      </c>
      <c r="AJ53" s="84">
        <f t="shared" si="34"/>
        <v>711375.06695156882</v>
      </c>
      <c r="AK53" s="84"/>
      <c r="AL53" s="85">
        <f>SUM(Y53:AJ53)</f>
        <v>3523139.5629557297</v>
      </c>
      <c r="AN53" s="80"/>
      <c r="AO53" s="88"/>
      <c r="AP53" s="92">
        <f>(AL53-R53)/R53</f>
        <v>0.50313423300826865</v>
      </c>
      <c r="AQ53" s="98"/>
    </row>
    <row r="54" spans="1:43" ht="15.75" thickTop="1" x14ac:dyDescent="0.25">
      <c r="U54" s="81"/>
      <c r="V54" s="81"/>
      <c r="AN54" s="81"/>
      <c r="AO54" s="81"/>
    </row>
    <row r="55" spans="1:43" hidden="1" outlineLevel="1" x14ac:dyDescent="0.25">
      <c r="A55" s="158" t="s">
        <v>984</v>
      </c>
      <c r="B55" s="66">
        <f>[1]Overall!B13</f>
        <v>-238126.20999999996</v>
      </c>
      <c r="C55" s="66">
        <f>[1]Overall!C13</f>
        <v>-233334.39507999999</v>
      </c>
      <c r="D55" s="66">
        <f>[1]Overall!D13</f>
        <v>547210.55232000002</v>
      </c>
      <c r="E55" s="66">
        <f>[1]Overall!E13</f>
        <v>-155744.43464875483</v>
      </c>
      <c r="F55" s="66">
        <f>[1]Overall!F13</f>
        <v>421.97167228662875</v>
      </c>
      <c r="G55" s="66">
        <f>[1]Overall!G13</f>
        <v>701691.94940448995</v>
      </c>
      <c r="H55" s="66">
        <f>[1]Overall!H13</f>
        <v>115610.45873632538</v>
      </c>
      <c r="I55" s="66">
        <f>[1]Overall!I13</f>
        <v>170847.79206965864</v>
      </c>
      <c r="J55" s="66">
        <f>[1]Overall!J13</f>
        <v>777657.19206965854</v>
      </c>
      <c r="K55" s="66">
        <f>[1]Overall!K13</f>
        <v>126787.72540299199</v>
      </c>
      <c r="L55" s="66">
        <f>[1]Overall!L13</f>
        <v>117314.72540299199</v>
      </c>
      <c r="M55" s="66">
        <f>[1]Overall!M13</f>
        <v>722439.98095854744</v>
      </c>
      <c r="N55" s="66">
        <f>[1]Overall!N13</f>
        <v>47240.380958547583</v>
      </c>
      <c r="O55" s="66">
        <f>[1]Overall!O13</f>
        <v>70251.735625214293</v>
      </c>
      <c r="P55" s="66">
        <f>[1]Overall!P13</f>
        <v>854130.42762521422</v>
      </c>
      <c r="U55" s="80"/>
      <c r="V55" s="81"/>
      <c r="AA55" s="66">
        <f>'FEF Incentive Forecast FY2025'!D34+'LEF Incentive Forecast FY2025'!G28</f>
        <v>581550</v>
      </c>
      <c r="AD55" s="66">
        <f>'FEF Incentive Forecast FY2025'!H34+'LEF Incentive Forecast FY2025'!K28</f>
        <v>570300</v>
      </c>
      <c r="AG55" s="66">
        <f>'FEF Incentive Forecast FY2025'!L34+'LEF Incentive Forecast FY2025'!O28</f>
        <v>560300</v>
      </c>
      <c r="AJ55" s="66">
        <f>'FEF Incentive Forecast FY2025'!P34+'LEF Incentive Forecast FY2025'!S28</f>
        <v>553600</v>
      </c>
      <c r="AL55" s="66">
        <f>SUM(Y55:AJ55)</f>
        <v>2265750</v>
      </c>
      <c r="AN55" s="80"/>
      <c r="AO55" s="81"/>
    </row>
    <row r="56" spans="1:43" hidden="1" outlineLevel="1" x14ac:dyDescent="0.25">
      <c r="U56" s="80"/>
      <c r="V56" s="81"/>
      <c r="Y56" s="66">
        <f t="shared" ref="Y56:AJ56" si="35">Y53-Y55</f>
        <v>-6997.8613551250601</v>
      </c>
      <c r="Z56" s="66">
        <f t="shared" si="35"/>
        <v>182168.82578137284</v>
      </c>
      <c r="AA56" s="66">
        <f t="shared" si="35"/>
        <v>-29043.598691118648</v>
      </c>
      <c r="AB56" s="66">
        <f t="shared" si="35"/>
        <v>223686.46664142332</v>
      </c>
      <c r="AC56" s="66">
        <f t="shared" si="35"/>
        <v>221443.69491777211</v>
      </c>
      <c r="AD56" s="66">
        <f t="shared" si="35"/>
        <v>79337.039223074447</v>
      </c>
      <c r="AE56" s="66">
        <f t="shared" si="35"/>
        <v>173934.06245481619</v>
      </c>
      <c r="AF56" s="66">
        <f t="shared" si="35"/>
        <v>246799.50385939141</v>
      </c>
      <c r="AG56" s="66">
        <f t="shared" si="35"/>
        <v>3770.6387660524342</v>
      </c>
      <c r="AH56" s="66">
        <f t="shared" si="35"/>
        <v>30021.191208490141</v>
      </c>
      <c r="AI56" s="66">
        <f t="shared" si="35"/>
        <v>-25505.466801988514</v>
      </c>
      <c r="AJ56" s="66">
        <f t="shared" si="35"/>
        <v>157775.06695156882</v>
      </c>
      <c r="AL56" s="66">
        <f>AL53-AL55</f>
        <v>1257389.5629557297</v>
      </c>
      <c r="AN56" s="80"/>
      <c r="AO56" s="81"/>
    </row>
    <row r="57" spans="1:43" hidden="1" outlineLevel="1" x14ac:dyDescent="0.25">
      <c r="A57" s="158" t="s">
        <v>985</v>
      </c>
      <c r="B57" s="66">
        <f>B53-B55</f>
        <v>-9325.2300000000396</v>
      </c>
      <c r="C57" s="66">
        <f t="shared" ref="C57:P57" si="36">C53-C55</f>
        <v>-1199.3349200000812</v>
      </c>
      <c r="D57" s="66">
        <f t="shared" si="36"/>
        <v>510167.41839072038</v>
      </c>
      <c r="E57" s="66">
        <f t="shared" si="36"/>
        <v>135629.00464875519</v>
      </c>
      <c r="F57" s="66">
        <f t="shared" si="36"/>
        <v>197705.15832771396</v>
      </c>
      <c r="G57" s="66">
        <f t="shared" si="36"/>
        <v>134900.97059550881</v>
      </c>
      <c r="H57" s="66">
        <f t="shared" si="36"/>
        <v>-415351.87873632542</v>
      </c>
      <c r="I57" s="66">
        <f t="shared" si="36"/>
        <v>-71656.122069657315</v>
      </c>
      <c r="J57" s="66">
        <f t="shared" si="36"/>
        <v>-224565.41206965817</v>
      </c>
      <c r="K57" s="66">
        <f t="shared" si="36"/>
        <v>-166302.3326845461</v>
      </c>
      <c r="L57" s="66">
        <f t="shared" si="36"/>
        <v>-1894.1037842870574</v>
      </c>
      <c r="M57" s="66">
        <f t="shared" si="36"/>
        <v>-397023.21095854801</v>
      </c>
      <c r="N57" s="66">
        <f t="shared" si="36"/>
        <v>-174407.76095854773</v>
      </c>
      <c r="O57" s="66">
        <f t="shared" si="36"/>
        <v>-112605.1356252135</v>
      </c>
      <c r="P57" s="66">
        <f t="shared" si="36"/>
        <v>-365391.97597304155</v>
      </c>
      <c r="U57" s="80"/>
      <c r="V57" s="81"/>
      <c r="Y57" s="3">
        <f>Y56/$AL$58</f>
        <v>-6.678466144104403E-2</v>
      </c>
      <c r="Z57" s="3">
        <f t="shared" ref="Z57:AJ57" si="37">Z56/$AL$58</f>
        <v>1.7385430687350472</v>
      </c>
      <c r="AA57" s="3">
        <f t="shared" si="37"/>
        <v>-0.27717995644417054</v>
      </c>
      <c r="AB57" s="3">
        <f t="shared" si="37"/>
        <v>2.1347700655215212</v>
      </c>
      <c r="AC57" s="3">
        <f t="shared" si="37"/>
        <v>2.1133659903830653</v>
      </c>
      <c r="AD57" s="3">
        <f t="shared" si="37"/>
        <v>0.75715951422320904</v>
      </c>
      <c r="AE57" s="3">
        <f t="shared" si="37"/>
        <v>1.6599539322971786</v>
      </c>
      <c r="AF57" s="3">
        <f t="shared" si="37"/>
        <v>2.3553512241273222</v>
      </c>
      <c r="AG57" s="3">
        <f t="shared" si="37"/>
        <v>3.5985399056650429E-2</v>
      </c>
      <c r="AH57" s="3">
        <f t="shared" si="37"/>
        <v>0.28650969048529118</v>
      </c>
      <c r="AI57" s="3">
        <f>AI56/$AL$58</f>
        <v>-0.24341350575902479</v>
      </c>
      <c r="AJ57" s="3">
        <f t="shared" si="37"/>
        <v>1.5057392388149522</v>
      </c>
      <c r="AN57" s="80"/>
      <c r="AO57" s="81"/>
    </row>
    <row r="58" spans="1:43" hidden="1" outlineLevel="1" x14ac:dyDescent="0.25">
      <c r="A58" t="s">
        <v>986</v>
      </c>
      <c r="B58" s="3">
        <f>B57/B55</f>
        <v>3.9160871875464867E-2</v>
      </c>
      <c r="C58" s="3">
        <f t="shared" ref="C58:P58" si="38">C57/C55</f>
        <v>5.1399834113135465E-3</v>
      </c>
      <c r="D58" s="3">
        <f t="shared" si="38"/>
        <v>0.93230551974513565</v>
      </c>
      <c r="E58" s="3">
        <f t="shared" si="38"/>
        <v>-0.87084334637468563</v>
      </c>
      <c r="F58" s="3">
        <f t="shared" si="38"/>
        <v>468.52708679795126</v>
      </c>
      <c r="G58" s="3">
        <f t="shared" si="38"/>
        <v>0.19225098807246715</v>
      </c>
      <c r="H58" s="3">
        <f t="shared" si="38"/>
        <v>-3.5926842889156343</v>
      </c>
      <c r="I58" s="3">
        <f t="shared" si="38"/>
        <v>-0.41941497283407347</v>
      </c>
      <c r="J58" s="3">
        <f t="shared" si="38"/>
        <v>-0.28877172918828065</v>
      </c>
      <c r="K58" s="3">
        <f t="shared" si="38"/>
        <v>-1.3116595644882643</v>
      </c>
      <c r="L58" s="3">
        <f t="shared" si="38"/>
        <v>-1.6145490498149777E-2</v>
      </c>
      <c r="M58" s="3">
        <f t="shared" si="38"/>
        <v>-0.54955874733257404</v>
      </c>
      <c r="N58" s="3">
        <f t="shared" si="38"/>
        <v>-3.6919211365290807</v>
      </c>
      <c r="O58" s="3">
        <f t="shared" si="38"/>
        <v>-1.6028804786539395</v>
      </c>
      <c r="P58" s="3">
        <f t="shared" si="38"/>
        <v>-0.42779412154764346</v>
      </c>
      <c r="U58" s="80"/>
      <c r="V58" s="81"/>
      <c r="AL58" s="66">
        <f>AL56/12</f>
        <v>104782.46357964414</v>
      </c>
      <c r="AN58" s="80"/>
      <c r="AO58" s="81"/>
    </row>
    <row r="59" spans="1:43" hidden="1" outlineLevel="1" x14ac:dyDescent="0.25"/>
    <row r="60" spans="1:43" hidden="1" outlineLevel="1" x14ac:dyDescent="0.25">
      <c r="A60" s="158" t="s">
        <v>987</v>
      </c>
      <c r="B60" s="66">
        <v>-238125.52</v>
      </c>
      <c r="C60" s="66">
        <v>-233335.69</v>
      </c>
      <c r="D60" s="66">
        <v>1038656.91</v>
      </c>
      <c r="E60" s="66">
        <v>-23371.65</v>
      </c>
      <c r="F60" s="66">
        <v>196536.4</v>
      </c>
      <c r="G60" s="66">
        <v>836592.92</v>
      </c>
      <c r="H60" s="66">
        <v>-299234.21000000002</v>
      </c>
      <c r="I60" s="66">
        <v>99191.67</v>
      </c>
      <c r="J60" s="66">
        <v>553053.5</v>
      </c>
      <c r="K60" s="66">
        <v>-40192.800000000003</v>
      </c>
      <c r="L60" s="66">
        <v>113373.87</v>
      </c>
      <c r="M60" s="66">
        <v>323842.93</v>
      </c>
    </row>
    <row r="61" spans="1:43" hidden="1" outlineLevel="1" x14ac:dyDescent="0.25"/>
    <row r="62" spans="1:43" hidden="1" outlineLevel="1" x14ac:dyDescent="0.25">
      <c r="A62" s="158" t="s">
        <v>985</v>
      </c>
      <c r="B62" s="66">
        <f t="shared" ref="B62:M62" si="39">B53-B60</f>
        <v>-9325.9200000000128</v>
      </c>
      <c r="C62" s="66">
        <f t="shared" si="39"/>
        <v>-1198.0400000000664</v>
      </c>
      <c r="D62" s="66">
        <f t="shared" si="39"/>
        <v>18721.060710720369</v>
      </c>
      <c r="E62" s="66">
        <f t="shared" si="39"/>
        <v>3256.2200000003577</v>
      </c>
      <c r="F62" s="66">
        <f t="shared" si="39"/>
        <v>1590.7300000005926</v>
      </c>
      <c r="G62" s="66">
        <f t="shared" si="39"/>
        <v>-1.280568540096283E-9</v>
      </c>
      <c r="H62" s="66">
        <f t="shared" si="39"/>
        <v>-507.21000000002095</v>
      </c>
      <c r="I62" s="66">
        <f t="shared" si="39"/>
        <v>1.3242242857813835E-9</v>
      </c>
      <c r="J62" s="66">
        <f t="shared" si="39"/>
        <v>38.280000000377186</v>
      </c>
      <c r="K62" s="66">
        <f t="shared" si="39"/>
        <v>678.19271844589093</v>
      </c>
      <c r="L62" s="66">
        <f t="shared" si="39"/>
        <v>2046.7516187049332</v>
      </c>
      <c r="M62" s="66">
        <f t="shared" si="39"/>
        <v>1573.8399999994435</v>
      </c>
    </row>
    <row r="63" spans="1:43" collapsed="1" x14ac:dyDescent="0.25"/>
    <row r="64" spans="1:43" x14ac:dyDescent="0.25">
      <c r="A64" s="158" t="s">
        <v>988</v>
      </c>
      <c r="R64" s="94"/>
      <c r="Y64" s="3"/>
      <c r="Z64" s="3"/>
      <c r="AA64" s="3"/>
      <c r="AB64" s="3"/>
      <c r="AC64" s="3"/>
      <c r="AD64" s="3"/>
      <c r="AE64" s="3"/>
      <c r="AF64" s="3"/>
      <c r="AG64" s="3"/>
      <c r="AH64" s="3"/>
      <c r="AI64" s="3"/>
      <c r="AJ64" s="3"/>
      <c r="AL64" s="66">
        <f>AL53-'[2]Overall '!$AL$53</f>
        <v>493405.72532865312</v>
      </c>
      <c r="AN64" s="16">
        <f>AN78*AL90</f>
        <v>-161553.05318272923</v>
      </c>
    </row>
    <row r="65" spans="1:41" hidden="1" outlineLevel="1" x14ac:dyDescent="0.25">
      <c r="A65" s="156" t="s">
        <v>989</v>
      </c>
      <c r="R65" s="74"/>
      <c r="Y65" s="66">
        <f>'New Vehicles - Group'!E40-Y18</f>
        <v>0</v>
      </c>
      <c r="Z65" s="66">
        <f>'New Vehicles - Group'!F40-Z18</f>
        <v>0</v>
      </c>
      <c r="AA65" s="66">
        <f>'New Vehicles - Group'!G40-AA18</f>
        <v>0</v>
      </c>
      <c r="AB65" s="66">
        <f>'New Vehicles - Group'!H40-AB18</f>
        <v>0</v>
      </c>
      <c r="AC65" s="66">
        <f>'New Vehicles - Group'!I40-AC18</f>
        <v>0</v>
      </c>
      <c r="AD65" s="66">
        <f>'New Vehicles - Group'!J40-AD18</f>
        <v>0</v>
      </c>
      <c r="AE65" s="66">
        <f>'New Vehicles - Group'!K40-AE18</f>
        <v>0</v>
      </c>
      <c r="AF65" s="66">
        <f>'New Vehicles - Group'!L40-AF18</f>
        <v>0</v>
      </c>
      <c r="AG65" s="66">
        <f>'New Vehicles - Group'!M40-AG18</f>
        <v>0</v>
      </c>
      <c r="AH65" s="66">
        <f>'New Vehicles - Group'!N40-AH18</f>
        <v>0</v>
      </c>
      <c r="AI65" s="66">
        <f>'New Vehicles - Group'!O40-AI18</f>
        <v>0</v>
      </c>
      <c r="AJ65" s="66">
        <f>'New Vehicles - Group'!P40-AJ18</f>
        <v>0</v>
      </c>
    </row>
    <row r="66" spans="1:41" hidden="1" outlineLevel="1" x14ac:dyDescent="0.25">
      <c r="A66" s="157" t="s">
        <v>990</v>
      </c>
      <c r="E66" s="93"/>
      <c r="F66" s="93"/>
      <c r="G66" s="93"/>
      <c r="H66" s="93"/>
      <c r="I66" s="93"/>
      <c r="L66" s="93"/>
      <c r="M66" s="93"/>
      <c r="N66" s="93"/>
      <c r="O66" s="93"/>
      <c r="P66" s="93"/>
      <c r="Y66" s="66">
        <f>'Used Vehicles - Group'!E50-'Overall '!Y19</f>
        <v>0</v>
      </c>
      <c r="Z66" s="66">
        <f>'Used Vehicles - Group'!F50-'Overall '!Z19</f>
        <v>0</v>
      </c>
      <c r="AA66" s="66">
        <f>'Used Vehicles - Group'!G50-'Overall '!AA19</f>
        <v>0</v>
      </c>
      <c r="AB66" s="66">
        <f>'Used Vehicles - Group'!H50-'Overall '!AB19</f>
        <v>0</v>
      </c>
      <c r="AC66" s="66">
        <f>'Used Vehicles - Group'!I50-'Overall '!AC19</f>
        <v>0</v>
      </c>
      <c r="AD66" s="66">
        <f>'Used Vehicles - Group'!J50-'Overall '!AD19</f>
        <v>0</v>
      </c>
      <c r="AE66" s="66">
        <f>'Used Vehicles - Group'!K50-'Overall '!AE19</f>
        <v>0</v>
      </c>
      <c r="AF66" s="66">
        <f>'Used Vehicles - Group'!L50-'Overall '!AF19</f>
        <v>0</v>
      </c>
      <c r="AG66" s="66">
        <f>'Used Vehicles - Group'!M50-'Overall '!AG19</f>
        <v>0</v>
      </c>
      <c r="AH66" s="66">
        <f>'Used Vehicles - Group'!N50-'Overall '!AH19</f>
        <v>0</v>
      </c>
      <c r="AI66" s="66">
        <f>'Used Vehicles - Group'!O50-'Overall '!AI19</f>
        <v>0</v>
      </c>
      <c r="AJ66" s="66">
        <f>'Used Vehicles - Group'!P50-'Overall '!AJ19</f>
        <v>0</v>
      </c>
    </row>
    <row r="67" spans="1:41" hidden="1" outlineLevel="1" x14ac:dyDescent="0.25">
      <c r="A67" s="157" t="s">
        <v>966</v>
      </c>
      <c r="E67" s="93"/>
      <c r="F67" s="93"/>
      <c r="G67" s="93"/>
      <c r="H67" s="93"/>
      <c r="I67" s="93"/>
      <c r="L67" s="93"/>
      <c r="M67" s="93"/>
      <c r="N67" s="93"/>
      <c r="O67" s="93"/>
      <c r="P67" s="93"/>
      <c r="Y67" s="66">
        <f>'F&amp;I'!E30-'Overall '!Y20</f>
        <v>0</v>
      </c>
      <c r="Z67" s="66">
        <f>'F&amp;I'!F30-'Overall '!Z20</f>
        <v>0</v>
      </c>
      <c r="AA67" s="66">
        <f>'F&amp;I'!G30-'Overall '!AA20</f>
        <v>0</v>
      </c>
      <c r="AB67" s="66">
        <f>'F&amp;I'!H30-'Overall '!AB20</f>
        <v>0</v>
      </c>
      <c r="AC67" s="66">
        <f>'F&amp;I'!I30-'Overall '!AC20</f>
        <v>0</v>
      </c>
      <c r="AD67" s="66">
        <f>'F&amp;I'!J30-'Overall '!AD20</f>
        <v>0</v>
      </c>
      <c r="AE67" s="66">
        <f>'F&amp;I'!K30-'Overall '!AE20</f>
        <v>0</v>
      </c>
      <c r="AF67" s="66">
        <f>'F&amp;I'!L30-'Overall '!AF20</f>
        <v>0</v>
      </c>
      <c r="AG67" s="66">
        <f>'F&amp;I'!M30-'Overall '!AG20</f>
        <v>0</v>
      </c>
      <c r="AH67" s="66">
        <f>'F&amp;I'!N30-'Overall '!AH20</f>
        <v>0</v>
      </c>
      <c r="AI67" s="66">
        <f>'F&amp;I'!O30-'Overall '!AI20</f>
        <v>0</v>
      </c>
      <c r="AJ67" s="66">
        <f>'F&amp;I'!P30-'Overall '!AJ20</f>
        <v>0</v>
      </c>
    </row>
    <row r="68" spans="1:41" hidden="1" outlineLevel="1" x14ac:dyDescent="0.25">
      <c r="A68" s="157" t="s">
        <v>113</v>
      </c>
      <c r="E68" s="93"/>
      <c r="F68" s="93"/>
      <c r="G68" s="93"/>
      <c r="H68" s="93"/>
      <c r="I68" s="93"/>
      <c r="L68" s="93"/>
      <c r="M68" s="93"/>
      <c r="N68" s="93"/>
      <c r="O68" s="93"/>
      <c r="P68" s="93"/>
      <c r="Y68" s="66">
        <f>'Parts - Group '!E42-Y21</f>
        <v>0</v>
      </c>
      <c r="Z68" s="66">
        <f>'Parts - Group '!F42-Z21</f>
        <v>0</v>
      </c>
      <c r="AA68" s="66">
        <f>'Parts - Group '!G42-AA21</f>
        <v>0</v>
      </c>
      <c r="AB68" s="66">
        <f>'Parts - Group '!H42-AB21</f>
        <v>0</v>
      </c>
      <c r="AC68" s="66">
        <f>'Parts - Group '!I42-AC21</f>
        <v>0</v>
      </c>
      <c r="AD68" s="66">
        <f>'Parts - Group '!J42-AD21</f>
        <v>0</v>
      </c>
      <c r="AE68" s="66">
        <f>'Parts - Group '!K42-AE21</f>
        <v>0</v>
      </c>
      <c r="AF68" s="66">
        <f>'Parts - Group '!L42-AF21</f>
        <v>0</v>
      </c>
      <c r="AG68" s="66">
        <f>'Parts - Group '!M42-AG21</f>
        <v>0</v>
      </c>
      <c r="AH68" s="66">
        <f>'Parts - Group '!N42-AH21</f>
        <v>0</v>
      </c>
      <c r="AI68" s="66">
        <f>'Parts - Group '!O42-AI21</f>
        <v>0</v>
      </c>
      <c r="AJ68" s="66">
        <f>'Parts - Group '!P42-AJ21</f>
        <v>0</v>
      </c>
    </row>
    <row r="69" spans="1:41" hidden="1" outlineLevel="1" x14ac:dyDescent="0.25">
      <c r="A69" s="157" t="s">
        <v>967</v>
      </c>
      <c r="E69" s="93"/>
      <c r="F69" s="93"/>
      <c r="G69" s="93"/>
      <c r="H69" s="93"/>
      <c r="I69" s="93"/>
      <c r="L69" s="93"/>
      <c r="M69" s="93"/>
      <c r="N69" s="93"/>
      <c r="O69" s="93"/>
      <c r="P69" s="93"/>
      <c r="Y69" s="66">
        <f>'Service - Group '!E38-Y22</f>
        <v>0</v>
      </c>
      <c r="Z69" s="66">
        <f>'Service - Group '!F38-Z22</f>
        <v>0</v>
      </c>
      <c r="AA69" s="66">
        <f>'Service - Group '!G38-AA22</f>
        <v>0</v>
      </c>
      <c r="AB69" s="66">
        <f>'Service - Group '!H38-AB22</f>
        <v>0</v>
      </c>
      <c r="AC69" s="66">
        <f>'Service - Group '!I38-AC22</f>
        <v>0</v>
      </c>
      <c r="AD69" s="66">
        <f>'Service - Group '!J38-AD22</f>
        <v>0</v>
      </c>
      <c r="AE69" s="66">
        <f>'Service - Group '!K38-AE22</f>
        <v>0</v>
      </c>
      <c r="AF69" s="66">
        <f>'Service - Group '!L38-AF22</f>
        <v>0</v>
      </c>
      <c r="AG69" s="66">
        <f>'Service - Group '!M38-AG22</f>
        <v>0</v>
      </c>
      <c r="AH69" s="66">
        <f>'Service - Group '!N38-AH22</f>
        <v>0</v>
      </c>
      <c r="AI69" s="66">
        <f>'Service - Group '!O38-AI22</f>
        <v>0</v>
      </c>
      <c r="AJ69" s="66">
        <f>'Service - Group '!P38-AJ22</f>
        <v>0</v>
      </c>
    </row>
    <row r="70" spans="1:41" hidden="1" outlineLevel="1" x14ac:dyDescent="0.25">
      <c r="A70" s="157" t="s">
        <v>991</v>
      </c>
      <c r="E70" s="93"/>
      <c r="F70" s="93"/>
      <c r="G70" s="93"/>
      <c r="H70" s="93"/>
      <c r="I70" s="93"/>
      <c r="L70" s="93"/>
      <c r="M70" s="93"/>
      <c r="N70" s="93"/>
      <c r="O70" s="93"/>
      <c r="P70" s="93"/>
      <c r="Y70" s="66">
        <f>'LEX - New Vehicles'!E36-Y44</f>
        <v>0</v>
      </c>
      <c r="Z70" s="66">
        <f>'LEX - New Vehicles'!F36-Z44</f>
        <v>0</v>
      </c>
      <c r="AA70" s="66">
        <f>'LEX - New Vehicles'!G36-AA44</f>
        <v>0</v>
      </c>
      <c r="AB70" s="66">
        <f>'LEX - New Vehicles'!H36-AB44</f>
        <v>0</v>
      </c>
      <c r="AC70" s="66">
        <f>'LEX - New Vehicles'!I36-AC44</f>
        <v>0</v>
      </c>
      <c r="AD70" s="66">
        <f>'LEX - New Vehicles'!J36-AD44</f>
        <v>0</v>
      </c>
      <c r="AE70" s="66">
        <f>'LEX - New Vehicles'!K36-AE44</f>
        <v>0</v>
      </c>
      <c r="AF70" s="66">
        <f>'LEX - New Vehicles'!L36-AF44</f>
        <v>0</v>
      </c>
      <c r="AG70" s="66">
        <f>'LEX - New Vehicles'!M36-AG44</f>
        <v>0</v>
      </c>
      <c r="AH70" s="66">
        <f>'LEX - New Vehicles'!N36-AH44</f>
        <v>0</v>
      </c>
      <c r="AI70" s="66">
        <f>'LEX - New Vehicles'!O36-AI44</f>
        <v>0</v>
      </c>
      <c r="AJ70" s="66">
        <f>'LEX - New Vehicles'!P36-AJ44</f>
        <v>0</v>
      </c>
    </row>
    <row r="71" spans="1:41" hidden="1" outlineLevel="1" x14ac:dyDescent="0.25">
      <c r="A71" s="156" t="s">
        <v>992</v>
      </c>
      <c r="E71" s="93"/>
      <c r="F71" s="93"/>
      <c r="G71" s="93"/>
      <c r="H71" s="93"/>
      <c r="I71" s="93"/>
      <c r="L71" s="93"/>
      <c r="M71" s="93"/>
      <c r="N71" s="93"/>
      <c r="O71" s="93"/>
      <c r="P71" s="93"/>
      <c r="R71" s="74"/>
      <c r="Y71" s="66">
        <f>'LEX - Used Vehicles'!E40-Y45</f>
        <v>0</v>
      </c>
      <c r="Z71" s="66">
        <f>'LEX - Used Vehicles'!F40-Z45</f>
        <v>0</v>
      </c>
      <c r="AA71" s="66">
        <f>'LEX - Used Vehicles'!G40-AA45</f>
        <v>0</v>
      </c>
      <c r="AB71" s="66">
        <f>'LEX - Used Vehicles'!H40-AB45</f>
        <v>0</v>
      </c>
      <c r="AC71" s="66">
        <f>'LEX - Used Vehicles'!I40-AC45</f>
        <v>0</v>
      </c>
      <c r="AD71" s="66">
        <f>'LEX - Used Vehicles'!J40-AD45</f>
        <v>0</v>
      </c>
      <c r="AE71" s="66">
        <f>'LEX - Used Vehicles'!K40-AE45</f>
        <v>0</v>
      </c>
      <c r="AF71" s="66">
        <f>'LEX - Used Vehicles'!L40-AF45</f>
        <v>0</v>
      </c>
      <c r="AG71" s="66">
        <f>'LEX - Used Vehicles'!M40-AG45</f>
        <v>0</v>
      </c>
      <c r="AH71" s="66">
        <f>'LEX - Used Vehicles'!N40-AH45</f>
        <v>0</v>
      </c>
      <c r="AI71" s="66">
        <f>'LEX - Used Vehicles'!O40-AI45</f>
        <v>0</v>
      </c>
      <c r="AJ71" s="66">
        <f>'LEX - Used Vehicles'!P40-AJ45</f>
        <v>0</v>
      </c>
    </row>
    <row r="72" spans="1:41" hidden="1" outlineLevel="1" x14ac:dyDescent="0.25">
      <c r="A72" s="157" t="s">
        <v>993</v>
      </c>
      <c r="E72" s="93"/>
      <c r="F72" s="93"/>
      <c r="G72" s="93"/>
      <c r="H72" s="93"/>
      <c r="I72" s="93"/>
      <c r="L72" s="93"/>
      <c r="M72" s="93"/>
      <c r="N72" s="93"/>
      <c r="O72" s="93"/>
      <c r="P72" s="93"/>
      <c r="Y72" s="66">
        <f>'LEX - F&amp;I'!E30-Y46</f>
        <v>0</v>
      </c>
      <c r="Z72" s="66">
        <f>'LEX - F&amp;I'!F30-Z46</f>
        <v>0</v>
      </c>
      <c r="AA72" s="66">
        <f>'LEX - F&amp;I'!G30-AA46</f>
        <v>0</v>
      </c>
      <c r="AB72" s="66">
        <f>'LEX - F&amp;I'!H30-AB46</f>
        <v>0</v>
      </c>
      <c r="AC72" s="66">
        <f>'LEX - F&amp;I'!I30-AC46</f>
        <v>0</v>
      </c>
      <c r="AD72" s="66">
        <f>'LEX - F&amp;I'!J30-AD46</f>
        <v>0</v>
      </c>
      <c r="AE72" s="66">
        <f>'LEX - F&amp;I'!K30-AE46</f>
        <v>0</v>
      </c>
      <c r="AF72" s="66">
        <f>'LEX - F&amp;I'!L30-AF46</f>
        <v>0</v>
      </c>
      <c r="AG72" s="66">
        <f>'LEX - F&amp;I'!M30-AG46</f>
        <v>0</v>
      </c>
      <c r="AH72" s="66">
        <f>'LEX - F&amp;I'!N30-AH46</f>
        <v>0</v>
      </c>
      <c r="AI72" s="66">
        <f>'LEX - F&amp;I'!O30-AI46</f>
        <v>0</v>
      </c>
      <c r="AJ72" s="66">
        <f>'LEX - F&amp;I'!P30-AJ46</f>
        <v>0</v>
      </c>
    </row>
    <row r="73" spans="1:41" hidden="1" outlineLevel="1" x14ac:dyDescent="0.25">
      <c r="A73" s="157" t="s">
        <v>994</v>
      </c>
      <c r="E73" s="93"/>
      <c r="F73" s="93"/>
      <c r="G73" s="93"/>
      <c r="H73" s="93"/>
      <c r="I73" s="93"/>
      <c r="L73" s="93"/>
      <c r="M73" s="93"/>
      <c r="N73" s="93"/>
      <c r="O73" s="93"/>
      <c r="P73" s="93"/>
      <c r="Y73" s="66">
        <f>'LEX - Parts'!E24-Y47</f>
        <v>0</v>
      </c>
      <c r="Z73" s="66">
        <f>'LEX - Parts'!F24-Z47</f>
        <v>0</v>
      </c>
      <c r="AA73" s="66">
        <f>'LEX - Parts'!G24-AA47</f>
        <v>0</v>
      </c>
      <c r="AB73" s="66">
        <f>'LEX - Parts'!H24-AB47</f>
        <v>0</v>
      </c>
      <c r="AC73" s="66">
        <f>'LEX - Parts'!I24-AC47</f>
        <v>0</v>
      </c>
      <c r="AD73" s="66">
        <f>'LEX - Parts'!J24-AD47</f>
        <v>0</v>
      </c>
      <c r="AE73" s="66">
        <f>'LEX - Parts'!K24-AE47</f>
        <v>0</v>
      </c>
      <c r="AF73" s="66">
        <f>'LEX - Parts'!L24-AF47</f>
        <v>0</v>
      </c>
      <c r="AG73" s="66">
        <f>'LEX - Parts'!M24-AG47</f>
        <v>0</v>
      </c>
      <c r="AH73" s="66">
        <f>'LEX - Parts'!N24-AH47</f>
        <v>0</v>
      </c>
      <c r="AI73" s="66">
        <f>'LEX - Parts'!O24-AI47</f>
        <v>0</v>
      </c>
      <c r="AJ73" s="66">
        <f>'LEX - Parts'!P24-AJ47</f>
        <v>0</v>
      </c>
    </row>
    <row r="74" spans="1:41" hidden="1" outlineLevel="1" x14ac:dyDescent="0.25">
      <c r="A74" s="157" t="s">
        <v>995</v>
      </c>
      <c r="E74" s="93"/>
      <c r="F74" s="93"/>
      <c r="G74" s="93"/>
      <c r="H74" s="93"/>
      <c r="I74" s="93"/>
      <c r="L74" s="93"/>
      <c r="M74" s="93"/>
      <c r="N74" s="93"/>
      <c r="O74" s="93"/>
      <c r="P74" s="93"/>
      <c r="Y74" s="66">
        <f>Y48-'LEX - Service'!E38</f>
        <v>0</v>
      </c>
      <c r="Z74" s="66">
        <f>Z48-'LEX - Service'!F38</f>
        <v>0</v>
      </c>
      <c r="AA74" s="66">
        <f>AA48-'LEX - Service'!G38</f>
        <v>0</v>
      </c>
      <c r="AB74" s="66">
        <f>AB48-'LEX - Service'!H38</f>
        <v>0</v>
      </c>
      <c r="AC74" s="66">
        <f>AC48-'LEX - Service'!I38</f>
        <v>0</v>
      </c>
      <c r="AD74" s="66">
        <f>AD48-'LEX - Service'!J38</f>
        <v>0</v>
      </c>
      <c r="AE74" s="66">
        <f>AE48-'LEX - Service'!K38</f>
        <v>0</v>
      </c>
      <c r="AF74" s="66">
        <f>AF48-'LEX - Service'!L38</f>
        <v>0</v>
      </c>
      <c r="AG74" s="66">
        <f>AG48-'LEX - Service'!M38</f>
        <v>0</v>
      </c>
      <c r="AH74" s="66">
        <f>AH48-'LEX - Service'!N38</f>
        <v>0</v>
      </c>
      <c r="AI74" s="66">
        <f>AI48-'LEX - Service'!O38</f>
        <v>0</v>
      </c>
      <c r="AJ74" s="66">
        <f>AJ48-'LEX - Service'!P38</f>
        <v>0</v>
      </c>
    </row>
    <row r="75" spans="1:41" hidden="1" outlineLevel="1" x14ac:dyDescent="0.25">
      <c r="A75" s="157" t="s">
        <v>975</v>
      </c>
      <c r="E75" s="93"/>
      <c r="F75" s="93"/>
      <c r="G75" s="93"/>
      <c r="H75" s="93"/>
      <c r="I75" s="93"/>
      <c r="L75" s="93"/>
      <c r="M75" s="93"/>
      <c r="N75" s="93"/>
      <c r="O75" s="93"/>
      <c r="P75" s="93"/>
      <c r="Y75" s="66">
        <f>'Bridgestone Group'!E26-Y49</f>
        <v>0</v>
      </c>
      <c r="Z75" s="66">
        <f>'Bridgestone Group'!F26-Z49</f>
        <v>0</v>
      </c>
      <c r="AA75" s="66">
        <f>'Bridgestone Group'!G26-AA49</f>
        <v>0</v>
      </c>
      <c r="AB75" s="66">
        <f>'Bridgestone Group'!H26-AB49</f>
        <v>0</v>
      </c>
      <c r="AC75" s="66">
        <f>'Bridgestone Group'!I26-AC49</f>
        <v>0</v>
      </c>
      <c r="AD75" s="66">
        <f>'Bridgestone Group'!J26-AD49</f>
        <v>0</v>
      </c>
      <c r="AE75" s="66">
        <f>'Bridgestone Group'!K26-AE49</f>
        <v>0</v>
      </c>
      <c r="AF75" s="66">
        <f>'Bridgestone Group'!L26-AF49</f>
        <v>0</v>
      </c>
      <c r="AG75" s="66">
        <f>'Bridgestone Group'!M26-AG49</f>
        <v>0</v>
      </c>
      <c r="AH75" s="66">
        <f>'Bridgestone Group'!N26-AH49</f>
        <v>0</v>
      </c>
      <c r="AI75" s="66">
        <f>'Bridgestone Group'!O26-AI49</f>
        <v>0</v>
      </c>
      <c r="AJ75" s="66">
        <f>'Bridgestone Group'!P26-AJ49</f>
        <v>0</v>
      </c>
    </row>
    <row r="76" spans="1:41" hidden="1" outlineLevel="1" x14ac:dyDescent="0.25">
      <c r="A76" s="157" t="s">
        <v>976</v>
      </c>
      <c r="E76" s="93"/>
      <c r="F76" s="93"/>
      <c r="G76" s="93"/>
      <c r="H76" s="93"/>
      <c r="I76" s="93"/>
      <c r="L76" s="93"/>
      <c r="M76" s="93"/>
      <c r="N76" s="93"/>
      <c r="O76" s="93"/>
      <c r="P76" s="93"/>
      <c r="Y76" s="66">
        <f>'Retail Detailing'!E28-Y50</f>
        <v>0</v>
      </c>
      <c r="Z76" s="66">
        <f>'Retail Detailing'!F28-Z50</f>
        <v>0</v>
      </c>
      <c r="AA76" s="66">
        <f>'Retail Detailing'!G28-AA50</f>
        <v>0</v>
      </c>
      <c r="AB76" s="66">
        <f>'Retail Detailing'!H28-AB50</f>
        <v>0</v>
      </c>
      <c r="AC76" s="66">
        <f>'Retail Detailing'!I28-AC50</f>
        <v>0</v>
      </c>
      <c r="AD76" s="66">
        <f>'Retail Detailing'!J28-AD50</f>
        <v>0</v>
      </c>
      <c r="AE76" s="66">
        <f>'Retail Detailing'!K28-AE50</f>
        <v>0</v>
      </c>
      <c r="AF76" s="66">
        <f>'Retail Detailing'!L28-AF50</f>
        <v>0</v>
      </c>
      <c r="AG76" s="66">
        <f>'Retail Detailing'!M28-AG50</f>
        <v>0</v>
      </c>
      <c r="AH76" s="66">
        <f>'Retail Detailing'!N28-AH50</f>
        <v>0</v>
      </c>
      <c r="AI76" s="66">
        <f>'Retail Detailing'!O28-AI50</f>
        <v>0</v>
      </c>
      <c r="AJ76" s="66">
        <f>'Retail Detailing'!P28-AJ50</f>
        <v>0</v>
      </c>
    </row>
    <row r="77" spans="1:41" hidden="1" outlineLevel="1" x14ac:dyDescent="0.25">
      <c r="A77" s="158" t="s">
        <v>996</v>
      </c>
      <c r="E77" s="93"/>
      <c r="F77" s="93"/>
      <c r="G77" s="93"/>
      <c r="H77" s="93"/>
      <c r="I77" s="93"/>
      <c r="L77" s="93"/>
      <c r="M77" s="93"/>
      <c r="N77" s="93"/>
      <c r="O77" s="93"/>
      <c r="P77" s="93"/>
      <c r="R77" s="74"/>
      <c r="Y77" s="66">
        <f>Y24+Y52+'Toyota - Admin'!E18+'Other - Admin'!E20</f>
        <v>0</v>
      </c>
      <c r="Z77" s="66">
        <f>Z24+Z52+'Toyota - Admin'!F18+'Other - Admin'!F20</f>
        <v>0</v>
      </c>
      <c r="AA77" s="66">
        <f>AA24+AA52+'Toyota - Admin'!G18+'Other - Admin'!G20</f>
        <v>0</v>
      </c>
      <c r="AB77" s="66">
        <f>AB24+AB52+'Toyota - Admin'!H18+'Other - Admin'!H20</f>
        <v>0</v>
      </c>
      <c r="AC77" s="66">
        <f>AC24+AC52+'Toyota - Admin'!I18+'Other - Admin'!I20</f>
        <v>0</v>
      </c>
      <c r="AD77" s="66">
        <f>AD24+AD52+'Toyota - Admin'!J18+'Other - Admin'!J20</f>
        <v>0</v>
      </c>
      <c r="AE77" s="66">
        <f>AE24+AE52+'Toyota - Admin'!K18+'Other - Admin'!K20</f>
        <v>0</v>
      </c>
      <c r="AF77" s="66">
        <f>AF24+AF52+'Toyota - Admin'!L18+'Other - Admin'!L20</f>
        <v>0</v>
      </c>
      <c r="AG77" s="66">
        <f>AG24+AG52+'Toyota - Admin'!M18+'Other - Admin'!M20</f>
        <v>0</v>
      </c>
      <c r="AH77" s="66">
        <f>AH24+AH52+'Toyota - Admin'!N18+'Other - Admin'!N20</f>
        <v>0</v>
      </c>
      <c r="AI77" s="66">
        <f>AI24+AI52+'Toyota - Admin'!O18+'Other - Admin'!O20</f>
        <v>0</v>
      </c>
      <c r="AJ77" s="66">
        <f>AJ24+AJ52+'Toyota - Admin'!P18+'Other - Admin'!P20</f>
        <v>0</v>
      </c>
    </row>
    <row r="78" spans="1:41" collapsed="1" x14ac:dyDescent="0.25">
      <c r="A78" s="157"/>
      <c r="E78" s="93"/>
      <c r="F78" s="93"/>
      <c r="G78" s="93"/>
      <c r="H78" s="93"/>
      <c r="I78" s="93"/>
      <c r="L78" s="93"/>
      <c r="M78" s="93"/>
      <c r="N78" s="93"/>
      <c r="O78" s="93"/>
      <c r="P78" s="93"/>
      <c r="AN78" s="191">
        <f>2%-AL80</f>
        <v>-9.6117147491550647E-4</v>
      </c>
    </row>
    <row r="79" spans="1:41" x14ac:dyDescent="0.25">
      <c r="A79" s="157"/>
      <c r="E79" s="93"/>
      <c r="F79" s="93"/>
      <c r="G79" s="93"/>
      <c r="H79" s="93"/>
      <c r="I79" s="93"/>
      <c r="L79" s="93"/>
      <c r="M79" s="93"/>
      <c r="N79" s="93"/>
      <c r="O79" s="93"/>
      <c r="P79" s="93"/>
      <c r="X79" s="139" t="s">
        <v>997</v>
      </c>
      <c r="Y79" s="140"/>
      <c r="Z79" s="140"/>
      <c r="AA79" s="140">
        <f>SUM(Y53:AA53)</f>
        <v>727677.3657351291</v>
      </c>
      <c r="AB79" s="140"/>
      <c r="AC79" s="140"/>
      <c r="AD79" s="140">
        <f>SUM(AB53:AD53)</f>
        <v>1094767.2007822699</v>
      </c>
      <c r="AE79" s="140"/>
      <c r="AF79" s="140"/>
      <c r="AG79" s="140">
        <f>SUM(AE53:AG53)</f>
        <v>984804.20508026006</v>
      </c>
      <c r="AH79" s="140"/>
      <c r="AI79" s="142"/>
      <c r="AJ79" s="140">
        <f>SUM(AH53:AJ53)</f>
        <v>715890.79135807045</v>
      </c>
      <c r="AK79" s="142"/>
      <c r="AL79" s="145">
        <f>SUM(Y79:AJ79)</f>
        <v>3523139.5629557297</v>
      </c>
      <c r="AM79" s="141"/>
    </row>
    <row r="80" spans="1:41" x14ac:dyDescent="0.25">
      <c r="A80" s="157"/>
      <c r="E80" s="93"/>
      <c r="F80" s="93"/>
      <c r="G80" s="93"/>
      <c r="H80" s="93"/>
      <c r="I80" s="93"/>
      <c r="L80" s="93"/>
      <c r="M80" s="93"/>
      <c r="N80" s="93"/>
      <c r="O80" s="93"/>
      <c r="P80" s="93"/>
      <c r="X80" s="139" t="s">
        <v>998</v>
      </c>
      <c r="Y80" s="140"/>
      <c r="Z80" s="140"/>
      <c r="AA80" s="153">
        <f>AA79/AA91</f>
        <v>1.7420657521691446E-2</v>
      </c>
      <c r="AB80" s="154"/>
      <c r="AC80" s="154"/>
      <c r="AD80" s="153">
        <f>AD79/AD91</f>
        <v>2.5563903342774728E-2</v>
      </c>
      <c r="AE80" s="154"/>
      <c r="AF80" s="154"/>
      <c r="AG80" s="153">
        <f>AG79/AG91</f>
        <v>2.3175157561037898E-2</v>
      </c>
      <c r="AH80" s="154"/>
      <c r="AI80" s="154"/>
      <c r="AJ80" s="153">
        <f>AJ79/AJ91</f>
        <v>1.7465142382343573E-2</v>
      </c>
      <c r="AK80" s="154"/>
      <c r="AL80" s="153">
        <f>AL79/AL90</f>
        <v>2.0961171474915507E-2</v>
      </c>
      <c r="AM80" s="143"/>
      <c r="AN80" s="153">
        <v>0.02</v>
      </c>
      <c r="AO80" s="3" t="s">
        <v>999</v>
      </c>
    </row>
    <row r="81" spans="1:40" x14ac:dyDescent="0.25">
      <c r="A81" s="157"/>
      <c r="E81" s="93"/>
      <c r="F81" s="93"/>
      <c r="G81" s="93"/>
      <c r="H81" s="93"/>
      <c r="I81" s="93"/>
      <c r="L81" s="93"/>
      <c r="M81" s="93"/>
      <c r="N81" s="93"/>
      <c r="O81" s="93"/>
      <c r="P81" s="93"/>
      <c r="X81" s="139"/>
      <c r="Y81" s="140"/>
      <c r="Z81" s="140"/>
      <c r="AA81" s="140"/>
      <c r="AB81" s="140"/>
      <c r="AC81" s="140"/>
      <c r="AD81" s="143"/>
      <c r="AE81" s="140"/>
      <c r="AF81" s="140"/>
      <c r="AG81" s="143"/>
      <c r="AH81" s="140"/>
      <c r="AI81" s="142"/>
      <c r="AJ81" s="143"/>
      <c r="AK81" s="142"/>
      <c r="AL81" s="142"/>
      <c r="AM81" s="143"/>
    </row>
    <row r="82" spans="1:40" x14ac:dyDescent="0.25">
      <c r="A82" s="157"/>
      <c r="E82" s="93"/>
      <c r="F82" s="93"/>
      <c r="G82" s="93"/>
      <c r="H82" s="93"/>
      <c r="I82" s="93"/>
      <c r="L82" s="93"/>
      <c r="M82" s="93"/>
      <c r="N82" s="93"/>
      <c r="O82" s="93"/>
      <c r="P82" s="93"/>
      <c r="X82" s="144" t="s">
        <v>989</v>
      </c>
      <c r="Y82" s="145">
        <f>'New Vehicles - Group'!E47</f>
        <v>4095000</v>
      </c>
      <c r="Z82" s="145">
        <f>'New Vehicles - Group'!F47</f>
        <v>4095000</v>
      </c>
      <c r="AA82" s="145">
        <f>'New Vehicles - Group'!G47</f>
        <v>4095000</v>
      </c>
      <c r="AB82" s="145">
        <f>'New Vehicles - Group'!H47</f>
        <v>3990000</v>
      </c>
      <c r="AC82" s="145">
        <f>'New Vehicles - Group'!I47</f>
        <v>3990000</v>
      </c>
      <c r="AD82" s="145">
        <f>'New Vehicles - Group'!J47</f>
        <v>3990000</v>
      </c>
      <c r="AE82" s="145">
        <f>'New Vehicles - Group'!K47</f>
        <v>4095000</v>
      </c>
      <c r="AF82" s="145">
        <f>'New Vehicles - Group'!L47</f>
        <v>3955000</v>
      </c>
      <c r="AG82" s="145">
        <f>'New Vehicles - Group'!M47</f>
        <v>3640000</v>
      </c>
      <c r="AH82" s="145">
        <f>'New Vehicles - Group'!N47</f>
        <v>3640000</v>
      </c>
      <c r="AI82" s="145">
        <f>'New Vehicles - Group'!O47</f>
        <v>3640000</v>
      </c>
      <c r="AJ82" s="145">
        <f>'New Vehicles - Group'!P47</f>
        <v>4270000</v>
      </c>
      <c r="AK82" s="146"/>
      <c r="AL82" s="145">
        <f t="shared" ref="AL82:AL88" si="40">SUM(Y82:AJ82)</f>
        <v>47495000</v>
      </c>
      <c r="AM82" s="146"/>
    </row>
    <row r="83" spans="1:40" x14ac:dyDescent="0.25">
      <c r="A83" s="157"/>
      <c r="E83" s="93"/>
      <c r="F83" s="93"/>
      <c r="G83" s="93"/>
      <c r="H83" s="93"/>
      <c r="I83" s="93"/>
      <c r="L83" s="93"/>
      <c r="M83" s="93"/>
      <c r="N83" s="93"/>
      <c r="O83" s="93"/>
      <c r="P83" s="93"/>
      <c r="X83" s="144" t="s">
        <v>990</v>
      </c>
      <c r="Y83" s="145">
        <f>'Used Vehicles - Group'!E62</f>
        <v>3631250</v>
      </c>
      <c r="Z83" s="145">
        <f>'Used Vehicles - Group'!F62</f>
        <v>4006250</v>
      </c>
      <c r="AA83" s="145">
        <f>'Used Vehicles - Group'!G62</f>
        <v>4331250</v>
      </c>
      <c r="AB83" s="145">
        <f>'Used Vehicles - Group'!H62</f>
        <v>4106250</v>
      </c>
      <c r="AC83" s="145">
        <f>'Used Vehicles - Group'!I62</f>
        <v>4218750</v>
      </c>
      <c r="AD83" s="145">
        <f>'Used Vehicles - Group'!J62</f>
        <v>4331250</v>
      </c>
      <c r="AE83" s="145">
        <f>'Used Vehicles - Group'!K62</f>
        <v>4106250</v>
      </c>
      <c r="AF83" s="145">
        <f>'Used Vehicles - Group'!L62</f>
        <v>4806250</v>
      </c>
      <c r="AG83" s="145">
        <f>'Used Vehicles - Group'!M62</f>
        <v>3960750</v>
      </c>
      <c r="AH83" s="145">
        <f>'Used Vehicles - Group'!N62</f>
        <v>3824250</v>
      </c>
      <c r="AI83" s="145">
        <f>'Used Vehicles - Group'!O62</f>
        <v>3832250</v>
      </c>
      <c r="AJ83" s="145">
        <f>'Used Vehicles - Group'!P62</f>
        <v>4306250</v>
      </c>
      <c r="AK83" s="146"/>
      <c r="AL83" s="145">
        <f t="shared" si="40"/>
        <v>49461000</v>
      </c>
      <c r="AM83" s="146"/>
    </row>
    <row r="84" spans="1:40" x14ac:dyDescent="0.25">
      <c r="A84" s="157"/>
      <c r="E84" s="93"/>
      <c r="F84" s="93"/>
      <c r="G84" s="93"/>
      <c r="H84" s="93"/>
      <c r="I84" s="93"/>
      <c r="L84" s="93"/>
      <c r="M84" s="93"/>
      <c r="N84" s="93"/>
      <c r="O84" s="93"/>
      <c r="P84" s="93"/>
      <c r="X84" s="144" t="s">
        <v>113</v>
      </c>
      <c r="Y84" s="145">
        <f>'Parts - Group '!E26</f>
        <v>1429855.7934155795</v>
      </c>
      <c r="Z84" s="145">
        <f>'Parts - Group '!F26</f>
        <v>1624836.1288813401</v>
      </c>
      <c r="AA84" s="145">
        <f>'Parts - Group '!G26</f>
        <v>1332365.625682699</v>
      </c>
      <c r="AB84" s="145">
        <f>'Parts - Group '!H26</f>
        <v>1624836.1288813401</v>
      </c>
      <c r="AC84" s="145">
        <f>'Parts - Group '!I26</f>
        <v>1592339.4063037136</v>
      </c>
      <c r="AD84" s="145">
        <f>'Parts - Group '!J26</f>
        <v>1494849.2385708331</v>
      </c>
      <c r="AE84" s="145">
        <f>'Parts - Group '!K26</f>
        <v>1559842.6837260865</v>
      </c>
      <c r="AF84" s="145">
        <f>'Parts - Group '!L26</f>
        <v>1527345.9611484599</v>
      </c>
      <c r="AG84" s="145">
        <f>'Parts - Group '!M26</f>
        <v>1429855.7934155795</v>
      </c>
      <c r="AH84" s="145">
        <f>'Parts - Group '!N26</f>
        <v>1429855.7934155795</v>
      </c>
      <c r="AI84" s="145">
        <f>'Parts - Group '!O26</f>
        <v>1364862.3482603258</v>
      </c>
      <c r="AJ84" s="145">
        <f>'Parts - Group '!P26</f>
        <v>1527345.9611484599</v>
      </c>
      <c r="AK84" s="146"/>
      <c r="AL84" s="145">
        <f t="shared" si="40"/>
        <v>17938190.862849999</v>
      </c>
      <c r="AM84" s="146"/>
    </row>
    <row r="85" spans="1:40" x14ac:dyDescent="0.25">
      <c r="A85" s="157"/>
      <c r="E85" s="93"/>
      <c r="F85" s="93"/>
      <c r="G85" s="93"/>
      <c r="H85" s="93"/>
      <c r="I85" s="93"/>
      <c r="L85" s="93"/>
      <c r="M85" s="93"/>
      <c r="N85" s="93"/>
      <c r="O85" s="93"/>
      <c r="P85" s="93"/>
      <c r="X85" s="144" t="s">
        <v>967</v>
      </c>
      <c r="Y85" s="145">
        <f>'Service - Group '!E26</f>
        <v>832803.82942246378</v>
      </c>
      <c r="Z85" s="145">
        <f>'Service - Group '!F26</f>
        <v>946367.98798007239</v>
      </c>
      <c r="AA85" s="145">
        <f>'Service - Group '!G26</f>
        <v>776021.75014365942</v>
      </c>
      <c r="AB85" s="145">
        <f>'Service - Group '!H26</f>
        <v>946367.98798007239</v>
      </c>
      <c r="AC85" s="145">
        <f>'Service - Group '!I26</f>
        <v>927440.6282204712</v>
      </c>
      <c r="AD85" s="145">
        <f>'Service - Group '!J26</f>
        <v>870658.54894166673</v>
      </c>
      <c r="AE85" s="145">
        <f>'Service - Group '!K26</f>
        <v>908513.26846086956</v>
      </c>
      <c r="AF85" s="145">
        <f>'Service - Group '!L26</f>
        <v>889585.90870126826</v>
      </c>
      <c r="AG85" s="145">
        <f>'Service - Group '!M26</f>
        <v>832803.82942246378</v>
      </c>
      <c r="AH85" s="145">
        <f>'Service - Group '!N26</f>
        <v>832803.82942246378</v>
      </c>
      <c r="AI85" s="145">
        <f>'Service - Group '!O26</f>
        <v>794949.10990326083</v>
      </c>
      <c r="AJ85" s="145">
        <f>'Service - Group '!P26</f>
        <v>889585.90870126826</v>
      </c>
      <c r="AK85" s="146"/>
      <c r="AL85" s="145">
        <f t="shared" si="40"/>
        <v>10447902.587300003</v>
      </c>
      <c r="AM85" s="146"/>
    </row>
    <row r="86" spans="1:40" x14ac:dyDescent="0.25">
      <c r="A86" s="158"/>
      <c r="E86" s="93"/>
      <c r="F86" s="93"/>
      <c r="G86" s="93"/>
      <c r="H86" s="93"/>
      <c r="I86" s="93"/>
      <c r="L86" s="93"/>
      <c r="M86" s="93"/>
      <c r="N86" s="93"/>
      <c r="O86" s="93"/>
      <c r="P86" s="93"/>
      <c r="R86" s="74"/>
      <c r="X86" s="144" t="s">
        <v>1000</v>
      </c>
      <c r="Y86" s="145">
        <v>33000</v>
      </c>
      <c r="Z86" s="145">
        <v>33000</v>
      </c>
      <c r="AA86" s="145">
        <v>33000</v>
      </c>
      <c r="AB86" s="145">
        <v>33000</v>
      </c>
      <c r="AC86" s="145">
        <v>33000</v>
      </c>
      <c r="AD86" s="145">
        <v>33000</v>
      </c>
      <c r="AE86" s="145">
        <v>33000</v>
      </c>
      <c r="AF86" s="145">
        <v>33000</v>
      </c>
      <c r="AG86" s="145">
        <v>33000</v>
      </c>
      <c r="AH86" s="145">
        <v>33000</v>
      </c>
      <c r="AI86" s="145">
        <v>33000</v>
      </c>
      <c r="AJ86" s="145">
        <v>33000</v>
      </c>
      <c r="AK86" s="146"/>
      <c r="AL86" s="145">
        <f t="shared" si="40"/>
        <v>396000</v>
      </c>
      <c r="AM86" s="146"/>
    </row>
    <row r="87" spans="1:40" x14ac:dyDescent="0.25">
      <c r="A87" s="157"/>
      <c r="E87" s="93"/>
      <c r="F87" s="93"/>
      <c r="G87" s="93"/>
      <c r="H87" s="93"/>
      <c r="I87" s="93"/>
      <c r="L87" s="93"/>
      <c r="M87" s="93"/>
      <c r="N87" s="93"/>
      <c r="O87" s="93"/>
      <c r="P87" s="93"/>
      <c r="X87" s="144" t="s">
        <v>1001</v>
      </c>
      <c r="Y87" s="145">
        <v>25000</v>
      </c>
      <c r="Z87" s="145">
        <v>25000</v>
      </c>
      <c r="AA87" s="145">
        <v>25000</v>
      </c>
      <c r="AB87" s="145">
        <v>25000</v>
      </c>
      <c r="AC87" s="145">
        <v>25000</v>
      </c>
      <c r="AD87" s="145">
        <v>25000</v>
      </c>
      <c r="AE87" s="145">
        <v>25000</v>
      </c>
      <c r="AF87" s="145">
        <v>25000</v>
      </c>
      <c r="AG87" s="145">
        <v>25000</v>
      </c>
      <c r="AH87" s="145">
        <v>25000</v>
      </c>
      <c r="AI87" s="145">
        <v>25000</v>
      </c>
      <c r="AJ87" s="145">
        <v>25000</v>
      </c>
      <c r="AK87" s="146"/>
      <c r="AL87" s="145">
        <f t="shared" si="40"/>
        <v>300000</v>
      </c>
      <c r="AM87" s="146"/>
    </row>
    <row r="88" spans="1:40" x14ac:dyDescent="0.25">
      <c r="A88" s="157"/>
      <c r="E88" s="93"/>
      <c r="F88" s="93"/>
      <c r="G88" s="93"/>
      <c r="H88" s="93"/>
      <c r="I88" s="93"/>
      <c r="L88" s="93"/>
      <c r="M88" s="93"/>
      <c r="N88" s="93"/>
      <c r="O88" s="93"/>
      <c r="P88" s="93"/>
      <c r="X88" s="144" t="s">
        <v>1002</v>
      </c>
      <c r="Y88" s="145">
        <f>'LEX - New Vehicles'!E40+'LEX - Used Vehicles'!E44+'LEX - Parts'!E17+'LEX - Service'!E26+'Bridgestone Group'!E18+'Retail Detailing'!E22</f>
        <v>3441778.0610398552</v>
      </c>
      <c r="Z88" s="145">
        <f>'LEX - New Vehicles'!F40+'LEX - Used Vehicles'!F44+'LEX - Parts'!F17+'LEX - Service'!F26+'Bridgestone Group'!F18+'Retail Detailing'!F22</f>
        <v>3498001.8875452904</v>
      </c>
      <c r="AA88" s="145">
        <f>'LEX - New Vehicles'!G40+'LEX - Used Vehicles'!G44+'LEX - Parts'!G17+'LEX - Service'!G26+'Bridgestone Group'!G18+'Retail Detailing'!G22</f>
        <v>3461166.1477871379</v>
      </c>
      <c r="AB88" s="145">
        <f>'LEX - New Vehicles'!H40+'LEX - Used Vehicles'!H44+'LEX - Parts'!H17+'LEX - Service'!H26+'Bridgestone Group'!H18+'Retail Detailing'!H22</f>
        <v>3507001.8875452904</v>
      </c>
      <c r="AC88" s="145">
        <f>'LEX - New Vehicles'!I40+'LEX - Used Vehicles'!I44+'LEX - Parts'!I17+'LEX - Service'!I26+'Bridgestone Group'!I18+'Retail Detailing'!I22</f>
        <v>3534797.9164610505</v>
      </c>
      <c r="AD88" s="145">
        <f>'LEX - New Vehicles'!J40+'LEX - Used Vehicles'!J44+'LEX - Parts'!J17+'LEX - Service'!J26+'Bridgestone Group'!J18+'Retail Detailing'!J22</f>
        <v>3526186.0032083336</v>
      </c>
      <c r="AE88" s="145">
        <f>'LEX - New Vehicles'!K40+'LEX - Used Vehicles'!K44+'LEX - Parts'!K17+'LEX - Service'!K26+'Bridgestone Group'!K18+'Retail Detailing'!K22</f>
        <v>3533593.9453768115</v>
      </c>
      <c r="AF88" s="145">
        <f>'LEX - New Vehicles'!L40+'LEX - Used Vehicles'!L44+'LEX - Parts'!L17+'LEX - Service'!L26+'Bridgestone Group'!L18+'Retail Detailing'!L22</f>
        <v>3553389.9742925726</v>
      </c>
      <c r="AG88" s="145">
        <f>'LEX - New Vehicles'!M40+'LEX - Used Vehicles'!M44+'LEX - Parts'!M17+'LEX - Service'!M26+'Bridgestone Group'!M18+'Retail Detailing'!M22</f>
        <v>3521778.0610398552</v>
      </c>
      <c r="AH88" s="145">
        <f>'LEX - New Vehicles'!N40+'LEX - Used Vehicles'!N44+'LEX - Parts'!N17+'LEX - Service'!N26+'Bridgestone Group'!N18+'Retail Detailing'!N22</f>
        <v>3353778.0610398552</v>
      </c>
      <c r="AI88" s="145">
        <f>'LEX - New Vehicles'!O40+'LEX - Used Vehicles'!O44+'LEX - Parts'!O17+'LEX - Service'!O26+'Bridgestone Group'!O18+'Retail Detailing'!O22</f>
        <v>3313370.1188713773</v>
      </c>
      <c r="AJ88" s="145">
        <f>'LEX - New Vehicles'!P40+'LEX - Used Vehicles'!P44+'LEX - Parts'!P17+'LEX - Service'!P26+'Bridgestone Group'!P18+'Retail Detailing'!P22</f>
        <v>3796389.9742925726</v>
      </c>
      <c r="AK88" s="146"/>
      <c r="AL88" s="145">
        <f t="shared" si="40"/>
        <v>42041232.038500011</v>
      </c>
      <c r="AM88" s="146"/>
    </row>
    <row r="89" spans="1:40" x14ac:dyDescent="0.25">
      <c r="A89" s="157"/>
      <c r="E89" s="93"/>
      <c r="F89" s="93"/>
      <c r="G89" s="93"/>
      <c r="H89" s="93"/>
      <c r="I89" s="93"/>
      <c r="L89" s="93"/>
      <c r="M89" s="93"/>
      <c r="N89" s="93"/>
      <c r="O89" s="93"/>
      <c r="P89" s="93"/>
      <c r="X89" s="144"/>
      <c r="Y89" s="144"/>
      <c r="Z89" s="144"/>
      <c r="AA89" s="144"/>
      <c r="AB89" s="144"/>
      <c r="AC89" s="144"/>
      <c r="AD89" s="144"/>
      <c r="AE89" s="144"/>
      <c r="AF89" s="144"/>
      <c r="AG89" s="144"/>
      <c r="AH89" s="144"/>
      <c r="AI89" s="144"/>
      <c r="AJ89" s="144"/>
      <c r="AK89" s="144"/>
      <c r="AL89" s="144"/>
      <c r="AM89" s="146"/>
    </row>
    <row r="90" spans="1:40" ht="15.75" thickBot="1" x14ac:dyDescent="0.3">
      <c r="A90" s="157"/>
      <c r="E90" s="93"/>
      <c r="F90" s="93"/>
      <c r="G90" s="93"/>
      <c r="H90" s="93"/>
      <c r="I90" s="93"/>
      <c r="L90" s="93"/>
      <c r="M90" s="93"/>
      <c r="N90" s="93"/>
      <c r="O90" s="93"/>
      <c r="P90" s="93"/>
      <c r="X90" s="144" t="s">
        <v>1003</v>
      </c>
      <c r="Y90" s="147">
        <f>SUM(Y82:Y89)</f>
        <v>13488687.6838779</v>
      </c>
      <c r="Z90" s="147">
        <f>SUM(Z82:Z89)</f>
        <v>14228456.004406705</v>
      </c>
      <c r="AA90" s="147">
        <f>SUM(AA82:AA89)</f>
        <v>14053803.523613498</v>
      </c>
      <c r="AB90" s="147">
        <f>SUM(AB82:AB89)</f>
        <v>14232456.004406705</v>
      </c>
      <c r="AC90" s="147">
        <f>SUM(AC82:AC89)</f>
        <v>14321327.950985234</v>
      </c>
      <c r="AD90" s="147">
        <f t="shared" ref="AD90:AJ90" si="41">SUM(AD82:AD89)</f>
        <v>14270943.790720833</v>
      </c>
      <c r="AE90" s="147">
        <f t="shared" si="41"/>
        <v>14261199.897563769</v>
      </c>
      <c r="AF90" s="147">
        <f t="shared" si="41"/>
        <v>14789571.844142301</v>
      </c>
      <c r="AG90" s="147">
        <f t="shared" si="41"/>
        <v>13443187.6838779</v>
      </c>
      <c r="AH90" s="147">
        <f t="shared" si="41"/>
        <v>13138687.6838779</v>
      </c>
      <c r="AI90" s="147">
        <f t="shared" si="41"/>
        <v>13003431.577034965</v>
      </c>
      <c r="AJ90" s="147">
        <f t="shared" si="41"/>
        <v>14847571.844142301</v>
      </c>
      <c r="AK90" s="147"/>
      <c r="AL90" s="147">
        <f>SUM(AL82:AL89)</f>
        <v>168079325.48865002</v>
      </c>
      <c r="AM90" s="146"/>
    </row>
    <row r="91" spans="1:40" ht="15.75" thickTop="1" x14ac:dyDescent="0.25">
      <c r="A91" s="157"/>
      <c r="E91" s="93"/>
      <c r="F91" s="93"/>
      <c r="G91" s="93"/>
      <c r="H91" s="93"/>
      <c r="I91" s="93"/>
      <c r="L91" s="93"/>
      <c r="M91" s="93"/>
      <c r="N91" s="93"/>
      <c r="O91" s="93"/>
      <c r="P91" s="93"/>
      <c r="X91" s="144" t="s">
        <v>1004</v>
      </c>
      <c r="Y91" s="144"/>
      <c r="Z91" s="144"/>
      <c r="AA91" s="148">
        <f>SUM(Y90:AA90)</f>
        <v>41770947.211898103</v>
      </c>
      <c r="AB91" s="144"/>
      <c r="AC91" s="144"/>
      <c r="AD91" s="148">
        <f>SUM(AB90:AD90)</f>
        <v>42824727.746112771</v>
      </c>
      <c r="AE91" s="144"/>
      <c r="AF91" s="144"/>
      <c r="AG91" s="148">
        <f>SUM(AE90:AG90)</f>
        <v>42493959.425583974</v>
      </c>
      <c r="AH91" s="144"/>
      <c r="AI91" s="144"/>
      <c r="AJ91" s="148">
        <f>SUM(AH90:AJ90)</f>
        <v>40989691.105055168</v>
      </c>
      <c r="AK91" s="144"/>
      <c r="AL91" s="144"/>
      <c r="AM91" s="146"/>
    </row>
    <row r="92" spans="1:40" x14ac:dyDescent="0.25">
      <c r="A92" s="157"/>
      <c r="E92" s="93"/>
      <c r="F92" s="93"/>
      <c r="G92" s="93"/>
      <c r="H92" s="93"/>
      <c r="I92" s="93"/>
      <c r="L92" s="93"/>
      <c r="M92" s="93"/>
      <c r="N92" s="93"/>
      <c r="O92" s="93"/>
      <c r="P92" s="93"/>
    </row>
    <row r="93" spans="1:40" x14ac:dyDescent="0.25">
      <c r="A93" s="157"/>
      <c r="E93" s="93"/>
      <c r="F93" s="93"/>
      <c r="G93" s="93"/>
      <c r="H93" s="93"/>
      <c r="I93" s="93"/>
      <c r="L93" s="93"/>
      <c r="M93" s="93"/>
      <c r="N93" s="93"/>
      <c r="O93" s="93"/>
      <c r="P93" s="93"/>
    </row>
    <row r="94" spans="1:40" x14ac:dyDescent="0.25">
      <c r="A94" s="158"/>
      <c r="E94" s="93"/>
      <c r="F94" s="93"/>
      <c r="G94" s="93"/>
      <c r="H94" s="93"/>
      <c r="I94" s="93"/>
      <c r="L94" s="93"/>
      <c r="M94" s="93"/>
      <c r="N94" s="93"/>
      <c r="O94" s="93"/>
      <c r="P94" s="93"/>
      <c r="R94" s="74"/>
      <c r="AJ94" s="66" t="s">
        <v>989</v>
      </c>
      <c r="AL94" s="66">
        <f>40*2050</f>
        <v>82000</v>
      </c>
      <c r="AN94" s="3" t="s">
        <v>1338</v>
      </c>
    </row>
    <row r="95" spans="1:40" x14ac:dyDescent="0.25">
      <c r="AH95" s="191"/>
      <c r="AJ95" s="66" t="s">
        <v>990</v>
      </c>
      <c r="AL95" s="66">
        <f>30*2500</f>
        <v>75000</v>
      </c>
      <c r="AN95" s="3" t="s">
        <v>1337</v>
      </c>
    </row>
    <row r="96" spans="1:40" x14ac:dyDescent="0.25">
      <c r="AJ96" s="66" t="s">
        <v>1335</v>
      </c>
      <c r="AL96" s="66">
        <f>'FEF Incentive Forecast FY2025'!D38</f>
        <v>214625</v>
      </c>
      <c r="AN96" s="3" t="s">
        <v>1340</v>
      </c>
    </row>
    <row r="97" spans="36:43" x14ac:dyDescent="0.25">
      <c r="AJ97" s="66" t="s">
        <v>966</v>
      </c>
      <c r="AL97" s="66">
        <f>51480-9000</f>
        <v>42480</v>
      </c>
      <c r="AN97" s="3" t="s">
        <v>1343</v>
      </c>
    </row>
    <row r="98" spans="36:43" x14ac:dyDescent="0.25">
      <c r="AJ98" s="66" t="s">
        <v>1336</v>
      </c>
      <c r="AL98" s="66">
        <v>95000</v>
      </c>
      <c r="AN98" s="3" t="s">
        <v>1339</v>
      </c>
    </row>
    <row r="99" spans="36:43" x14ac:dyDescent="0.25">
      <c r="AL99" s="66">
        <f>SUM(AL94:AL98)</f>
        <v>509105</v>
      </c>
      <c r="AN99" s="6"/>
    </row>
    <row r="100" spans="36:43" x14ac:dyDescent="0.25">
      <c r="AN100" s="16"/>
    </row>
    <row r="101" spans="36:43" x14ac:dyDescent="0.25">
      <c r="AN101" s="66"/>
    </row>
    <row r="102" spans="36:43" x14ac:dyDescent="0.25">
      <c r="AL102" s="1"/>
      <c r="AN102" s="66"/>
      <c r="AO102" s="66"/>
      <c r="AP102" s="16"/>
      <c r="AQ102" s="16"/>
    </row>
    <row r="103" spans="36:43" x14ac:dyDescent="0.25">
      <c r="AL103" s="1"/>
      <c r="AN103" s="66"/>
      <c r="AO103" s="66"/>
    </row>
    <row r="104" spans="36:43" x14ac:dyDescent="0.25">
      <c r="AL104" s="1"/>
      <c r="AN104" s="66"/>
      <c r="AO104" s="66"/>
    </row>
    <row r="105" spans="36:43" x14ac:dyDescent="0.25">
      <c r="AL105" s="1"/>
      <c r="AN105" s="281"/>
      <c r="AO105" s="66"/>
    </row>
    <row r="106" spans="36:43" x14ac:dyDescent="0.25">
      <c r="AL106" s="1"/>
      <c r="AN106" s="16"/>
      <c r="AO106" s="66"/>
    </row>
    <row r="107" spans="36:43" x14ac:dyDescent="0.25">
      <c r="AN107" s="16"/>
      <c r="AO107" s="16"/>
    </row>
    <row r="108" spans="36:43" x14ac:dyDescent="0.25">
      <c r="AN108" s="123"/>
      <c r="AO108" s="16"/>
    </row>
  </sheetData>
  <mergeCells count="2">
    <mergeCell ref="U1:U2"/>
    <mergeCell ref="AN1:AN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E0C03-F460-47BD-83A3-8E99AEA3526E}">
  <sheetPr>
    <tabColor theme="9" tint="0.79998168889431442"/>
  </sheetPr>
  <dimension ref="A1:AQ65"/>
  <sheetViews>
    <sheetView topLeftCell="M1" zoomScale="85" zoomScaleNormal="85" workbookViewId="0">
      <selection activeCell="Z25" sqref="Z25"/>
    </sheetView>
  </sheetViews>
  <sheetFormatPr defaultColWidth="9.140625" defaultRowHeight="15" outlineLevelRow="1" outlineLevelCol="1" x14ac:dyDescent="0.25"/>
  <cols>
    <col min="1" max="1" width="34.42578125" bestFit="1" customWidth="1"/>
    <col min="2" max="4" width="11.7109375" style="66" hidden="1" customWidth="1" outlineLevel="1"/>
    <col min="5" max="5" width="11.7109375" style="66" customWidth="1" collapsed="1"/>
    <col min="6" max="16" width="11.7109375" style="66" customWidth="1"/>
    <col min="17" max="17" width="2" style="66" customWidth="1"/>
    <col min="18" max="19" width="12.5703125" style="66" customWidth="1"/>
    <col min="20" max="20" width="2" style="66" customWidth="1"/>
    <col min="21" max="21" width="14.140625" style="3" bestFit="1" customWidth="1"/>
    <col min="22" max="23" width="14.140625" style="3" customWidth="1"/>
    <col min="24" max="24" width="12.5703125" style="66" customWidth="1"/>
    <col min="25" max="36" width="11.7109375" style="66" customWidth="1"/>
    <col min="37" max="37" width="2" style="66" customWidth="1"/>
    <col min="38" max="38" width="12.5703125" style="66" customWidth="1"/>
    <col min="39" max="39" width="2" style="66" customWidth="1"/>
    <col min="40" max="40" width="14.140625" style="3" bestFit="1" customWidth="1"/>
    <col min="41" max="43" width="14.140625" style="3" customWidth="1"/>
    <col min="44" max="16384" width="9.140625" style="66"/>
  </cols>
  <sheetData>
    <row r="1" spans="1:43" customFormat="1" ht="30.75" customHeight="1" x14ac:dyDescent="0.25">
      <c r="A1" s="155" t="s">
        <v>950</v>
      </c>
      <c r="B1" s="77">
        <v>44927</v>
      </c>
      <c r="C1" s="77">
        <v>44958</v>
      </c>
      <c r="D1" s="77">
        <v>44986</v>
      </c>
      <c r="E1" s="77">
        <v>45017</v>
      </c>
      <c r="F1" s="77">
        <v>45047</v>
      </c>
      <c r="G1" s="77">
        <v>45078</v>
      </c>
      <c r="H1" s="77">
        <v>45108</v>
      </c>
      <c r="I1" s="77">
        <v>45139</v>
      </c>
      <c r="J1" s="77">
        <v>45170</v>
      </c>
      <c r="K1" s="77">
        <v>45200</v>
      </c>
      <c r="L1" s="77">
        <v>45231</v>
      </c>
      <c r="M1" s="77">
        <v>45261</v>
      </c>
      <c r="N1" s="77">
        <v>45292</v>
      </c>
      <c r="O1" s="77">
        <v>45323</v>
      </c>
      <c r="P1" s="77">
        <v>45352</v>
      </c>
      <c r="Q1" s="78"/>
      <c r="R1" s="77" t="s">
        <v>951</v>
      </c>
      <c r="S1" s="77" t="s">
        <v>951</v>
      </c>
      <c r="T1" s="78"/>
      <c r="U1" s="315" t="s">
        <v>952</v>
      </c>
      <c r="V1" s="86" t="s">
        <v>953</v>
      </c>
      <c r="W1" s="95" t="s">
        <v>954</v>
      </c>
      <c r="X1" s="78"/>
      <c r="Y1" s="77">
        <v>45383</v>
      </c>
      <c r="Z1" s="77">
        <v>45413</v>
      </c>
      <c r="AA1" s="77">
        <v>45444</v>
      </c>
      <c r="AB1" s="77">
        <v>45474</v>
      </c>
      <c r="AC1" s="77">
        <v>45505</v>
      </c>
      <c r="AD1" s="77">
        <v>45536</v>
      </c>
      <c r="AE1" s="77">
        <v>45566</v>
      </c>
      <c r="AF1" s="77">
        <v>45597</v>
      </c>
      <c r="AG1" s="77">
        <v>45627</v>
      </c>
      <c r="AH1" s="77">
        <v>45658</v>
      </c>
      <c r="AI1" s="77">
        <v>45689</v>
      </c>
      <c r="AJ1" s="77">
        <v>45717</v>
      </c>
      <c r="AK1" s="78"/>
      <c r="AL1" s="77" t="s">
        <v>955</v>
      </c>
      <c r="AM1" s="78"/>
      <c r="AN1" s="315" t="s">
        <v>952</v>
      </c>
      <c r="AO1" s="86" t="s">
        <v>956</v>
      </c>
      <c r="AP1" s="89" t="s">
        <v>957</v>
      </c>
      <c r="AQ1" s="95" t="s">
        <v>954</v>
      </c>
    </row>
    <row r="2" spans="1:43" customFormat="1" ht="30.75" customHeight="1" x14ac:dyDescent="0.25">
      <c r="A2" s="4"/>
      <c r="B2" s="77" t="s">
        <v>958</v>
      </c>
      <c r="C2" s="77" t="s">
        <v>958</v>
      </c>
      <c r="D2" s="77" t="s">
        <v>958</v>
      </c>
      <c r="E2" s="77" t="s">
        <v>958</v>
      </c>
      <c r="F2" s="77" t="s">
        <v>958</v>
      </c>
      <c r="G2" s="77" t="s">
        <v>958</v>
      </c>
      <c r="H2" s="77" t="s">
        <v>958</v>
      </c>
      <c r="I2" s="77" t="s">
        <v>958</v>
      </c>
      <c r="J2" s="77" t="s">
        <v>958</v>
      </c>
      <c r="K2" s="77" t="s">
        <v>958</v>
      </c>
      <c r="L2" s="77" t="s">
        <v>958</v>
      </c>
      <c r="M2" s="77" t="s">
        <v>958</v>
      </c>
      <c r="N2" s="77" t="s">
        <v>958</v>
      </c>
      <c r="O2" s="77" t="s">
        <v>958</v>
      </c>
      <c r="P2" s="77" t="s">
        <v>958</v>
      </c>
      <c r="Q2" s="78"/>
      <c r="R2" s="77" t="s">
        <v>960</v>
      </c>
      <c r="S2" s="77" t="s">
        <v>961</v>
      </c>
      <c r="T2" s="78"/>
      <c r="U2" s="315"/>
      <c r="V2" s="86" t="s">
        <v>962</v>
      </c>
      <c r="W2" s="96"/>
      <c r="X2" s="78"/>
      <c r="Y2" s="77" t="s">
        <v>959</v>
      </c>
      <c r="Z2" s="77" t="s">
        <v>959</v>
      </c>
      <c r="AA2" s="77" t="s">
        <v>959</v>
      </c>
      <c r="AB2" s="77" t="s">
        <v>959</v>
      </c>
      <c r="AC2" s="77" t="s">
        <v>959</v>
      </c>
      <c r="AD2" s="77" t="s">
        <v>959</v>
      </c>
      <c r="AE2" s="77" t="s">
        <v>959</v>
      </c>
      <c r="AF2" s="77" t="s">
        <v>959</v>
      </c>
      <c r="AG2" s="77" t="s">
        <v>959</v>
      </c>
      <c r="AH2" s="77" t="s">
        <v>959</v>
      </c>
      <c r="AI2" s="77" t="s">
        <v>959</v>
      </c>
      <c r="AJ2" s="77" t="s">
        <v>959</v>
      </c>
      <c r="AK2" s="78"/>
      <c r="AL2" s="77" t="s">
        <v>961</v>
      </c>
      <c r="AM2" s="78"/>
      <c r="AN2" s="315"/>
      <c r="AO2" s="86" t="s">
        <v>962</v>
      </c>
      <c r="AP2" s="90"/>
      <c r="AQ2" s="96"/>
    </row>
    <row r="3" spans="1:43" x14ac:dyDescent="0.25">
      <c r="A3" s="156" t="s">
        <v>963</v>
      </c>
      <c r="U3" s="79"/>
      <c r="V3" s="87"/>
      <c r="W3" s="97"/>
      <c r="AN3" s="79"/>
      <c r="AO3" s="87"/>
      <c r="AP3" s="91"/>
      <c r="AQ3" s="97"/>
    </row>
    <row r="4" spans="1:43" x14ac:dyDescent="0.25">
      <c r="A4" s="157" t="s">
        <v>964</v>
      </c>
      <c r="B4" s="67">
        <f>'New Vehicles - Group'!B16+'New Vehicles - Group'!B18</f>
        <v>235946.4</v>
      </c>
      <c r="C4" s="67">
        <f>'New Vehicles - Group'!C16+'New Vehicles - Group'!C18</f>
        <v>149272.12</v>
      </c>
      <c r="D4" s="67">
        <f>'New Vehicles - Group'!D16+'New Vehicles - Group'!D18</f>
        <v>321380.92000000004</v>
      </c>
      <c r="E4" s="67">
        <f>'New Vehicles - Group'!E16+'New Vehicles - Group'!E18</f>
        <v>283912.3</v>
      </c>
      <c r="F4" s="67">
        <f>'New Vehicles - Group'!F16+'New Vehicles - Group'!F18</f>
        <v>280824</v>
      </c>
      <c r="G4" s="67">
        <f>'New Vehicles - Group'!G16+'New Vehicles - Group'!G18</f>
        <v>587463.18000000005</v>
      </c>
      <c r="H4" s="67">
        <f>'New Vehicles - Group'!H16+'New Vehicles - Group'!H18</f>
        <v>108493.68</v>
      </c>
      <c r="I4" s="67">
        <f>'New Vehicles - Group'!I16+'New Vehicles - Group'!I18</f>
        <v>258995.4200000001</v>
      </c>
      <c r="J4" s="67">
        <f>'New Vehicles - Group'!J16+'New Vehicles - Group'!J18</f>
        <v>310064.15000000002</v>
      </c>
      <c r="K4" s="67">
        <f>'New Vehicles - Group'!K16+'New Vehicles - Group'!K18</f>
        <v>157019.91999999998</v>
      </c>
      <c r="L4" s="67">
        <f>'New Vehicles - Group'!L16+'New Vehicles - Group'!L18</f>
        <v>212664.96999999994</v>
      </c>
      <c r="M4" s="67">
        <f>'New Vehicles - Group'!M16+'New Vehicles - Group'!M18</f>
        <v>254575.2</v>
      </c>
      <c r="N4" s="67">
        <f>'New Vehicles - Group'!N16+'New Vehicles - Group'!N18</f>
        <v>247768.77</v>
      </c>
      <c r="O4" s="67">
        <f>'New Vehicles - Group'!O16+'New Vehicles - Group'!O18</f>
        <v>176629.27</v>
      </c>
      <c r="P4" s="67">
        <f>'New Vehicles - Group'!P16+'New Vehicles - Group'!P18</f>
        <v>314984.34999999992</v>
      </c>
      <c r="R4" s="69">
        <f t="shared" ref="R4:R9" si="0">SUM(B4:M4)</f>
        <v>3160612.26</v>
      </c>
      <c r="S4" s="69">
        <f t="shared" ref="S4:S9" si="1">SUM(E4:P4)</f>
        <v>3193395.21</v>
      </c>
      <c r="U4" s="80">
        <v>0.33</v>
      </c>
      <c r="V4" s="88">
        <f>R4/($R$9-$R$6)</f>
        <v>0.20222621444371824</v>
      </c>
      <c r="W4" s="97"/>
      <c r="X4" s="3"/>
      <c r="Y4" s="71">
        <f>'New Vehicles - Group'!E37+'New Vehicles - Group'!E39</f>
        <v>243276.93888888889</v>
      </c>
      <c r="Z4" s="71">
        <f>'New Vehicles - Group'!F37+'New Vehicles - Group'!F39</f>
        <v>243276.93888888889</v>
      </c>
      <c r="AA4" s="71">
        <f>'New Vehicles - Group'!G37+'New Vehicles - Group'!G39</f>
        <v>290808.18888888886</v>
      </c>
      <c r="AB4" s="71">
        <f>'New Vehicles - Group'!H37+'New Vehicles - Group'!H39</f>
        <v>237126.93888888889</v>
      </c>
      <c r="AC4" s="71">
        <f>'New Vehicles - Group'!I37+'New Vehicles - Group'!I39</f>
        <v>237126.93888888889</v>
      </c>
      <c r="AD4" s="71">
        <f>'New Vehicles - Group'!J37+'New Vehicles - Group'!J39</f>
        <v>283439.43888888886</v>
      </c>
      <c r="AE4" s="71">
        <f>'New Vehicles - Group'!K37+'New Vehicles - Group'!K39</f>
        <v>243276.93888888889</v>
      </c>
      <c r="AF4" s="71">
        <f>'New Vehicles - Group'!L37+'New Vehicles - Group'!L39</f>
        <v>235076.93888888889</v>
      </c>
      <c r="AG4" s="71">
        <f>'New Vehicles - Group'!M37+'New Vehicles - Group'!M39</f>
        <v>258876.93888888889</v>
      </c>
      <c r="AH4" s="71">
        <f>'New Vehicles - Group'!N37+'New Vehicles - Group'!N39</f>
        <v>216626.93888888889</v>
      </c>
      <c r="AI4" s="71">
        <f>'New Vehicles - Group'!O37+'New Vehicles - Group'!O39</f>
        <v>216626.93888888889</v>
      </c>
      <c r="AJ4" s="71">
        <f>'New Vehicles - Group'!P37+'New Vehicles - Group'!P39</f>
        <v>303089.43888888886</v>
      </c>
      <c r="AL4" s="69">
        <f t="shared" ref="AL4:AL9" si="2">SUM(Y4:AJ4)</f>
        <v>3008629.5166666661</v>
      </c>
      <c r="AN4" s="80">
        <v>0.33</v>
      </c>
      <c r="AO4" s="88">
        <f>AL4/($AL$9-$AL$6)</f>
        <v>0.1758914009791139</v>
      </c>
      <c r="AP4" s="91"/>
      <c r="AQ4" s="97"/>
    </row>
    <row r="5" spans="1:43" x14ac:dyDescent="0.25">
      <c r="A5" s="157" t="s">
        <v>965</v>
      </c>
      <c r="B5" s="67">
        <f>'Used Vehicles - Group'!B22</f>
        <v>161476.22000000012</v>
      </c>
      <c r="C5" s="67">
        <f>'Used Vehicles - Group'!C22</f>
        <v>248128.22999999984</v>
      </c>
      <c r="D5" s="67">
        <f>'Used Vehicles - Group'!D22</f>
        <v>293152.72999999981</v>
      </c>
      <c r="E5" s="67">
        <f>'Used Vehicles - Group'!E22</f>
        <v>186659.14</v>
      </c>
      <c r="F5" s="67">
        <f>'Used Vehicles - Group'!F22</f>
        <v>192979.51999999973</v>
      </c>
      <c r="G5" s="67">
        <f>'Used Vehicles - Group'!G22</f>
        <v>322087.64000000013</v>
      </c>
      <c r="H5" s="67">
        <f>'Used Vehicles - Group'!H22</f>
        <v>185605.65</v>
      </c>
      <c r="I5" s="67">
        <f>'Used Vehicles - Group'!I22</f>
        <v>221465.96000000002</v>
      </c>
      <c r="J5" s="67">
        <f>'Used Vehicles - Group'!J22</f>
        <v>291674.07000000012</v>
      </c>
      <c r="K5" s="67">
        <f>'Used Vehicles - Group'!K22</f>
        <v>223015.61000000004</v>
      </c>
      <c r="L5" s="67">
        <f>'Used Vehicles - Group'!L22</f>
        <v>197174.68000000011</v>
      </c>
      <c r="M5" s="67">
        <f>'Used Vehicles - Group'!M22</f>
        <v>282964.18999999994</v>
      </c>
      <c r="N5" s="67">
        <f>'Used Vehicles - Group'!N22</f>
        <v>244080.81000000011</v>
      </c>
      <c r="O5" s="67">
        <f>'Used Vehicles - Group'!O22</f>
        <v>226949.52999999985</v>
      </c>
      <c r="P5" s="67">
        <f>'Used Vehicles - Group'!P22</f>
        <v>313777.93</v>
      </c>
      <c r="R5" s="69">
        <f t="shared" si="0"/>
        <v>2806383.6399999997</v>
      </c>
      <c r="S5" s="69">
        <f t="shared" si="1"/>
        <v>2888434.73</v>
      </c>
      <c r="U5" s="80">
        <v>0.25</v>
      </c>
      <c r="V5" s="88">
        <f>R5/($R$9-$R$6)</f>
        <v>0.17956151944876103</v>
      </c>
      <c r="W5" s="97"/>
      <c r="X5" s="3"/>
      <c r="Y5" s="71">
        <f>'Used Vehicles - Group'!E48</f>
        <v>240792.00000000003</v>
      </c>
      <c r="Z5" s="71">
        <f>'Used Vehicles - Group'!F48</f>
        <v>282133.66666666663</v>
      </c>
      <c r="AA5" s="71">
        <f>'Used Vehicles - Group'!G48</f>
        <v>420394.0833333332</v>
      </c>
      <c r="AB5" s="71">
        <f>'Used Vehicles - Group'!H48</f>
        <v>311892</v>
      </c>
      <c r="AC5" s="71">
        <f>'Used Vehicles - Group'!I48</f>
        <v>323142</v>
      </c>
      <c r="AD5" s="71">
        <f>'Used Vehicles - Group'!J48</f>
        <v>430579.5</v>
      </c>
      <c r="AE5" s="71">
        <f>'Used Vehicles - Group'!K48</f>
        <v>311892</v>
      </c>
      <c r="AF5" s="71">
        <f>'Used Vehicles - Group'!L48</f>
        <v>381892</v>
      </c>
      <c r="AG5" s="71">
        <f>'Used Vehicles - Group'!M48</f>
        <v>392079.5</v>
      </c>
      <c r="AH5" s="71">
        <f>'Used Vehicles - Group'!N48</f>
        <v>286892</v>
      </c>
      <c r="AI5" s="71">
        <f>'Used Vehicles - Group'!O48</f>
        <v>286892</v>
      </c>
      <c r="AJ5" s="71">
        <f>'Used Vehicles - Group'!P48</f>
        <v>424704.50000000006</v>
      </c>
      <c r="AL5" s="69">
        <f t="shared" si="2"/>
        <v>4093285.25</v>
      </c>
      <c r="AN5" s="80">
        <v>0.25</v>
      </c>
      <c r="AO5" s="88">
        <f>AL5/($AL$9-$AL$6)</f>
        <v>0.23930286970903578</v>
      </c>
      <c r="AP5" s="91"/>
      <c r="AQ5" s="97"/>
    </row>
    <row r="6" spans="1:43" x14ac:dyDescent="0.25">
      <c r="A6" s="157" t="s">
        <v>966</v>
      </c>
      <c r="B6" s="67">
        <f>'F&amp;I'!B12</f>
        <v>133391.37</v>
      </c>
      <c r="C6" s="67">
        <f>'F&amp;I'!C12</f>
        <v>125628.19000000002</v>
      </c>
      <c r="D6" s="67">
        <f>'F&amp;I'!D12</f>
        <v>332335.28999999998</v>
      </c>
      <c r="E6" s="67">
        <f>'F&amp;I'!E12</f>
        <v>150006.46000000002</v>
      </c>
      <c r="F6" s="67">
        <f>'F&amp;I'!F12</f>
        <v>168139.02999999997</v>
      </c>
      <c r="G6" s="67">
        <f>'F&amp;I'!G12</f>
        <v>419093.80999999994</v>
      </c>
      <c r="H6" s="67">
        <f>'F&amp;I'!H12</f>
        <v>86055.72</v>
      </c>
      <c r="I6" s="67">
        <f>'F&amp;I'!I12</f>
        <v>126021.19</v>
      </c>
      <c r="J6" s="67">
        <f>'F&amp;I'!J12</f>
        <v>273129.20999999996</v>
      </c>
      <c r="K6" s="67">
        <f>'F&amp;I'!K12</f>
        <v>138773.15</v>
      </c>
      <c r="L6" s="67">
        <f>'F&amp;I'!L12</f>
        <v>172104.92</v>
      </c>
      <c r="M6" s="67">
        <f>'F&amp;I'!M12</f>
        <v>237357.05</v>
      </c>
      <c r="N6" s="67">
        <f>'F&amp;I'!N12</f>
        <v>151593.87</v>
      </c>
      <c r="O6" s="67">
        <f>'F&amp;I'!O12</f>
        <v>148915.72</v>
      </c>
      <c r="P6" s="67">
        <f>'F&amp;I'!P12</f>
        <v>198014.64</v>
      </c>
      <c r="R6" s="69">
        <f t="shared" si="0"/>
        <v>2362035.3899999997</v>
      </c>
      <c r="S6" s="69">
        <f t="shared" si="1"/>
        <v>2269204.7699999996</v>
      </c>
      <c r="U6" s="80">
        <v>7.0000000000000007E-2</v>
      </c>
      <c r="V6" s="88">
        <f>R6/$R$9</f>
        <v>0.13128889822430495</v>
      </c>
      <c r="W6" s="97"/>
      <c r="X6" s="3"/>
      <c r="Y6" s="71">
        <f>'F&amp;I'!E28</f>
        <v>153321.42982724719</v>
      </c>
      <c r="Z6" s="71">
        <f>'F&amp;I'!F28</f>
        <v>162417.13610252808</v>
      </c>
      <c r="AA6" s="71">
        <f>'F&amp;I'!G28</f>
        <v>258046.12642275283</v>
      </c>
      <c r="AB6" s="71">
        <f>'F&amp;I'!H28</f>
        <v>163015.11189438205</v>
      </c>
      <c r="AC6" s="71">
        <f>'F&amp;I'!I28</f>
        <v>165752.72279325844</v>
      </c>
      <c r="AD6" s="71">
        <f>'F&amp;I'!J28</f>
        <v>253990.33369213482</v>
      </c>
      <c r="AE6" s="71">
        <f>'F&amp;I'!K28</f>
        <v>164822.38779438203</v>
      </c>
      <c r="AF6" s="71">
        <f>'F&amp;I'!L28</f>
        <v>179387.38318988762</v>
      </c>
      <c r="AG6" s="71">
        <f>'F&amp;I'!M28</f>
        <v>237219.04848707866</v>
      </c>
      <c r="AH6" s="71">
        <f>'F&amp;I'!N28</f>
        <v>150981.43758820224</v>
      </c>
      <c r="AI6" s="71">
        <f>'F&amp;I'!O28</f>
        <v>150981.43758820224</v>
      </c>
      <c r="AJ6" s="71">
        <f>'F&amp;I'!P28</f>
        <v>255290.36827752812</v>
      </c>
      <c r="AL6" s="69">
        <f t="shared" si="2"/>
        <v>2295224.9236575845</v>
      </c>
      <c r="AN6" s="80">
        <v>7.0000000000000007E-2</v>
      </c>
      <c r="AO6" s="88">
        <f>AL6/$AL$9</f>
        <v>0.1183089451328052</v>
      </c>
      <c r="AP6" s="91"/>
      <c r="AQ6" s="97"/>
    </row>
    <row r="7" spans="1:43" x14ac:dyDescent="0.25">
      <c r="A7" s="157" t="s">
        <v>113</v>
      </c>
      <c r="B7" s="67">
        <f>'Parts - Group '!B16</f>
        <v>225653.55000000002</v>
      </c>
      <c r="C7" s="67">
        <f>'Parts - Group '!C16</f>
        <v>209744.87</v>
      </c>
      <c r="D7" s="67">
        <f>'Parts - Group '!D16</f>
        <v>437050.03000000014</v>
      </c>
      <c r="E7" s="67">
        <f>'Parts - Group '!E16</f>
        <v>233454.56999999998</v>
      </c>
      <c r="F7" s="67">
        <f>'Parts - Group '!F16</f>
        <v>249262.66</v>
      </c>
      <c r="G7" s="67">
        <f>'Parts - Group '!G16</f>
        <v>435376.72000000003</v>
      </c>
      <c r="H7" s="67">
        <f>'Parts - Group '!H16</f>
        <v>265233.52999999997</v>
      </c>
      <c r="I7" s="67">
        <f>'Parts - Group '!I16</f>
        <v>266030.30000000005</v>
      </c>
      <c r="J7" s="67">
        <f>'Parts - Group '!J16</f>
        <v>374300.31</v>
      </c>
      <c r="K7" s="67">
        <f>'Parts - Group '!K16</f>
        <v>254952.01999999996</v>
      </c>
      <c r="L7" s="67">
        <f>'Parts - Group '!L16</f>
        <v>333713.92000000004</v>
      </c>
      <c r="M7" s="67">
        <f>'Parts - Group '!M16</f>
        <v>328297.55</v>
      </c>
      <c r="N7" s="67">
        <f>'Parts - Group '!N16</f>
        <v>200493.9599999999</v>
      </c>
      <c r="O7" s="67">
        <f>'Parts - Group '!O16</f>
        <v>279581.93</v>
      </c>
      <c r="P7" s="67">
        <f>'Parts - Group '!P16</f>
        <v>376121.5</v>
      </c>
      <c r="R7" s="69">
        <f t="shared" si="0"/>
        <v>3613070.0300000003</v>
      </c>
      <c r="S7" s="69">
        <f t="shared" si="1"/>
        <v>3596818.97</v>
      </c>
      <c r="U7" s="80">
        <v>0.14000000000000001</v>
      </c>
      <c r="V7" s="88">
        <f>R7/($R$9-$R$6)</f>
        <v>0.23117592876987436</v>
      </c>
      <c r="W7" s="97"/>
      <c r="X7" s="3"/>
      <c r="Y7" s="71">
        <f>'Parts - Group '!E37+'Parts - Group '!E38</f>
        <v>251248.42354300572</v>
      </c>
      <c r="Z7" s="71">
        <f>'Parts - Group '!F37+'Parts - Group '!F38</f>
        <v>285509.572207961</v>
      </c>
      <c r="AA7" s="71">
        <f>'Parts - Group '!G37+'Parts - Group '!G38</f>
        <v>343805.34921052807</v>
      </c>
      <c r="AB7" s="71">
        <f>'Parts - Group '!H37+'Parts - Group '!H38</f>
        <v>285509.572207961</v>
      </c>
      <c r="AC7" s="71">
        <f>'Parts - Group '!I37+'Parts - Group '!I38</f>
        <v>279799.3807638018</v>
      </c>
      <c r="AD7" s="71">
        <f>'Parts - Group '!J37+'Parts - Group '!J38</f>
        <v>369543.80643132416</v>
      </c>
      <c r="AE7" s="71">
        <f>'Parts - Group '!K37+'Parts - Group '!K38</f>
        <v>274089.18931964261</v>
      </c>
      <c r="AF7" s="71">
        <f>'Parts - Group '!L37+'Parts - Group '!L38</f>
        <v>268378.99787548342</v>
      </c>
      <c r="AG7" s="71">
        <f>'Parts - Group '!M37+'Parts - Group '!M38</f>
        <v>355623.42354300572</v>
      </c>
      <c r="AH7" s="71">
        <f>'Parts - Group '!N37+'Parts - Group '!N38</f>
        <v>251248.42354300572</v>
      </c>
      <c r="AI7" s="71">
        <f>'Parts - Group '!O37+'Parts - Group '!O38</f>
        <v>239828.04065468727</v>
      </c>
      <c r="AJ7" s="71">
        <f>'Parts - Group '!P37+'Parts - Group '!P38</f>
        <v>371503.99787548342</v>
      </c>
      <c r="AL7" s="69">
        <f t="shared" si="2"/>
        <v>3576088.1771758897</v>
      </c>
      <c r="AN7" s="80">
        <v>0.14000000000000001</v>
      </c>
      <c r="AO7" s="88">
        <f>AL7/($AL$9-$AL$6)</f>
        <v>0.20906633934948587</v>
      </c>
      <c r="AP7" s="91"/>
      <c r="AQ7" s="97"/>
    </row>
    <row r="8" spans="1:43" x14ac:dyDescent="0.25">
      <c r="A8" s="157" t="s">
        <v>967</v>
      </c>
      <c r="B8" s="67">
        <f>'Service - Group '!B16</f>
        <v>411999.29999999993</v>
      </c>
      <c r="C8" s="67">
        <f>'Service - Group '!C16</f>
        <v>431636.64999999997</v>
      </c>
      <c r="D8" s="67">
        <f>'Service - Group '!D16</f>
        <v>583458.80000000005</v>
      </c>
      <c r="E8" s="67">
        <f>'Service - Group '!E16</f>
        <v>368801.33</v>
      </c>
      <c r="F8" s="67">
        <f>'Service - Group '!F16</f>
        <v>597915.25</v>
      </c>
      <c r="G8" s="67">
        <f>'Service - Group '!G16</f>
        <v>504621.73</v>
      </c>
      <c r="H8" s="67">
        <f>'Service - Group '!H16</f>
        <v>449670.81999999995</v>
      </c>
      <c r="I8" s="67">
        <f>'Service - Group '!I16</f>
        <v>578960.68999999994</v>
      </c>
      <c r="J8" s="67">
        <f>'Service - Group '!J16</f>
        <v>493007.28</v>
      </c>
      <c r="K8" s="67">
        <f>'Service - Group '!K16</f>
        <v>499217.16999999993</v>
      </c>
      <c r="L8" s="67">
        <f>'Service - Group '!L16</f>
        <v>600508.47000000009</v>
      </c>
      <c r="M8" s="67">
        <f>'Service - Group '!M16</f>
        <v>529229.31999999995</v>
      </c>
      <c r="N8" s="67">
        <f>'Service - Group '!N16</f>
        <v>491371.74</v>
      </c>
      <c r="O8" s="67">
        <f>'Service - Group '!O16</f>
        <v>496542.52</v>
      </c>
      <c r="P8" s="67">
        <f>'Service - Group '!P16</f>
        <v>519480.52999999997</v>
      </c>
      <c r="R8" s="69">
        <f t="shared" si="0"/>
        <v>6049026.8099999996</v>
      </c>
      <c r="S8" s="69">
        <f t="shared" si="1"/>
        <v>6129326.8500000006</v>
      </c>
      <c r="U8" s="80">
        <v>0.28000000000000003</v>
      </c>
      <c r="V8" s="88">
        <f>R8/($R$9-$R$6)</f>
        <v>0.38703633733764642</v>
      </c>
      <c r="W8" s="97"/>
      <c r="X8" s="3"/>
      <c r="Y8" s="71">
        <f>'Service - Group '!E36</f>
        <v>512300.08568302717</v>
      </c>
      <c r="Z8" s="71">
        <f>'Service - Group '!F36</f>
        <v>582159.18827616703</v>
      </c>
      <c r="AA8" s="71">
        <f>'Service - Group '!G36</f>
        <v>477370.534386457</v>
      </c>
      <c r="AB8" s="71">
        <f>'Service - Group '!H36</f>
        <v>582159.18827616703</v>
      </c>
      <c r="AC8" s="71">
        <f>'Service - Group '!I36</f>
        <v>570516.00451064389</v>
      </c>
      <c r="AD8" s="71">
        <f>'Service - Group '!J36</f>
        <v>535586.45321407379</v>
      </c>
      <c r="AE8" s="71">
        <f>'Service - Group '!K36</f>
        <v>558872.82074512041</v>
      </c>
      <c r="AF8" s="71">
        <f>'Service - Group '!L36</f>
        <v>547229.63697959716</v>
      </c>
      <c r="AG8" s="71">
        <f>'Service - Group '!M36</f>
        <v>512300.08568302717</v>
      </c>
      <c r="AH8" s="71">
        <f>'Service - Group '!N36</f>
        <v>512300.08568302717</v>
      </c>
      <c r="AI8" s="71">
        <f>'Service - Group '!O36</f>
        <v>489013.71815198037</v>
      </c>
      <c r="AJ8" s="71">
        <f>'Service - Group '!P36</f>
        <v>547229.63697959716</v>
      </c>
      <c r="AL8" s="69">
        <f t="shared" si="2"/>
        <v>6427037.4385688845</v>
      </c>
      <c r="AN8" s="80">
        <v>0.28000000000000003</v>
      </c>
      <c r="AO8" s="88">
        <f>AL8/($AL$9-$AL$6)</f>
        <v>0.3757393899623645</v>
      </c>
      <c r="AP8" s="91"/>
      <c r="AQ8" s="97"/>
    </row>
    <row r="9" spans="1:43" x14ac:dyDescent="0.25">
      <c r="A9" s="158" t="s">
        <v>968</v>
      </c>
      <c r="B9" s="68">
        <f>SUM(B4:B8)</f>
        <v>1168466.8400000001</v>
      </c>
      <c r="C9" s="68">
        <f t="shared" ref="C9:P9" si="3">SUM(C4:C8)</f>
        <v>1164410.0599999998</v>
      </c>
      <c r="D9" s="68">
        <f t="shared" si="3"/>
        <v>1967377.7700000003</v>
      </c>
      <c r="E9" s="68">
        <f t="shared" si="3"/>
        <v>1222833.8</v>
      </c>
      <c r="F9" s="68">
        <f t="shared" si="3"/>
        <v>1489120.4599999997</v>
      </c>
      <c r="G9" s="68">
        <f t="shared" si="3"/>
        <v>2268643.08</v>
      </c>
      <c r="H9" s="68">
        <f t="shared" si="3"/>
        <v>1095059.3999999999</v>
      </c>
      <c r="I9" s="68">
        <f t="shared" si="3"/>
        <v>1451473.56</v>
      </c>
      <c r="J9" s="68">
        <f t="shared" si="3"/>
        <v>1742175.0200000003</v>
      </c>
      <c r="K9" s="68">
        <f t="shared" si="3"/>
        <v>1272977.8699999999</v>
      </c>
      <c r="L9" s="68">
        <f t="shared" si="3"/>
        <v>1516166.9600000002</v>
      </c>
      <c r="M9" s="68">
        <f t="shared" si="3"/>
        <v>1632423.31</v>
      </c>
      <c r="N9" s="68">
        <f t="shared" si="3"/>
        <v>1335309.1499999999</v>
      </c>
      <c r="O9" s="68">
        <f t="shared" si="3"/>
        <v>1328618.9699999997</v>
      </c>
      <c r="P9" s="68">
        <f t="shared" si="3"/>
        <v>1722378.95</v>
      </c>
      <c r="R9" s="68">
        <f t="shared" si="0"/>
        <v>17991128.129999999</v>
      </c>
      <c r="S9" s="68">
        <f t="shared" si="1"/>
        <v>18077180.530000001</v>
      </c>
      <c r="U9" s="80">
        <f>U4+U5+U7+U8</f>
        <v>1</v>
      </c>
      <c r="V9" s="88">
        <f>V4+V5+V7+V8</f>
        <v>1</v>
      </c>
      <c r="W9" s="97"/>
      <c r="X9" s="3"/>
      <c r="Y9" s="72">
        <f>SUM(Y4:Y8)</f>
        <v>1400938.8779421691</v>
      </c>
      <c r="Z9" s="72">
        <f t="shared" ref="Z9:AJ9" si="4">SUM(Z4:Z8)</f>
        <v>1555496.5021422117</v>
      </c>
      <c r="AA9" s="72">
        <f t="shared" si="4"/>
        <v>1790424.2822419601</v>
      </c>
      <c r="AB9" s="72">
        <f t="shared" si="4"/>
        <v>1579702.811267399</v>
      </c>
      <c r="AC9" s="72">
        <f t="shared" si="4"/>
        <v>1576337.0469565929</v>
      </c>
      <c r="AD9" s="72">
        <f t="shared" si="4"/>
        <v>1873139.5322264216</v>
      </c>
      <c r="AE9" s="72">
        <f t="shared" si="4"/>
        <v>1552953.336748034</v>
      </c>
      <c r="AF9" s="72">
        <f t="shared" si="4"/>
        <v>1611964.9569338572</v>
      </c>
      <c r="AG9" s="72">
        <f t="shared" si="4"/>
        <v>1756098.9966020007</v>
      </c>
      <c r="AH9" s="72">
        <f t="shared" si="4"/>
        <v>1418048.8857031241</v>
      </c>
      <c r="AI9" s="72">
        <f t="shared" si="4"/>
        <v>1383342.1352837586</v>
      </c>
      <c r="AJ9" s="72">
        <f t="shared" si="4"/>
        <v>1901817.9420214975</v>
      </c>
      <c r="AL9" s="68">
        <f t="shared" si="2"/>
        <v>19400265.306069024</v>
      </c>
      <c r="AN9" s="80">
        <f>AN4+AN5+AN7+AN8</f>
        <v>1</v>
      </c>
      <c r="AO9" s="88">
        <f>AO4+AO5+AO7+AO8</f>
        <v>1</v>
      </c>
      <c r="AP9" s="91"/>
      <c r="AQ9" s="97"/>
    </row>
    <row r="10" spans="1:43" x14ac:dyDescent="0.25">
      <c r="A10" s="156" t="s">
        <v>969</v>
      </c>
      <c r="B10" s="67"/>
      <c r="C10" s="67"/>
      <c r="D10" s="67"/>
      <c r="E10" s="67"/>
      <c r="F10" s="67"/>
      <c r="G10" s="67"/>
      <c r="H10" s="67"/>
      <c r="I10" s="67"/>
      <c r="J10" s="67"/>
      <c r="K10" s="67"/>
      <c r="L10" s="67"/>
      <c r="M10" s="67"/>
      <c r="N10" s="67"/>
      <c r="O10" s="67"/>
      <c r="P10" s="67"/>
      <c r="R10" s="67"/>
      <c r="S10" s="67"/>
      <c r="U10" s="80"/>
      <c r="V10" s="88"/>
      <c r="W10" s="97"/>
      <c r="Y10" s="71"/>
      <c r="Z10" s="71"/>
      <c r="AA10" s="71"/>
      <c r="AB10" s="71"/>
      <c r="AC10" s="71"/>
      <c r="AD10" s="71"/>
      <c r="AE10" s="71"/>
      <c r="AF10" s="71"/>
      <c r="AG10" s="71"/>
      <c r="AH10" s="71"/>
      <c r="AI10" s="71"/>
      <c r="AJ10" s="71"/>
      <c r="AL10" s="67"/>
      <c r="AN10" s="80"/>
      <c r="AO10" s="88"/>
      <c r="AP10" s="91"/>
      <c r="AQ10" s="97"/>
    </row>
    <row r="11" spans="1:43" x14ac:dyDescent="0.25">
      <c r="A11" s="157" t="s">
        <v>964</v>
      </c>
      <c r="B11" s="67">
        <f>-'New Vehicles - Group'!B17</f>
        <v>-225860.28000000003</v>
      </c>
      <c r="C11" s="67">
        <f>-'New Vehicles - Group'!C17</f>
        <v>-157923.16</v>
      </c>
      <c r="D11" s="67">
        <f>-'New Vehicles - Group'!D17</f>
        <v>-86034.610000000015</v>
      </c>
      <c r="E11" s="67">
        <f>-'New Vehicles - Group'!E17</f>
        <v>-214955.87</v>
      </c>
      <c r="F11" s="67">
        <f>-'New Vehicles - Group'!F17</f>
        <v>-226042.44999999998</v>
      </c>
      <c r="G11" s="67">
        <f>-'New Vehicles - Group'!G17</f>
        <v>-237265.7</v>
      </c>
      <c r="H11" s="67">
        <f>-'New Vehicles - Group'!H17</f>
        <v>-209982.91999999998</v>
      </c>
      <c r="I11" s="67">
        <f>-'New Vehicles - Group'!I17</f>
        <v>-203970.06999999998</v>
      </c>
      <c r="J11" s="67">
        <f>-'New Vehicles - Group'!J17</f>
        <v>-181519.63</v>
      </c>
      <c r="K11" s="67">
        <f>-'New Vehicles - Group'!K17</f>
        <v>-169890.68</v>
      </c>
      <c r="L11" s="67">
        <f>-'New Vehicles - Group'!L17</f>
        <v>-205495.36000000002</v>
      </c>
      <c r="M11" s="67">
        <f>-'New Vehicles - Group'!M17</f>
        <v>-166460.78999999998</v>
      </c>
      <c r="N11" s="67">
        <f>-'New Vehicles - Group'!N17</f>
        <v>-189651.88999999998</v>
      </c>
      <c r="O11" s="67">
        <f>-'New Vehicles - Group'!O17</f>
        <v>-207247.08</v>
      </c>
      <c r="P11" s="67">
        <f>-'New Vehicles - Group'!P17</f>
        <v>-152121.53999999998</v>
      </c>
      <c r="R11" s="69">
        <f t="shared" ref="R11:R16" si="5">SUM(B11:M11)</f>
        <v>-2285401.52</v>
      </c>
      <c r="S11" s="69">
        <f t="shared" ref="S11:S16" si="6">SUM(E11:P11)</f>
        <v>-2364603.98</v>
      </c>
      <c r="U11" s="80"/>
      <c r="V11" s="88"/>
      <c r="W11" s="97"/>
      <c r="X11" s="3"/>
      <c r="Y11" s="71">
        <f>-'New Vehicles - Group'!E38</f>
        <v>-160883.06076443783</v>
      </c>
      <c r="Z11" s="71">
        <f>-'New Vehicles - Group'!F38</f>
        <v>-160883.06076443783</v>
      </c>
      <c r="AA11" s="71">
        <f>-'New Vehicles - Group'!G38</f>
        <v>-161008.10451443784</v>
      </c>
      <c r="AB11" s="71">
        <f>-'New Vehicles - Group'!H38</f>
        <v>-159364.61076443782</v>
      </c>
      <c r="AC11" s="71">
        <f>-'New Vehicles - Group'!I38</f>
        <v>-159364.61076443782</v>
      </c>
      <c r="AD11" s="71">
        <f>-'New Vehicles - Group'!J38</f>
        <v>-159486.36388943784</v>
      </c>
      <c r="AE11" s="71">
        <f>-'New Vehicles - Group'!K38</f>
        <v>-160883.06076443783</v>
      </c>
      <c r="AF11" s="71">
        <f>-'New Vehicles - Group'!L38</f>
        <v>-158858.46076443786</v>
      </c>
      <c r="AG11" s="71">
        <f>-'New Vehicles - Group'!M38</f>
        <v>-151344.14826443786</v>
      </c>
      <c r="AH11" s="71">
        <f>-'New Vehicles - Group'!N38</f>
        <v>-151234.46076443786</v>
      </c>
      <c r="AI11" s="71">
        <f>-'New Vehicles - Group'!O38</f>
        <v>-151234.46076443786</v>
      </c>
      <c r="AJ11" s="71">
        <f>-'New Vehicles - Group'!P38</f>
        <v>-163037.09201443783</v>
      </c>
      <c r="AL11" s="69">
        <f t="shared" ref="AL11:AL16" si="7">SUM(Y11:AJ11)</f>
        <v>-1897581.4947982542</v>
      </c>
      <c r="AN11" s="80"/>
      <c r="AO11" s="88"/>
      <c r="AP11" s="91"/>
      <c r="AQ11" s="97"/>
    </row>
    <row r="12" spans="1:43" x14ac:dyDescent="0.25">
      <c r="A12" s="157" t="s">
        <v>965</v>
      </c>
      <c r="B12" s="67">
        <f>-'Used Vehicles - Group'!B23</f>
        <v>-172513.51</v>
      </c>
      <c r="C12" s="67">
        <f>-'Used Vehicles - Group'!C23</f>
        <v>-170236.53000000003</v>
      </c>
      <c r="D12" s="67">
        <f>-'Used Vehicles - Group'!D23</f>
        <v>-201772.10928927976</v>
      </c>
      <c r="E12" s="67">
        <f>-'Used Vehicles - Group'!E23</f>
        <v>-189804.90000000002</v>
      </c>
      <c r="F12" s="67">
        <f>-'Used Vehicles - Group'!F23</f>
        <v>-181967.26</v>
      </c>
      <c r="G12" s="67">
        <f>-'Used Vehicles - Group'!G23</f>
        <v>-219991.56999999998</v>
      </c>
      <c r="H12" s="67">
        <f>-'Used Vehicles - Group'!H23</f>
        <v>-194956.06</v>
      </c>
      <c r="I12" s="67">
        <f>-'Used Vehicles - Group'!I23</f>
        <v>-213864.40000000002</v>
      </c>
      <c r="J12" s="67">
        <f>-'Used Vehicles - Group'!J23</f>
        <v>-204743.89</v>
      </c>
      <c r="K12" s="67">
        <f>-'Used Vehicles - Group'!K23</f>
        <v>-195556.41</v>
      </c>
      <c r="L12" s="67">
        <f>-'Used Vehicles - Group'!L23</f>
        <v>-230124.55999999997</v>
      </c>
      <c r="M12" s="67">
        <f>-'Used Vehicles - Group'!M23</f>
        <v>-207392.57</v>
      </c>
      <c r="N12" s="67">
        <f>-'Used Vehicles - Group'!N23</f>
        <v>-211495.80000000005</v>
      </c>
      <c r="O12" s="67">
        <f>-'Used Vehicles - Group'!O23</f>
        <v>-212538.44000000003</v>
      </c>
      <c r="P12" s="67">
        <f>-'Used Vehicles - Group'!P23</f>
        <v>-219195.9</v>
      </c>
      <c r="R12" s="69">
        <f t="shared" si="5"/>
        <v>-2382923.7692892798</v>
      </c>
      <c r="S12" s="69">
        <f t="shared" si="6"/>
        <v>-2481631.7600000002</v>
      </c>
      <c r="U12" s="80"/>
      <c r="V12" s="88"/>
      <c r="W12" s="97"/>
      <c r="X12" s="3"/>
      <c r="Y12" s="71">
        <f>-'Used Vehicles - Group'!E49</f>
        <v>-188236.55589694955</v>
      </c>
      <c r="Z12" s="71">
        <f>-'Used Vehicles - Group'!F49</f>
        <v>-194385.55589694958</v>
      </c>
      <c r="AA12" s="71">
        <f>-'Used Vehicles - Group'!G49</f>
        <v>-202481.06214694958</v>
      </c>
      <c r="AB12" s="71">
        <f>-'Used Vehicles - Group'!H49</f>
        <v>-195956.45589694957</v>
      </c>
      <c r="AC12" s="71">
        <f>-'Used Vehicles - Group'!I49</f>
        <v>-197340.20589694957</v>
      </c>
      <c r="AD12" s="71">
        <f>-'Used Vehicles - Group'!J49</f>
        <v>-198976.82777194955</v>
      </c>
      <c r="AE12" s="71">
        <f>-'Used Vehicles - Group'!K49</f>
        <v>-195956.45589694957</v>
      </c>
      <c r="AF12" s="71">
        <f>-'Used Vehicles - Group'!L49</f>
        <v>-209116.45589694957</v>
      </c>
      <c r="AG12" s="71">
        <f>-'Used Vehicles - Group'!M49</f>
        <v>-190011.24339694955</v>
      </c>
      <c r="AH12" s="71">
        <f>-'Used Vehicles - Group'!N49</f>
        <v>-188381.45589694954</v>
      </c>
      <c r="AI12" s="71">
        <f>-'Used Vehicles - Group'!O49</f>
        <v>-188381.45589694954</v>
      </c>
      <c r="AJ12" s="71">
        <f>-'Used Vehicles - Group'!P49</f>
        <v>-198207.93714694955</v>
      </c>
      <c r="AL12" s="69">
        <f t="shared" si="7"/>
        <v>-2347431.667638395</v>
      </c>
      <c r="AN12" s="80"/>
      <c r="AO12" s="88"/>
      <c r="AP12" s="91"/>
      <c r="AQ12" s="97"/>
    </row>
    <row r="13" spans="1:43" x14ac:dyDescent="0.25">
      <c r="A13" s="157" t="s">
        <v>966</v>
      </c>
      <c r="B13" s="67">
        <f>-'F&amp;I'!B13</f>
        <v>-55588.01</v>
      </c>
      <c r="C13" s="67">
        <f>-'F&amp;I'!C13</f>
        <v>-49354.299999999996</v>
      </c>
      <c r="D13" s="67">
        <f>-'F&amp;I'!D13</f>
        <v>-70618.87999999999</v>
      </c>
      <c r="E13" s="67">
        <f>-'F&amp;I'!E13</f>
        <v>-62389.799999999996</v>
      </c>
      <c r="F13" s="67">
        <f>-'F&amp;I'!F13</f>
        <v>-73634.62</v>
      </c>
      <c r="G13" s="67">
        <f>-'F&amp;I'!G13</f>
        <v>-77554.38</v>
      </c>
      <c r="H13" s="67">
        <f>-'F&amp;I'!H13</f>
        <v>-62824.83</v>
      </c>
      <c r="I13" s="67">
        <f>-'F&amp;I'!I13</f>
        <v>-67112.62</v>
      </c>
      <c r="J13" s="67">
        <f>-'F&amp;I'!J13</f>
        <v>-63200.800000000003</v>
      </c>
      <c r="K13" s="67">
        <f>-'F&amp;I'!K13</f>
        <v>-69175.657281553402</v>
      </c>
      <c r="L13" s="67">
        <f>-'F&amp;I'!L13</f>
        <v>-80704.398381294959</v>
      </c>
      <c r="M13" s="67">
        <f>-'F&amp;I'!M13</f>
        <v>-60423.63</v>
      </c>
      <c r="N13" s="67">
        <f>-'F&amp;I'!N13</f>
        <v>-69106.34</v>
      </c>
      <c r="O13" s="67">
        <f>-'F&amp;I'!O13</f>
        <v>-54286.299999999988</v>
      </c>
      <c r="P13" s="67">
        <f>-'F&amp;I'!P13</f>
        <v>-64688.298347826094</v>
      </c>
      <c r="R13" s="69">
        <f t="shared" si="5"/>
        <v>-792581.92566284828</v>
      </c>
      <c r="S13" s="69">
        <f t="shared" si="6"/>
        <v>-805101.67401067447</v>
      </c>
      <c r="U13" s="80"/>
      <c r="V13" s="88"/>
      <c r="W13" s="97"/>
      <c r="X13" s="3"/>
      <c r="Y13" s="71">
        <f>-'F&amp;I'!E29</f>
        <v>-67868.470088157294</v>
      </c>
      <c r="Z13" s="71">
        <f>-'F&amp;I'!F29</f>
        <v>-67868.470088157294</v>
      </c>
      <c r="AA13" s="71">
        <f>-'F&amp;I'!G29</f>
        <v>-67868.470088157294</v>
      </c>
      <c r="AB13" s="71">
        <f>-'F&amp;I'!H29</f>
        <v>-67868.470088157294</v>
      </c>
      <c r="AC13" s="71">
        <f>-'F&amp;I'!I29</f>
        <v>-67868.470088157294</v>
      </c>
      <c r="AD13" s="71">
        <f>-'F&amp;I'!J29</f>
        <v>-67868.470088157294</v>
      </c>
      <c r="AE13" s="71">
        <f>-'F&amp;I'!K29</f>
        <v>-67868.470088157294</v>
      </c>
      <c r="AF13" s="71">
        <f>-'F&amp;I'!L29</f>
        <v>-67868.470088157294</v>
      </c>
      <c r="AG13" s="71">
        <f>-'F&amp;I'!M29</f>
        <v>-67868.470088157294</v>
      </c>
      <c r="AH13" s="71">
        <f>-'F&amp;I'!N29</f>
        <v>-67868.470088157294</v>
      </c>
      <c r="AI13" s="71">
        <f>-'F&amp;I'!O29</f>
        <v>-67868.470088157294</v>
      </c>
      <c r="AJ13" s="71">
        <f>-'F&amp;I'!P29</f>
        <v>-67868.470088157294</v>
      </c>
      <c r="AL13" s="69">
        <f t="shared" si="7"/>
        <v>-814421.6410578877</v>
      </c>
      <c r="AN13" s="80"/>
      <c r="AO13" s="88"/>
      <c r="AP13" s="91"/>
      <c r="AQ13" s="97"/>
    </row>
    <row r="14" spans="1:43" x14ac:dyDescent="0.25">
      <c r="A14" s="157" t="s">
        <v>113</v>
      </c>
      <c r="B14" s="67">
        <f>-'Parts - Group '!B19</f>
        <v>-117847.76000000001</v>
      </c>
      <c r="C14" s="67">
        <f>-'Parts - Group '!C19</f>
        <v>-117175.14</v>
      </c>
      <c r="D14" s="67">
        <f>-'Parts - Group '!D19</f>
        <v>-156405.11000000002</v>
      </c>
      <c r="E14" s="67">
        <f>-'Parts - Group '!E19</f>
        <v>-99590.260000000009</v>
      </c>
      <c r="F14" s="67">
        <f>-'Parts - Group '!F19</f>
        <v>-130400.54999999999</v>
      </c>
      <c r="G14" s="67">
        <f>-'Parts - Group '!G19</f>
        <v>-136643.61000000002</v>
      </c>
      <c r="H14" s="67">
        <f>-'Parts - Group '!H19</f>
        <v>-118244.78000000001</v>
      </c>
      <c r="I14" s="67">
        <f>-'Parts - Group '!I19</f>
        <v>-133079.96</v>
      </c>
      <c r="J14" s="67">
        <f>-'Parts - Group '!J19</f>
        <v>-125248.67999999998</v>
      </c>
      <c r="K14" s="67">
        <f>-'Parts - Group '!K19</f>
        <v>-130528.71999999999</v>
      </c>
      <c r="L14" s="67">
        <f>-'Parts - Group '!L19</f>
        <v>-120352.55</v>
      </c>
      <c r="M14" s="67">
        <f>-'Parts - Group '!M19</f>
        <v>-124585</v>
      </c>
      <c r="N14" s="67">
        <f>-'Parts - Group '!N19</f>
        <v>-143808.39000000001</v>
      </c>
      <c r="O14" s="67">
        <f>-'Parts - Group '!O19</f>
        <v>-105320.07999999999</v>
      </c>
      <c r="P14" s="67">
        <f>-'Parts - Group '!P19</f>
        <v>-89598.14</v>
      </c>
      <c r="R14" s="69">
        <f t="shared" si="5"/>
        <v>-1510102.12</v>
      </c>
      <c r="S14" s="69">
        <f t="shared" si="6"/>
        <v>-1457400.72</v>
      </c>
      <c r="U14" s="80"/>
      <c r="V14" s="88"/>
      <c r="W14" s="97"/>
      <c r="X14" s="3"/>
      <c r="Y14" s="71">
        <f>-'Parts - Group '!E41</f>
        <v>-103368.46981964035</v>
      </c>
      <c r="Z14" s="71">
        <f>-'Parts - Group '!F41</f>
        <v>-103368.46981964035</v>
      </c>
      <c r="AA14" s="71">
        <f>-'Parts - Group '!G41</f>
        <v>-103368.46981964035</v>
      </c>
      <c r="AB14" s="71">
        <f>-'Parts - Group '!H41</f>
        <v>-103368.46981964035</v>
      </c>
      <c r="AC14" s="71">
        <f>-'Parts - Group '!I41</f>
        <v>-103368.46981964035</v>
      </c>
      <c r="AD14" s="71">
        <f>-'Parts - Group '!J41</f>
        <v>-103368.46981964035</v>
      </c>
      <c r="AE14" s="71">
        <f>-'Parts - Group '!K41</f>
        <v>-103368.46981964035</v>
      </c>
      <c r="AF14" s="71">
        <f>-'Parts - Group '!L41</f>
        <v>-103368.46981964035</v>
      </c>
      <c r="AG14" s="71">
        <f>-'Parts - Group '!M41</f>
        <v>-103368.46981964035</v>
      </c>
      <c r="AH14" s="71">
        <f>-'Parts - Group '!N41</f>
        <v>-103368.46981964035</v>
      </c>
      <c r="AI14" s="71">
        <f>-'Parts - Group '!O41</f>
        <v>-103368.46981964035</v>
      </c>
      <c r="AJ14" s="71">
        <f>-'Parts - Group '!P41</f>
        <v>-103368.46981964035</v>
      </c>
      <c r="AL14" s="69">
        <f t="shared" si="7"/>
        <v>-1240421.6378356842</v>
      </c>
      <c r="AN14" s="80"/>
      <c r="AO14" s="88"/>
      <c r="AP14" s="91"/>
      <c r="AQ14" s="97"/>
    </row>
    <row r="15" spans="1:43" x14ac:dyDescent="0.25">
      <c r="A15" s="157" t="s">
        <v>967</v>
      </c>
      <c r="B15" s="67">
        <f>-'Service - Group '!B17</f>
        <v>-250111.85</v>
      </c>
      <c r="C15" s="67">
        <f>-'Service - Group '!C17</f>
        <v>-253029.46</v>
      </c>
      <c r="D15" s="67">
        <f>-'Service - Group '!D17</f>
        <v>-338657.47</v>
      </c>
      <c r="E15" s="67">
        <f>-'Service - Group '!E17</f>
        <v>-236025.40000000002</v>
      </c>
      <c r="F15" s="67">
        <f>-'Service - Group '!F17</f>
        <v>-296984.34999999998</v>
      </c>
      <c r="G15" s="67">
        <f>-'Service - Group '!G17</f>
        <v>-345964.33999999997</v>
      </c>
      <c r="H15" s="67">
        <f>-'Service - Group '!H17</f>
        <v>-327172.05</v>
      </c>
      <c r="I15" s="67">
        <f>-'Service - Group '!I17</f>
        <v>-345931.47000000003</v>
      </c>
      <c r="J15" s="67">
        <f>-'Service - Group '!J17</f>
        <v>-282332.25999999995</v>
      </c>
      <c r="K15" s="67">
        <f>-'Service - Group '!K17</f>
        <v>-294102.37</v>
      </c>
      <c r="L15" s="67">
        <f>-'Service - Group '!L17</f>
        <v>-277769.85000000003</v>
      </c>
      <c r="M15" s="67">
        <f>-'Service - Group '!M17</f>
        <v>-272482.42000000004</v>
      </c>
      <c r="N15" s="67">
        <f>-'Service - Group '!N17</f>
        <v>-287596.89</v>
      </c>
      <c r="O15" s="67">
        <f>-'Service - Group '!O17</f>
        <v>-266250.59000000003</v>
      </c>
      <c r="P15" s="67">
        <f>-'Service - Group '!P17</f>
        <v>-299875.52</v>
      </c>
      <c r="R15" s="69">
        <f t="shared" si="5"/>
        <v>-3520563.29</v>
      </c>
      <c r="S15" s="69">
        <f t="shared" si="6"/>
        <v>-3532487.51</v>
      </c>
      <c r="U15" s="80"/>
      <c r="V15" s="88"/>
      <c r="W15" s="97"/>
      <c r="X15" s="3"/>
      <c r="Y15" s="71">
        <f>-'Service - Group '!E37</f>
        <v>-298285.58329523605</v>
      </c>
      <c r="Z15" s="71">
        <f>-'Service - Group '!F37</f>
        <v>-298285.58329523605</v>
      </c>
      <c r="AA15" s="71">
        <f>-'Service - Group '!G37</f>
        <v>-298285.58329523605</v>
      </c>
      <c r="AB15" s="71">
        <f>-'Service - Group '!H37</f>
        <v>-298285.58329523605</v>
      </c>
      <c r="AC15" s="71">
        <f>-'Service - Group '!I37</f>
        <v>-298285.58329523605</v>
      </c>
      <c r="AD15" s="71">
        <f>-'Service - Group '!J37</f>
        <v>-298285.58329523605</v>
      </c>
      <c r="AE15" s="71">
        <f>-'Service - Group '!K37</f>
        <v>-298285.58329523605</v>
      </c>
      <c r="AF15" s="71">
        <f>-'Service - Group '!L37</f>
        <v>-298285.58329523605</v>
      </c>
      <c r="AG15" s="71">
        <f>-'Service - Group '!M37</f>
        <v>-298285.58329523605</v>
      </c>
      <c r="AH15" s="71">
        <f>-'Service - Group '!N37</f>
        <v>-298285.58329523605</v>
      </c>
      <c r="AI15" s="71">
        <f>-'Service - Group '!O37</f>
        <v>-298285.58329523605</v>
      </c>
      <c r="AJ15" s="71">
        <f>-'Service - Group '!P37</f>
        <v>-298285.58329523605</v>
      </c>
      <c r="AL15" s="69">
        <f t="shared" si="7"/>
        <v>-3579426.9995428319</v>
      </c>
      <c r="AN15" s="80"/>
      <c r="AO15" s="88"/>
      <c r="AP15" s="91"/>
      <c r="AQ15" s="97"/>
    </row>
    <row r="16" spans="1:43" x14ac:dyDescent="0.25">
      <c r="A16" s="158" t="s">
        <v>970</v>
      </c>
      <c r="B16" s="68">
        <f>SUM(B11:B15)</f>
        <v>-821921.41</v>
      </c>
      <c r="C16" s="68">
        <f t="shared" ref="C16:P16" si="8">SUM(C11:C15)</f>
        <v>-747718.59000000008</v>
      </c>
      <c r="D16" s="68">
        <f t="shared" si="8"/>
        <v>-853488.17928927974</v>
      </c>
      <c r="E16" s="68">
        <f t="shared" si="8"/>
        <v>-802766.2300000001</v>
      </c>
      <c r="F16" s="68">
        <f t="shared" si="8"/>
        <v>-909029.22999999986</v>
      </c>
      <c r="G16" s="68">
        <f t="shared" si="8"/>
        <v>-1017419.6</v>
      </c>
      <c r="H16" s="68">
        <f t="shared" si="8"/>
        <v>-913180.6399999999</v>
      </c>
      <c r="I16" s="68">
        <f t="shared" si="8"/>
        <v>-963958.52</v>
      </c>
      <c r="J16" s="68">
        <f t="shared" si="8"/>
        <v>-857045.26</v>
      </c>
      <c r="K16" s="68">
        <f t="shared" si="8"/>
        <v>-859253.83728155331</v>
      </c>
      <c r="L16" s="68">
        <f t="shared" si="8"/>
        <v>-914446.71838129498</v>
      </c>
      <c r="M16" s="68">
        <f t="shared" si="8"/>
        <v>-831344.41</v>
      </c>
      <c r="N16" s="68">
        <f t="shared" si="8"/>
        <v>-901659.31</v>
      </c>
      <c r="O16" s="68">
        <f t="shared" si="8"/>
        <v>-845642.49</v>
      </c>
      <c r="P16" s="68">
        <f t="shared" si="8"/>
        <v>-825479.39834782609</v>
      </c>
      <c r="R16" s="68">
        <f t="shared" si="5"/>
        <v>-10491572.624952126</v>
      </c>
      <c r="S16" s="68">
        <f t="shared" si="6"/>
        <v>-10641225.644010676</v>
      </c>
      <c r="U16" s="80"/>
      <c r="V16" s="88"/>
      <c r="W16" s="97"/>
      <c r="X16" s="3"/>
      <c r="Y16" s="72">
        <f>SUM(Y11:Y15)</f>
        <v>-818642.13986442098</v>
      </c>
      <c r="Z16" s="72">
        <f t="shared" ref="Z16:AJ16" si="9">SUM(Z11:Z15)</f>
        <v>-824791.13986442098</v>
      </c>
      <c r="AA16" s="72">
        <f t="shared" si="9"/>
        <v>-833011.68986442103</v>
      </c>
      <c r="AB16" s="72">
        <f t="shared" si="9"/>
        <v>-824843.58986442117</v>
      </c>
      <c r="AC16" s="72">
        <f t="shared" si="9"/>
        <v>-826227.33986442117</v>
      </c>
      <c r="AD16" s="72">
        <f t="shared" si="9"/>
        <v>-827985.71486442117</v>
      </c>
      <c r="AE16" s="72">
        <f t="shared" si="9"/>
        <v>-826362.03986442112</v>
      </c>
      <c r="AF16" s="72">
        <f t="shared" si="9"/>
        <v>-837497.43986442103</v>
      </c>
      <c r="AG16" s="72">
        <f t="shared" si="9"/>
        <v>-810877.91486442112</v>
      </c>
      <c r="AH16" s="72">
        <f t="shared" si="9"/>
        <v>-809138.43986442103</v>
      </c>
      <c r="AI16" s="72">
        <f t="shared" si="9"/>
        <v>-809138.43986442103</v>
      </c>
      <c r="AJ16" s="72">
        <f t="shared" si="9"/>
        <v>-830767.55236442108</v>
      </c>
      <c r="AL16" s="68">
        <f t="shared" si="7"/>
        <v>-9879283.4408730529</v>
      </c>
      <c r="AN16" s="80"/>
      <c r="AO16" s="88"/>
      <c r="AP16" s="91"/>
      <c r="AQ16" s="97"/>
    </row>
    <row r="17" spans="1:43" x14ac:dyDescent="0.25">
      <c r="A17" s="156" t="s">
        <v>971</v>
      </c>
      <c r="U17" s="80"/>
      <c r="V17" s="88"/>
      <c r="W17" s="97"/>
      <c r="AN17" s="80"/>
      <c r="AO17" s="88"/>
      <c r="AP17" s="91"/>
      <c r="AQ17" s="97"/>
    </row>
    <row r="18" spans="1:43" x14ac:dyDescent="0.25">
      <c r="A18" s="157" t="s">
        <v>964</v>
      </c>
      <c r="B18" s="69">
        <f>B4+B11</f>
        <v>10086.119999999966</v>
      </c>
      <c r="C18" s="69">
        <f t="shared" ref="C18:P19" si="10">C4+C11</f>
        <v>-8651.0400000000081</v>
      </c>
      <c r="D18" s="69">
        <f t="shared" si="10"/>
        <v>235346.31000000003</v>
      </c>
      <c r="E18" s="69">
        <f t="shared" si="10"/>
        <v>68956.429999999993</v>
      </c>
      <c r="F18" s="69">
        <f t="shared" si="10"/>
        <v>54781.550000000017</v>
      </c>
      <c r="G18" s="69">
        <f t="shared" si="10"/>
        <v>350197.48000000004</v>
      </c>
      <c r="H18" s="69">
        <f t="shared" si="10"/>
        <v>-101489.23999999999</v>
      </c>
      <c r="I18" s="69">
        <f t="shared" si="10"/>
        <v>55025.350000000122</v>
      </c>
      <c r="J18" s="69">
        <f t="shared" si="10"/>
        <v>128544.52000000002</v>
      </c>
      <c r="K18" s="69">
        <f t="shared" si="10"/>
        <v>-12870.760000000009</v>
      </c>
      <c r="L18" s="69">
        <f t="shared" si="10"/>
        <v>7169.6099999999278</v>
      </c>
      <c r="M18" s="69">
        <f t="shared" si="10"/>
        <v>88114.410000000033</v>
      </c>
      <c r="N18" s="69">
        <f t="shared" si="10"/>
        <v>58116.880000000005</v>
      </c>
      <c r="O18" s="69">
        <f t="shared" si="10"/>
        <v>-30617.809999999998</v>
      </c>
      <c r="P18" s="69">
        <f t="shared" si="10"/>
        <v>162862.80999999994</v>
      </c>
      <c r="R18" s="69">
        <f t="shared" ref="R18:R24" si="11">SUM(B18:M18)</f>
        <v>875210.74000000011</v>
      </c>
      <c r="S18" s="69">
        <f t="shared" ref="S18:S24" si="12">SUM(E18:P18)</f>
        <v>828791.2300000001</v>
      </c>
      <c r="U18" s="80"/>
      <c r="V18" s="88"/>
      <c r="W18" s="97"/>
      <c r="X18" s="3"/>
      <c r="Y18" s="71">
        <f>Y4+Y11</f>
        <v>82393.878124451061</v>
      </c>
      <c r="Z18" s="71">
        <f t="shared" ref="Z18:AJ18" si="13">Z4+Z11</f>
        <v>82393.878124451061</v>
      </c>
      <c r="AA18" s="71">
        <f t="shared" si="13"/>
        <v>129800.08437445102</v>
      </c>
      <c r="AB18" s="71">
        <f t="shared" si="13"/>
        <v>77762.328124451073</v>
      </c>
      <c r="AC18" s="71">
        <f t="shared" si="13"/>
        <v>77762.328124451073</v>
      </c>
      <c r="AD18" s="71">
        <f t="shared" si="13"/>
        <v>123953.07499945103</v>
      </c>
      <c r="AE18" s="71">
        <f t="shared" si="13"/>
        <v>82393.878124451061</v>
      </c>
      <c r="AF18" s="71">
        <f t="shared" si="13"/>
        <v>76218.478124451038</v>
      </c>
      <c r="AG18" s="71">
        <f t="shared" si="13"/>
        <v>107532.79062445104</v>
      </c>
      <c r="AH18" s="71">
        <f t="shared" si="13"/>
        <v>65392.478124451038</v>
      </c>
      <c r="AI18" s="71">
        <f t="shared" si="13"/>
        <v>65392.478124451038</v>
      </c>
      <c r="AJ18" s="71">
        <f t="shared" si="13"/>
        <v>140052.34687445103</v>
      </c>
      <c r="AL18" s="69">
        <f t="shared" ref="AL18:AL24" si="14">SUM(Y18:AJ18)</f>
        <v>1111048.0218684124</v>
      </c>
      <c r="AN18" s="80"/>
      <c r="AO18" s="88"/>
      <c r="AP18" s="91"/>
      <c r="AQ18" s="97"/>
    </row>
    <row r="19" spans="1:43" x14ac:dyDescent="0.25">
      <c r="A19" s="157" t="s">
        <v>965</v>
      </c>
      <c r="B19" s="69">
        <f>B5+B12</f>
        <v>-11037.289999999892</v>
      </c>
      <c r="C19" s="69">
        <f t="shared" si="10"/>
        <v>77891.699999999808</v>
      </c>
      <c r="D19" s="69">
        <f t="shared" si="10"/>
        <v>91380.620710720046</v>
      </c>
      <c r="E19" s="69">
        <f t="shared" si="10"/>
        <v>-3145.7600000000093</v>
      </c>
      <c r="F19" s="69">
        <f t="shared" si="10"/>
        <v>11012.259999999718</v>
      </c>
      <c r="G19" s="69">
        <f t="shared" si="10"/>
        <v>102096.07000000015</v>
      </c>
      <c r="H19" s="69">
        <f t="shared" si="10"/>
        <v>-9350.4100000000035</v>
      </c>
      <c r="I19" s="69">
        <f t="shared" si="10"/>
        <v>7601.5599999999977</v>
      </c>
      <c r="J19" s="69">
        <f t="shared" si="10"/>
        <v>86930.180000000109</v>
      </c>
      <c r="K19" s="69">
        <f t="shared" si="10"/>
        <v>27459.200000000041</v>
      </c>
      <c r="L19" s="69">
        <f t="shared" si="10"/>
        <v>-32949.879999999859</v>
      </c>
      <c r="M19" s="69">
        <f t="shared" si="10"/>
        <v>75571.619999999937</v>
      </c>
      <c r="N19" s="69">
        <f t="shared" si="10"/>
        <v>32585.010000000068</v>
      </c>
      <c r="O19" s="69">
        <f t="shared" si="10"/>
        <v>14411.089999999822</v>
      </c>
      <c r="P19" s="69">
        <f t="shared" si="10"/>
        <v>94582.03</v>
      </c>
      <c r="R19" s="69">
        <f t="shared" si="11"/>
        <v>423459.87071072002</v>
      </c>
      <c r="S19" s="69">
        <f t="shared" si="12"/>
        <v>406802.97</v>
      </c>
      <c r="U19" s="80"/>
      <c r="V19" s="88"/>
      <c r="W19" s="97"/>
      <c r="X19" s="3"/>
      <c r="Y19" s="71">
        <f t="shared" ref="Y19:AJ23" si="15">Y5+Y12</f>
        <v>52555.444103050482</v>
      </c>
      <c r="Z19" s="71">
        <f t="shared" si="15"/>
        <v>87748.110769717052</v>
      </c>
      <c r="AA19" s="71">
        <f t="shared" si="15"/>
        <v>217913.02118638362</v>
      </c>
      <c r="AB19" s="71">
        <f t="shared" si="15"/>
        <v>115935.54410305043</v>
      </c>
      <c r="AC19" s="71">
        <f t="shared" si="15"/>
        <v>125801.79410305043</v>
      </c>
      <c r="AD19" s="71">
        <f t="shared" si="15"/>
        <v>231602.67222805045</v>
      </c>
      <c r="AE19" s="71">
        <f t="shared" si="15"/>
        <v>115935.54410305043</v>
      </c>
      <c r="AF19" s="71">
        <f t="shared" si="15"/>
        <v>172775.54410305043</v>
      </c>
      <c r="AG19" s="71">
        <f t="shared" si="15"/>
        <v>202068.25660305045</v>
      </c>
      <c r="AH19" s="71">
        <f t="shared" si="15"/>
        <v>98510.544103050459</v>
      </c>
      <c r="AI19" s="71">
        <f t="shared" si="15"/>
        <v>98510.544103050459</v>
      </c>
      <c r="AJ19" s="71">
        <f t="shared" si="15"/>
        <v>226496.56285305051</v>
      </c>
      <c r="AL19" s="69">
        <f t="shared" si="14"/>
        <v>1745853.5823616048</v>
      </c>
      <c r="AN19" s="80"/>
      <c r="AO19" s="88"/>
      <c r="AP19" s="91"/>
      <c r="AQ19" s="97"/>
    </row>
    <row r="20" spans="1:43" x14ac:dyDescent="0.25">
      <c r="A20" s="157" t="s">
        <v>966</v>
      </c>
      <c r="B20" s="69">
        <f t="shared" ref="B20:P22" si="16">B6+B13</f>
        <v>77803.359999999986</v>
      </c>
      <c r="C20" s="69">
        <f t="shared" si="16"/>
        <v>76273.890000000014</v>
      </c>
      <c r="D20" s="69">
        <f t="shared" si="16"/>
        <v>261716.40999999997</v>
      </c>
      <c r="E20" s="69">
        <f t="shared" si="16"/>
        <v>87616.660000000033</v>
      </c>
      <c r="F20" s="69">
        <f t="shared" si="16"/>
        <v>94504.409999999974</v>
      </c>
      <c r="G20" s="69">
        <f t="shared" si="16"/>
        <v>341539.42999999993</v>
      </c>
      <c r="H20" s="69">
        <f t="shared" si="16"/>
        <v>23230.89</v>
      </c>
      <c r="I20" s="69">
        <f t="shared" si="16"/>
        <v>58908.570000000007</v>
      </c>
      <c r="J20" s="69">
        <f t="shared" si="16"/>
        <v>209928.40999999997</v>
      </c>
      <c r="K20" s="69">
        <f t="shared" si="16"/>
        <v>69597.492718446592</v>
      </c>
      <c r="L20" s="69">
        <f t="shared" si="16"/>
        <v>91400.521618705054</v>
      </c>
      <c r="M20" s="69">
        <f t="shared" si="16"/>
        <v>176933.41999999998</v>
      </c>
      <c r="N20" s="69">
        <f t="shared" si="16"/>
        <v>82487.53</v>
      </c>
      <c r="O20" s="69">
        <f t="shared" si="16"/>
        <v>94629.420000000013</v>
      </c>
      <c r="P20" s="69">
        <f t="shared" si="16"/>
        <v>133326.34165217393</v>
      </c>
      <c r="R20" s="69">
        <f t="shared" si="11"/>
        <v>1569453.4643371513</v>
      </c>
      <c r="S20" s="69">
        <f t="shared" si="12"/>
        <v>1464103.0959893253</v>
      </c>
      <c r="U20" s="80"/>
      <c r="V20" s="88"/>
      <c r="W20" s="97"/>
      <c r="X20" s="3"/>
      <c r="Y20" s="71">
        <f t="shared" si="15"/>
        <v>85452.9597390899</v>
      </c>
      <c r="Z20" s="71">
        <f t="shared" si="15"/>
        <v>94548.666014370785</v>
      </c>
      <c r="AA20" s="71">
        <f t="shared" si="15"/>
        <v>190177.65633459552</v>
      </c>
      <c r="AB20" s="71">
        <f t="shared" si="15"/>
        <v>95146.641806224754</v>
      </c>
      <c r="AC20" s="71">
        <f t="shared" si="15"/>
        <v>97884.252705101142</v>
      </c>
      <c r="AD20" s="71">
        <f t="shared" si="15"/>
        <v>186121.86360397754</v>
      </c>
      <c r="AE20" s="71">
        <f t="shared" si="15"/>
        <v>96953.917706224733</v>
      </c>
      <c r="AF20" s="71">
        <f t="shared" si="15"/>
        <v>111518.91310173033</v>
      </c>
      <c r="AG20" s="71">
        <f t="shared" si="15"/>
        <v>169350.57839892135</v>
      </c>
      <c r="AH20" s="71">
        <f t="shared" si="15"/>
        <v>83112.96750004495</v>
      </c>
      <c r="AI20" s="71">
        <f t="shared" si="15"/>
        <v>83112.96750004495</v>
      </c>
      <c r="AJ20" s="71">
        <f t="shared" si="15"/>
        <v>187421.89818937081</v>
      </c>
      <c r="AL20" s="69">
        <f t="shared" si="14"/>
        <v>1480803.2825996967</v>
      </c>
      <c r="AN20" s="80"/>
      <c r="AO20" s="88"/>
      <c r="AP20" s="91"/>
      <c r="AQ20" s="97"/>
    </row>
    <row r="21" spans="1:43" x14ac:dyDescent="0.25">
      <c r="A21" s="157" t="s">
        <v>113</v>
      </c>
      <c r="B21" s="69">
        <f t="shared" si="16"/>
        <v>107805.79000000001</v>
      </c>
      <c r="C21" s="69">
        <f t="shared" si="16"/>
        <v>92569.73</v>
      </c>
      <c r="D21" s="69">
        <f t="shared" si="16"/>
        <v>280644.92000000016</v>
      </c>
      <c r="E21" s="69">
        <f t="shared" si="16"/>
        <v>133864.30999999997</v>
      </c>
      <c r="F21" s="69">
        <f t="shared" si="16"/>
        <v>118862.11000000002</v>
      </c>
      <c r="G21" s="69">
        <f t="shared" si="16"/>
        <v>298733.11</v>
      </c>
      <c r="H21" s="69">
        <f t="shared" si="16"/>
        <v>146988.74999999994</v>
      </c>
      <c r="I21" s="69">
        <f t="shared" si="16"/>
        <v>132950.34000000005</v>
      </c>
      <c r="J21" s="69">
        <f t="shared" si="16"/>
        <v>249051.63</v>
      </c>
      <c r="K21" s="69">
        <f t="shared" si="16"/>
        <v>124423.29999999997</v>
      </c>
      <c r="L21" s="69">
        <f t="shared" si="16"/>
        <v>213361.37000000005</v>
      </c>
      <c r="M21" s="69">
        <f t="shared" si="16"/>
        <v>203712.55</v>
      </c>
      <c r="N21" s="69">
        <f t="shared" si="16"/>
        <v>56685.569999999891</v>
      </c>
      <c r="O21" s="69">
        <f t="shared" si="16"/>
        <v>174261.85</v>
      </c>
      <c r="P21" s="69">
        <f t="shared" si="16"/>
        <v>286523.36</v>
      </c>
      <c r="R21" s="69">
        <f t="shared" si="11"/>
        <v>2102967.91</v>
      </c>
      <c r="S21" s="69">
        <f t="shared" si="12"/>
        <v>2139418.25</v>
      </c>
      <c r="U21" s="80"/>
      <c r="V21" s="88"/>
      <c r="W21" s="97"/>
      <c r="X21" s="3"/>
      <c r="Y21" s="71">
        <f t="shared" si="15"/>
        <v>147879.95372336538</v>
      </c>
      <c r="Z21" s="71">
        <f t="shared" si="15"/>
        <v>182141.10238832067</v>
      </c>
      <c r="AA21" s="71">
        <f t="shared" si="15"/>
        <v>240436.87939088774</v>
      </c>
      <c r="AB21" s="71">
        <f t="shared" si="15"/>
        <v>182141.10238832067</v>
      </c>
      <c r="AC21" s="71">
        <f t="shared" si="15"/>
        <v>176430.91094416147</v>
      </c>
      <c r="AD21" s="71">
        <f t="shared" si="15"/>
        <v>266175.33661168383</v>
      </c>
      <c r="AE21" s="71">
        <f t="shared" si="15"/>
        <v>170720.71950000228</v>
      </c>
      <c r="AF21" s="71">
        <f t="shared" si="15"/>
        <v>165010.52805584308</v>
      </c>
      <c r="AG21" s="71">
        <f t="shared" si="15"/>
        <v>252254.95372336538</v>
      </c>
      <c r="AH21" s="71">
        <f t="shared" si="15"/>
        <v>147879.95372336538</v>
      </c>
      <c r="AI21" s="71">
        <f t="shared" si="15"/>
        <v>136459.57083504694</v>
      </c>
      <c r="AJ21" s="71">
        <f t="shared" si="15"/>
        <v>268135.52805584308</v>
      </c>
      <c r="AL21" s="69">
        <f t="shared" si="14"/>
        <v>2335666.539340206</v>
      </c>
      <c r="AN21" s="80"/>
      <c r="AO21" s="88"/>
      <c r="AP21" s="91"/>
      <c r="AQ21" s="97"/>
    </row>
    <row r="22" spans="1:43" x14ac:dyDescent="0.25">
      <c r="A22" s="157" t="s">
        <v>967</v>
      </c>
      <c r="B22" s="69">
        <f t="shared" si="16"/>
        <v>161887.44999999992</v>
      </c>
      <c r="C22" s="69">
        <f t="shared" si="16"/>
        <v>178607.18999999997</v>
      </c>
      <c r="D22" s="69">
        <f t="shared" si="16"/>
        <v>244801.33000000007</v>
      </c>
      <c r="E22" s="69">
        <f t="shared" si="16"/>
        <v>132775.93</v>
      </c>
      <c r="F22" s="69">
        <f t="shared" si="16"/>
        <v>300930.90000000002</v>
      </c>
      <c r="G22" s="69">
        <f t="shared" si="16"/>
        <v>158657.39000000001</v>
      </c>
      <c r="H22" s="69">
        <f t="shared" si="16"/>
        <v>122498.76999999996</v>
      </c>
      <c r="I22" s="69">
        <f t="shared" si="16"/>
        <v>233029.21999999991</v>
      </c>
      <c r="J22" s="69">
        <f t="shared" si="16"/>
        <v>210675.02000000008</v>
      </c>
      <c r="K22" s="69">
        <f t="shared" si="16"/>
        <v>205114.79999999993</v>
      </c>
      <c r="L22" s="69">
        <f t="shared" si="16"/>
        <v>322738.62000000005</v>
      </c>
      <c r="M22" s="69">
        <f t="shared" si="16"/>
        <v>256746.89999999991</v>
      </c>
      <c r="N22" s="69">
        <f t="shared" si="16"/>
        <v>203774.84999999998</v>
      </c>
      <c r="O22" s="69">
        <f t="shared" si="16"/>
        <v>230291.93</v>
      </c>
      <c r="P22" s="69">
        <f t="shared" si="16"/>
        <v>219605.00999999995</v>
      </c>
      <c r="R22" s="69">
        <f t="shared" si="11"/>
        <v>2528463.52</v>
      </c>
      <c r="S22" s="69">
        <f t="shared" si="12"/>
        <v>2596839.34</v>
      </c>
      <c r="U22" s="80"/>
      <c r="V22" s="88"/>
      <c r="W22" s="97"/>
      <c r="X22" s="3"/>
      <c r="Y22" s="71">
        <f t="shared" si="15"/>
        <v>214014.50238779112</v>
      </c>
      <c r="Z22" s="71">
        <f t="shared" si="15"/>
        <v>283873.60498093098</v>
      </c>
      <c r="AA22" s="71">
        <f t="shared" si="15"/>
        <v>179084.95109122095</v>
      </c>
      <c r="AB22" s="71">
        <f t="shared" si="15"/>
        <v>283873.60498093098</v>
      </c>
      <c r="AC22" s="71">
        <f t="shared" si="15"/>
        <v>272230.42121540784</v>
      </c>
      <c r="AD22" s="71">
        <f t="shared" si="15"/>
        <v>237300.86991883774</v>
      </c>
      <c r="AE22" s="71">
        <f t="shared" si="15"/>
        <v>260587.23744988436</v>
      </c>
      <c r="AF22" s="71">
        <f t="shared" si="15"/>
        <v>248944.0536843611</v>
      </c>
      <c r="AG22" s="71">
        <f t="shared" si="15"/>
        <v>214014.50238779112</v>
      </c>
      <c r="AH22" s="71">
        <f t="shared" si="15"/>
        <v>214014.50238779112</v>
      </c>
      <c r="AI22" s="71">
        <f t="shared" si="15"/>
        <v>190728.13485674432</v>
      </c>
      <c r="AJ22" s="71">
        <f t="shared" si="15"/>
        <v>248944.0536843611</v>
      </c>
      <c r="AL22" s="69">
        <f t="shared" si="14"/>
        <v>2847610.4390260526</v>
      </c>
      <c r="AN22" s="80"/>
      <c r="AO22" s="88"/>
      <c r="AP22" s="91"/>
      <c r="AQ22" s="97"/>
    </row>
    <row r="23" spans="1:43" x14ac:dyDescent="0.25">
      <c r="A23" s="158" t="s">
        <v>972</v>
      </c>
      <c r="B23" s="68">
        <f>SUM(B18:B22)</f>
        <v>346545.43</v>
      </c>
      <c r="C23" s="68">
        <f t="shared" ref="C23:P23" si="17">SUM(C18:C22)</f>
        <v>416691.46999999974</v>
      </c>
      <c r="D23" s="68">
        <f t="shared" si="17"/>
        <v>1113889.5907107203</v>
      </c>
      <c r="E23" s="68">
        <f t="shared" si="17"/>
        <v>420067.57</v>
      </c>
      <c r="F23" s="68">
        <f t="shared" si="17"/>
        <v>580091.22999999975</v>
      </c>
      <c r="G23" s="68">
        <f t="shared" si="17"/>
        <v>1251223.48</v>
      </c>
      <c r="H23" s="68">
        <f t="shared" si="17"/>
        <v>181878.75999999989</v>
      </c>
      <c r="I23" s="68">
        <f t="shared" si="17"/>
        <v>487515.0400000001</v>
      </c>
      <c r="J23" s="68">
        <f t="shared" si="17"/>
        <v>885129.76000000024</v>
      </c>
      <c r="K23" s="68">
        <f t="shared" si="17"/>
        <v>413724.03271844651</v>
      </c>
      <c r="L23" s="68">
        <f t="shared" si="17"/>
        <v>601720.24161870521</v>
      </c>
      <c r="M23" s="68">
        <f t="shared" si="17"/>
        <v>801078.89999999991</v>
      </c>
      <c r="N23" s="68">
        <f t="shared" si="17"/>
        <v>433649.83999999997</v>
      </c>
      <c r="O23" s="68">
        <f t="shared" si="17"/>
        <v>482976.47999999986</v>
      </c>
      <c r="P23" s="68">
        <f t="shared" si="17"/>
        <v>896899.55165217374</v>
      </c>
      <c r="R23" s="68">
        <f t="shared" si="11"/>
        <v>7499555.5050478708</v>
      </c>
      <c r="S23" s="68">
        <f t="shared" si="12"/>
        <v>7435954.8859893233</v>
      </c>
      <c r="U23" s="80"/>
      <c r="V23" s="88"/>
      <c r="W23" s="97"/>
      <c r="X23" s="3"/>
      <c r="Y23" s="72">
        <f t="shared" si="15"/>
        <v>582296.7380777481</v>
      </c>
      <c r="Z23" s="72">
        <f t="shared" si="15"/>
        <v>730705.36227779067</v>
      </c>
      <c r="AA23" s="72">
        <f t="shared" si="15"/>
        <v>957412.59237753903</v>
      </c>
      <c r="AB23" s="72">
        <f t="shared" si="15"/>
        <v>754859.22140297783</v>
      </c>
      <c r="AC23" s="72">
        <f t="shared" si="15"/>
        <v>750109.70709217177</v>
      </c>
      <c r="AD23" s="72">
        <f t="shared" si="15"/>
        <v>1045153.8173620005</v>
      </c>
      <c r="AE23" s="72">
        <f t="shared" si="15"/>
        <v>726591.29688361287</v>
      </c>
      <c r="AF23" s="72">
        <f t="shared" si="15"/>
        <v>774467.51706943614</v>
      </c>
      <c r="AG23" s="72">
        <f t="shared" si="15"/>
        <v>945221.08173757955</v>
      </c>
      <c r="AH23" s="72">
        <f t="shared" si="15"/>
        <v>608910.44583870308</v>
      </c>
      <c r="AI23" s="72">
        <f t="shared" si="15"/>
        <v>574203.6954193376</v>
      </c>
      <c r="AJ23" s="72">
        <f t="shared" si="15"/>
        <v>1071050.3896570764</v>
      </c>
      <c r="AL23" s="68">
        <f t="shared" si="14"/>
        <v>9520981.8651959728</v>
      </c>
      <c r="AN23" s="80"/>
      <c r="AO23" s="88"/>
      <c r="AP23" s="91"/>
      <c r="AQ23" s="97"/>
    </row>
    <row r="24" spans="1:43" x14ac:dyDescent="0.25">
      <c r="A24" s="158" t="s">
        <v>973</v>
      </c>
      <c r="B24" s="68">
        <f>-'Toyota - Admin'!B4</f>
        <v>-499466.25</v>
      </c>
      <c r="C24" s="68">
        <f>-'Toyota - Admin'!C4</f>
        <v>-553670.17999999993</v>
      </c>
      <c r="D24" s="68">
        <f>-'Toyota - Admin'!D4</f>
        <v>-126684.46999999986</v>
      </c>
      <c r="E24" s="68">
        <f>-'Toyota - Admin'!E4</f>
        <v>-540083.30999999971</v>
      </c>
      <c r="F24" s="68">
        <f>-'Toyota - Admin'!F4</f>
        <v>-648053.46999999951</v>
      </c>
      <c r="G24" s="68">
        <f>-'Toyota - Admin'!G4</f>
        <v>-596262.0400000005</v>
      </c>
      <c r="H24" s="68">
        <f>-'Toyota - Admin'!H4</f>
        <v>-543170.77000000014</v>
      </c>
      <c r="I24" s="68">
        <f>-'Toyota - Admin'!I4</f>
        <v>-612226.25999999966</v>
      </c>
      <c r="J24" s="68">
        <f>-'Toyota - Admin'!J4</f>
        <v>-561055.66999999981</v>
      </c>
      <c r="K24" s="68">
        <f>-'Toyota - Admin'!K4</f>
        <v>-547436.88000000024</v>
      </c>
      <c r="L24" s="68">
        <f>-'Toyota - Admin'!L4</f>
        <v>-571713.93999999959</v>
      </c>
      <c r="M24" s="68">
        <f>-'Toyota - Admin'!M4</f>
        <v>-560376.72000000055</v>
      </c>
      <c r="N24" s="68">
        <f>-'Toyota - Admin'!N4</f>
        <v>-571135.65999999992</v>
      </c>
      <c r="O24" s="68">
        <f>-'Toyota - Admin'!O4</f>
        <v>-551693.85999999929</v>
      </c>
      <c r="P24" s="68">
        <f>-'Toyota - Admin'!P4</f>
        <v>-562294.41000000015</v>
      </c>
      <c r="R24" s="68">
        <f t="shared" si="11"/>
        <v>-6360199.959999999</v>
      </c>
      <c r="S24" s="68">
        <f t="shared" si="12"/>
        <v>-6865502.9900000002</v>
      </c>
      <c r="U24" s="80"/>
      <c r="V24" s="88"/>
      <c r="W24" s="98">
        <v>0.35</v>
      </c>
      <c r="X24" s="3"/>
      <c r="Y24" s="72">
        <f>-'Toyota - Admin'!E18</f>
        <v>-684555.61304695136</v>
      </c>
      <c r="Z24" s="72">
        <f>-'Toyota - Admin'!F18</f>
        <v>-670946.20245284727</v>
      </c>
      <c r="AA24" s="72">
        <f>-'Toyota - Admin'!G18</f>
        <v>-655178.44251394877</v>
      </c>
      <c r="AB24" s="72">
        <f>-'Toyota - Admin'!H18</f>
        <v>-659930.5700861403</v>
      </c>
      <c r="AC24" s="72">
        <f>-'Toyota - Admin'!I18</f>
        <v>-666883.14056225494</v>
      </c>
      <c r="AD24" s="72">
        <f>-'Toyota - Admin'!J18</f>
        <v>-671043.76540865586</v>
      </c>
      <c r="AE24" s="72">
        <f>-'Toyota - Admin'!K18</f>
        <v>-686396.57191477169</v>
      </c>
      <c r="AF24" s="72">
        <f>-'Toyota - Admin'!L18</f>
        <v>-671987.29967814463</v>
      </c>
      <c r="AG24" s="72">
        <f>-'Toyota - Admin'!M18</f>
        <v>-656953.76567639725</v>
      </c>
      <c r="AH24" s="72">
        <f>-'Toyota - Admin'!N18</f>
        <v>-684380.11399244482</v>
      </c>
      <c r="AI24" s="72">
        <f>-'Toyota - Admin'!O18</f>
        <v>-687647.6160174153</v>
      </c>
      <c r="AJ24" s="72">
        <f>-'Toyota - Admin'!P18</f>
        <v>-671316.86102660303</v>
      </c>
      <c r="AL24" s="68">
        <f t="shared" si="14"/>
        <v>-8067219.962376575</v>
      </c>
      <c r="AN24" s="80"/>
      <c r="AO24" s="88"/>
      <c r="AP24" s="92"/>
      <c r="AQ24" s="98">
        <f>-AL24/AL9</f>
        <v>0.41583039381697995</v>
      </c>
    </row>
    <row r="25" spans="1:43" ht="15.75" thickBot="1" x14ac:dyDescent="0.3">
      <c r="A25" s="158" t="s">
        <v>983</v>
      </c>
      <c r="B25" s="84">
        <f>B23+B24</f>
        <v>-152920.82</v>
      </c>
      <c r="C25" s="84">
        <f>C23+C24</f>
        <v>-136978.7100000002</v>
      </c>
      <c r="D25" s="84">
        <f>D23+D24</f>
        <v>987205.12071072042</v>
      </c>
      <c r="E25" s="84">
        <f>E23+E24</f>
        <v>-120015.7399999997</v>
      </c>
      <c r="F25" s="84">
        <f t="shared" ref="F25:S25" si="18">F23+F24</f>
        <v>-67962.239999999758</v>
      </c>
      <c r="G25" s="84">
        <f t="shared" si="18"/>
        <v>654961.43999999948</v>
      </c>
      <c r="H25" s="84">
        <f t="shared" si="18"/>
        <v>-361292.01000000024</v>
      </c>
      <c r="I25" s="84">
        <f t="shared" si="18"/>
        <v>-124711.21999999956</v>
      </c>
      <c r="J25" s="84">
        <f t="shared" si="18"/>
        <v>324074.09000000043</v>
      </c>
      <c r="K25" s="84">
        <f t="shared" si="18"/>
        <v>-133712.84728155372</v>
      </c>
      <c r="L25" s="84">
        <f t="shared" si="18"/>
        <v>30006.30161870562</v>
      </c>
      <c r="M25" s="84">
        <f t="shared" si="18"/>
        <v>240702.17999999935</v>
      </c>
      <c r="N25" s="84">
        <f t="shared" si="18"/>
        <v>-137485.81999999995</v>
      </c>
      <c r="O25" s="84">
        <f t="shared" si="18"/>
        <v>-68717.379999999423</v>
      </c>
      <c r="P25" s="84">
        <f t="shared" si="18"/>
        <v>334605.1416521736</v>
      </c>
      <c r="Q25" s="84"/>
      <c r="R25" s="84">
        <f t="shared" si="18"/>
        <v>1139355.5450478718</v>
      </c>
      <c r="S25" s="84">
        <f t="shared" si="18"/>
        <v>570451.89598932303</v>
      </c>
      <c r="U25" s="80"/>
      <c r="V25" s="88"/>
      <c r="W25" s="98"/>
      <c r="Y25" s="84">
        <f>Y23+Y24</f>
        <v>-102258.87496920326</v>
      </c>
      <c r="Z25" s="84">
        <f t="shared" ref="Z25:AJ25" si="19">Z23+Z24</f>
        <v>59759.159824943403</v>
      </c>
      <c r="AA25" s="84">
        <f t="shared" si="19"/>
        <v>302234.14986359025</v>
      </c>
      <c r="AB25" s="84">
        <f t="shared" si="19"/>
        <v>94928.651316837524</v>
      </c>
      <c r="AC25" s="84">
        <f t="shared" si="19"/>
        <v>83226.566529916832</v>
      </c>
      <c r="AD25" s="84">
        <f t="shared" si="19"/>
        <v>374110.05195334461</v>
      </c>
      <c r="AE25" s="84">
        <f t="shared" si="19"/>
        <v>40194.724968841183</v>
      </c>
      <c r="AF25" s="84">
        <f t="shared" si="19"/>
        <v>102480.21739129152</v>
      </c>
      <c r="AG25" s="84">
        <f t="shared" si="19"/>
        <v>288267.3160611823</v>
      </c>
      <c r="AH25" s="84">
        <f t="shared" si="19"/>
        <v>-75469.668153741746</v>
      </c>
      <c r="AI25" s="84">
        <f t="shared" si="19"/>
        <v>-113443.9205980777</v>
      </c>
      <c r="AJ25" s="84">
        <f t="shared" si="19"/>
        <v>399733.52863047342</v>
      </c>
      <c r="AK25" s="84"/>
      <c r="AL25" s="84">
        <f>AL23+AL24</f>
        <v>1453761.9028193979</v>
      </c>
      <c r="AN25" s="80"/>
      <c r="AO25" s="88"/>
      <c r="AP25" s="92">
        <f>(AL25-R25)/R25</f>
        <v>0.2759510489399653</v>
      </c>
      <c r="AQ25" s="98"/>
    </row>
    <row r="26" spans="1:43" ht="15.75" thickTop="1" x14ac:dyDescent="0.25">
      <c r="U26" s="81"/>
      <c r="V26" s="81"/>
      <c r="AN26" s="81"/>
      <c r="AO26" s="81"/>
    </row>
    <row r="27" spans="1:43" hidden="1" outlineLevel="1" x14ac:dyDescent="0.25">
      <c r="A27" s="158" t="s">
        <v>984</v>
      </c>
      <c r="B27" s="66">
        <f>[1]Overall!B13</f>
        <v>-238126.20999999996</v>
      </c>
      <c r="C27" s="66">
        <f>[1]Overall!C13</f>
        <v>-233334.39507999999</v>
      </c>
      <c r="D27" s="66">
        <f>[1]Overall!D13</f>
        <v>547210.55232000002</v>
      </c>
      <c r="E27" s="66">
        <f>[1]Overall!E13</f>
        <v>-155744.43464875483</v>
      </c>
      <c r="F27" s="66">
        <f>[1]Overall!F13</f>
        <v>421.97167228662875</v>
      </c>
      <c r="G27" s="66">
        <f>[1]Overall!G13</f>
        <v>701691.94940448995</v>
      </c>
      <c r="H27" s="66">
        <f>[1]Overall!H13</f>
        <v>115610.45873632538</v>
      </c>
      <c r="I27" s="66">
        <f>[1]Overall!I13</f>
        <v>170847.79206965864</v>
      </c>
      <c r="J27" s="66">
        <f>[1]Overall!J13</f>
        <v>777657.19206965854</v>
      </c>
      <c r="K27" s="66">
        <f>[1]Overall!K13</f>
        <v>126787.72540299199</v>
      </c>
      <c r="L27" s="66">
        <f>[1]Overall!L13</f>
        <v>117314.72540299199</v>
      </c>
      <c r="M27" s="66">
        <f>[1]Overall!M13</f>
        <v>722439.98095854744</v>
      </c>
      <c r="N27" s="66">
        <f>[1]Overall!N13</f>
        <v>47240.380958547583</v>
      </c>
      <c r="O27" s="66">
        <f>[1]Overall!O13</f>
        <v>70251.735625214293</v>
      </c>
      <c r="P27" s="66">
        <f>[1]Overall!P13</f>
        <v>854130.42762521422</v>
      </c>
      <c r="U27" s="80"/>
      <c r="V27" s="81"/>
      <c r="AN27" s="80"/>
      <c r="AO27" s="81"/>
    </row>
    <row r="28" spans="1:43" hidden="1" outlineLevel="1" x14ac:dyDescent="0.25">
      <c r="U28" s="80"/>
      <c r="V28" s="81"/>
      <c r="AN28" s="80"/>
      <c r="AO28" s="81"/>
    </row>
    <row r="29" spans="1:43" hidden="1" outlineLevel="1" x14ac:dyDescent="0.25">
      <c r="A29" s="158" t="s">
        <v>985</v>
      </c>
      <c r="B29" s="66">
        <f>B25-B27</f>
        <v>85205.389999999956</v>
      </c>
      <c r="C29" s="66">
        <f t="shared" ref="C29:P29" si="20">C25-C27</f>
        <v>96355.685079999792</v>
      </c>
      <c r="D29" s="66">
        <f t="shared" si="20"/>
        <v>439994.56839072041</v>
      </c>
      <c r="E29" s="66">
        <f t="shared" si="20"/>
        <v>35728.694648755132</v>
      </c>
      <c r="F29" s="66">
        <f t="shared" si="20"/>
        <v>-68384.211672286387</v>
      </c>
      <c r="G29" s="66">
        <f t="shared" si="20"/>
        <v>-46730.509404490469</v>
      </c>
      <c r="H29" s="66">
        <f t="shared" si="20"/>
        <v>-476902.46873632562</v>
      </c>
      <c r="I29" s="66">
        <f t="shared" si="20"/>
        <v>-295559.0120696582</v>
      </c>
      <c r="J29" s="66">
        <f t="shared" si="20"/>
        <v>-453583.10206965811</v>
      </c>
      <c r="K29" s="66">
        <f t="shared" si="20"/>
        <v>-260500.57268454571</v>
      </c>
      <c r="L29" s="66">
        <f t="shared" si="20"/>
        <v>-87308.423784286366</v>
      </c>
      <c r="M29" s="66">
        <f t="shared" si="20"/>
        <v>-481737.80095854809</v>
      </c>
      <c r="N29" s="66">
        <f t="shared" si="20"/>
        <v>-184726.20095854753</v>
      </c>
      <c r="O29" s="66">
        <f t="shared" si="20"/>
        <v>-138969.11562521372</v>
      </c>
      <c r="P29" s="66">
        <f t="shared" si="20"/>
        <v>-519525.28597304062</v>
      </c>
      <c r="U29" s="80"/>
      <c r="V29" s="81"/>
      <c r="AN29" s="80"/>
      <c r="AO29" s="81"/>
    </row>
    <row r="30" spans="1:43" hidden="1" outlineLevel="1" x14ac:dyDescent="0.25">
      <c r="A30" t="s">
        <v>986</v>
      </c>
      <c r="B30" s="3">
        <f>B29/B27</f>
        <v>-0.35781609256704655</v>
      </c>
      <c r="C30" s="3">
        <f t="shared" ref="C30:P30" si="21">C29/C27</f>
        <v>-0.41295105698824947</v>
      </c>
      <c r="D30" s="3">
        <f t="shared" si="21"/>
        <v>0.80406813524571541</v>
      </c>
      <c r="E30" s="3">
        <f t="shared" si="21"/>
        <v>-0.22940591571912569</v>
      </c>
      <c r="F30" s="3">
        <f t="shared" si="21"/>
        <v>-162.0587735231565</v>
      </c>
      <c r="G30" s="3">
        <f t="shared" si="21"/>
        <v>-6.659690116745616E-2</v>
      </c>
      <c r="H30" s="3">
        <f t="shared" si="21"/>
        <v>-4.125080671325807</v>
      </c>
      <c r="I30" s="3">
        <f t="shared" si="21"/>
        <v>-1.7299551167108551</v>
      </c>
      <c r="J30" s="3">
        <f t="shared" si="21"/>
        <v>-0.58326870335049696</v>
      </c>
      <c r="K30" s="3">
        <f t="shared" si="21"/>
        <v>-2.054619813207867</v>
      </c>
      <c r="L30" s="3">
        <f t="shared" si="21"/>
        <v>-0.74422391122998488</v>
      </c>
      <c r="M30" s="3">
        <f t="shared" si="21"/>
        <v>-0.66682051610622239</v>
      </c>
      <c r="N30" s="3">
        <f t="shared" si="21"/>
        <v>-3.9103452853320722</v>
      </c>
      <c r="O30" s="3">
        <f t="shared" si="21"/>
        <v>-1.9781591783952428</v>
      </c>
      <c r="P30" s="3">
        <f t="shared" si="21"/>
        <v>-0.60825053079715863</v>
      </c>
      <c r="U30" s="80"/>
      <c r="V30" s="81"/>
      <c r="AN30" s="80"/>
      <c r="AO30" s="81"/>
    </row>
    <row r="31" spans="1:43" hidden="1" outlineLevel="1" x14ac:dyDescent="0.25"/>
    <row r="32" spans="1:43" hidden="1" outlineLevel="1" x14ac:dyDescent="0.25">
      <c r="A32" s="158" t="s">
        <v>987</v>
      </c>
      <c r="B32" s="66">
        <v>-238125.52</v>
      </c>
      <c r="C32" s="66">
        <v>-233335.69</v>
      </c>
      <c r="D32" s="66">
        <v>1038656.91</v>
      </c>
      <c r="E32" s="66">
        <v>-23371.65</v>
      </c>
      <c r="F32" s="66">
        <v>196536.4</v>
      </c>
      <c r="G32" s="66">
        <v>836592.92</v>
      </c>
      <c r="H32" s="66">
        <v>-299234.21000000002</v>
      </c>
      <c r="I32" s="66">
        <v>99191.67</v>
      </c>
      <c r="J32" s="66">
        <v>553053.5</v>
      </c>
      <c r="K32" s="66">
        <v>-40192.800000000003</v>
      </c>
      <c r="L32" s="66">
        <v>113373.87</v>
      </c>
      <c r="M32" s="66">
        <v>323842.93</v>
      </c>
    </row>
    <row r="33" spans="1:38" hidden="1" outlineLevel="1" x14ac:dyDescent="0.25"/>
    <row r="34" spans="1:38" hidden="1" outlineLevel="1" x14ac:dyDescent="0.25">
      <c r="A34" s="158" t="s">
        <v>985</v>
      </c>
      <c r="B34" s="66">
        <f t="shared" ref="B34:M34" si="22">B25-B32</f>
        <v>85204.699999999983</v>
      </c>
      <c r="C34" s="66">
        <f t="shared" si="22"/>
        <v>96356.979999999807</v>
      </c>
      <c r="D34" s="66">
        <f t="shared" si="22"/>
        <v>-51451.789289279608</v>
      </c>
      <c r="E34" s="66">
        <f t="shared" si="22"/>
        <v>-96644.089999999705</v>
      </c>
      <c r="F34" s="66">
        <f t="shared" si="22"/>
        <v>-264498.63999999978</v>
      </c>
      <c r="G34" s="66">
        <f t="shared" si="22"/>
        <v>-181631.48000000056</v>
      </c>
      <c r="H34" s="66">
        <f t="shared" si="22"/>
        <v>-62057.800000000221</v>
      </c>
      <c r="I34" s="66">
        <f t="shared" si="22"/>
        <v>-223902.88999999955</v>
      </c>
      <c r="J34" s="66">
        <f t="shared" si="22"/>
        <v>-228979.40999999957</v>
      </c>
      <c r="K34" s="66">
        <f t="shared" si="22"/>
        <v>-93520.047281553721</v>
      </c>
      <c r="L34" s="66">
        <f t="shared" si="22"/>
        <v>-83367.568381294375</v>
      </c>
      <c r="M34" s="66">
        <f t="shared" si="22"/>
        <v>-83140.75000000064</v>
      </c>
    </row>
    <row r="35" spans="1:38" collapsed="1" x14ac:dyDescent="0.25"/>
    <row r="36" spans="1:38" x14ac:dyDescent="0.25">
      <c r="A36" s="158" t="s">
        <v>988</v>
      </c>
      <c r="R36" s="94"/>
      <c r="AL36" s="16"/>
    </row>
    <row r="37" spans="1:38" outlineLevel="1" x14ac:dyDescent="0.25">
      <c r="A37" s="156" t="s">
        <v>989</v>
      </c>
      <c r="R37" s="74"/>
      <c r="Y37" s="66">
        <f>'New Vehicles - Group'!E40-Y18</f>
        <v>0</v>
      </c>
      <c r="Z37" s="66">
        <f>'New Vehicles - Group'!F40-Z18</f>
        <v>0</v>
      </c>
      <c r="AA37" s="66">
        <f>'New Vehicles - Group'!G40-AA18</f>
        <v>0</v>
      </c>
      <c r="AB37" s="66">
        <f>'New Vehicles - Group'!H40-AB18</f>
        <v>0</v>
      </c>
      <c r="AC37" s="66">
        <f>'New Vehicles - Group'!I40-AC18</f>
        <v>0</v>
      </c>
      <c r="AD37" s="66">
        <f>'New Vehicles - Group'!J40-AD18</f>
        <v>0</v>
      </c>
      <c r="AE37" s="66">
        <f>'New Vehicles - Group'!K40-AE18</f>
        <v>0</v>
      </c>
      <c r="AF37" s="66">
        <f>'New Vehicles - Group'!L40-AF18</f>
        <v>0</v>
      </c>
      <c r="AG37" s="66">
        <f>'New Vehicles - Group'!M40-AG18</f>
        <v>0</v>
      </c>
      <c r="AH37" s="66">
        <f>'New Vehicles - Group'!N40-AH18</f>
        <v>0</v>
      </c>
      <c r="AI37" s="66">
        <f>'New Vehicles - Group'!O40-AI18</f>
        <v>0</v>
      </c>
      <c r="AJ37" s="66">
        <f>'New Vehicles - Group'!P40-AJ18</f>
        <v>0</v>
      </c>
    </row>
    <row r="38" spans="1:38" outlineLevel="1" x14ac:dyDescent="0.25">
      <c r="A38" s="157" t="s">
        <v>990</v>
      </c>
      <c r="E38" s="93"/>
      <c r="F38" s="93"/>
      <c r="G38" s="93"/>
      <c r="H38" s="93"/>
      <c r="I38" s="93"/>
      <c r="L38" s="93"/>
      <c r="M38" s="93"/>
      <c r="N38" s="93"/>
      <c r="O38" s="93"/>
      <c r="P38" s="93"/>
      <c r="Y38" s="66">
        <f>'Used Vehicles - Group'!E50-'Overall - Toyota'!Y19</f>
        <v>0</v>
      </c>
      <c r="Z38" s="66">
        <f>'Used Vehicles - Group'!F50-'Overall - Toyota'!Z19</f>
        <v>0</v>
      </c>
      <c r="AA38" s="66">
        <f>'Used Vehicles - Group'!G50-'Overall - Toyota'!AA19</f>
        <v>0</v>
      </c>
      <c r="AB38" s="66">
        <f>'Used Vehicles - Group'!H50-'Overall - Toyota'!AB19</f>
        <v>0</v>
      </c>
      <c r="AC38" s="66">
        <f>'Used Vehicles - Group'!I50-'Overall - Toyota'!AC19</f>
        <v>0</v>
      </c>
      <c r="AD38" s="66">
        <f>'Used Vehicles - Group'!J50-'Overall - Toyota'!AD19</f>
        <v>0</v>
      </c>
      <c r="AE38" s="66">
        <f>'Used Vehicles - Group'!K50-'Overall - Toyota'!AE19</f>
        <v>0</v>
      </c>
      <c r="AF38" s="66">
        <f>'Used Vehicles - Group'!L50-'Overall - Toyota'!AF19</f>
        <v>0</v>
      </c>
      <c r="AG38" s="66">
        <f>'Used Vehicles - Group'!M50-'Overall - Toyota'!AG19</f>
        <v>0</v>
      </c>
      <c r="AH38" s="66">
        <f>'Used Vehicles - Group'!N50-'Overall - Toyota'!AH19</f>
        <v>0</v>
      </c>
      <c r="AI38" s="66">
        <f>'Used Vehicles - Group'!O50-'Overall - Toyota'!AI19</f>
        <v>0</v>
      </c>
      <c r="AJ38" s="66">
        <f>'Used Vehicles - Group'!P50-'Overall - Toyota'!AJ19</f>
        <v>0</v>
      </c>
    </row>
    <row r="39" spans="1:38" outlineLevel="1" x14ac:dyDescent="0.25">
      <c r="A39" s="157" t="s">
        <v>966</v>
      </c>
      <c r="E39" s="93"/>
      <c r="F39" s="93"/>
      <c r="G39" s="93"/>
      <c r="H39" s="93"/>
      <c r="I39" s="93"/>
      <c r="L39" s="93"/>
      <c r="M39" s="93"/>
      <c r="N39" s="93"/>
      <c r="O39" s="93"/>
      <c r="P39" s="93"/>
      <c r="Y39" s="66">
        <f>'F&amp;I'!E30-'Overall - Toyota'!Y20</f>
        <v>0</v>
      </c>
      <c r="Z39" s="66">
        <f>'F&amp;I'!F30-'Overall - Toyota'!Z20</f>
        <v>0</v>
      </c>
      <c r="AA39" s="66">
        <f>'F&amp;I'!G30-'Overall - Toyota'!AA20</f>
        <v>0</v>
      </c>
      <c r="AB39" s="66">
        <f>'F&amp;I'!H30-'Overall - Toyota'!AB20</f>
        <v>0</v>
      </c>
      <c r="AC39" s="66">
        <f>'F&amp;I'!I30-'Overall - Toyota'!AC20</f>
        <v>0</v>
      </c>
      <c r="AD39" s="66">
        <f>'F&amp;I'!J30-'Overall - Toyota'!AD20</f>
        <v>0</v>
      </c>
      <c r="AE39" s="66">
        <f>'F&amp;I'!K30-'Overall - Toyota'!AE20</f>
        <v>0</v>
      </c>
      <c r="AF39" s="66">
        <f>'F&amp;I'!L30-'Overall - Toyota'!AF20</f>
        <v>0</v>
      </c>
      <c r="AG39" s="66">
        <f>'F&amp;I'!M30-'Overall - Toyota'!AG20</f>
        <v>0</v>
      </c>
      <c r="AH39" s="66">
        <f>'F&amp;I'!N30-'Overall - Toyota'!AH20</f>
        <v>0</v>
      </c>
      <c r="AI39" s="66">
        <f>'F&amp;I'!O30-'Overall - Toyota'!AI20</f>
        <v>0</v>
      </c>
      <c r="AJ39" s="66">
        <f>'F&amp;I'!P30-'Overall - Toyota'!AJ20</f>
        <v>0</v>
      </c>
    </row>
    <row r="40" spans="1:38" outlineLevel="1" x14ac:dyDescent="0.25">
      <c r="A40" s="157" t="s">
        <v>113</v>
      </c>
      <c r="E40" s="93"/>
      <c r="F40" s="93"/>
      <c r="G40" s="93"/>
      <c r="H40" s="93"/>
      <c r="I40" s="93"/>
      <c r="L40" s="93"/>
      <c r="M40" s="93"/>
      <c r="N40" s="93"/>
      <c r="O40" s="93"/>
      <c r="P40" s="93"/>
      <c r="Y40" s="66">
        <f>'Parts - Group '!E42-Y21</f>
        <v>0</v>
      </c>
      <c r="Z40" s="66">
        <f>'Parts - Group '!F42-Z21</f>
        <v>0</v>
      </c>
      <c r="AA40" s="66">
        <f>'Parts - Group '!G42-AA21</f>
        <v>0</v>
      </c>
      <c r="AB40" s="66">
        <f>'Parts - Group '!H42-AB21</f>
        <v>0</v>
      </c>
      <c r="AC40" s="66">
        <f>'Parts - Group '!I42-AC21</f>
        <v>0</v>
      </c>
      <c r="AD40" s="66">
        <f>'Parts - Group '!J42-AD21</f>
        <v>0</v>
      </c>
      <c r="AE40" s="66">
        <f>'Parts - Group '!K42-AE21</f>
        <v>0</v>
      </c>
      <c r="AF40" s="66">
        <f>'Parts - Group '!L42-AF21</f>
        <v>0</v>
      </c>
      <c r="AG40" s="66">
        <f>'Parts - Group '!M42-AG21</f>
        <v>0</v>
      </c>
      <c r="AH40" s="66">
        <f>'Parts - Group '!N42-AH21</f>
        <v>0</v>
      </c>
      <c r="AI40" s="66">
        <f>'Parts - Group '!O42-AI21</f>
        <v>0</v>
      </c>
      <c r="AJ40" s="66">
        <f>'Parts - Group '!P42-AJ21</f>
        <v>0</v>
      </c>
    </row>
    <row r="41" spans="1:38" outlineLevel="1" x14ac:dyDescent="0.25">
      <c r="A41" s="157" t="s">
        <v>967</v>
      </c>
      <c r="E41" s="93"/>
      <c r="F41" s="93"/>
      <c r="G41" s="93"/>
      <c r="H41" s="93"/>
      <c r="I41" s="93"/>
      <c r="L41" s="93"/>
      <c r="M41" s="93"/>
      <c r="N41" s="93"/>
      <c r="O41" s="93"/>
      <c r="P41" s="93"/>
      <c r="Y41" s="66">
        <f>'Service - Group '!E38-Y22</f>
        <v>0</v>
      </c>
      <c r="Z41" s="66">
        <f>'Service - Group '!F38-Z22</f>
        <v>0</v>
      </c>
      <c r="AA41" s="66">
        <f>'Service - Group '!G38-AA22</f>
        <v>0</v>
      </c>
      <c r="AB41" s="66">
        <f>'Service - Group '!H38-AB22</f>
        <v>0</v>
      </c>
      <c r="AC41" s="66">
        <f>'Service - Group '!I38-AC22</f>
        <v>0</v>
      </c>
      <c r="AD41" s="66">
        <f>'Service - Group '!J38-AD22</f>
        <v>0</v>
      </c>
      <c r="AE41" s="66">
        <f>'Service - Group '!K38-AE22</f>
        <v>0</v>
      </c>
      <c r="AF41" s="66">
        <f>'Service - Group '!L38-AF22</f>
        <v>0</v>
      </c>
      <c r="AG41" s="66">
        <f>'Service - Group '!M38-AG22</f>
        <v>0</v>
      </c>
      <c r="AH41" s="66">
        <f>'Service - Group '!N38-AH22</f>
        <v>0</v>
      </c>
      <c r="AI41" s="66">
        <f>'Service - Group '!O38-AI22</f>
        <v>0</v>
      </c>
      <c r="AJ41" s="66">
        <f>'Service - Group '!P38-AJ22</f>
        <v>0</v>
      </c>
    </row>
    <row r="42" spans="1:38" outlineLevel="1" x14ac:dyDescent="0.25">
      <c r="A42" s="157" t="s">
        <v>991</v>
      </c>
      <c r="E42" s="93"/>
      <c r="F42" s="93"/>
      <c r="G42" s="93"/>
      <c r="H42" s="93"/>
      <c r="I42" s="93"/>
      <c r="L42" s="93"/>
      <c r="M42" s="93"/>
      <c r="N42" s="93"/>
      <c r="O42" s="93"/>
      <c r="P42" s="93"/>
      <c r="Y42" s="66">
        <f>'LEX - New Vehicles'!E36-'Overall - lexus'!Y22</f>
        <v>0</v>
      </c>
      <c r="Z42" s="66">
        <f>'LEX - New Vehicles'!F36-'Overall - lexus'!Z22</f>
        <v>0</v>
      </c>
      <c r="AA42" s="66">
        <f>'LEX - New Vehicles'!G36-'Overall - lexus'!AA22</f>
        <v>0</v>
      </c>
      <c r="AB42" s="66">
        <f>'LEX - New Vehicles'!H36-'Overall - lexus'!AB22</f>
        <v>0</v>
      </c>
      <c r="AC42" s="66">
        <f>'LEX - New Vehicles'!I36-'Overall - lexus'!AC22</f>
        <v>0</v>
      </c>
      <c r="AD42" s="66">
        <f>'LEX - New Vehicles'!J36-'Overall - lexus'!AD22</f>
        <v>0</v>
      </c>
      <c r="AE42" s="66">
        <f>'LEX - New Vehicles'!K36-'Overall - lexus'!AE22</f>
        <v>0</v>
      </c>
      <c r="AF42" s="66">
        <f>'LEX - New Vehicles'!L36-'Overall - lexus'!AF22</f>
        <v>0</v>
      </c>
      <c r="AG42" s="66">
        <f>'LEX - New Vehicles'!M36-'Overall - lexus'!AG22</f>
        <v>0</v>
      </c>
      <c r="AH42" s="66">
        <f>'LEX - New Vehicles'!N36-'Overall - lexus'!AH22</f>
        <v>0</v>
      </c>
      <c r="AI42" s="66">
        <f>'LEX - New Vehicles'!O36-'Overall - lexus'!AI22</f>
        <v>0</v>
      </c>
      <c r="AJ42" s="66">
        <f>'LEX - New Vehicles'!P36-'Overall - lexus'!AJ22</f>
        <v>0</v>
      </c>
    </row>
    <row r="43" spans="1:38" outlineLevel="1" x14ac:dyDescent="0.25">
      <c r="A43" s="156" t="s">
        <v>992</v>
      </c>
      <c r="E43" s="93"/>
      <c r="F43" s="93"/>
      <c r="G43" s="93"/>
      <c r="H43" s="93"/>
      <c r="I43" s="93"/>
      <c r="L43" s="93"/>
      <c r="M43" s="93"/>
      <c r="N43" s="93"/>
      <c r="O43" s="93"/>
      <c r="P43" s="93"/>
      <c r="R43" s="74"/>
      <c r="Y43" s="66">
        <f>'LEX - Used Vehicles'!E40-'Overall - lexus'!Y23</f>
        <v>0</v>
      </c>
      <c r="Z43" s="66">
        <f>'LEX - Used Vehicles'!F40-'Overall - lexus'!Z23</f>
        <v>0</v>
      </c>
      <c r="AA43" s="66">
        <f>'LEX - Used Vehicles'!G40-'Overall - lexus'!AA23</f>
        <v>0</v>
      </c>
      <c r="AB43" s="66">
        <f>'LEX - Used Vehicles'!H40-'Overall - lexus'!AB23</f>
        <v>0</v>
      </c>
      <c r="AC43" s="66">
        <f>'LEX - Used Vehicles'!I40-'Overall - lexus'!AC23</f>
        <v>0</v>
      </c>
      <c r="AD43" s="66">
        <f>'LEX - Used Vehicles'!J40-'Overall - lexus'!AD23</f>
        <v>0</v>
      </c>
      <c r="AE43" s="66">
        <f>'LEX - Used Vehicles'!K40-'Overall - lexus'!AE23</f>
        <v>0</v>
      </c>
      <c r="AF43" s="66">
        <f>'LEX - Used Vehicles'!L40-'Overall - lexus'!AF23</f>
        <v>0</v>
      </c>
      <c r="AG43" s="66">
        <f>'LEX - Used Vehicles'!M40-'Overall - lexus'!AG23</f>
        <v>0</v>
      </c>
      <c r="AH43" s="66">
        <f>'LEX - Used Vehicles'!N40-'Overall - lexus'!AH23</f>
        <v>0</v>
      </c>
      <c r="AI43" s="66">
        <f>'LEX - Used Vehicles'!O40-'Overall - lexus'!AI23</f>
        <v>0</v>
      </c>
      <c r="AJ43" s="66">
        <f>'LEX - Used Vehicles'!P40-'Overall - lexus'!AJ23</f>
        <v>0</v>
      </c>
    </row>
    <row r="44" spans="1:38" outlineLevel="1" x14ac:dyDescent="0.25">
      <c r="A44" s="157" t="s">
        <v>993</v>
      </c>
      <c r="E44" s="93"/>
      <c r="F44" s="93"/>
      <c r="G44" s="93"/>
      <c r="H44" s="93"/>
      <c r="I44" s="93"/>
      <c r="L44" s="93"/>
      <c r="M44" s="93"/>
      <c r="N44" s="93"/>
      <c r="O44" s="93"/>
      <c r="P44" s="93"/>
      <c r="Y44" s="66">
        <f>'LEX - F&amp;I'!E30-'Overall - lexus'!Y24</f>
        <v>0</v>
      </c>
      <c r="Z44" s="66">
        <f>'LEX - F&amp;I'!F30-'Overall - lexus'!Z24</f>
        <v>0</v>
      </c>
      <c r="AA44" s="66">
        <f>'LEX - F&amp;I'!G30-'Overall - lexus'!AA24</f>
        <v>0</v>
      </c>
      <c r="AB44" s="66">
        <f>'LEX - F&amp;I'!H30-'Overall - lexus'!AB24</f>
        <v>0</v>
      </c>
      <c r="AC44" s="66">
        <f>'LEX - F&amp;I'!I30-'Overall - lexus'!AC24</f>
        <v>0</v>
      </c>
      <c r="AD44" s="66">
        <f>'LEX - F&amp;I'!J30-'Overall - lexus'!AD24</f>
        <v>0</v>
      </c>
      <c r="AE44" s="66">
        <f>'LEX - F&amp;I'!K30-'Overall - lexus'!AE24</f>
        <v>0</v>
      </c>
      <c r="AF44" s="66">
        <f>'LEX - F&amp;I'!L30-'Overall - lexus'!AF24</f>
        <v>0</v>
      </c>
      <c r="AG44" s="66">
        <f>'LEX - F&amp;I'!M30-'Overall - lexus'!AG24</f>
        <v>0</v>
      </c>
      <c r="AH44" s="66">
        <f>'LEX - F&amp;I'!N30-'Overall - lexus'!AH24</f>
        <v>0</v>
      </c>
      <c r="AI44" s="66">
        <f>'LEX - F&amp;I'!O30-'Overall - lexus'!AI24</f>
        <v>0</v>
      </c>
      <c r="AJ44" s="66">
        <f>'LEX - F&amp;I'!P30-'Overall - lexus'!AJ24</f>
        <v>0</v>
      </c>
    </row>
    <row r="45" spans="1:38" outlineLevel="1" x14ac:dyDescent="0.25">
      <c r="A45" s="157" t="s">
        <v>994</v>
      </c>
      <c r="E45" s="93"/>
      <c r="F45" s="93"/>
      <c r="G45" s="93"/>
      <c r="H45" s="93"/>
      <c r="I45" s="93"/>
      <c r="L45" s="93"/>
      <c r="M45" s="93"/>
      <c r="N45" s="93"/>
      <c r="O45" s="93"/>
      <c r="P45" s="93"/>
      <c r="Y45" s="66">
        <f>'LEX - Parts'!E24-'Overall - lexus'!Y25</f>
        <v>0</v>
      </c>
      <c r="Z45" s="66">
        <f>'LEX - Parts'!F24-'Overall - lexus'!Z25</f>
        <v>0</v>
      </c>
      <c r="AA45" s="66">
        <f>'LEX - Parts'!G24-'Overall - lexus'!AA25</f>
        <v>0</v>
      </c>
      <c r="AB45" s="66">
        <f>'LEX - Parts'!H24-'Overall - lexus'!AB25</f>
        <v>0</v>
      </c>
      <c r="AC45" s="66">
        <f>'LEX - Parts'!I24-'Overall - lexus'!AC25</f>
        <v>0</v>
      </c>
      <c r="AD45" s="66">
        <f>'LEX - Parts'!J24-'Overall - lexus'!AD25</f>
        <v>0</v>
      </c>
      <c r="AE45" s="66">
        <f>'LEX - Parts'!K24-'Overall - lexus'!AE25</f>
        <v>0</v>
      </c>
      <c r="AF45" s="66">
        <f>'LEX - Parts'!L24-'Overall - lexus'!AF25</f>
        <v>0</v>
      </c>
      <c r="AG45" s="66">
        <f>'LEX - Parts'!M24-'Overall - lexus'!AG25</f>
        <v>0</v>
      </c>
      <c r="AH45" s="66">
        <f>'LEX - Parts'!N24-'Overall - lexus'!AH25</f>
        <v>0</v>
      </c>
      <c r="AI45" s="66">
        <f>'LEX - Parts'!O24-'Overall - lexus'!AI25</f>
        <v>0</v>
      </c>
      <c r="AJ45" s="66">
        <f>'LEX - Parts'!P24-'Overall - lexus'!AJ25</f>
        <v>0</v>
      </c>
    </row>
    <row r="46" spans="1:38" outlineLevel="1" x14ac:dyDescent="0.25">
      <c r="A46" s="157" t="s">
        <v>995</v>
      </c>
      <c r="E46" s="93"/>
      <c r="F46" s="93"/>
      <c r="G46" s="93"/>
      <c r="H46" s="93"/>
      <c r="I46" s="93"/>
      <c r="L46" s="93"/>
      <c r="M46" s="93"/>
      <c r="N46" s="93"/>
      <c r="O46" s="93"/>
      <c r="P46" s="93"/>
      <c r="Y46" s="66">
        <f>'Overall - lexus'!Y26-'LEX - Service'!E38</f>
        <v>0</v>
      </c>
      <c r="Z46" s="66">
        <f>'Overall - lexus'!Z26-'LEX - Service'!F38</f>
        <v>0</v>
      </c>
      <c r="AA46" s="66">
        <f>'Overall - lexus'!AA26-'LEX - Service'!G38</f>
        <v>0</v>
      </c>
      <c r="AB46" s="66">
        <f>'Overall - lexus'!AB26-'LEX - Service'!H38</f>
        <v>0</v>
      </c>
      <c r="AC46" s="66">
        <f>'Overall - lexus'!AC26-'LEX - Service'!I38</f>
        <v>0</v>
      </c>
      <c r="AD46" s="66">
        <f>'Overall - lexus'!AD26-'LEX - Service'!J38</f>
        <v>0</v>
      </c>
      <c r="AE46" s="66">
        <f>'Overall - lexus'!AE26-'LEX - Service'!K38</f>
        <v>0</v>
      </c>
      <c r="AF46" s="66">
        <f>'Overall - lexus'!AF26-'LEX - Service'!L38</f>
        <v>0</v>
      </c>
      <c r="AG46" s="66">
        <f>'Overall - lexus'!AG26-'LEX - Service'!M38</f>
        <v>0</v>
      </c>
      <c r="AH46" s="66">
        <f>'Overall - lexus'!AH26-'LEX - Service'!N38</f>
        <v>0</v>
      </c>
      <c r="AI46" s="66">
        <f>'Overall - lexus'!AI26-'LEX - Service'!O38</f>
        <v>0</v>
      </c>
      <c r="AJ46" s="66">
        <f>'Overall - lexus'!AJ26-'LEX - Service'!P38</f>
        <v>0</v>
      </c>
    </row>
    <row r="47" spans="1:38" outlineLevel="1" x14ac:dyDescent="0.25">
      <c r="A47" s="157" t="s">
        <v>975</v>
      </c>
      <c r="E47" s="93"/>
      <c r="F47" s="93"/>
      <c r="G47" s="93"/>
      <c r="H47" s="93"/>
      <c r="I47" s="93"/>
      <c r="L47" s="93"/>
      <c r="M47" s="93"/>
      <c r="N47" s="93"/>
      <c r="O47" s="93"/>
      <c r="P47" s="93"/>
      <c r="Y47" s="66">
        <f>'Bridgestone Group'!E26-'Overall '!Y49</f>
        <v>0</v>
      </c>
      <c r="Z47" s="66">
        <f>'Bridgestone Group'!F26-'Overall '!Z49</f>
        <v>0</v>
      </c>
      <c r="AA47" s="66">
        <f>'Bridgestone Group'!G26-'Overall '!AA49</f>
        <v>0</v>
      </c>
      <c r="AB47" s="66">
        <f>'Bridgestone Group'!H26-'Overall '!AB49</f>
        <v>0</v>
      </c>
      <c r="AC47" s="66">
        <f>'Bridgestone Group'!I26-'Overall '!AC49</f>
        <v>0</v>
      </c>
      <c r="AD47" s="66">
        <f>'Bridgestone Group'!J26-'Overall '!AD49</f>
        <v>0</v>
      </c>
      <c r="AE47" s="66">
        <f>'Bridgestone Group'!K26-'Overall '!AE49</f>
        <v>0</v>
      </c>
      <c r="AF47" s="66">
        <f>'Bridgestone Group'!L26-'Overall '!AF49</f>
        <v>0</v>
      </c>
      <c r="AG47" s="66">
        <f>'Bridgestone Group'!M26-'Overall '!AG49</f>
        <v>0</v>
      </c>
      <c r="AH47" s="66">
        <f>'Bridgestone Group'!N26-'Overall '!AH49</f>
        <v>0</v>
      </c>
      <c r="AI47" s="66">
        <f>'Bridgestone Group'!O26-'Overall '!AI49</f>
        <v>0</v>
      </c>
      <c r="AJ47" s="66">
        <f>'Bridgestone Group'!P26-'Overall '!AJ49</f>
        <v>0</v>
      </c>
    </row>
    <row r="48" spans="1:38" outlineLevel="1" x14ac:dyDescent="0.25">
      <c r="A48" s="157" t="s">
        <v>976</v>
      </c>
      <c r="E48" s="93"/>
      <c r="F48" s="93"/>
      <c r="G48" s="93"/>
      <c r="H48" s="93"/>
      <c r="I48" s="93"/>
      <c r="L48" s="93"/>
      <c r="M48" s="93"/>
      <c r="N48" s="93"/>
      <c r="O48" s="93"/>
      <c r="P48" s="93"/>
      <c r="Y48" s="66">
        <f>'Retail Detailing'!E28-'Overall '!Y50</f>
        <v>0</v>
      </c>
      <c r="Z48" s="66">
        <f>'Retail Detailing'!F28-'Overall '!Z50</f>
        <v>0</v>
      </c>
      <c r="AA48" s="66">
        <f>'Retail Detailing'!G28-'Overall '!AA50</f>
        <v>0</v>
      </c>
      <c r="AB48" s="66">
        <f>'Retail Detailing'!H28-'Overall '!AB50</f>
        <v>0</v>
      </c>
      <c r="AC48" s="66">
        <f>'Retail Detailing'!I28-'Overall '!AC50</f>
        <v>0</v>
      </c>
      <c r="AD48" s="66">
        <f>'Retail Detailing'!J28-'Overall '!AD50</f>
        <v>0</v>
      </c>
      <c r="AE48" s="66">
        <f>'Retail Detailing'!K28-'Overall '!AE50</f>
        <v>0</v>
      </c>
      <c r="AF48" s="66">
        <f>'Retail Detailing'!L28-'Overall '!AF50</f>
        <v>0</v>
      </c>
      <c r="AG48" s="66">
        <f>'Retail Detailing'!M28-'Overall '!AG50</f>
        <v>0</v>
      </c>
      <c r="AH48" s="66">
        <f>'Retail Detailing'!N28-'Overall '!AH50</f>
        <v>0</v>
      </c>
      <c r="AI48" s="66">
        <f>'Retail Detailing'!O28-'Overall '!AI50</f>
        <v>0</v>
      </c>
      <c r="AJ48" s="66">
        <f>'Retail Detailing'!P28-'Overall '!AJ50</f>
        <v>0</v>
      </c>
    </row>
    <row r="49" spans="1:41" outlineLevel="1" x14ac:dyDescent="0.25">
      <c r="A49" s="158" t="s">
        <v>996</v>
      </c>
      <c r="E49" s="93"/>
      <c r="F49" s="93"/>
      <c r="G49" s="93"/>
      <c r="H49" s="93"/>
      <c r="I49" s="93"/>
      <c r="L49" s="93"/>
      <c r="M49" s="93"/>
      <c r="N49" s="93"/>
      <c r="O49" s="93"/>
      <c r="P49" s="93"/>
      <c r="R49" s="74"/>
      <c r="Y49" s="66">
        <f>Y24+'Overall '!Y52+'Toyota - Admin'!E18+'Other - Admin'!E20</f>
        <v>0</v>
      </c>
      <c r="Z49" s="66">
        <f>Z24+'Overall '!Z52+'Toyota - Admin'!F18+'Other - Admin'!F20</f>
        <v>0</v>
      </c>
      <c r="AA49" s="66">
        <f>AA24+'Overall '!AA52+'Toyota - Admin'!G18+'Other - Admin'!G20</f>
        <v>0</v>
      </c>
      <c r="AB49" s="66">
        <f>AB24+'Overall '!AB52+'Toyota - Admin'!H18+'Other - Admin'!H20</f>
        <v>0</v>
      </c>
      <c r="AC49" s="66">
        <f>AC24+'Overall '!AC52+'Toyota - Admin'!I18+'Other - Admin'!I20</f>
        <v>0</v>
      </c>
      <c r="AD49" s="66">
        <f>AD24+'Overall '!AD52+'Toyota - Admin'!J18+'Other - Admin'!J20</f>
        <v>0</v>
      </c>
      <c r="AE49" s="66">
        <f>AE24+'Overall '!AE52+'Toyota - Admin'!K18+'Other - Admin'!K20</f>
        <v>0</v>
      </c>
      <c r="AF49" s="66">
        <f>AF24+'Overall '!AF52+'Toyota - Admin'!L18+'Other - Admin'!L20</f>
        <v>0</v>
      </c>
      <c r="AG49" s="66">
        <f>AG24+'Overall '!AG52+'Toyota - Admin'!M18+'Other - Admin'!M20</f>
        <v>0</v>
      </c>
      <c r="AH49" s="66">
        <f>AH24+'Overall '!AH52+'Toyota - Admin'!N18+'Other - Admin'!N20</f>
        <v>0</v>
      </c>
      <c r="AI49" s="66">
        <f>AI24+'Overall '!AI52+'Toyota - Admin'!O18+'Other - Admin'!O20</f>
        <v>0</v>
      </c>
      <c r="AJ49" s="66">
        <f>AJ24+'Overall '!AJ52+'Toyota - Admin'!P18+'Other - Admin'!P20</f>
        <v>0</v>
      </c>
    </row>
    <row r="50" spans="1:41" x14ac:dyDescent="0.25">
      <c r="A50" s="157"/>
      <c r="E50" s="93"/>
      <c r="F50" s="93"/>
      <c r="G50" s="93"/>
      <c r="H50" s="93"/>
      <c r="I50" s="93"/>
      <c r="L50" s="93"/>
      <c r="M50" s="93"/>
      <c r="N50" s="93"/>
      <c r="O50" s="93"/>
      <c r="P50" s="93"/>
    </row>
    <row r="51" spans="1:41" x14ac:dyDescent="0.25">
      <c r="A51" s="157"/>
      <c r="E51" s="93"/>
      <c r="F51" s="93"/>
      <c r="G51" s="93"/>
      <c r="H51" s="93"/>
      <c r="I51" s="93"/>
      <c r="L51" s="93"/>
      <c r="M51" s="93"/>
      <c r="N51" s="93"/>
      <c r="O51" s="93"/>
      <c r="P51" s="93"/>
      <c r="X51" s="139" t="s">
        <v>997</v>
      </c>
      <c r="Y51" s="140"/>
      <c r="Z51" s="140"/>
      <c r="AA51" s="140">
        <f>SUM(Y25:AA25)</f>
        <v>259734.4347193304</v>
      </c>
      <c r="AB51" s="140"/>
      <c r="AC51" s="140"/>
      <c r="AD51" s="140">
        <f>SUM(AB25:AD25)</f>
        <v>552265.26980009896</v>
      </c>
      <c r="AE51" s="140"/>
      <c r="AF51" s="140"/>
      <c r="AG51" s="140">
        <f>SUM(AE25:AG25)</f>
        <v>430942.258421315</v>
      </c>
      <c r="AH51" s="140"/>
      <c r="AI51" s="142"/>
      <c r="AJ51" s="140">
        <f>SUM(AH25:AJ25)</f>
        <v>210819.93987865397</v>
      </c>
      <c r="AK51" s="142"/>
      <c r="AL51" s="145">
        <f>AL25</f>
        <v>1453761.9028193979</v>
      </c>
      <c r="AM51" s="141"/>
    </row>
    <row r="52" spans="1:41" x14ac:dyDescent="0.25">
      <c r="A52" s="157"/>
      <c r="E52" s="93"/>
      <c r="F52" s="93"/>
      <c r="G52" s="93"/>
      <c r="H52" s="93"/>
      <c r="I52" s="93"/>
      <c r="L52" s="93"/>
      <c r="M52" s="93"/>
      <c r="N52" s="93"/>
      <c r="O52" s="93"/>
      <c r="P52" s="93"/>
      <c r="X52" s="139" t="s">
        <v>998</v>
      </c>
      <c r="Y52" s="140"/>
      <c r="Z52" s="140"/>
      <c r="AA52" s="153">
        <f>AA51/AA62</f>
        <v>8.2797075385114081E-3</v>
      </c>
      <c r="AB52" s="154"/>
      <c r="AC52" s="154"/>
      <c r="AD52" s="153">
        <f>AD51/AD62</f>
        <v>1.7120925319929089E-2</v>
      </c>
      <c r="AE52" s="154"/>
      <c r="AF52" s="154"/>
      <c r="AG52" s="153">
        <f>AG51/AG62</f>
        <v>1.3515433271704118E-2</v>
      </c>
      <c r="AH52" s="154"/>
      <c r="AI52" s="154"/>
      <c r="AJ52" s="153">
        <f>AJ51/AJ62</f>
        <v>6.906207284556448E-3</v>
      </c>
      <c r="AK52" s="154"/>
      <c r="AL52" s="153">
        <f>AL51/AL61</f>
        <v>1.1534305724756009E-2</v>
      </c>
      <c r="AM52" s="143"/>
      <c r="AN52" s="153">
        <v>0.02</v>
      </c>
      <c r="AO52" s="3" t="s">
        <v>999</v>
      </c>
    </row>
    <row r="53" spans="1:41" x14ac:dyDescent="0.25">
      <c r="A53" s="157"/>
      <c r="E53" s="93"/>
      <c r="F53" s="93"/>
      <c r="G53" s="93"/>
      <c r="H53" s="93"/>
      <c r="I53" s="93"/>
      <c r="L53" s="93"/>
      <c r="M53" s="93"/>
      <c r="N53" s="93"/>
      <c r="O53" s="93"/>
      <c r="P53" s="93"/>
      <c r="X53" s="139"/>
      <c r="Y53" s="140"/>
      <c r="Z53" s="140"/>
      <c r="AA53" s="140"/>
      <c r="AB53" s="140"/>
      <c r="AC53" s="140"/>
      <c r="AD53" s="143"/>
      <c r="AE53" s="140"/>
      <c r="AF53" s="140"/>
      <c r="AG53" s="143"/>
      <c r="AH53" s="140"/>
      <c r="AI53" s="142"/>
      <c r="AJ53" s="143"/>
      <c r="AK53" s="142"/>
      <c r="AL53" s="142"/>
      <c r="AM53" s="143"/>
    </row>
    <row r="54" spans="1:41" x14ac:dyDescent="0.25">
      <c r="A54" s="157"/>
      <c r="E54" s="93"/>
      <c r="F54" s="93"/>
      <c r="G54" s="93"/>
      <c r="H54" s="93"/>
      <c r="I54" s="93"/>
      <c r="L54" s="93"/>
      <c r="M54" s="93"/>
      <c r="N54" s="93"/>
      <c r="O54" s="93"/>
      <c r="P54" s="93"/>
      <c r="X54" s="144" t="s">
        <v>989</v>
      </c>
      <c r="Y54" s="145">
        <f>'New Vehicles - Group'!E47</f>
        <v>4095000</v>
      </c>
      <c r="Z54" s="145">
        <f>'New Vehicles - Group'!F47</f>
        <v>4095000</v>
      </c>
      <c r="AA54" s="145">
        <f>'New Vehicles - Group'!G47</f>
        <v>4095000</v>
      </c>
      <c r="AB54" s="145">
        <f>'New Vehicles - Group'!H47</f>
        <v>3990000</v>
      </c>
      <c r="AC54" s="145">
        <f>'New Vehicles - Group'!I47</f>
        <v>3990000</v>
      </c>
      <c r="AD54" s="145">
        <f>'New Vehicles - Group'!J47</f>
        <v>3990000</v>
      </c>
      <c r="AE54" s="145">
        <f>'New Vehicles - Group'!K47</f>
        <v>4095000</v>
      </c>
      <c r="AF54" s="145">
        <f>'New Vehicles - Group'!L47</f>
        <v>3955000</v>
      </c>
      <c r="AG54" s="145">
        <f>'New Vehicles - Group'!M47</f>
        <v>3640000</v>
      </c>
      <c r="AH54" s="145">
        <f>'New Vehicles - Group'!N47</f>
        <v>3640000</v>
      </c>
      <c r="AI54" s="145">
        <f>'New Vehicles - Group'!O47</f>
        <v>3640000</v>
      </c>
      <c r="AJ54" s="145">
        <f>'New Vehicles - Group'!P47</f>
        <v>4270000</v>
      </c>
      <c r="AK54" s="146"/>
      <c r="AL54" s="145">
        <f t="shared" ref="AL54:AL59" si="23">SUM(Y54:AJ54)</f>
        <v>47495000</v>
      </c>
      <c r="AM54" s="146"/>
    </row>
    <row r="55" spans="1:41" x14ac:dyDescent="0.25">
      <c r="A55" s="157"/>
      <c r="E55" s="93"/>
      <c r="F55" s="93"/>
      <c r="G55" s="93"/>
      <c r="H55" s="93"/>
      <c r="I55" s="93"/>
      <c r="L55" s="93"/>
      <c r="M55" s="93"/>
      <c r="N55" s="93"/>
      <c r="O55" s="93"/>
      <c r="P55" s="93"/>
      <c r="X55" s="144" t="s">
        <v>990</v>
      </c>
      <c r="Y55" s="145">
        <f>'Used Vehicles - Group'!E62</f>
        <v>3631250</v>
      </c>
      <c r="Z55" s="145">
        <f>'Used Vehicles - Group'!F62</f>
        <v>4006250</v>
      </c>
      <c r="AA55" s="145">
        <f>'Used Vehicles - Group'!G62</f>
        <v>4331250</v>
      </c>
      <c r="AB55" s="145">
        <f>'Used Vehicles - Group'!H62</f>
        <v>4106250</v>
      </c>
      <c r="AC55" s="145">
        <f>'Used Vehicles - Group'!I62</f>
        <v>4218750</v>
      </c>
      <c r="AD55" s="145">
        <f>'Used Vehicles - Group'!J62</f>
        <v>4331250</v>
      </c>
      <c r="AE55" s="145">
        <f>'Used Vehicles - Group'!K62</f>
        <v>4106250</v>
      </c>
      <c r="AF55" s="145">
        <f>'Used Vehicles - Group'!L62</f>
        <v>4806250</v>
      </c>
      <c r="AG55" s="145">
        <f>'Used Vehicles - Group'!M62</f>
        <v>3960750</v>
      </c>
      <c r="AH55" s="145">
        <f>'Used Vehicles - Group'!N62</f>
        <v>3824250</v>
      </c>
      <c r="AI55" s="145">
        <f>'Used Vehicles - Group'!O62</f>
        <v>3832250</v>
      </c>
      <c r="AJ55" s="145">
        <f>'Used Vehicles - Group'!P62</f>
        <v>4306250</v>
      </c>
      <c r="AK55" s="146"/>
      <c r="AL55" s="145">
        <f t="shared" si="23"/>
        <v>49461000</v>
      </c>
      <c r="AM55" s="146"/>
    </row>
    <row r="56" spans="1:41" x14ac:dyDescent="0.25">
      <c r="A56" s="157"/>
      <c r="E56" s="93"/>
      <c r="F56" s="93"/>
      <c r="G56" s="93"/>
      <c r="H56" s="93"/>
      <c r="I56" s="93"/>
      <c r="L56" s="93"/>
      <c r="M56" s="93"/>
      <c r="N56" s="93"/>
      <c r="O56" s="93"/>
      <c r="P56" s="93"/>
      <c r="X56" s="144" t="s">
        <v>113</v>
      </c>
      <c r="Y56" s="145">
        <f>'Parts - Group '!E26</f>
        <v>1429855.7934155795</v>
      </c>
      <c r="Z56" s="145">
        <f>'Parts - Group '!F26</f>
        <v>1624836.1288813401</v>
      </c>
      <c r="AA56" s="145">
        <f>'Parts - Group '!G26</f>
        <v>1332365.625682699</v>
      </c>
      <c r="AB56" s="145">
        <f>'Parts - Group '!H26</f>
        <v>1624836.1288813401</v>
      </c>
      <c r="AC56" s="145">
        <f>'Parts - Group '!I26</f>
        <v>1592339.4063037136</v>
      </c>
      <c r="AD56" s="145">
        <f>'Parts - Group '!J26</f>
        <v>1494849.2385708331</v>
      </c>
      <c r="AE56" s="145">
        <f>'Parts - Group '!K26</f>
        <v>1559842.6837260865</v>
      </c>
      <c r="AF56" s="145">
        <f>'Parts - Group '!L26</f>
        <v>1527345.9611484599</v>
      </c>
      <c r="AG56" s="145">
        <f>'Parts - Group '!M26</f>
        <v>1429855.7934155795</v>
      </c>
      <c r="AH56" s="145">
        <f>'Parts - Group '!N26</f>
        <v>1429855.7934155795</v>
      </c>
      <c r="AI56" s="145">
        <f>'Parts - Group '!O26</f>
        <v>1364862.3482603258</v>
      </c>
      <c r="AJ56" s="145">
        <f>'Parts - Group '!P26</f>
        <v>1527345.9611484599</v>
      </c>
      <c r="AK56" s="146"/>
      <c r="AL56" s="145">
        <f t="shared" si="23"/>
        <v>17938190.862849999</v>
      </c>
      <c r="AM56" s="146"/>
    </row>
    <row r="57" spans="1:41" x14ac:dyDescent="0.25">
      <c r="A57" s="157"/>
      <c r="E57" s="93"/>
      <c r="F57" s="93"/>
      <c r="G57" s="93"/>
      <c r="H57" s="93"/>
      <c r="I57" s="93"/>
      <c r="L57" s="93"/>
      <c r="M57" s="93"/>
      <c r="N57" s="93"/>
      <c r="O57" s="93"/>
      <c r="P57" s="93"/>
      <c r="X57" s="144" t="s">
        <v>967</v>
      </c>
      <c r="Y57" s="145">
        <f>'Service - Group '!E26</f>
        <v>832803.82942246378</v>
      </c>
      <c r="Z57" s="145">
        <f>'Service - Group '!F26</f>
        <v>946367.98798007239</v>
      </c>
      <c r="AA57" s="145">
        <f>'Service - Group '!G26</f>
        <v>776021.75014365942</v>
      </c>
      <c r="AB57" s="145">
        <f>'Service - Group '!H26</f>
        <v>946367.98798007239</v>
      </c>
      <c r="AC57" s="145">
        <f>'Service - Group '!I26</f>
        <v>927440.6282204712</v>
      </c>
      <c r="AD57" s="145">
        <f>'Service - Group '!J26</f>
        <v>870658.54894166673</v>
      </c>
      <c r="AE57" s="145">
        <f>'Service - Group '!K26</f>
        <v>908513.26846086956</v>
      </c>
      <c r="AF57" s="145">
        <f>'Service - Group '!L26</f>
        <v>889585.90870126826</v>
      </c>
      <c r="AG57" s="145">
        <f>'Service - Group '!M26</f>
        <v>832803.82942246378</v>
      </c>
      <c r="AH57" s="145">
        <f>'Service - Group '!N26</f>
        <v>832803.82942246378</v>
      </c>
      <c r="AI57" s="145">
        <f>'Service - Group '!O26</f>
        <v>794949.10990326083</v>
      </c>
      <c r="AJ57" s="145">
        <f>'Service - Group '!P26</f>
        <v>889585.90870126826</v>
      </c>
      <c r="AK57" s="146"/>
      <c r="AL57" s="145">
        <f t="shared" si="23"/>
        <v>10447902.587300003</v>
      </c>
      <c r="AM57" s="146"/>
    </row>
    <row r="58" spans="1:41" x14ac:dyDescent="0.25">
      <c r="A58" s="158"/>
      <c r="E58" s="93"/>
      <c r="F58" s="93"/>
      <c r="G58" s="93"/>
      <c r="H58" s="93"/>
      <c r="I58" s="93"/>
      <c r="L58" s="93"/>
      <c r="M58" s="93"/>
      <c r="N58" s="93"/>
      <c r="O58" s="93"/>
      <c r="P58" s="93"/>
      <c r="R58" s="74"/>
      <c r="X58" s="144" t="s">
        <v>1000</v>
      </c>
      <c r="Y58" s="145">
        <v>33000</v>
      </c>
      <c r="Z58" s="145">
        <v>33000</v>
      </c>
      <c r="AA58" s="145">
        <v>33000</v>
      </c>
      <c r="AB58" s="145">
        <v>33000</v>
      </c>
      <c r="AC58" s="145">
        <v>33000</v>
      </c>
      <c r="AD58" s="145">
        <v>33000</v>
      </c>
      <c r="AE58" s="145">
        <v>33000</v>
      </c>
      <c r="AF58" s="145">
        <v>33000</v>
      </c>
      <c r="AG58" s="145">
        <v>33000</v>
      </c>
      <c r="AH58" s="145">
        <v>33000</v>
      </c>
      <c r="AI58" s="145">
        <v>33000</v>
      </c>
      <c r="AJ58" s="145">
        <v>33000</v>
      </c>
      <c r="AK58" s="146"/>
      <c r="AL58" s="145">
        <f t="shared" si="23"/>
        <v>396000</v>
      </c>
      <c r="AM58" s="146"/>
    </row>
    <row r="59" spans="1:41" x14ac:dyDescent="0.25">
      <c r="A59" s="157"/>
      <c r="E59" s="93"/>
      <c r="F59" s="93"/>
      <c r="G59" s="93"/>
      <c r="H59" s="93"/>
      <c r="I59" s="93"/>
      <c r="L59" s="93"/>
      <c r="M59" s="93"/>
      <c r="N59" s="93"/>
      <c r="O59" s="93"/>
      <c r="P59" s="93"/>
      <c r="X59" s="144" t="s">
        <v>1001</v>
      </c>
      <c r="Y59" s="145">
        <v>25000</v>
      </c>
      <c r="Z59" s="145">
        <v>25000</v>
      </c>
      <c r="AA59" s="145">
        <v>25000</v>
      </c>
      <c r="AB59" s="145">
        <v>25000</v>
      </c>
      <c r="AC59" s="145">
        <v>25000</v>
      </c>
      <c r="AD59" s="145">
        <v>25000</v>
      </c>
      <c r="AE59" s="145">
        <v>25000</v>
      </c>
      <c r="AF59" s="145">
        <v>25000</v>
      </c>
      <c r="AG59" s="145">
        <v>25000</v>
      </c>
      <c r="AH59" s="145">
        <v>25000</v>
      </c>
      <c r="AI59" s="145">
        <v>25000</v>
      </c>
      <c r="AJ59" s="145">
        <v>25000</v>
      </c>
      <c r="AK59" s="146"/>
      <c r="AL59" s="145">
        <f t="shared" si="23"/>
        <v>300000</v>
      </c>
      <c r="AM59" s="146"/>
    </row>
    <row r="60" spans="1:41" x14ac:dyDescent="0.25">
      <c r="A60" s="157"/>
      <c r="E60" s="93"/>
      <c r="F60" s="93"/>
      <c r="G60" s="93"/>
      <c r="H60" s="93"/>
      <c r="I60" s="93"/>
      <c r="L60" s="93"/>
      <c r="M60" s="93"/>
      <c r="N60" s="93"/>
      <c r="O60" s="93"/>
      <c r="P60" s="93"/>
      <c r="X60" s="144"/>
      <c r="Y60" s="144"/>
      <c r="Z60" s="144"/>
      <c r="AA60" s="144"/>
      <c r="AB60" s="144"/>
      <c r="AC60" s="144"/>
      <c r="AD60" s="144"/>
      <c r="AE60" s="144"/>
      <c r="AF60" s="144"/>
      <c r="AG60" s="144"/>
      <c r="AH60" s="144"/>
      <c r="AI60" s="144"/>
      <c r="AJ60" s="144"/>
      <c r="AK60" s="144"/>
      <c r="AL60" s="144"/>
      <c r="AM60" s="146"/>
    </row>
    <row r="61" spans="1:41" ht="15.75" thickBot="1" x14ac:dyDescent="0.3">
      <c r="A61" s="157"/>
      <c r="E61" s="93"/>
      <c r="F61" s="93"/>
      <c r="G61" s="93"/>
      <c r="H61" s="93"/>
      <c r="I61" s="93"/>
      <c r="L61" s="93"/>
      <c r="M61" s="93"/>
      <c r="N61" s="93"/>
      <c r="O61" s="93"/>
      <c r="P61" s="93"/>
      <c r="X61" s="144" t="s">
        <v>1003</v>
      </c>
      <c r="Y61" s="147">
        <f>SUM(Y54:Y60)</f>
        <v>10046909.622838045</v>
      </c>
      <c r="Z61" s="147">
        <f>SUM(Z54:Z60)</f>
        <v>10730454.116861414</v>
      </c>
      <c r="AA61" s="147">
        <f>SUM(AA54:AA60)</f>
        <v>10592637.375826359</v>
      </c>
      <c r="AB61" s="147">
        <f t="shared" ref="AB61:AJ61" si="24">SUM(AB54:AB60)</f>
        <v>10725454.116861414</v>
      </c>
      <c r="AC61" s="147">
        <f t="shared" si="24"/>
        <v>10786530.034524184</v>
      </c>
      <c r="AD61" s="147">
        <f t="shared" si="24"/>
        <v>10744757.7875125</v>
      </c>
      <c r="AE61" s="147">
        <f t="shared" si="24"/>
        <v>10727605.952186957</v>
      </c>
      <c r="AF61" s="147">
        <f t="shared" si="24"/>
        <v>11236181.869849728</v>
      </c>
      <c r="AG61" s="147">
        <f t="shared" si="24"/>
        <v>9921409.6228380445</v>
      </c>
      <c r="AH61" s="147">
        <f t="shared" si="24"/>
        <v>9784909.6228380445</v>
      </c>
      <c r="AI61" s="147">
        <f t="shared" si="24"/>
        <v>9690061.4581635874</v>
      </c>
      <c r="AJ61" s="147">
        <f t="shared" si="24"/>
        <v>11051181.869849728</v>
      </c>
      <c r="AK61" s="147"/>
      <c r="AL61" s="147">
        <f>SUM(AL54:AL60)</f>
        <v>126038093.45015</v>
      </c>
      <c r="AM61" s="146"/>
    </row>
    <row r="62" spans="1:41" ht="15.75" thickTop="1" x14ac:dyDescent="0.25">
      <c r="A62" s="157"/>
      <c r="E62" s="93"/>
      <c r="F62" s="93"/>
      <c r="G62" s="93"/>
      <c r="H62" s="93"/>
      <c r="I62" s="93"/>
      <c r="L62" s="93"/>
      <c r="M62" s="93"/>
      <c r="N62" s="93"/>
      <c r="O62" s="93"/>
      <c r="P62" s="93"/>
      <c r="X62" s="144" t="s">
        <v>1004</v>
      </c>
      <c r="Y62" s="144"/>
      <c r="Z62" s="144"/>
      <c r="AA62" s="148">
        <f>SUM(Y61:AA61)</f>
        <v>31370001.115525819</v>
      </c>
      <c r="AB62" s="144"/>
      <c r="AC62" s="144"/>
      <c r="AD62" s="148">
        <f>SUM(AB61:AD61)</f>
        <v>32256741.938898098</v>
      </c>
      <c r="AE62" s="144"/>
      <c r="AF62" s="144"/>
      <c r="AG62" s="148">
        <f>SUM(AE61:AG61)</f>
        <v>31885197.444874726</v>
      </c>
      <c r="AH62" s="144"/>
      <c r="AI62" s="144"/>
      <c r="AJ62" s="148">
        <f>SUM(AH61:AJ61)</f>
        <v>30526152.950851358</v>
      </c>
      <c r="AK62" s="144"/>
      <c r="AL62" s="144"/>
      <c r="AM62" s="146"/>
    </row>
    <row r="63" spans="1:41" x14ac:dyDescent="0.25">
      <c r="A63" s="157"/>
      <c r="E63" s="93"/>
      <c r="F63" s="93"/>
      <c r="G63" s="93"/>
      <c r="H63" s="93"/>
      <c r="I63" s="93"/>
      <c r="L63" s="93"/>
      <c r="M63" s="93"/>
      <c r="N63" s="93"/>
      <c r="O63" s="93"/>
      <c r="P63" s="93"/>
    </row>
    <row r="64" spans="1:41" x14ac:dyDescent="0.25">
      <c r="A64" s="157"/>
      <c r="E64" s="93"/>
      <c r="F64" s="93"/>
      <c r="G64" s="93"/>
      <c r="H64" s="93"/>
      <c r="I64" s="93"/>
      <c r="L64" s="93"/>
      <c r="M64" s="93"/>
      <c r="N64" s="93"/>
      <c r="O64" s="93"/>
      <c r="P64" s="93"/>
    </row>
    <row r="65" spans="1:18" x14ac:dyDescent="0.25">
      <c r="A65" s="158"/>
      <c r="E65" s="93"/>
      <c r="F65" s="93"/>
      <c r="G65" s="93"/>
      <c r="H65" s="93"/>
      <c r="I65" s="93"/>
      <c r="L65" s="93"/>
      <c r="M65" s="93"/>
      <c r="N65" s="93"/>
      <c r="O65" s="93"/>
      <c r="P65" s="93"/>
      <c r="R65" s="74"/>
    </row>
  </sheetData>
  <mergeCells count="2">
    <mergeCell ref="U1:U2"/>
    <mergeCell ref="AN1:AN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84CE4-71A4-4886-9598-32B2789A6123}">
  <sheetPr>
    <tabColor theme="9" tint="0.79998168889431442"/>
  </sheetPr>
  <dimension ref="A1:AQ66"/>
  <sheetViews>
    <sheetView topLeftCell="P7" zoomScale="85" zoomScaleNormal="85" workbookViewId="0">
      <selection activeCell="Y44" sqref="Y44"/>
    </sheetView>
  </sheetViews>
  <sheetFormatPr defaultColWidth="9.140625" defaultRowHeight="15" outlineLevelRow="1" outlineLevelCol="1" x14ac:dyDescent="0.25"/>
  <cols>
    <col min="1" max="1" width="34.42578125" bestFit="1" customWidth="1"/>
    <col min="2" max="4" width="11.7109375" style="66" hidden="1" customWidth="1" outlineLevel="1"/>
    <col min="5" max="5" width="11.7109375" style="66" customWidth="1" collapsed="1"/>
    <col min="6" max="16" width="11.7109375" style="66" customWidth="1"/>
    <col min="17" max="17" width="2" style="66" customWidth="1"/>
    <col min="18" max="19" width="12.5703125" style="66" customWidth="1"/>
    <col min="20" max="20" width="2" style="66" customWidth="1"/>
    <col min="21" max="21" width="14.140625" style="3" bestFit="1" customWidth="1"/>
    <col min="22" max="23" width="14.140625" style="3" customWidth="1"/>
    <col min="24" max="24" width="12.5703125" style="66" customWidth="1"/>
    <col min="25" max="36" width="11.7109375" style="66" customWidth="1"/>
    <col min="37" max="37" width="2" style="66" customWidth="1"/>
    <col min="38" max="38" width="12.5703125" style="66" customWidth="1"/>
    <col min="39" max="39" width="2" style="66" customWidth="1"/>
    <col min="40" max="40" width="14.140625" style="3" bestFit="1" customWidth="1"/>
    <col min="41" max="43" width="14.140625" style="3" customWidth="1"/>
    <col min="44" max="16384" width="9.140625" style="66"/>
  </cols>
  <sheetData>
    <row r="1" spans="1:43" customFormat="1" ht="30.75" customHeight="1" x14ac:dyDescent="0.25">
      <c r="A1" s="155" t="s">
        <v>950</v>
      </c>
      <c r="B1" s="77">
        <v>44927</v>
      </c>
      <c r="C1" s="77">
        <v>44958</v>
      </c>
      <c r="D1" s="77">
        <v>44986</v>
      </c>
      <c r="E1" s="77">
        <v>45017</v>
      </c>
      <c r="F1" s="77">
        <v>45047</v>
      </c>
      <c r="G1" s="77">
        <v>45078</v>
      </c>
      <c r="H1" s="77">
        <v>45108</v>
      </c>
      <c r="I1" s="77">
        <v>45139</v>
      </c>
      <c r="J1" s="77">
        <v>45170</v>
      </c>
      <c r="K1" s="77">
        <v>45200</v>
      </c>
      <c r="L1" s="77">
        <v>45231</v>
      </c>
      <c r="M1" s="77">
        <v>45261</v>
      </c>
      <c r="N1" s="77">
        <v>45292</v>
      </c>
      <c r="O1" s="77">
        <v>45323</v>
      </c>
      <c r="P1" s="77">
        <v>45352</v>
      </c>
      <c r="Q1" s="78"/>
      <c r="R1" s="77" t="s">
        <v>951</v>
      </c>
      <c r="S1" s="77" t="s">
        <v>951</v>
      </c>
      <c r="T1" s="78"/>
      <c r="U1" s="315" t="s">
        <v>952</v>
      </c>
      <c r="V1" s="86" t="s">
        <v>953</v>
      </c>
      <c r="W1" s="95" t="s">
        <v>954</v>
      </c>
      <c r="X1" s="78"/>
      <c r="Y1" s="77">
        <v>45383</v>
      </c>
      <c r="Z1" s="77">
        <v>45413</v>
      </c>
      <c r="AA1" s="77">
        <v>45444</v>
      </c>
      <c r="AB1" s="77">
        <v>45474</v>
      </c>
      <c r="AC1" s="77">
        <v>45505</v>
      </c>
      <c r="AD1" s="77">
        <v>45536</v>
      </c>
      <c r="AE1" s="77">
        <v>45566</v>
      </c>
      <c r="AF1" s="77">
        <v>45597</v>
      </c>
      <c r="AG1" s="77">
        <v>45627</v>
      </c>
      <c r="AH1" s="77">
        <v>45658</v>
      </c>
      <c r="AI1" s="77">
        <v>45689</v>
      </c>
      <c r="AJ1" s="77">
        <v>45717</v>
      </c>
      <c r="AK1" s="78"/>
      <c r="AL1" s="77" t="s">
        <v>955</v>
      </c>
      <c r="AM1" s="78"/>
      <c r="AN1" s="315" t="s">
        <v>952</v>
      </c>
      <c r="AO1" s="86" t="s">
        <v>956</v>
      </c>
      <c r="AP1" s="89" t="s">
        <v>957</v>
      </c>
      <c r="AQ1" s="95" t="s">
        <v>954</v>
      </c>
    </row>
    <row r="2" spans="1:43" customFormat="1" ht="30.75" customHeight="1" x14ac:dyDescent="0.25">
      <c r="A2" s="4"/>
      <c r="B2" s="77" t="s">
        <v>958</v>
      </c>
      <c r="C2" s="77" t="s">
        <v>958</v>
      </c>
      <c r="D2" s="77" t="s">
        <v>958</v>
      </c>
      <c r="E2" s="77" t="s">
        <v>958</v>
      </c>
      <c r="F2" s="77" t="s">
        <v>958</v>
      </c>
      <c r="G2" s="77" t="s">
        <v>958</v>
      </c>
      <c r="H2" s="77" t="s">
        <v>958</v>
      </c>
      <c r="I2" s="77" t="s">
        <v>958</v>
      </c>
      <c r="J2" s="77" t="s">
        <v>958</v>
      </c>
      <c r="K2" s="77" t="s">
        <v>958</v>
      </c>
      <c r="L2" s="77" t="s">
        <v>958</v>
      </c>
      <c r="M2" s="77" t="s">
        <v>958</v>
      </c>
      <c r="N2" s="77" t="s">
        <v>958</v>
      </c>
      <c r="O2" s="77" t="s">
        <v>958</v>
      </c>
      <c r="P2" s="77" t="s">
        <v>958</v>
      </c>
      <c r="Q2" s="78"/>
      <c r="R2" s="77" t="s">
        <v>960</v>
      </c>
      <c r="S2" s="77" t="s">
        <v>961</v>
      </c>
      <c r="T2" s="78"/>
      <c r="U2" s="315"/>
      <c r="V2" s="86" t="s">
        <v>962</v>
      </c>
      <c r="W2" s="96"/>
      <c r="X2" s="78"/>
      <c r="Y2" s="77" t="s">
        <v>959</v>
      </c>
      <c r="Z2" s="77" t="s">
        <v>959</v>
      </c>
      <c r="AA2" s="77" t="s">
        <v>959</v>
      </c>
      <c r="AB2" s="77" t="s">
        <v>959</v>
      </c>
      <c r="AC2" s="77" t="s">
        <v>959</v>
      </c>
      <c r="AD2" s="77" t="s">
        <v>959</v>
      </c>
      <c r="AE2" s="77" t="s">
        <v>959</v>
      </c>
      <c r="AF2" s="77" t="s">
        <v>959</v>
      </c>
      <c r="AG2" s="77" t="s">
        <v>959</v>
      </c>
      <c r="AH2" s="77" t="s">
        <v>959</v>
      </c>
      <c r="AI2" s="77" t="s">
        <v>959</v>
      </c>
      <c r="AJ2" s="77" t="s">
        <v>959</v>
      </c>
      <c r="AK2" s="78"/>
      <c r="AL2" s="77" t="s">
        <v>961</v>
      </c>
      <c r="AM2" s="78"/>
      <c r="AN2" s="315"/>
      <c r="AO2" s="86" t="s">
        <v>962</v>
      </c>
      <c r="AP2" s="90"/>
      <c r="AQ2" s="96"/>
    </row>
    <row r="3" spans="1:43" x14ac:dyDescent="0.25">
      <c r="A3" s="158" t="s">
        <v>974</v>
      </c>
      <c r="B3" s="67"/>
      <c r="C3" s="67"/>
      <c r="D3" s="67"/>
      <c r="E3" s="67"/>
      <c r="F3" s="67"/>
      <c r="G3" s="67"/>
      <c r="H3" s="67"/>
      <c r="I3" s="67"/>
      <c r="J3" s="67"/>
      <c r="K3" s="67"/>
      <c r="L3" s="67"/>
      <c r="M3" s="67"/>
      <c r="N3" s="67"/>
      <c r="O3" s="67"/>
      <c r="P3" s="67"/>
      <c r="R3" s="67"/>
      <c r="S3" s="67"/>
      <c r="U3" s="80"/>
      <c r="V3" s="88"/>
      <c r="W3" s="97"/>
      <c r="Y3" s="71"/>
      <c r="Z3" s="71"/>
      <c r="AA3" s="71"/>
      <c r="AB3" s="71"/>
      <c r="AC3" s="71"/>
      <c r="AD3" s="71"/>
      <c r="AE3" s="71"/>
      <c r="AF3" s="71"/>
      <c r="AG3" s="71"/>
      <c r="AH3" s="71"/>
      <c r="AI3" s="71"/>
      <c r="AJ3" s="71"/>
      <c r="AL3" s="67"/>
      <c r="AN3" s="80"/>
      <c r="AO3" s="88"/>
      <c r="AP3" s="91"/>
      <c r="AQ3" s="97"/>
    </row>
    <row r="4" spans="1:43" x14ac:dyDescent="0.25">
      <c r="A4" s="157" t="s">
        <v>964</v>
      </c>
      <c r="B4" s="67">
        <f>'LEX - New Vehicles'!B15</f>
        <v>95147.950000000041</v>
      </c>
      <c r="C4" s="67">
        <f>'LEX - New Vehicles'!C15</f>
        <v>95751.080000000104</v>
      </c>
      <c r="D4" s="67">
        <f>'LEX - New Vehicles'!D15</f>
        <v>306383.74000000011</v>
      </c>
      <c r="E4" s="67">
        <f>'LEX - New Vehicles'!E15</f>
        <v>310228.49999999988</v>
      </c>
      <c r="F4" s="67">
        <f>'LEX - New Vehicles'!F15</f>
        <v>381621.29000000039</v>
      </c>
      <c r="G4" s="67">
        <f>'LEX - New Vehicles'!G15</f>
        <v>334195.52999999933</v>
      </c>
      <c r="H4" s="67">
        <f>'LEX - New Vehicles'!H15</f>
        <v>251749.79</v>
      </c>
      <c r="I4" s="67">
        <f>'LEX - New Vehicles'!I15</f>
        <v>375282.86000000092</v>
      </c>
      <c r="J4" s="67">
        <f>'LEX - New Vehicles'!J15</f>
        <v>326939.80000000005</v>
      </c>
      <c r="K4" s="67">
        <f>'LEX - New Vehicles'!K15</f>
        <v>271223.74999999965</v>
      </c>
      <c r="L4" s="67">
        <f>'LEX - New Vehicles'!L15</f>
        <v>291224.08999999939</v>
      </c>
      <c r="M4" s="67">
        <f>'LEX - New Vehicles'!M15</f>
        <v>223009.77000000019</v>
      </c>
      <c r="N4" s="67">
        <f>'LEX - New Vehicles'!N15</f>
        <v>254553.79999999981</v>
      </c>
      <c r="O4" s="67">
        <f>'LEX - New Vehicles'!O15</f>
        <v>232349.7100000002</v>
      </c>
      <c r="P4" s="67">
        <f>'LEX - New Vehicles'!P15</f>
        <v>283481.67999999912</v>
      </c>
      <c r="R4" s="69">
        <f t="shared" ref="R4:R30" si="0">SUM(B4:M4)</f>
        <v>3262758.15</v>
      </c>
      <c r="S4" s="69">
        <f>SUM(E4:P4)</f>
        <v>3535860.5699999989</v>
      </c>
      <c r="U4" s="80">
        <v>0.33</v>
      </c>
      <c r="V4" s="88">
        <f>R4/($R$11-$R$6-$R$9-$R$10)</f>
        <v>0.68102052865533225</v>
      </c>
      <c r="W4" s="97"/>
      <c r="Y4" s="71">
        <f>'LEX - New Vehicles'!E34</f>
        <v>266000</v>
      </c>
      <c r="Z4" s="71">
        <f>'LEX - New Vehicles'!F34</f>
        <v>266000</v>
      </c>
      <c r="AA4" s="71">
        <f>'LEX - New Vehicles'!G34</f>
        <v>330260</v>
      </c>
      <c r="AB4" s="71">
        <f>'LEX - New Vehicles'!H34</f>
        <v>266000</v>
      </c>
      <c r="AC4" s="71">
        <f>'LEX - New Vehicles'!I34</f>
        <v>266000</v>
      </c>
      <c r="AD4" s="71">
        <f>'LEX - New Vehicles'!J34</f>
        <v>330260</v>
      </c>
      <c r="AE4" s="71">
        <f>'LEX - New Vehicles'!K34</f>
        <v>266000</v>
      </c>
      <c r="AF4" s="71">
        <f>'LEX - New Vehicles'!L34</f>
        <v>266000</v>
      </c>
      <c r="AG4" s="71">
        <f>'LEX - New Vehicles'!M34</f>
        <v>330260</v>
      </c>
      <c r="AH4" s="71">
        <f>'LEX - New Vehicles'!N34</f>
        <v>247000</v>
      </c>
      <c r="AI4" s="71">
        <f>'LEX - New Vehicles'!O34</f>
        <v>247000</v>
      </c>
      <c r="AJ4" s="71">
        <f>'LEX - New Vehicles'!P34</f>
        <v>357995</v>
      </c>
      <c r="AL4" s="69">
        <f>SUM(Y4:AJ4)</f>
        <v>3438775</v>
      </c>
      <c r="AN4" s="80">
        <v>0.33</v>
      </c>
      <c r="AO4" s="88">
        <f>AL4/($AL$11-$AL$6-$AL$9-$AL$10)</f>
        <v>0.65200208299481055</v>
      </c>
      <c r="AP4" s="91"/>
      <c r="AQ4" s="97"/>
    </row>
    <row r="5" spans="1:43" x14ac:dyDescent="0.25">
      <c r="A5" s="157" t="s">
        <v>965</v>
      </c>
      <c r="B5" s="67">
        <f>'LEX - Used Vehicles'!B17</f>
        <v>31917.690000000002</v>
      </c>
      <c r="C5" s="67">
        <f>'LEX - Used Vehicles'!C17</f>
        <v>33290.280000000028</v>
      </c>
      <c r="D5" s="67">
        <f>'LEX - Used Vehicles'!D17</f>
        <v>59021.59000000004</v>
      </c>
      <c r="E5" s="67">
        <f>'LEX - Used Vehicles'!E17</f>
        <v>25739.99000000002</v>
      </c>
      <c r="F5" s="67">
        <f>'LEX - Used Vehicles'!F17</f>
        <v>79470.95000000007</v>
      </c>
      <c r="G5" s="67">
        <f>'LEX - Used Vehicles'!G17</f>
        <v>79109.539999999979</v>
      </c>
      <c r="H5" s="67">
        <f>'LEX - Used Vehicles'!H17</f>
        <v>66436.750000000087</v>
      </c>
      <c r="I5" s="67">
        <f>'LEX - Used Vehicles'!I17</f>
        <v>87480.550000000017</v>
      </c>
      <c r="J5" s="67">
        <f>'LEX - Used Vehicles'!J17</f>
        <v>98044.829999999929</v>
      </c>
      <c r="K5" s="67">
        <f>'LEX - Used Vehicles'!K17</f>
        <v>54378.619999999995</v>
      </c>
      <c r="L5" s="67">
        <f>'LEX - Used Vehicles'!L17</f>
        <v>33464.339999999967</v>
      </c>
      <c r="M5" s="67">
        <f>'LEX - Used Vehicles'!M17</f>
        <v>29929.380000000016</v>
      </c>
      <c r="N5" s="67">
        <f>'LEX - Used Vehicles'!N17</f>
        <v>26353.47</v>
      </c>
      <c r="O5" s="67">
        <f>'LEX - Used Vehicles'!O17</f>
        <v>66397.97000000003</v>
      </c>
      <c r="P5" s="67">
        <f>'LEX - Used Vehicles'!P17</f>
        <v>33072.229999999974</v>
      </c>
      <c r="R5" s="69">
        <f t="shared" si="0"/>
        <v>678284.51000000024</v>
      </c>
      <c r="S5" s="69">
        <f t="shared" ref="S5:S30" si="1">SUM(E5:P5)</f>
        <v>679878.62000000011</v>
      </c>
      <c r="U5" s="80">
        <v>0.25</v>
      </c>
      <c r="V5" s="88">
        <f>R5/($R$11-$R$6-$R$9-$R$10)</f>
        <v>0.14157521162851841</v>
      </c>
      <c r="W5" s="97"/>
      <c r="Y5" s="71">
        <f>'LEX - Used Vehicles'!E38</f>
        <v>65000</v>
      </c>
      <c r="Z5" s="71">
        <f>'LEX - Used Vehicles'!F38</f>
        <v>65000</v>
      </c>
      <c r="AA5" s="71">
        <f>'LEX - Used Vehicles'!G38</f>
        <v>86420</v>
      </c>
      <c r="AB5" s="71">
        <f>'LEX - Used Vehicles'!H38</f>
        <v>65000</v>
      </c>
      <c r="AC5" s="71">
        <f>'LEX - Used Vehicles'!I38</f>
        <v>65000</v>
      </c>
      <c r="AD5" s="71">
        <f>'LEX - Used Vehicles'!J38</f>
        <v>86420</v>
      </c>
      <c r="AE5" s="71">
        <f>'LEX - Used Vehicles'!K38</f>
        <v>65000</v>
      </c>
      <c r="AF5" s="71">
        <f>'LEX - Used Vehicles'!L38</f>
        <v>65000</v>
      </c>
      <c r="AG5" s="71">
        <f>'LEX - Used Vehicles'!M38</f>
        <v>86420</v>
      </c>
      <c r="AH5" s="71">
        <f>'LEX - Used Vehicles'!N38</f>
        <v>65000</v>
      </c>
      <c r="AI5" s="71">
        <f>'LEX - Used Vehicles'!O38</f>
        <v>65000</v>
      </c>
      <c r="AJ5" s="71">
        <f>'LEX - Used Vehicles'!P38</f>
        <v>86165</v>
      </c>
      <c r="AL5" s="69">
        <f t="shared" ref="AL5:AL10" si="2">SUM(Y5:AJ5)</f>
        <v>865425</v>
      </c>
      <c r="AN5" s="80">
        <v>0.25</v>
      </c>
      <c r="AO5" s="88">
        <f>AL5/($AL$11-$AL$6-$AL$9-$AL$10)</f>
        <v>0.164087182986902</v>
      </c>
      <c r="AP5" s="91"/>
      <c r="AQ5" s="97"/>
    </row>
    <row r="6" spans="1:43" x14ac:dyDescent="0.25">
      <c r="A6" s="157" t="s">
        <v>966</v>
      </c>
      <c r="B6" s="69">
        <f>'LEX - F&amp;I'!B12</f>
        <v>-1615.38</v>
      </c>
      <c r="C6" s="69">
        <f>'LEX - F&amp;I'!C12</f>
        <v>15810.419999999998</v>
      </c>
      <c r="D6" s="69">
        <f>'LEX - F&amp;I'!D12</f>
        <v>27934.000000000004</v>
      </c>
      <c r="E6" s="69">
        <f>'LEX - F&amp;I'!E12</f>
        <v>36967.229999999996</v>
      </c>
      <c r="F6" s="69">
        <f>'LEX - F&amp;I'!F12</f>
        <v>58388.67</v>
      </c>
      <c r="G6" s="69">
        <f>'LEX - F&amp;I'!G12</f>
        <v>62990.33</v>
      </c>
      <c r="H6" s="69">
        <f>'LEX - F&amp;I'!H12</f>
        <v>27349.09</v>
      </c>
      <c r="I6" s="69">
        <f>'LEX - F&amp;I'!I12</f>
        <v>41186.06</v>
      </c>
      <c r="J6" s="69">
        <f>'LEX - F&amp;I'!J12</f>
        <v>52189.520000000004</v>
      </c>
      <c r="K6" s="69">
        <f>'LEX - F&amp;I'!K12</f>
        <v>48511.18</v>
      </c>
      <c r="L6" s="69">
        <f>'LEX - F&amp;I'!L12</f>
        <v>24839.260000000002</v>
      </c>
      <c r="M6" s="69">
        <f>'LEX - F&amp;I'!M12</f>
        <v>44854.78</v>
      </c>
      <c r="N6" s="69">
        <f>'LEX - F&amp;I'!N12</f>
        <v>27288.48</v>
      </c>
      <c r="O6" s="69">
        <f>'LEX - F&amp;I'!O12</f>
        <v>21811.52</v>
      </c>
      <c r="P6" s="69">
        <f>'LEX - F&amp;I'!P12</f>
        <v>61347.42</v>
      </c>
      <c r="R6" s="69">
        <f t="shared" si="0"/>
        <v>439405.16000000003</v>
      </c>
      <c r="S6" s="69">
        <f t="shared" si="1"/>
        <v>507723.54</v>
      </c>
      <c r="U6" s="80">
        <v>7.0000000000000007E-2</v>
      </c>
      <c r="V6" s="88">
        <f>R6/$R$11</f>
        <v>6.5999472208689125E-2</v>
      </c>
      <c r="W6" s="97"/>
      <c r="Y6" s="138">
        <f>'LEX - F&amp;I'!E28</f>
        <v>34950.51619277108</v>
      </c>
      <c r="Z6" s="138">
        <f>'LEX - F&amp;I'!F28</f>
        <v>34950.51619277108</v>
      </c>
      <c r="AA6" s="138">
        <f>'LEX - F&amp;I'!G28</f>
        <v>70650.516192771087</v>
      </c>
      <c r="AB6" s="138">
        <f>'LEX - F&amp;I'!H28</f>
        <v>34950.51619277108</v>
      </c>
      <c r="AC6" s="138">
        <f>'LEX - F&amp;I'!I28</f>
        <v>34950.51619277108</v>
      </c>
      <c r="AD6" s="138">
        <f>'LEX - F&amp;I'!J28</f>
        <v>70650.516192771087</v>
      </c>
      <c r="AE6" s="138">
        <f>'LEX - F&amp;I'!K28</f>
        <v>34950.51619277108</v>
      </c>
      <c r="AF6" s="138">
        <f>'LEX - F&amp;I'!L28</f>
        <v>34950.51619277108</v>
      </c>
      <c r="AG6" s="138">
        <f>'LEX - F&amp;I'!M28</f>
        <v>70650.516192771087</v>
      </c>
      <c r="AH6" s="138">
        <f>'LEX - F&amp;I'!N28</f>
        <v>33245.612963855419</v>
      </c>
      <c r="AI6" s="138">
        <f>'LEX - F&amp;I'!O28</f>
        <v>33245.612963855419</v>
      </c>
      <c r="AJ6" s="138">
        <f>'LEX - F&amp;I'!P28</f>
        <v>72782.871036144585</v>
      </c>
      <c r="AL6" s="69">
        <f t="shared" si="2"/>
        <v>560928.74269879528</v>
      </c>
      <c r="AN6" s="80">
        <v>7.0000000000000007E-2</v>
      </c>
      <c r="AO6" s="88">
        <f>AL6/$AL$11</f>
        <v>7.4996478828651153E-2</v>
      </c>
      <c r="AP6" s="91"/>
      <c r="AQ6" s="97"/>
    </row>
    <row r="7" spans="1:43" x14ac:dyDescent="0.25">
      <c r="A7" s="157" t="s">
        <v>113</v>
      </c>
      <c r="B7" s="66">
        <f>'LEX - Parts'!B9</f>
        <v>4466</v>
      </c>
      <c r="C7" s="66">
        <f>'LEX - Parts'!C9</f>
        <v>4466</v>
      </c>
      <c r="D7" s="66">
        <f>'LEX - Parts'!D9</f>
        <v>21161.66</v>
      </c>
      <c r="E7" s="66">
        <f>'LEX - Parts'!E9</f>
        <v>3237</v>
      </c>
      <c r="F7" s="66">
        <f>'LEX - Parts'!F9</f>
        <v>3237</v>
      </c>
      <c r="G7" s="66">
        <f>'LEX - Parts'!G9</f>
        <v>4203</v>
      </c>
      <c r="H7" s="66">
        <f>'LEX - Parts'!H9</f>
        <v>3916</v>
      </c>
      <c r="I7" s="66">
        <f>'LEX - Parts'!I9</f>
        <v>4810</v>
      </c>
      <c r="J7" s="66">
        <f>'LEX - Parts'!J9</f>
        <v>4643</v>
      </c>
      <c r="K7" s="66">
        <f>'LEX - Parts'!K9</f>
        <v>6709.8099999999977</v>
      </c>
      <c r="L7" s="66">
        <f>'LEX - Parts'!L9</f>
        <v>9066.75</v>
      </c>
      <c r="M7" s="66">
        <f>'LEX - Parts'!M9</f>
        <v>7483.0400000000009</v>
      </c>
      <c r="N7" s="66">
        <f>'LEX - Parts'!N9</f>
        <v>7783.4500000000007</v>
      </c>
      <c r="O7" s="66">
        <f>'LEX - Parts'!O9</f>
        <v>7781.1599999999989</v>
      </c>
      <c r="P7" s="66">
        <f>'LEX - Parts'!P9</f>
        <v>5687.6299999999992</v>
      </c>
      <c r="R7" s="69">
        <f t="shared" si="0"/>
        <v>77399.260000000009</v>
      </c>
      <c r="S7" s="69">
        <f t="shared" si="1"/>
        <v>68557.84</v>
      </c>
      <c r="U7" s="80">
        <v>0.14000000000000001</v>
      </c>
      <c r="V7" s="88">
        <f>R7/($R$11-$R$6-$R$9-$R$10)</f>
        <v>1.6155192183867972E-2</v>
      </c>
      <c r="W7" s="97"/>
      <c r="Y7" s="66">
        <f>'LEX - Parts'!E22+'LEX - Parts'!E21</f>
        <v>5705.1491671964086</v>
      </c>
      <c r="Z7" s="66">
        <f>'LEX - Parts'!F22+'LEX - Parts'!F21</f>
        <v>6483.1240536322821</v>
      </c>
      <c r="AA7" s="66">
        <f>'LEX - Parts'!G22+'LEX - Parts'!G21</f>
        <v>26736.161723978472</v>
      </c>
      <c r="AB7" s="66">
        <f>'LEX - Parts'!H22+'LEX - Parts'!H21</f>
        <v>6483.1240536322821</v>
      </c>
      <c r="AC7" s="66">
        <f>'LEX - Parts'!I22+'LEX - Parts'!I21</f>
        <v>6353.4615725596359</v>
      </c>
      <c r="AD7" s="66">
        <f>'LEX - Parts'!J22+'LEX - Parts'!J21</f>
        <v>27384.474129341699</v>
      </c>
      <c r="AE7" s="66">
        <f>'LEX - Parts'!K22+'LEX - Parts'!K21</f>
        <v>6223.7990914869906</v>
      </c>
      <c r="AF7" s="66">
        <f>'LEX - Parts'!L22+'LEX - Parts'!L21</f>
        <v>6094.1366104143463</v>
      </c>
      <c r="AG7" s="66">
        <f>'LEX - Parts'!M22+'LEX - Parts'!M21</f>
        <v>27125.14916719641</v>
      </c>
      <c r="AH7" s="66">
        <f>'LEX - Parts'!N22+'LEX - Parts'!N21</f>
        <v>5705.1491671964086</v>
      </c>
      <c r="AI7" s="66">
        <f>'LEX - Parts'!O22+'LEX - Parts'!O21</f>
        <v>5445.8242050511162</v>
      </c>
      <c r="AJ7" s="66">
        <f>'LEX - Parts'!P22+'LEX - Parts'!P21</f>
        <v>27259.136610414345</v>
      </c>
      <c r="AL7" s="69">
        <f t="shared" si="2"/>
        <v>156998.6895521004</v>
      </c>
      <c r="AN7" s="80">
        <v>0.14000000000000001</v>
      </c>
      <c r="AO7" s="88">
        <f>AL7/($AL$11-$AL$6-$AL$9-$AL$10)</f>
        <v>2.9767423752768085E-2</v>
      </c>
      <c r="AP7" s="91"/>
      <c r="AQ7" s="97"/>
    </row>
    <row r="8" spans="1:43" x14ac:dyDescent="0.25">
      <c r="A8" s="157" t="s">
        <v>967</v>
      </c>
      <c r="B8" s="73">
        <f>'LEX - Service'!B16</f>
        <v>39272.159999999996</v>
      </c>
      <c r="C8" s="73">
        <f>'LEX - Service'!C16</f>
        <v>32732.649999999994</v>
      </c>
      <c r="D8" s="73">
        <f>'LEX - Service'!D16</f>
        <v>121206.96000000002</v>
      </c>
      <c r="E8" s="73">
        <f>'LEX - Service'!E16</f>
        <v>58246.039999999994</v>
      </c>
      <c r="F8" s="73">
        <f>'LEX - Service'!F16</f>
        <v>88113.76999999999</v>
      </c>
      <c r="G8" s="73">
        <f>'LEX - Service'!G16</f>
        <v>61767.519999999997</v>
      </c>
      <c r="H8" s="73">
        <f>'LEX - Service'!H16</f>
        <v>63612.799999999988</v>
      </c>
      <c r="I8" s="73">
        <f>'LEX - Service'!I16</f>
        <v>68618.570000000007</v>
      </c>
      <c r="J8" s="73">
        <f>'LEX - Service'!J16</f>
        <v>59284.109999999993</v>
      </c>
      <c r="K8" s="73">
        <f>'LEX - Service'!K16</f>
        <v>55689.82</v>
      </c>
      <c r="L8" s="73">
        <f>'LEX - Service'!L16</f>
        <v>65348.270000000004</v>
      </c>
      <c r="M8" s="73">
        <f>'LEX - Service'!M16</f>
        <v>58648.959999999992</v>
      </c>
      <c r="N8" s="73">
        <f>'LEX - Service'!N16</f>
        <v>50442.150000000009</v>
      </c>
      <c r="O8" s="73">
        <f>'LEX - Service'!O16</f>
        <v>51306.57</v>
      </c>
      <c r="P8" s="73">
        <f>'LEX - Service'!P16</f>
        <v>64458.93</v>
      </c>
      <c r="R8" s="69">
        <f t="shared" si="0"/>
        <v>772541.62999999989</v>
      </c>
      <c r="S8" s="69">
        <f t="shared" si="1"/>
        <v>745537.51</v>
      </c>
      <c r="U8" s="80">
        <v>0.28000000000000003</v>
      </c>
      <c r="V8" s="88">
        <f>R8/($R$11-$R$6-$R$9-$R$10)</f>
        <v>0.16124906753228158</v>
      </c>
      <c r="W8" s="97"/>
      <c r="Y8" s="70">
        <f>'LEX - Service'!E36</f>
        <v>64802.693513763319</v>
      </c>
      <c r="Z8" s="70">
        <f>'LEX - Service'!F36</f>
        <v>73639.42444745831</v>
      </c>
      <c r="AA8" s="70">
        <f>'LEX - Service'!G36</f>
        <v>60384.32804691582</v>
      </c>
      <c r="AB8" s="70">
        <f>'LEX - Service'!H36</f>
        <v>73639.42444745831</v>
      </c>
      <c r="AC8" s="70">
        <f>'LEX - Service'!I36</f>
        <v>72166.635958509156</v>
      </c>
      <c r="AD8" s="70">
        <f>'LEX - Service'!J36</f>
        <v>67748.270491661649</v>
      </c>
      <c r="AE8" s="70">
        <f>'LEX - Service'!K36</f>
        <v>70693.847469559973</v>
      </c>
      <c r="AF8" s="70">
        <f>'LEX - Service'!L36</f>
        <v>69221.058980610833</v>
      </c>
      <c r="AG8" s="70">
        <f>'LEX - Service'!M36</f>
        <v>64802.693513763319</v>
      </c>
      <c r="AH8" s="70">
        <f>'LEX - Service'!N36</f>
        <v>64802.693513763319</v>
      </c>
      <c r="AI8" s="70">
        <f>'LEX - Service'!O36</f>
        <v>61857.116535864989</v>
      </c>
      <c r="AJ8" s="70">
        <f>'LEX - Service'!P36</f>
        <v>69221.058980610833</v>
      </c>
      <c r="AL8" s="69">
        <f t="shared" si="2"/>
        <v>812979.24589993991</v>
      </c>
      <c r="AN8" s="80">
        <v>0.28000000000000003</v>
      </c>
      <c r="AO8" s="88">
        <f>AL8/($AL$11-$AL$6-$AL$9-$AL$10)</f>
        <v>0.15414331026551931</v>
      </c>
      <c r="AP8" s="91"/>
      <c r="AQ8" s="97"/>
    </row>
    <row r="9" spans="1:43" x14ac:dyDescent="0.25">
      <c r="A9" s="157" t="s">
        <v>975</v>
      </c>
      <c r="B9" s="73">
        <f>'Bridgestone Group'!B10</f>
        <v>68606.329999999987</v>
      </c>
      <c r="C9" s="73">
        <f>'Bridgestone Group'!C10</f>
        <v>73858.100000000006</v>
      </c>
      <c r="D9" s="73">
        <f>'Bridgestone Group'!D10</f>
        <v>120541.18</v>
      </c>
      <c r="E9" s="73">
        <f>'Bridgestone Group'!E10</f>
        <v>71259.270000000019</v>
      </c>
      <c r="F9" s="73">
        <f>'Bridgestone Group'!F10</f>
        <v>99432.169999999984</v>
      </c>
      <c r="G9" s="73">
        <f>'Bridgestone Group'!G10</f>
        <v>90339.969999999987</v>
      </c>
      <c r="H9" s="73">
        <f>'Bridgestone Group'!H10</f>
        <v>94891.56</v>
      </c>
      <c r="I9" s="73">
        <f>'Bridgestone Group'!I10</f>
        <v>96009.540000000008</v>
      </c>
      <c r="J9" s="73">
        <f>'Bridgestone Group'!J10</f>
        <v>95237.450000000012</v>
      </c>
      <c r="K9" s="73">
        <f>'Bridgestone Group'!K10</f>
        <v>89421.35</v>
      </c>
      <c r="L9" s="73">
        <f>'Bridgestone Group'!L10</f>
        <v>108574.36</v>
      </c>
      <c r="M9" s="73">
        <f>'Bridgestone Group'!M10</f>
        <v>94417.919999999998</v>
      </c>
      <c r="N9" s="73">
        <f>'Bridgestone Group'!N10</f>
        <v>95206.099999999991</v>
      </c>
      <c r="O9" s="73">
        <f>'Bridgestone Group'!O10</f>
        <v>84503.669999999984</v>
      </c>
      <c r="P9" s="73">
        <f>'Bridgestone Group'!P10</f>
        <v>93482.450000000012</v>
      </c>
      <c r="R9" s="69">
        <f t="shared" si="0"/>
        <v>1102589.2</v>
      </c>
      <c r="S9" s="69">
        <f t="shared" si="1"/>
        <v>1112775.8099999998</v>
      </c>
      <c r="U9" s="80"/>
      <c r="V9" s="88">
        <f>R9/$R$11</f>
        <v>0.16561094836255624</v>
      </c>
      <c r="W9" s="97"/>
      <c r="Y9" s="66">
        <f>'Bridgestone Group'!E24</f>
        <v>67968.757580634148</v>
      </c>
      <c r="Z9" s="66">
        <f>'Bridgestone Group'!F24</f>
        <v>82914.114696958568</v>
      </c>
      <c r="AA9" s="66">
        <f>'Bridgestone Group'!G24</f>
        <v>79656.67885491511</v>
      </c>
      <c r="AB9" s="66">
        <f>'Bridgestone Group'!H24</f>
        <v>87167.026431821985</v>
      </c>
      <c r="AC9" s="66">
        <f>'Bridgestone Group'!I24</f>
        <v>99551.209988998598</v>
      </c>
      <c r="AD9" s="66">
        <f>'Bridgestone Group'!J24</f>
        <v>99916.836934537598</v>
      </c>
      <c r="AE9" s="66">
        <f>'Bridgestone Group'!K24</f>
        <v>100387.4387046234</v>
      </c>
      <c r="AF9" s="66">
        <f>'Bridgestone Group'!L24</f>
        <v>109829.11089339707</v>
      </c>
      <c r="AG9" s="66">
        <f>'Bridgestone Group'!M24</f>
        <v>100718.0740419801</v>
      </c>
      <c r="AH9" s="66">
        <f>'Bridgestone Group'!N24</f>
        <v>97513.12561221006</v>
      </c>
      <c r="AI9" s="66">
        <f>'Bridgestone Group'!O24</f>
        <v>83787.119961140546</v>
      </c>
      <c r="AJ9" s="66">
        <f>'Bridgestone Group'!P24</f>
        <v>111030.96655456083</v>
      </c>
      <c r="AL9" s="69">
        <f t="shared" si="2"/>
        <v>1120440.4602557779</v>
      </c>
      <c r="AN9" s="80"/>
      <c r="AO9" s="88">
        <f>AL9/$AL$11</f>
        <v>0.14980350062299824</v>
      </c>
      <c r="AP9" s="91"/>
      <c r="AQ9" s="97"/>
    </row>
    <row r="10" spans="1:43" x14ac:dyDescent="0.25">
      <c r="A10" s="157" t="s">
        <v>976</v>
      </c>
      <c r="B10" s="73">
        <f>'Retail Detailing'!B11</f>
        <v>13406.01</v>
      </c>
      <c r="C10" s="73">
        <f>'Retail Detailing'!C11</f>
        <v>5969.2900000000009</v>
      </c>
      <c r="D10" s="73">
        <f>'Retail Detailing'!D11</f>
        <v>9669.56</v>
      </c>
      <c r="E10" s="73">
        <f>'Retail Detailing'!E11</f>
        <v>11016.48</v>
      </c>
      <c r="F10" s="73">
        <f>'Retail Detailing'!F11</f>
        <v>22140.660000000003</v>
      </c>
      <c r="G10" s="73">
        <f>'Retail Detailing'!G11</f>
        <v>22716.809999999998</v>
      </c>
      <c r="H10" s="73">
        <f>'Retail Detailing'!H11</f>
        <v>31513.950000000004</v>
      </c>
      <c r="I10" s="73">
        <f>'Retail Detailing'!I11</f>
        <v>44750.28</v>
      </c>
      <c r="J10" s="73">
        <f>'Retail Detailing'!J11</f>
        <v>43975.44</v>
      </c>
      <c r="K10" s="73">
        <f>'Retail Detailing'!K11</f>
        <v>42367.37</v>
      </c>
      <c r="L10" s="73">
        <f>'Retail Detailing'!L11</f>
        <v>47083.969999999994</v>
      </c>
      <c r="M10" s="73">
        <f>'Retail Detailing'!M11</f>
        <v>30119.45</v>
      </c>
      <c r="N10" s="73">
        <f>'Retail Detailing'!N11</f>
        <v>27557.989999999998</v>
      </c>
      <c r="O10" s="73">
        <f>'Retail Detailing'!O11</f>
        <v>34030.450000000004</v>
      </c>
      <c r="P10" s="73">
        <f>'Retail Detailing'!P11</f>
        <v>30603.61</v>
      </c>
      <c r="R10" s="69">
        <f t="shared" si="0"/>
        <v>324729.27</v>
      </c>
      <c r="S10" s="69">
        <f t="shared" si="1"/>
        <v>387876.45999999996</v>
      </c>
      <c r="U10" s="80"/>
      <c r="V10" s="88">
        <f>R10/$R$11</f>
        <v>4.8774940264044483E-2</v>
      </c>
      <c r="W10" s="97"/>
      <c r="Y10" s="70">
        <f>'Retail Detailing'!E26</f>
        <v>43654.492856658413</v>
      </c>
      <c r="Z10" s="70">
        <f>'Retail Detailing'!F26</f>
        <v>43654.492856658413</v>
      </c>
      <c r="AA10" s="70">
        <f>'Retail Detailing'!G26</f>
        <v>43654.492856658413</v>
      </c>
      <c r="AB10" s="70">
        <f>'Retail Detailing'!H26</f>
        <v>43654.492856658413</v>
      </c>
      <c r="AC10" s="70">
        <f>'Retail Detailing'!I26</f>
        <v>43654.492856658413</v>
      </c>
      <c r="AD10" s="70">
        <f>'Retail Detailing'!J26</f>
        <v>43654.492856658413</v>
      </c>
      <c r="AE10" s="70">
        <f>'Retail Detailing'!K26</f>
        <v>43654.492856658413</v>
      </c>
      <c r="AF10" s="70">
        <f>'Retail Detailing'!L26</f>
        <v>43654.492856658413</v>
      </c>
      <c r="AG10" s="70">
        <f>'Retail Detailing'!M26</f>
        <v>43654.492856658413</v>
      </c>
      <c r="AH10" s="70">
        <f>'Retail Detailing'!N26</f>
        <v>43654.492856658413</v>
      </c>
      <c r="AI10" s="70">
        <f>'Retail Detailing'!O26</f>
        <v>43654.492856658413</v>
      </c>
      <c r="AJ10" s="70">
        <f>'Retail Detailing'!P26</f>
        <v>43654.492856658413</v>
      </c>
      <c r="AL10" s="69">
        <f t="shared" si="2"/>
        <v>523853.91427990096</v>
      </c>
      <c r="AN10" s="80"/>
      <c r="AO10" s="88">
        <f>AL10/$AL$11</f>
        <v>7.0039554048480751E-2</v>
      </c>
      <c r="AP10" s="91"/>
      <c r="AQ10" s="97"/>
    </row>
    <row r="11" spans="1:43" x14ac:dyDescent="0.25">
      <c r="A11" s="158" t="s">
        <v>977</v>
      </c>
      <c r="B11" s="68">
        <f>SUM(B4:B10)</f>
        <v>251200.76000000004</v>
      </c>
      <c r="C11" s="68">
        <f>SUM(C4:C10)</f>
        <v>261877.82000000015</v>
      </c>
      <c r="D11" s="68">
        <f>SUM(D4:D10)</f>
        <v>665918.69000000018</v>
      </c>
      <c r="E11" s="68">
        <f>SUM(E4:E10)</f>
        <v>516694.50999999983</v>
      </c>
      <c r="F11" s="68">
        <f t="shared" ref="F11:P11" si="3">SUM(F4:F10)</f>
        <v>732404.51000000036</v>
      </c>
      <c r="G11" s="68">
        <f t="shared" si="3"/>
        <v>655322.69999999925</v>
      </c>
      <c r="H11" s="68">
        <f t="shared" si="3"/>
        <v>539469.94000000006</v>
      </c>
      <c r="I11" s="68">
        <f t="shared" si="3"/>
        <v>718137.86000000103</v>
      </c>
      <c r="J11" s="68">
        <f t="shared" si="3"/>
        <v>680314.14999999991</v>
      </c>
      <c r="K11" s="68">
        <f t="shared" si="3"/>
        <v>568301.89999999967</v>
      </c>
      <c r="L11" s="68">
        <f t="shared" si="3"/>
        <v>579601.03999999934</v>
      </c>
      <c r="M11" s="68">
        <f t="shared" si="3"/>
        <v>488463.30000000016</v>
      </c>
      <c r="N11" s="68">
        <f t="shared" si="3"/>
        <v>489185.43999999977</v>
      </c>
      <c r="O11" s="68">
        <f t="shared" si="3"/>
        <v>498181.05000000022</v>
      </c>
      <c r="P11" s="68">
        <f t="shared" si="3"/>
        <v>572133.94999999914</v>
      </c>
      <c r="R11" s="68">
        <f t="shared" si="0"/>
        <v>6657707.1799999997</v>
      </c>
      <c r="S11" s="68">
        <f t="shared" si="1"/>
        <v>7038210.3499999978</v>
      </c>
      <c r="U11" s="80">
        <f>U4+U5+U7+U8</f>
        <v>1</v>
      </c>
      <c r="V11" s="88"/>
      <c r="W11" s="97"/>
      <c r="Y11" s="72">
        <f t="shared" ref="Y11:AJ11" si="4">SUM(Y4:Y10)</f>
        <v>548081.60931102338</v>
      </c>
      <c r="Z11" s="72">
        <f t="shared" si="4"/>
        <v>572641.67224747862</v>
      </c>
      <c r="AA11" s="72">
        <f t="shared" si="4"/>
        <v>697762.17767523893</v>
      </c>
      <c r="AB11" s="72">
        <f t="shared" si="4"/>
        <v>576894.58398234204</v>
      </c>
      <c r="AC11" s="72">
        <f t="shared" si="4"/>
        <v>587676.31656949688</v>
      </c>
      <c r="AD11" s="72">
        <f t="shared" si="4"/>
        <v>726034.59060497046</v>
      </c>
      <c r="AE11" s="72">
        <f t="shared" si="4"/>
        <v>586910.09431509988</v>
      </c>
      <c r="AF11" s="72">
        <f t="shared" si="4"/>
        <v>594749.31553385186</v>
      </c>
      <c r="AG11" s="72">
        <f t="shared" si="4"/>
        <v>723630.92577236937</v>
      </c>
      <c r="AH11" s="72">
        <f t="shared" si="4"/>
        <v>556921.07411368366</v>
      </c>
      <c r="AI11" s="72">
        <f t="shared" si="4"/>
        <v>539990.16652257054</v>
      </c>
      <c r="AJ11" s="72">
        <f t="shared" si="4"/>
        <v>768108.52603838895</v>
      </c>
      <c r="AL11" s="68">
        <f>SUM(Y11:AJ11)</f>
        <v>7479401.0526865143</v>
      </c>
      <c r="AN11" s="80">
        <f>AN4+AN5+AN7+AN8</f>
        <v>1</v>
      </c>
      <c r="AO11" s="88"/>
      <c r="AP11" s="91"/>
      <c r="AQ11" s="97"/>
    </row>
    <row r="12" spans="1:43" x14ac:dyDescent="0.25">
      <c r="A12" s="158" t="s">
        <v>978</v>
      </c>
      <c r="U12" s="80"/>
      <c r="V12" s="88"/>
      <c r="W12" s="97"/>
      <c r="AN12" s="80"/>
      <c r="AO12" s="88"/>
      <c r="AP12" s="91"/>
      <c r="AQ12" s="97"/>
    </row>
    <row r="13" spans="1:43" x14ac:dyDescent="0.25">
      <c r="A13" s="157" t="s">
        <v>964</v>
      </c>
      <c r="B13" s="66">
        <f>-'LEX - New Vehicles'!B16</f>
        <v>-71688.03</v>
      </c>
      <c r="C13" s="66">
        <f>-'LEX - New Vehicles'!C16</f>
        <v>-37538.829999999994</v>
      </c>
      <c r="D13" s="66">
        <f>-'LEX - New Vehicles'!D16</f>
        <v>-95233.41</v>
      </c>
      <c r="E13" s="66">
        <f>-'LEX - New Vehicles'!E16</f>
        <v>-111776.40000000001</v>
      </c>
      <c r="F13" s="66">
        <f>-'LEX - New Vehicles'!F16</f>
        <v>-129141.08</v>
      </c>
      <c r="G13" s="66">
        <f>-'LEX - New Vehicles'!G16</f>
        <v>-125484.70999999999</v>
      </c>
      <c r="H13" s="66">
        <f>-'LEX - New Vehicles'!H16</f>
        <v>-102770.62999999999</v>
      </c>
      <c r="I13" s="66">
        <f>-'LEX - New Vehicles'!I16</f>
        <v>-130775.37</v>
      </c>
      <c r="J13" s="66">
        <f>-'LEX - New Vehicles'!J16</f>
        <v>-128433.68</v>
      </c>
      <c r="K13" s="66">
        <f>-'LEX - New Vehicles'!K16</f>
        <v>-67344.11</v>
      </c>
      <c r="L13" s="66">
        <f>-'LEX - New Vehicles'!L16</f>
        <v>-88013.23000000001</v>
      </c>
      <c r="M13" s="66">
        <f>-'LEX - New Vehicles'!M16</f>
        <v>-51723.82</v>
      </c>
      <c r="N13" s="66">
        <f>-'LEX - New Vehicles'!N16</f>
        <v>-70133.779999999984</v>
      </c>
      <c r="O13" s="66">
        <f>-'LEX - New Vehicles'!O16</f>
        <v>-73795.64</v>
      </c>
      <c r="P13" s="66">
        <f>-'LEX - New Vehicles'!P16</f>
        <v>-73606.669999999984</v>
      </c>
      <c r="R13" s="69">
        <f t="shared" si="0"/>
        <v>-1139923.3</v>
      </c>
      <c r="S13" s="69">
        <f t="shared" si="1"/>
        <v>-1152999.1199999996</v>
      </c>
      <c r="U13" s="80"/>
      <c r="V13" s="88"/>
      <c r="W13" s="97"/>
      <c r="Y13" s="66">
        <f>-'LEX - New Vehicles'!E35</f>
        <v>-80807.799418490293</v>
      </c>
      <c r="Z13" s="66">
        <f>-'LEX - New Vehicles'!F35</f>
        <v>-80807.799418490293</v>
      </c>
      <c r="AA13" s="66">
        <f>-'LEX - New Vehicles'!G35</f>
        <v>-81000.579418490292</v>
      </c>
      <c r="AB13" s="66">
        <f>-'LEX - New Vehicles'!H35</f>
        <v>-80807.799418490293</v>
      </c>
      <c r="AC13" s="66">
        <f>-'LEX - New Vehicles'!I35</f>
        <v>-80807.799418490293</v>
      </c>
      <c r="AD13" s="66">
        <f>-'LEX - New Vehicles'!J35</f>
        <v>-81000.579418490292</v>
      </c>
      <c r="AE13" s="66">
        <f>-'LEX - New Vehicles'!K35</f>
        <v>-80807.799418490293</v>
      </c>
      <c r="AF13" s="66">
        <f>-'LEX - New Vehicles'!L35</f>
        <v>-80807.799418490293</v>
      </c>
      <c r="AG13" s="66">
        <f>-'LEX - New Vehicles'!M35</f>
        <v>-81000.579418490292</v>
      </c>
      <c r="AH13" s="66">
        <f>-'LEX - New Vehicles'!N35</f>
        <v>-79450.799418490293</v>
      </c>
      <c r="AI13" s="66">
        <f>-'LEX - New Vehicles'!O35</f>
        <v>-79450.799418490293</v>
      </c>
      <c r="AJ13" s="66">
        <f>-'LEX - New Vehicles'!P35</f>
        <v>-86908.784418490293</v>
      </c>
      <c r="AL13" s="69">
        <f>SUM(Y13:AJ13)</f>
        <v>-973658.91802188335</v>
      </c>
      <c r="AN13" s="80"/>
      <c r="AO13" s="88"/>
      <c r="AP13" s="91"/>
      <c r="AQ13" s="97"/>
    </row>
    <row r="14" spans="1:43" x14ac:dyDescent="0.25">
      <c r="A14" s="157" t="s">
        <v>965</v>
      </c>
      <c r="B14" s="66">
        <f>-'LEX - Used Vehicles'!B18</f>
        <v>-9692.6600000000017</v>
      </c>
      <c r="C14" s="66">
        <f>-'LEX - Used Vehicles'!C18</f>
        <v>-12061.939999999999</v>
      </c>
      <c r="D14" s="66">
        <f>-'LEX - Used Vehicles'!D18</f>
        <v>-9950</v>
      </c>
      <c r="E14" s="66">
        <f>-'LEX - Used Vehicles'!E18</f>
        <v>-11422.800000000003</v>
      </c>
      <c r="F14" s="66">
        <f>-'LEX - Used Vehicles'!F18</f>
        <v>-10589.000000000002</v>
      </c>
      <c r="G14" s="66">
        <f>-'LEX - Used Vehicles'!G18</f>
        <v>-9036</v>
      </c>
      <c r="H14" s="66">
        <f>-'LEX - Used Vehicles'!H18</f>
        <v>-5985.630000000001</v>
      </c>
      <c r="I14" s="66">
        <f>-'LEX - Used Vehicles'!I18</f>
        <v>-10718</v>
      </c>
      <c r="J14" s="66">
        <f>-'LEX - Used Vehicles'!J18</f>
        <v>-9363.99</v>
      </c>
      <c r="K14" s="66">
        <f>-'LEX - Used Vehicles'!K18</f>
        <v>-26418.78</v>
      </c>
      <c r="L14" s="66">
        <f>-'LEX - Used Vehicles'!L18</f>
        <v>-27223.58</v>
      </c>
      <c r="M14" s="66">
        <f>-'LEX - Used Vehicles'!M18</f>
        <v>-30424.53</v>
      </c>
      <c r="N14" s="66">
        <f>-'LEX - Used Vehicles'!N18</f>
        <v>-30412.799999999999</v>
      </c>
      <c r="O14" s="66">
        <f>-'LEX - Used Vehicles'!O18</f>
        <v>-35773.14</v>
      </c>
      <c r="P14" s="66">
        <f>-'LEX - Used Vehicles'!P18</f>
        <v>-34599.730000000003</v>
      </c>
      <c r="R14" s="69">
        <f t="shared" si="0"/>
        <v>-172886.91</v>
      </c>
      <c r="S14" s="69">
        <f t="shared" si="1"/>
        <v>-241967.98</v>
      </c>
      <c r="U14" s="80"/>
      <c r="V14" s="88"/>
      <c r="W14" s="97"/>
      <c r="Y14" s="66">
        <f>-'LEX - Used Vehicles'!E39</f>
        <v>-25937.768070771035</v>
      </c>
      <c r="Z14" s="66">
        <f>-'LEX - Used Vehicles'!F39</f>
        <v>-25937.768070771035</v>
      </c>
      <c r="AA14" s="66">
        <f>-'LEX - Used Vehicles'!G39</f>
        <v>-26002.028070771034</v>
      </c>
      <c r="AB14" s="66">
        <f>-'LEX - Used Vehicles'!H39</f>
        <v>-25937.768070771035</v>
      </c>
      <c r="AC14" s="66">
        <f>-'LEX - Used Vehicles'!I39</f>
        <v>-25937.768070771035</v>
      </c>
      <c r="AD14" s="66">
        <f>-'LEX - Used Vehicles'!J39</f>
        <v>-26002.028070771034</v>
      </c>
      <c r="AE14" s="66">
        <f>-'LEX - Used Vehicles'!K39</f>
        <v>-25937.768070771035</v>
      </c>
      <c r="AF14" s="66">
        <f>-'LEX - Used Vehicles'!L39</f>
        <v>-25937.768070771035</v>
      </c>
      <c r="AG14" s="66">
        <f>-'LEX - Used Vehicles'!M39</f>
        <v>-26002.028070771034</v>
      </c>
      <c r="AH14" s="66">
        <f>-'LEX - Used Vehicles'!N39</f>
        <v>-25937.768070771035</v>
      </c>
      <c r="AI14" s="66">
        <f>-'LEX - Used Vehicles'!O39</f>
        <v>-25937.768070771035</v>
      </c>
      <c r="AJ14" s="66">
        <f>-'LEX - Used Vehicles'!P39</f>
        <v>-26001.263070771034</v>
      </c>
      <c r="AL14" s="69">
        <f t="shared" ref="AL14:AL19" si="5">SUM(Y14:AJ14)</f>
        <v>-311509.49184925237</v>
      </c>
      <c r="AN14" s="80"/>
      <c r="AO14" s="88"/>
      <c r="AP14" s="91"/>
      <c r="AQ14" s="97"/>
    </row>
    <row r="15" spans="1:43" x14ac:dyDescent="0.25">
      <c r="A15" s="157" t="s">
        <v>966</v>
      </c>
      <c r="B15" s="66">
        <f>-'LEX - F&amp;I'!B13</f>
        <v>-10588</v>
      </c>
      <c r="C15" s="66">
        <f>-'LEX - F&amp;I'!C13</f>
        <v>-10588</v>
      </c>
      <c r="D15" s="66">
        <f>-'LEX - F&amp;I'!D13</f>
        <v>-10588.000000000002</v>
      </c>
      <c r="E15" s="66">
        <f>-'LEX - F&amp;I'!E13</f>
        <v>-14625</v>
      </c>
      <c r="F15" s="66">
        <f>-'LEX - F&amp;I'!F13</f>
        <v>-14625</v>
      </c>
      <c r="G15" s="66">
        <f>-'LEX - F&amp;I'!G13</f>
        <v>-19647</v>
      </c>
      <c r="H15" s="66">
        <f>-'LEX - F&amp;I'!H13</f>
        <v>-9790</v>
      </c>
      <c r="I15" s="66">
        <f>-'LEX - F&amp;I'!I13</f>
        <v>-7423</v>
      </c>
      <c r="J15" s="66">
        <f>-'LEX - F&amp;I'!J13</f>
        <v>-15538.999999999998</v>
      </c>
      <c r="K15" s="66">
        <f>-'LEX - F&amp;I'!K13</f>
        <v>-18819</v>
      </c>
      <c r="L15" s="66">
        <f>-'LEX - F&amp;I'!L13</f>
        <v>-22681.000000000004</v>
      </c>
      <c r="M15" s="66">
        <f>-'LEX - F&amp;I'!M13</f>
        <v>-14668</v>
      </c>
      <c r="N15" s="66">
        <f>-'LEX - F&amp;I'!N13</f>
        <v>-17707</v>
      </c>
      <c r="O15" s="66">
        <f>-'LEX - F&amp;I'!O13</f>
        <v>-13909.999999999998</v>
      </c>
      <c r="P15" s="66">
        <f>-'LEX - F&amp;I'!P13</f>
        <v>-13375</v>
      </c>
      <c r="R15" s="69">
        <f t="shared" si="0"/>
        <v>-169581</v>
      </c>
      <c r="S15" s="69">
        <f t="shared" si="1"/>
        <v>-182809</v>
      </c>
      <c r="U15" s="80"/>
      <c r="V15" s="88"/>
      <c r="W15" s="97"/>
      <c r="Y15" s="66">
        <f>-'LEX - F&amp;I'!E29</f>
        <v>-11835.678639685219</v>
      </c>
      <c r="Z15" s="66">
        <f>-'LEX - F&amp;I'!F29</f>
        <v>-11835.678639685219</v>
      </c>
      <c r="AA15" s="66">
        <f>-'LEX - F&amp;I'!G29</f>
        <v>-11835.678639685219</v>
      </c>
      <c r="AB15" s="66">
        <f>-'LEX - F&amp;I'!H29</f>
        <v>-11835.678639685219</v>
      </c>
      <c r="AC15" s="66">
        <f>-'LEX - F&amp;I'!I29</f>
        <v>-11835.678639685219</v>
      </c>
      <c r="AD15" s="66">
        <f>-'LEX - F&amp;I'!J29</f>
        <v>-11835.678639685219</v>
      </c>
      <c r="AE15" s="66">
        <f>-'LEX - F&amp;I'!K29</f>
        <v>-11835.678639685219</v>
      </c>
      <c r="AF15" s="66">
        <f>-'LEX - F&amp;I'!L29</f>
        <v>-11835.678639685219</v>
      </c>
      <c r="AG15" s="66">
        <f>-'LEX - F&amp;I'!M29</f>
        <v>-11835.678639685219</v>
      </c>
      <c r="AH15" s="66">
        <f>-'LEX - F&amp;I'!N29</f>
        <v>-11835.678639685219</v>
      </c>
      <c r="AI15" s="66">
        <f>-'LEX - F&amp;I'!O29</f>
        <v>-11835.678639685219</v>
      </c>
      <c r="AJ15" s="66">
        <f>-'LEX - F&amp;I'!P29</f>
        <v>-11835.678639685219</v>
      </c>
      <c r="AL15" s="69">
        <f t="shared" si="5"/>
        <v>-142028.14367622259</v>
      </c>
      <c r="AN15" s="80"/>
      <c r="AO15" s="88"/>
      <c r="AP15" s="91"/>
      <c r="AQ15" s="97"/>
    </row>
    <row r="16" spans="1:43" x14ac:dyDescent="0.25">
      <c r="A16" s="157" t="s">
        <v>113</v>
      </c>
      <c r="B16" s="66">
        <f>-'LEX - Parts'!B10</f>
        <v>0</v>
      </c>
      <c r="C16" s="66">
        <f>-'LEX - Parts'!C10</f>
        <v>0</v>
      </c>
      <c r="D16" s="66">
        <f>-'LEX - Parts'!D10</f>
        <v>0</v>
      </c>
      <c r="E16" s="66">
        <f>-'LEX - Parts'!E10</f>
        <v>0</v>
      </c>
      <c r="F16" s="66">
        <f>-'LEX - Parts'!F10</f>
        <v>0</v>
      </c>
      <c r="G16" s="66">
        <f>-'LEX - Parts'!G10</f>
        <v>0</v>
      </c>
      <c r="H16" s="66">
        <f>-'LEX - Parts'!H10</f>
        <v>0</v>
      </c>
      <c r="I16" s="66">
        <f>-'LEX - Parts'!I10</f>
        <v>0</v>
      </c>
      <c r="J16" s="66">
        <f>-'LEX - Parts'!J10</f>
        <v>0</v>
      </c>
      <c r="K16" s="66">
        <f>-'LEX - Parts'!K10</f>
        <v>-6550</v>
      </c>
      <c r="L16" s="66">
        <f>-'LEX - Parts'!L10</f>
        <v>-6507</v>
      </c>
      <c r="M16" s="66">
        <f>-'LEX - Parts'!M10</f>
        <v>-5801</v>
      </c>
      <c r="N16" s="66">
        <f>-'LEX - Parts'!N10</f>
        <v>-6317</v>
      </c>
      <c r="O16" s="66">
        <f>-'LEX - Parts'!O10</f>
        <v>-4790.9999999999991</v>
      </c>
      <c r="P16" s="66">
        <f>-'LEX - Parts'!P10</f>
        <v>-4168</v>
      </c>
      <c r="R16" s="69">
        <f t="shared" si="0"/>
        <v>-18858</v>
      </c>
      <c r="S16" s="69">
        <f t="shared" si="1"/>
        <v>-34134</v>
      </c>
      <c r="U16" s="80"/>
      <c r="V16" s="88"/>
      <c r="W16" s="97"/>
      <c r="Y16" s="66">
        <f>-'LEX - Parts'!E23</f>
        <v>-5013.1365641828634</v>
      </c>
      <c r="Z16" s="66">
        <f>-'LEX - Parts'!F23</f>
        <v>-5013.1365641828634</v>
      </c>
      <c r="AA16" s="66">
        <f>-'LEX - Parts'!G23</f>
        <v>-5013.1365641828634</v>
      </c>
      <c r="AB16" s="66">
        <f>-'LEX - Parts'!H23</f>
        <v>-5013.1365641828634</v>
      </c>
      <c r="AC16" s="66">
        <f>-'LEX - Parts'!I23</f>
        <v>-5013.1365641828634</v>
      </c>
      <c r="AD16" s="66">
        <f>-'LEX - Parts'!J23</f>
        <v>-5013.1365641828634</v>
      </c>
      <c r="AE16" s="66">
        <f>-'LEX - Parts'!K23</f>
        <v>-5013.1365641828634</v>
      </c>
      <c r="AF16" s="66">
        <f>-'LEX - Parts'!L23</f>
        <v>-5013.1365641828634</v>
      </c>
      <c r="AG16" s="66">
        <f>-'LEX - Parts'!M23</f>
        <v>-5013.1365641828634</v>
      </c>
      <c r="AH16" s="66">
        <f>-'LEX - Parts'!N23</f>
        <v>-5013.1365641828634</v>
      </c>
      <c r="AI16" s="66">
        <f>-'LEX - Parts'!O23</f>
        <v>-5013.1365641828634</v>
      </c>
      <c r="AJ16" s="66">
        <f>-'LEX - Parts'!P23</f>
        <v>-5013.1365641828634</v>
      </c>
      <c r="AL16" s="69">
        <f t="shared" si="5"/>
        <v>-60157.638770194346</v>
      </c>
      <c r="AN16" s="80"/>
      <c r="AO16" s="88"/>
      <c r="AP16" s="91"/>
      <c r="AQ16" s="97"/>
    </row>
    <row r="17" spans="1:43" x14ac:dyDescent="0.25">
      <c r="A17" s="157" t="s">
        <v>967</v>
      </c>
      <c r="B17" s="66">
        <f>-'LEX - Service'!B17</f>
        <v>-30979.330000000005</v>
      </c>
      <c r="C17" s="66">
        <f>-'LEX - Service'!C17</f>
        <v>-25448.28</v>
      </c>
      <c r="D17" s="66">
        <f>-'LEX - Service'!D17</f>
        <v>-164246.58000000002</v>
      </c>
      <c r="E17" s="66">
        <f>-'LEX - Service'!E17</f>
        <v>-41024.450000000004</v>
      </c>
      <c r="F17" s="66">
        <f>-'LEX - Service'!F17</f>
        <v>-33238.219999999994</v>
      </c>
      <c r="G17" s="66">
        <f>-'LEX - Service'!G17</f>
        <v>-42686.840000000004</v>
      </c>
      <c r="H17" s="66">
        <f>-'LEX - Service'!H17</f>
        <v>-49406.07</v>
      </c>
      <c r="I17" s="66">
        <f>-'LEX - Service'!I17</f>
        <v>-44629.05</v>
      </c>
      <c r="J17" s="66">
        <f>-'LEX - Service'!J17</f>
        <v>-50892.62</v>
      </c>
      <c r="K17" s="66">
        <f>-'LEX - Service'!K17</f>
        <v>-55515.5</v>
      </c>
      <c r="L17" s="66">
        <f>-'LEX - Service'!L17</f>
        <v>-53001.560000000005</v>
      </c>
      <c r="M17" s="66">
        <f>-'LEX - Service'!M17</f>
        <v>-47162.47</v>
      </c>
      <c r="N17" s="66">
        <f>-'LEX - Service'!N17</f>
        <v>-37051.500000000007</v>
      </c>
      <c r="O17" s="66">
        <f>-'LEX - Service'!O17</f>
        <v>-38077.08</v>
      </c>
      <c r="P17" s="66">
        <f>-'LEX - Service'!P17</f>
        <v>-47531.62</v>
      </c>
      <c r="R17" s="69">
        <f t="shared" si="0"/>
        <v>-638230.97</v>
      </c>
      <c r="S17" s="69">
        <f t="shared" si="1"/>
        <v>-540216.9800000001</v>
      </c>
      <c r="U17" s="80"/>
      <c r="V17" s="88"/>
      <c r="W17" s="97"/>
      <c r="Y17" s="66">
        <f>-'LEX - Service'!E37</f>
        <v>-37841.735074350356</v>
      </c>
      <c r="Z17" s="66">
        <f>-'LEX - Service'!F37</f>
        <v>-37841.735074350356</v>
      </c>
      <c r="AA17" s="66">
        <f>-'LEX - Service'!G37</f>
        <v>-37841.735074350356</v>
      </c>
      <c r="AB17" s="66">
        <f>-'LEX - Service'!H37</f>
        <v>-37841.735074350356</v>
      </c>
      <c r="AC17" s="66">
        <f>-'LEX - Service'!I37</f>
        <v>-37841.735074350356</v>
      </c>
      <c r="AD17" s="66">
        <f>-'LEX - Service'!J37</f>
        <v>-37841.735074350356</v>
      </c>
      <c r="AE17" s="66">
        <f>-'LEX - Service'!K37</f>
        <v>-37841.735074350356</v>
      </c>
      <c r="AF17" s="66">
        <f>-'LEX - Service'!L37</f>
        <v>-37841.735074350356</v>
      </c>
      <c r="AG17" s="66">
        <f>-'LEX - Service'!M37</f>
        <v>-37841.735074350356</v>
      </c>
      <c r="AH17" s="66">
        <f>-'LEX - Service'!N37</f>
        <v>-37841.735074350356</v>
      </c>
      <c r="AI17" s="66">
        <f>-'LEX - Service'!O37</f>
        <v>-37841.735074350356</v>
      </c>
      <c r="AJ17" s="66">
        <f>-'LEX - Service'!P37</f>
        <v>-37841.735074350356</v>
      </c>
      <c r="AL17" s="69">
        <f t="shared" si="5"/>
        <v>-454100.82089220436</v>
      </c>
      <c r="AN17" s="80"/>
      <c r="AO17" s="88"/>
      <c r="AP17" s="91"/>
      <c r="AQ17" s="97"/>
    </row>
    <row r="18" spans="1:43" x14ac:dyDescent="0.25">
      <c r="A18" s="157" t="s">
        <v>975</v>
      </c>
      <c r="B18" s="66">
        <f>-'Bridgestone Group'!B11</f>
        <v>-36243.840000000004</v>
      </c>
      <c r="C18" s="66">
        <f>-'Bridgestone Group'!C11</f>
        <v>-50177.54</v>
      </c>
      <c r="D18" s="66">
        <f>-'Bridgestone Group'!D11</f>
        <v>-60890.66</v>
      </c>
      <c r="E18" s="66">
        <f>-'Bridgestone Group'!E11</f>
        <v>-40854.99</v>
      </c>
      <c r="F18" s="66">
        <f>-'Bridgestone Group'!F11</f>
        <v>-51013.510000000009</v>
      </c>
      <c r="G18" s="66">
        <f>-'Bridgestone Group'!G11</f>
        <v>-62285.469999999994</v>
      </c>
      <c r="H18" s="66">
        <f>-'Bridgestone Group'!H11</f>
        <v>-47075.53</v>
      </c>
      <c r="I18" s="66">
        <f>-'Bridgestone Group'!I11</f>
        <v>-51253.939999999995</v>
      </c>
      <c r="J18" s="66">
        <f>-'Bridgestone Group'!J11</f>
        <v>-51225.86</v>
      </c>
      <c r="K18" s="66">
        <f>-'Bridgestone Group'!K11</f>
        <v>-47617.89</v>
      </c>
      <c r="L18" s="66">
        <f>-'Bridgestone Group'!L11</f>
        <v>-53702.39</v>
      </c>
      <c r="M18" s="66">
        <f>-'Bridgestone Group'!M11</f>
        <v>-48472.479999999996</v>
      </c>
      <c r="N18" s="66">
        <f>-'Bridgestone Group'!N11</f>
        <v>-54761.87999999999</v>
      </c>
      <c r="O18" s="66">
        <f>-'Bridgestone Group'!O11</f>
        <v>-52162.659999999989</v>
      </c>
      <c r="P18" s="66">
        <f>-'Bridgestone Group'!P11</f>
        <v>-47860.23</v>
      </c>
      <c r="R18" s="69">
        <f t="shared" si="0"/>
        <v>-600814.1</v>
      </c>
      <c r="S18" s="69">
        <f t="shared" si="1"/>
        <v>-608286.82999999996</v>
      </c>
      <c r="U18" s="80"/>
      <c r="V18" s="88"/>
      <c r="W18" s="97"/>
      <c r="Y18" s="66">
        <f>-'Bridgestone Group'!E25</f>
        <v>-45808.990204233924</v>
      </c>
      <c r="Z18" s="66">
        <f>-'Bridgestone Group'!F25</f>
        <v>-45808.990204233924</v>
      </c>
      <c r="AA18" s="66">
        <f>-'Bridgestone Group'!G25</f>
        <v>-45808.990204233924</v>
      </c>
      <c r="AB18" s="66">
        <f>-'Bridgestone Group'!H25</f>
        <v>-45808.990204233924</v>
      </c>
      <c r="AC18" s="66">
        <f>-'Bridgestone Group'!I25</f>
        <v>-45808.990204233924</v>
      </c>
      <c r="AD18" s="66">
        <f>-'Bridgestone Group'!J25</f>
        <v>-45808.990204233924</v>
      </c>
      <c r="AE18" s="66">
        <f>-'Bridgestone Group'!K25</f>
        <v>-45808.990204233924</v>
      </c>
      <c r="AF18" s="66">
        <f>-'Bridgestone Group'!L25</f>
        <v>-45808.990204233924</v>
      </c>
      <c r="AG18" s="66">
        <f>-'Bridgestone Group'!M25</f>
        <v>-45808.990204233924</v>
      </c>
      <c r="AH18" s="66">
        <f>-'Bridgestone Group'!N25</f>
        <v>-45808.990204233924</v>
      </c>
      <c r="AI18" s="66">
        <f>-'Bridgestone Group'!O25</f>
        <v>-45808.990204233924</v>
      </c>
      <c r="AJ18" s="66">
        <f>-'Bridgestone Group'!P25</f>
        <v>-45808.990204233924</v>
      </c>
      <c r="AL18" s="69">
        <f t="shared" si="5"/>
        <v>-549707.88245080702</v>
      </c>
      <c r="AN18" s="80"/>
      <c r="AO18" s="88"/>
      <c r="AP18" s="91"/>
      <c r="AQ18" s="97"/>
    </row>
    <row r="19" spans="1:43" x14ac:dyDescent="0.25">
      <c r="A19" s="157" t="s">
        <v>976</v>
      </c>
      <c r="B19" s="66">
        <f>-'Retail Detailing'!B12</f>
        <v>-35264.179999999993</v>
      </c>
      <c r="C19" s="66">
        <f>-'Retail Detailing'!C12</f>
        <v>-43929.45</v>
      </c>
      <c r="D19" s="66">
        <f>-'Retail Detailing'!D12</f>
        <v>-42667.69</v>
      </c>
      <c r="E19" s="66">
        <f>-'Retail Detailing'!E12</f>
        <v>-31745.640000000003</v>
      </c>
      <c r="F19" s="66">
        <f>-'Retail Detailing'!F12</f>
        <v>-36838.19</v>
      </c>
      <c r="G19" s="66">
        <f>-'Retail Detailing'!G12</f>
        <v>-37329.96</v>
      </c>
      <c r="H19" s="66">
        <f>-'Retail Detailing'!H12</f>
        <v>-44464.2</v>
      </c>
      <c r="I19" s="66">
        <f>-'Retail Detailing'!I12</f>
        <v>-49581.359999999993</v>
      </c>
      <c r="J19" s="66">
        <f>-'Retail Detailing'!J12</f>
        <v>-46765.590000000004</v>
      </c>
      <c r="K19" s="66">
        <f>-'Retail Detailing'!K12</f>
        <v>-50542.310000000005</v>
      </c>
      <c r="L19" s="66">
        <f>-'Retail Detailing'!L12</f>
        <v>-42364.610000000008</v>
      </c>
      <c r="M19" s="66">
        <f>-'Retail Detailing'!M12</f>
        <v>-37985.339999999997</v>
      </c>
      <c r="N19" s="66">
        <f>-'Retail Detailing'!N12</f>
        <v>-48435.929999999993</v>
      </c>
      <c r="O19" s="66">
        <f>-'Retail Detailing'!O12</f>
        <v>-47286.87</v>
      </c>
      <c r="P19" s="66">
        <f>-'Retail Detailing'!P12</f>
        <v>-43758.270000000004</v>
      </c>
      <c r="R19" s="69">
        <f t="shared" si="0"/>
        <v>-499478.52</v>
      </c>
      <c r="S19" s="69">
        <f t="shared" si="1"/>
        <v>-517098.26999999996</v>
      </c>
      <c r="U19" s="80"/>
      <c r="V19" s="88"/>
      <c r="W19" s="97"/>
      <c r="Y19" s="66">
        <f>-'Retail Detailing'!E27</f>
        <v>-46660.363203848145</v>
      </c>
      <c r="Z19" s="66">
        <f>-'Retail Detailing'!F27</f>
        <v>-46660.363203848145</v>
      </c>
      <c r="AA19" s="66">
        <f>-'Retail Detailing'!G27</f>
        <v>-46660.363203848145</v>
      </c>
      <c r="AB19" s="66">
        <f>-'Retail Detailing'!H27</f>
        <v>-46660.363203848145</v>
      </c>
      <c r="AC19" s="66">
        <f>-'Retail Detailing'!I27</f>
        <v>-46660.363203848145</v>
      </c>
      <c r="AD19" s="66">
        <f>-'Retail Detailing'!J27</f>
        <v>-46660.363203848145</v>
      </c>
      <c r="AE19" s="66">
        <f>-'Retail Detailing'!K27</f>
        <v>-46660.363203848145</v>
      </c>
      <c r="AF19" s="66">
        <f>-'Retail Detailing'!L27</f>
        <v>-46660.363203848145</v>
      </c>
      <c r="AG19" s="66">
        <f>-'Retail Detailing'!M27</f>
        <v>-46660.363203848145</v>
      </c>
      <c r="AH19" s="66">
        <f>-'Retail Detailing'!N27</f>
        <v>-46660.363203848145</v>
      </c>
      <c r="AI19" s="66">
        <f>-'Retail Detailing'!O27</f>
        <v>-46660.363203848145</v>
      </c>
      <c r="AJ19" s="66">
        <f>-'Retail Detailing'!P27</f>
        <v>-46660.363203848145</v>
      </c>
      <c r="AL19" s="69">
        <f t="shared" si="5"/>
        <v>-559924.35844617768</v>
      </c>
      <c r="AN19" s="80"/>
      <c r="AO19" s="88"/>
      <c r="AP19" s="91"/>
      <c r="AQ19" s="97"/>
    </row>
    <row r="20" spans="1:43" x14ac:dyDescent="0.25">
      <c r="A20" s="158" t="s">
        <v>979</v>
      </c>
      <c r="B20" s="74">
        <f>SUM(B13:B19)</f>
        <v>-194456.04</v>
      </c>
      <c r="C20" s="74">
        <f>SUM(C13:C19)</f>
        <v>-179744.03999999998</v>
      </c>
      <c r="D20" s="74">
        <f>SUM(D13:D19)</f>
        <v>-383576.34</v>
      </c>
      <c r="E20" s="74">
        <f>SUM(E13:E19)</f>
        <v>-251449.28000000003</v>
      </c>
      <c r="F20" s="74">
        <f t="shared" ref="F20:P20" si="6">SUM(F13:F19)</f>
        <v>-275445</v>
      </c>
      <c r="G20" s="74">
        <f t="shared" si="6"/>
        <v>-296469.98</v>
      </c>
      <c r="H20" s="74">
        <f t="shared" si="6"/>
        <v>-259492.06</v>
      </c>
      <c r="I20" s="74">
        <f t="shared" si="6"/>
        <v>-294380.71999999997</v>
      </c>
      <c r="J20" s="74">
        <f t="shared" si="6"/>
        <v>-302220.74</v>
      </c>
      <c r="K20" s="74">
        <f t="shared" si="6"/>
        <v>-272807.59000000003</v>
      </c>
      <c r="L20" s="74">
        <f t="shared" si="6"/>
        <v>-293493.37</v>
      </c>
      <c r="M20" s="74">
        <f t="shared" si="6"/>
        <v>-236237.63999999998</v>
      </c>
      <c r="N20" s="74">
        <f t="shared" si="6"/>
        <v>-264819.88999999996</v>
      </c>
      <c r="O20" s="74">
        <f t="shared" si="6"/>
        <v>-265796.38999999996</v>
      </c>
      <c r="P20" s="74">
        <f t="shared" si="6"/>
        <v>-264899.52</v>
      </c>
      <c r="R20" s="68">
        <f t="shared" si="0"/>
        <v>-3239772.8000000003</v>
      </c>
      <c r="S20" s="68">
        <f t="shared" si="1"/>
        <v>-3277512.1800000006</v>
      </c>
      <c r="U20" s="80"/>
      <c r="V20" s="88"/>
      <c r="W20" s="97"/>
      <c r="Y20" s="74">
        <f t="shared" ref="Y20:AJ20" si="7">SUM(Y13:Y19)</f>
        <v>-253905.47117556183</v>
      </c>
      <c r="Z20" s="74">
        <f t="shared" si="7"/>
        <v>-253905.47117556183</v>
      </c>
      <c r="AA20" s="74">
        <f t="shared" si="7"/>
        <v>-254162.51117556181</v>
      </c>
      <c r="AB20" s="74">
        <f t="shared" si="7"/>
        <v>-253905.47117556183</v>
      </c>
      <c r="AC20" s="74">
        <f t="shared" si="7"/>
        <v>-253905.47117556183</v>
      </c>
      <c r="AD20" s="74">
        <f t="shared" si="7"/>
        <v>-254162.51117556181</v>
      </c>
      <c r="AE20" s="74">
        <f t="shared" si="7"/>
        <v>-253905.47117556183</v>
      </c>
      <c r="AF20" s="74">
        <f t="shared" si="7"/>
        <v>-253905.47117556183</v>
      </c>
      <c r="AG20" s="74">
        <f t="shared" si="7"/>
        <v>-254162.51117556181</v>
      </c>
      <c r="AH20" s="74">
        <f t="shared" si="7"/>
        <v>-252548.47117556183</v>
      </c>
      <c r="AI20" s="74">
        <f t="shared" si="7"/>
        <v>-252548.47117556183</v>
      </c>
      <c r="AJ20" s="74">
        <f t="shared" si="7"/>
        <v>-260069.95117556182</v>
      </c>
      <c r="AL20" s="68">
        <f>SUM(Y20:AJ20)</f>
        <v>-3051087.2541067414</v>
      </c>
      <c r="AN20" s="80"/>
      <c r="AO20" s="88"/>
      <c r="AP20" s="91"/>
      <c r="AQ20" s="97"/>
    </row>
    <row r="21" spans="1:43" x14ac:dyDescent="0.25">
      <c r="A21" s="158" t="s">
        <v>980</v>
      </c>
      <c r="U21" s="80"/>
      <c r="V21" s="88"/>
      <c r="W21" s="97"/>
      <c r="AN21" s="80"/>
      <c r="AO21" s="88"/>
      <c r="AP21" s="91"/>
      <c r="AQ21" s="97"/>
    </row>
    <row r="22" spans="1:43" x14ac:dyDescent="0.25">
      <c r="A22" s="157" t="s">
        <v>964</v>
      </c>
      <c r="B22" s="66">
        <f t="shared" ref="B22:P28" si="8">B4+B13</f>
        <v>23459.920000000042</v>
      </c>
      <c r="C22" s="66">
        <f t="shared" si="8"/>
        <v>58212.250000000109</v>
      </c>
      <c r="D22" s="66">
        <f t="shared" si="8"/>
        <v>211150.3300000001</v>
      </c>
      <c r="E22" s="66">
        <f>E4+E13</f>
        <v>198452.09999999986</v>
      </c>
      <c r="F22" s="66">
        <f t="shared" ref="F22:P22" si="9">F4+F13</f>
        <v>252480.21000000037</v>
      </c>
      <c r="G22" s="66">
        <f t="shared" si="9"/>
        <v>208710.81999999934</v>
      </c>
      <c r="H22" s="66">
        <f t="shared" si="9"/>
        <v>148979.16000000003</v>
      </c>
      <c r="I22" s="66">
        <f t="shared" si="9"/>
        <v>244507.49000000092</v>
      </c>
      <c r="J22" s="66">
        <f t="shared" si="9"/>
        <v>198506.12000000005</v>
      </c>
      <c r="K22" s="66">
        <f t="shared" si="9"/>
        <v>203879.63999999966</v>
      </c>
      <c r="L22" s="66">
        <f t="shared" si="9"/>
        <v>203210.85999999937</v>
      </c>
      <c r="M22" s="66">
        <f t="shared" si="9"/>
        <v>171285.95000000019</v>
      </c>
      <c r="N22" s="66">
        <f t="shared" si="9"/>
        <v>184420.01999999984</v>
      </c>
      <c r="O22" s="66">
        <f t="shared" si="9"/>
        <v>158554.07000000018</v>
      </c>
      <c r="P22" s="66">
        <f t="shared" si="9"/>
        <v>209875.00999999914</v>
      </c>
      <c r="R22" s="69">
        <f t="shared" si="0"/>
        <v>2122834.8500000006</v>
      </c>
      <c r="S22" s="69">
        <f t="shared" si="1"/>
        <v>2382861.4499999993</v>
      </c>
      <c r="U22" s="80"/>
      <c r="V22" s="88"/>
      <c r="W22" s="97"/>
      <c r="Y22" s="66">
        <f>Y4+Y13</f>
        <v>185192.20058150971</v>
      </c>
      <c r="Z22" s="66">
        <f t="shared" ref="Z22:AJ22" si="10">Z4+Z13</f>
        <v>185192.20058150971</v>
      </c>
      <c r="AA22" s="66">
        <f t="shared" si="10"/>
        <v>249259.42058150971</v>
      </c>
      <c r="AB22" s="66">
        <f t="shared" si="10"/>
        <v>185192.20058150971</v>
      </c>
      <c r="AC22" s="66">
        <f t="shared" si="10"/>
        <v>185192.20058150971</v>
      </c>
      <c r="AD22" s="66">
        <f t="shared" si="10"/>
        <v>249259.42058150971</v>
      </c>
      <c r="AE22" s="66">
        <f t="shared" si="10"/>
        <v>185192.20058150971</v>
      </c>
      <c r="AF22" s="66">
        <f t="shared" si="10"/>
        <v>185192.20058150971</v>
      </c>
      <c r="AG22" s="66">
        <f t="shared" si="10"/>
        <v>249259.42058150971</v>
      </c>
      <c r="AH22" s="66">
        <f t="shared" si="10"/>
        <v>167549.20058150971</v>
      </c>
      <c r="AI22" s="66">
        <f t="shared" si="10"/>
        <v>167549.20058150971</v>
      </c>
      <c r="AJ22" s="66">
        <f t="shared" si="10"/>
        <v>271086.21558150969</v>
      </c>
      <c r="AL22" s="69">
        <f>SUM(Y22:AJ22)</f>
        <v>2465116.0819781162</v>
      </c>
      <c r="AN22" s="80"/>
      <c r="AO22" s="88"/>
      <c r="AP22" s="91"/>
      <c r="AQ22" s="97"/>
    </row>
    <row r="23" spans="1:43" x14ac:dyDescent="0.25">
      <c r="A23" s="157" t="s">
        <v>965</v>
      </c>
      <c r="B23" s="66">
        <f t="shared" si="8"/>
        <v>22225.03</v>
      </c>
      <c r="C23" s="66">
        <f t="shared" si="8"/>
        <v>21228.340000000029</v>
      </c>
      <c r="D23" s="66">
        <f t="shared" si="8"/>
        <v>49071.59000000004</v>
      </c>
      <c r="E23" s="66">
        <f t="shared" si="8"/>
        <v>14317.190000000017</v>
      </c>
      <c r="F23" s="66">
        <f t="shared" si="8"/>
        <v>68881.95000000007</v>
      </c>
      <c r="G23" s="66">
        <f t="shared" si="8"/>
        <v>70073.539999999979</v>
      </c>
      <c r="H23" s="66">
        <f t="shared" si="8"/>
        <v>60451.120000000083</v>
      </c>
      <c r="I23" s="66">
        <f t="shared" si="8"/>
        <v>76762.550000000017</v>
      </c>
      <c r="J23" s="66">
        <f t="shared" si="8"/>
        <v>88680.839999999924</v>
      </c>
      <c r="K23" s="66">
        <f t="shared" si="8"/>
        <v>27959.839999999997</v>
      </c>
      <c r="L23" s="66">
        <f t="shared" si="8"/>
        <v>6240.7599999999657</v>
      </c>
      <c r="M23" s="66">
        <f t="shared" si="8"/>
        <v>-495.14999999998327</v>
      </c>
      <c r="N23" s="66">
        <f t="shared" si="8"/>
        <v>-4059.3299999999981</v>
      </c>
      <c r="O23" s="66">
        <f t="shared" si="8"/>
        <v>30624.830000000031</v>
      </c>
      <c r="P23" s="66">
        <f t="shared" si="8"/>
        <v>-1527.5000000000291</v>
      </c>
      <c r="R23" s="69">
        <f t="shared" si="0"/>
        <v>505397.60000000021</v>
      </c>
      <c r="S23" s="69">
        <f t="shared" si="1"/>
        <v>437910.64</v>
      </c>
      <c r="U23" s="80"/>
      <c r="V23" s="88"/>
      <c r="W23" s="97"/>
      <c r="Y23" s="66">
        <f t="shared" ref="Y23:AJ28" si="11">Y5+Y14</f>
        <v>39062.231929228961</v>
      </c>
      <c r="Z23" s="66">
        <f t="shared" si="11"/>
        <v>39062.231929228961</v>
      </c>
      <c r="AA23" s="66">
        <f t="shared" si="11"/>
        <v>60417.971929228966</v>
      </c>
      <c r="AB23" s="66">
        <f t="shared" si="11"/>
        <v>39062.231929228961</v>
      </c>
      <c r="AC23" s="66">
        <f t="shared" si="11"/>
        <v>39062.231929228961</v>
      </c>
      <c r="AD23" s="66">
        <f t="shared" si="11"/>
        <v>60417.971929228966</v>
      </c>
      <c r="AE23" s="66">
        <f t="shared" si="11"/>
        <v>39062.231929228961</v>
      </c>
      <c r="AF23" s="66">
        <f t="shared" si="11"/>
        <v>39062.231929228961</v>
      </c>
      <c r="AG23" s="66">
        <f t="shared" si="11"/>
        <v>60417.971929228966</v>
      </c>
      <c r="AH23" s="66">
        <f t="shared" si="11"/>
        <v>39062.231929228961</v>
      </c>
      <c r="AI23" s="66">
        <f t="shared" si="11"/>
        <v>39062.231929228961</v>
      </c>
      <c r="AJ23" s="66">
        <f t="shared" si="11"/>
        <v>60163.736929228966</v>
      </c>
      <c r="AL23" s="69">
        <f t="shared" ref="AL23:AL28" si="12">SUM(Y23:AJ23)</f>
        <v>553915.50815074774</v>
      </c>
      <c r="AN23" s="80"/>
      <c r="AO23" s="88"/>
      <c r="AP23" s="91"/>
      <c r="AQ23" s="97"/>
    </row>
    <row r="24" spans="1:43" x14ac:dyDescent="0.25">
      <c r="A24" s="157" t="s">
        <v>966</v>
      </c>
      <c r="B24" s="66">
        <f t="shared" si="8"/>
        <v>-12203.380000000001</v>
      </c>
      <c r="C24" s="66">
        <f t="shared" si="8"/>
        <v>5222.4199999999983</v>
      </c>
      <c r="D24" s="66">
        <f t="shared" si="8"/>
        <v>17346</v>
      </c>
      <c r="E24" s="66">
        <f t="shared" si="8"/>
        <v>22342.229999999996</v>
      </c>
      <c r="F24" s="66">
        <f t="shared" si="8"/>
        <v>43763.67</v>
      </c>
      <c r="G24" s="66">
        <f t="shared" si="8"/>
        <v>43343.33</v>
      </c>
      <c r="H24" s="66">
        <f t="shared" si="8"/>
        <v>17559.09</v>
      </c>
      <c r="I24" s="66">
        <f t="shared" si="8"/>
        <v>33763.06</v>
      </c>
      <c r="J24" s="66">
        <f t="shared" si="8"/>
        <v>36650.520000000004</v>
      </c>
      <c r="K24" s="66">
        <f t="shared" si="8"/>
        <v>29692.18</v>
      </c>
      <c r="L24" s="66">
        <f t="shared" si="8"/>
        <v>2158.2599999999984</v>
      </c>
      <c r="M24" s="66">
        <f t="shared" si="8"/>
        <v>30186.78</v>
      </c>
      <c r="N24" s="66">
        <f t="shared" si="8"/>
        <v>9581.48</v>
      </c>
      <c r="O24" s="66">
        <f t="shared" si="8"/>
        <v>7901.5200000000023</v>
      </c>
      <c r="P24" s="66">
        <f t="shared" si="8"/>
        <v>47972.42</v>
      </c>
      <c r="R24" s="69">
        <f t="shared" si="0"/>
        <v>269824.16000000003</v>
      </c>
      <c r="S24" s="69">
        <f t="shared" si="1"/>
        <v>324914.54000000004</v>
      </c>
      <c r="U24" s="80"/>
      <c r="V24" s="88"/>
      <c r="W24" s="97"/>
      <c r="Y24" s="66">
        <f t="shared" si="11"/>
        <v>23114.837553085861</v>
      </c>
      <c r="Z24" s="66">
        <f t="shared" si="11"/>
        <v>23114.837553085861</v>
      </c>
      <c r="AA24" s="66">
        <f t="shared" si="11"/>
        <v>58814.837553085868</v>
      </c>
      <c r="AB24" s="66">
        <f t="shared" si="11"/>
        <v>23114.837553085861</v>
      </c>
      <c r="AC24" s="66">
        <f t="shared" si="11"/>
        <v>23114.837553085861</v>
      </c>
      <c r="AD24" s="66">
        <f t="shared" si="11"/>
        <v>58814.837553085868</v>
      </c>
      <c r="AE24" s="66">
        <f t="shared" si="11"/>
        <v>23114.837553085861</v>
      </c>
      <c r="AF24" s="66">
        <f t="shared" si="11"/>
        <v>23114.837553085861</v>
      </c>
      <c r="AG24" s="66">
        <f t="shared" si="11"/>
        <v>58814.837553085868</v>
      </c>
      <c r="AH24" s="66">
        <f t="shared" si="11"/>
        <v>21409.934324170201</v>
      </c>
      <c r="AI24" s="66">
        <f t="shared" si="11"/>
        <v>21409.934324170201</v>
      </c>
      <c r="AJ24" s="66">
        <f t="shared" si="11"/>
        <v>60947.192396459366</v>
      </c>
      <c r="AL24" s="69">
        <f t="shared" si="12"/>
        <v>418900.59902257257</v>
      </c>
      <c r="AN24" s="80"/>
      <c r="AO24" s="88"/>
      <c r="AP24" s="91"/>
      <c r="AQ24" s="97"/>
    </row>
    <row r="25" spans="1:43" x14ac:dyDescent="0.25">
      <c r="A25" s="157" t="s">
        <v>113</v>
      </c>
      <c r="B25" s="66">
        <f t="shared" si="8"/>
        <v>4466</v>
      </c>
      <c r="C25" s="66">
        <f t="shared" si="8"/>
        <v>4466</v>
      </c>
      <c r="D25" s="66">
        <f t="shared" si="8"/>
        <v>21161.66</v>
      </c>
      <c r="E25" s="66">
        <f t="shared" si="8"/>
        <v>3237</v>
      </c>
      <c r="F25" s="66">
        <f t="shared" si="8"/>
        <v>3237</v>
      </c>
      <c r="G25" s="66">
        <f t="shared" si="8"/>
        <v>4203</v>
      </c>
      <c r="H25" s="66">
        <f t="shared" si="8"/>
        <v>3916</v>
      </c>
      <c r="I25" s="66">
        <f t="shared" si="8"/>
        <v>4810</v>
      </c>
      <c r="J25" s="66">
        <f t="shared" si="8"/>
        <v>4643</v>
      </c>
      <c r="K25" s="66">
        <f t="shared" si="8"/>
        <v>159.80999999999767</v>
      </c>
      <c r="L25" s="66">
        <f t="shared" si="8"/>
        <v>2559.75</v>
      </c>
      <c r="M25" s="66">
        <f t="shared" si="8"/>
        <v>1682.0400000000009</v>
      </c>
      <c r="N25" s="66">
        <f t="shared" si="8"/>
        <v>1466.4500000000007</v>
      </c>
      <c r="O25" s="66">
        <f t="shared" si="8"/>
        <v>2990.16</v>
      </c>
      <c r="P25" s="66">
        <f t="shared" si="8"/>
        <v>1519.6299999999992</v>
      </c>
      <c r="R25" s="69">
        <f t="shared" si="0"/>
        <v>58541.26</v>
      </c>
      <c r="S25" s="69">
        <f t="shared" si="1"/>
        <v>34423.839999999997</v>
      </c>
      <c r="U25" s="80"/>
      <c r="V25" s="88"/>
      <c r="W25" s="97"/>
      <c r="Y25" s="66">
        <f t="shared" si="11"/>
        <v>692.01260301354523</v>
      </c>
      <c r="Z25" s="66">
        <f t="shared" si="11"/>
        <v>1469.9874894494187</v>
      </c>
      <c r="AA25" s="66">
        <f t="shared" si="11"/>
        <v>21723.025159795608</v>
      </c>
      <c r="AB25" s="66">
        <f t="shared" si="11"/>
        <v>1469.9874894494187</v>
      </c>
      <c r="AC25" s="66">
        <f t="shared" si="11"/>
        <v>1340.3250083767725</v>
      </c>
      <c r="AD25" s="66">
        <f t="shared" si="11"/>
        <v>22371.337565158836</v>
      </c>
      <c r="AE25" s="66">
        <f t="shared" si="11"/>
        <v>1210.6625273041273</v>
      </c>
      <c r="AF25" s="66">
        <f t="shared" si="11"/>
        <v>1081.0000462314829</v>
      </c>
      <c r="AG25" s="66">
        <f t="shared" si="11"/>
        <v>22112.012603013547</v>
      </c>
      <c r="AH25" s="66">
        <f t="shared" si="11"/>
        <v>692.01260301354523</v>
      </c>
      <c r="AI25" s="66">
        <f t="shared" si="11"/>
        <v>432.68764086825286</v>
      </c>
      <c r="AJ25" s="66">
        <f t="shared" si="11"/>
        <v>22246.000046231482</v>
      </c>
      <c r="AL25" s="69">
        <f t="shared" si="12"/>
        <v>96841.050781906044</v>
      </c>
      <c r="AN25" s="80"/>
      <c r="AO25" s="88"/>
      <c r="AP25" s="91"/>
      <c r="AQ25" s="97"/>
    </row>
    <row r="26" spans="1:43" x14ac:dyDescent="0.25">
      <c r="A26" s="157" t="s">
        <v>967</v>
      </c>
      <c r="B26" s="66">
        <f t="shared" si="8"/>
        <v>8292.8299999999908</v>
      </c>
      <c r="C26" s="66">
        <f t="shared" si="8"/>
        <v>7284.3699999999953</v>
      </c>
      <c r="D26" s="66">
        <f t="shared" si="8"/>
        <v>-43039.619999999995</v>
      </c>
      <c r="E26" s="66">
        <f t="shared" si="8"/>
        <v>17221.589999999989</v>
      </c>
      <c r="F26" s="66">
        <f t="shared" si="8"/>
        <v>54875.549999999996</v>
      </c>
      <c r="G26" s="66">
        <f t="shared" si="8"/>
        <v>19080.679999999993</v>
      </c>
      <c r="H26" s="66">
        <f t="shared" si="8"/>
        <v>14206.729999999989</v>
      </c>
      <c r="I26" s="66">
        <f t="shared" si="8"/>
        <v>23989.520000000004</v>
      </c>
      <c r="J26" s="66">
        <f t="shared" si="8"/>
        <v>8391.4899999999907</v>
      </c>
      <c r="K26" s="66">
        <f t="shared" si="8"/>
        <v>174.31999999999971</v>
      </c>
      <c r="L26" s="66">
        <f t="shared" si="8"/>
        <v>12346.71</v>
      </c>
      <c r="M26" s="66">
        <f t="shared" si="8"/>
        <v>11486.489999999991</v>
      </c>
      <c r="N26" s="66">
        <f t="shared" si="8"/>
        <v>13390.650000000001</v>
      </c>
      <c r="O26" s="66">
        <f t="shared" si="8"/>
        <v>13229.489999999998</v>
      </c>
      <c r="P26" s="66">
        <f t="shared" si="8"/>
        <v>16927.309999999998</v>
      </c>
      <c r="R26" s="69">
        <f t="shared" si="0"/>
        <v>134310.65999999992</v>
      </c>
      <c r="S26" s="69">
        <f t="shared" si="1"/>
        <v>205320.52999999991</v>
      </c>
      <c r="U26" s="80"/>
      <c r="V26" s="88"/>
      <c r="W26" s="97"/>
      <c r="Y26" s="66">
        <f t="shared" si="11"/>
        <v>26960.958439412963</v>
      </c>
      <c r="Z26" s="66">
        <f t="shared" si="11"/>
        <v>35797.689373107954</v>
      </c>
      <c r="AA26" s="66">
        <f t="shared" si="11"/>
        <v>22542.592972565464</v>
      </c>
      <c r="AB26" s="66">
        <f t="shared" si="11"/>
        <v>35797.689373107954</v>
      </c>
      <c r="AC26" s="66">
        <f t="shared" si="11"/>
        <v>34324.9008841588</v>
      </c>
      <c r="AD26" s="66">
        <f t="shared" si="11"/>
        <v>29906.535417311294</v>
      </c>
      <c r="AE26" s="66">
        <f t="shared" si="11"/>
        <v>32852.112395209617</v>
      </c>
      <c r="AF26" s="66">
        <f t="shared" si="11"/>
        <v>31379.323906260477</v>
      </c>
      <c r="AG26" s="66">
        <f t="shared" si="11"/>
        <v>26960.958439412963</v>
      </c>
      <c r="AH26" s="66">
        <f t="shared" si="11"/>
        <v>26960.958439412963</v>
      </c>
      <c r="AI26" s="66">
        <f t="shared" si="11"/>
        <v>24015.381461514633</v>
      </c>
      <c r="AJ26" s="66">
        <f t="shared" si="11"/>
        <v>31379.323906260477</v>
      </c>
      <c r="AL26" s="69">
        <f t="shared" si="12"/>
        <v>358878.42500773555</v>
      </c>
      <c r="AN26" s="80"/>
      <c r="AO26" s="88"/>
      <c r="AP26" s="91"/>
      <c r="AQ26" s="97"/>
    </row>
    <row r="27" spans="1:43" x14ac:dyDescent="0.25">
      <c r="A27" s="157" t="s">
        <v>975</v>
      </c>
      <c r="B27" s="66">
        <f t="shared" si="8"/>
        <v>32362.489999999983</v>
      </c>
      <c r="C27" s="66">
        <f t="shared" si="8"/>
        <v>23680.560000000005</v>
      </c>
      <c r="D27" s="66">
        <f t="shared" si="8"/>
        <v>59650.51999999999</v>
      </c>
      <c r="E27" s="66">
        <f t="shared" si="8"/>
        <v>30404.280000000021</v>
      </c>
      <c r="F27" s="66">
        <f t="shared" si="8"/>
        <v>48418.659999999974</v>
      </c>
      <c r="G27" s="66">
        <f t="shared" si="8"/>
        <v>28054.499999999993</v>
      </c>
      <c r="H27" s="66">
        <f t="shared" si="8"/>
        <v>47816.03</v>
      </c>
      <c r="I27" s="66">
        <f t="shared" si="8"/>
        <v>44755.600000000013</v>
      </c>
      <c r="J27" s="66">
        <f t="shared" si="8"/>
        <v>44011.590000000011</v>
      </c>
      <c r="K27" s="66">
        <f t="shared" si="8"/>
        <v>41803.460000000006</v>
      </c>
      <c r="L27" s="66">
        <f t="shared" si="8"/>
        <v>54871.97</v>
      </c>
      <c r="M27" s="66">
        <f t="shared" si="8"/>
        <v>45945.440000000002</v>
      </c>
      <c r="N27" s="66">
        <f t="shared" si="8"/>
        <v>40444.22</v>
      </c>
      <c r="O27" s="66">
        <f t="shared" si="8"/>
        <v>32341.009999999995</v>
      </c>
      <c r="P27" s="66">
        <f t="shared" si="8"/>
        <v>45622.220000000008</v>
      </c>
      <c r="R27" s="69">
        <f t="shared" si="0"/>
        <v>501775.10000000003</v>
      </c>
      <c r="S27" s="69">
        <f t="shared" si="1"/>
        <v>504488.98000000016</v>
      </c>
      <c r="U27" s="80"/>
      <c r="V27" s="88"/>
      <c r="W27" s="97"/>
      <c r="Y27" s="66">
        <f t="shared" si="11"/>
        <v>22159.767376400225</v>
      </c>
      <c r="Z27" s="66">
        <f t="shared" si="11"/>
        <v>37105.124492724644</v>
      </c>
      <c r="AA27" s="66">
        <f t="shared" si="11"/>
        <v>33847.688650681186</v>
      </c>
      <c r="AB27" s="66">
        <f t="shared" si="11"/>
        <v>41358.036227588062</v>
      </c>
      <c r="AC27" s="66">
        <f t="shared" si="11"/>
        <v>53742.219784764675</v>
      </c>
      <c r="AD27" s="66">
        <f t="shared" si="11"/>
        <v>54107.846730303674</v>
      </c>
      <c r="AE27" s="66">
        <f t="shared" si="11"/>
        <v>54578.448500389481</v>
      </c>
      <c r="AF27" s="66">
        <f t="shared" si="11"/>
        <v>64020.120689163145</v>
      </c>
      <c r="AG27" s="66">
        <f t="shared" si="11"/>
        <v>54909.083837746177</v>
      </c>
      <c r="AH27" s="66">
        <f t="shared" si="11"/>
        <v>51704.135407976137</v>
      </c>
      <c r="AI27" s="66">
        <f t="shared" si="11"/>
        <v>37978.129756906623</v>
      </c>
      <c r="AJ27" s="66">
        <f t="shared" si="11"/>
        <v>65221.976350326906</v>
      </c>
      <c r="AL27" s="69">
        <f t="shared" si="12"/>
        <v>570732.5778049709</v>
      </c>
      <c r="AN27" s="80"/>
      <c r="AO27" s="88"/>
      <c r="AP27" s="91"/>
      <c r="AQ27" s="97"/>
    </row>
    <row r="28" spans="1:43" x14ac:dyDescent="0.25">
      <c r="A28" s="157" t="s">
        <v>976</v>
      </c>
      <c r="B28" s="66">
        <f t="shared" si="8"/>
        <v>-21858.169999999991</v>
      </c>
      <c r="C28" s="66">
        <f t="shared" si="8"/>
        <v>-37960.159999999996</v>
      </c>
      <c r="D28" s="66">
        <f t="shared" si="8"/>
        <v>-32998.130000000005</v>
      </c>
      <c r="E28" s="66">
        <f t="shared" si="8"/>
        <v>-20729.160000000003</v>
      </c>
      <c r="F28" s="66">
        <f t="shared" si="8"/>
        <v>-14697.529999999999</v>
      </c>
      <c r="G28" s="66">
        <f t="shared" si="8"/>
        <v>-14613.150000000001</v>
      </c>
      <c r="H28" s="66">
        <f t="shared" si="8"/>
        <v>-12950.249999999993</v>
      </c>
      <c r="I28" s="66">
        <f t="shared" si="8"/>
        <v>-4831.0799999999945</v>
      </c>
      <c r="J28" s="66">
        <f t="shared" si="8"/>
        <v>-2790.1500000000015</v>
      </c>
      <c r="K28" s="66">
        <f t="shared" si="8"/>
        <v>-8174.9400000000023</v>
      </c>
      <c r="L28" s="66">
        <f t="shared" si="8"/>
        <v>4719.359999999986</v>
      </c>
      <c r="M28" s="66">
        <f t="shared" si="8"/>
        <v>-7865.8899999999958</v>
      </c>
      <c r="N28" s="66">
        <f t="shared" si="8"/>
        <v>-20877.939999999995</v>
      </c>
      <c r="O28" s="66">
        <f t="shared" si="8"/>
        <v>-13256.419999999998</v>
      </c>
      <c r="P28" s="66">
        <f t="shared" si="8"/>
        <v>-13154.660000000003</v>
      </c>
      <c r="R28" s="69">
        <f t="shared" si="0"/>
        <v>-174749.24999999997</v>
      </c>
      <c r="S28" s="69">
        <f t="shared" si="1"/>
        <v>-129221.80999999998</v>
      </c>
      <c r="U28" s="80"/>
      <c r="V28" s="88"/>
      <c r="W28" s="97"/>
      <c r="Y28" s="66">
        <f t="shared" si="11"/>
        <v>-3005.8703471897315</v>
      </c>
      <c r="Z28" s="66">
        <f t="shared" si="11"/>
        <v>-3005.8703471897315</v>
      </c>
      <c r="AA28" s="66">
        <f t="shared" si="11"/>
        <v>-3005.8703471897315</v>
      </c>
      <c r="AB28" s="66">
        <f t="shared" si="11"/>
        <v>-3005.8703471897315</v>
      </c>
      <c r="AC28" s="66">
        <f t="shared" si="11"/>
        <v>-3005.8703471897315</v>
      </c>
      <c r="AD28" s="66">
        <f t="shared" si="11"/>
        <v>-3005.8703471897315</v>
      </c>
      <c r="AE28" s="66">
        <f t="shared" si="11"/>
        <v>-3005.8703471897315</v>
      </c>
      <c r="AF28" s="66">
        <f t="shared" si="11"/>
        <v>-3005.8703471897315</v>
      </c>
      <c r="AG28" s="66">
        <f t="shared" si="11"/>
        <v>-3005.8703471897315</v>
      </c>
      <c r="AH28" s="66">
        <f t="shared" si="11"/>
        <v>-3005.8703471897315</v>
      </c>
      <c r="AI28" s="66">
        <f t="shared" si="11"/>
        <v>-3005.8703471897315</v>
      </c>
      <c r="AJ28" s="66">
        <f t="shared" si="11"/>
        <v>-3005.8703471897315</v>
      </c>
      <c r="AL28" s="69">
        <f t="shared" si="12"/>
        <v>-36070.444166276779</v>
      </c>
      <c r="AN28" s="80"/>
      <c r="AO28" s="88"/>
      <c r="AP28" s="91"/>
      <c r="AQ28" s="97"/>
    </row>
    <row r="29" spans="1:43" x14ac:dyDescent="0.25">
      <c r="A29" s="158" t="s">
        <v>981</v>
      </c>
      <c r="B29" s="74">
        <f>SUM(B22:B28)</f>
        <v>56744.720000000023</v>
      </c>
      <c r="C29" s="74">
        <f>SUM(C22:C28)</f>
        <v>82133.780000000144</v>
      </c>
      <c r="D29" s="74">
        <f>SUM(D22:D28)</f>
        <v>282342.35000000009</v>
      </c>
      <c r="E29" s="74">
        <f>SUM(E22:E28)</f>
        <v>265245.22999999986</v>
      </c>
      <c r="F29" s="74">
        <f t="shared" ref="F29:P29" si="13">SUM(F22:F28)</f>
        <v>456959.51000000036</v>
      </c>
      <c r="G29" s="74">
        <f t="shared" si="13"/>
        <v>358852.71999999927</v>
      </c>
      <c r="H29" s="74">
        <f t="shared" si="13"/>
        <v>279977.88000000012</v>
      </c>
      <c r="I29" s="74">
        <f t="shared" si="13"/>
        <v>423757.140000001</v>
      </c>
      <c r="J29" s="74">
        <f t="shared" si="13"/>
        <v>378093.41</v>
      </c>
      <c r="K29" s="74">
        <f t="shared" si="13"/>
        <v>295494.30999999965</v>
      </c>
      <c r="L29" s="74">
        <f t="shared" si="13"/>
        <v>286107.66999999934</v>
      </c>
      <c r="M29" s="74">
        <f t="shared" si="13"/>
        <v>252225.66000000021</v>
      </c>
      <c r="N29" s="74">
        <f t="shared" si="13"/>
        <v>224365.54999999987</v>
      </c>
      <c r="O29" s="74">
        <f t="shared" si="13"/>
        <v>232384.66000000021</v>
      </c>
      <c r="P29" s="74">
        <f t="shared" si="13"/>
        <v>307234.42999999912</v>
      </c>
      <c r="R29" s="68">
        <f t="shared" si="0"/>
        <v>3417934.38</v>
      </c>
      <c r="S29" s="68">
        <f t="shared" si="1"/>
        <v>3760698.169999999</v>
      </c>
      <c r="U29" s="80"/>
      <c r="V29" s="88"/>
      <c r="W29" s="98">
        <v>0.28000000000000003</v>
      </c>
      <c r="Y29" s="74">
        <f>SUM(Y22:Y28)</f>
        <v>294176.13813546154</v>
      </c>
      <c r="Z29" s="74">
        <f t="shared" ref="Z29:AJ29" si="14">SUM(Z22:Z28)</f>
        <v>318736.20107191685</v>
      </c>
      <c r="AA29" s="74">
        <f t="shared" si="14"/>
        <v>443599.66649967706</v>
      </c>
      <c r="AB29" s="74">
        <f t="shared" si="14"/>
        <v>322989.11280678026</v>
      </c>
      <c r="AC29" s="74">
        <f t="shared" si="14"/>
        <v>333770.8453939351</v>
      </c>
      <c r="AD29" s="74">
        <f t="shared" si="14"/>
        <v>471872.07942940865</v>
      </c>
      <c r="AE29" s="74">
        <f t="shared" si="14"/>
        <v>333004.62313953805</v>
      </c>
      <c r="AF29" s="74">
        <f t="shared" si="14"/>
        <v>340843.84435828996</v>
      </c>
      <c r="AG29" s="74">
        <f t="shared" si="14"/>
        <v>469468.41459680756</v>
      </c>
      <c r="AH29" s="74">
        <f t="shared" si="14"/>
        <v>304372.60293812177</v>
      </c>
      <c r="AI29" s="74">
        <f t="shared" si="14"/>
        <v>287441.69534700864</v>
      </c>
      <c r="AJ29" s="74">
        <f t="shared" si="14"/>
        <v>508038.57486282714</v>
      </c>
      <c r="AL29" s="68">
        <f>SUM(Y29:AJ29)</f>
        <v>4428313.7985797729</v>
      </c>
      <c r="AN29" s="80"/>
      <c r="AO29" s="88"/>
      <c r="AP29" s="91"/>
      <c r="AQ29" s="98"/>
    </row>
    <row r="30" spans="1:43" x14ac:dyDescent="0.25">
      <c r="A30" s="158" t="s">
        <v>982</v>
      </c>
      <c r="B30" s="74">
        <f>-'Other - Admin'!B4</f>
        <v>-151275.34000000003</v>
      </c>
      <c r="C30" s="74">
        <f>-'Other - Admin'!C4</f>
        <v>-179688.80000000002</v>
      </c>
      <c r="D30" s="74">
        <f>-'Other - Admin'!D4</f>
        <v>-212169.49999999997</v>
      </c>
      <c r="E30" s="74">
        <f>-'Other - Admin'!E4</f>
        <v>-165344.91999999981</v>
      </c>
      <c r="F30" s="74">
        <f>-'Other - Admin'!F4</f>
        <v>-190870.14</v>
      </c>
      <c r="G30" s="74">
        <f>-'Other - Admin'!G4</f>
        <v>-219482.11999999994</v>
      </c>
      <c r="H30" s="74">
        <f>-'Other - Admin'!H4</f>
        <v>-218427.28999999995</v>
      </c>
      <c r="I30" s="74">
        <f>-'Other - Admin'!I4</f>
        <v>-199854.25000000012</v>
      </c>
      <c r="J30" s="74">
        <f>-'Other - Admin'!J4</f>
        <v>-188467.02000000005</v>
      </c>
      <c r="K30" s="74">
        <f>-'Other - Admin'!K4</f>
        <v>-201296.07000000004</v>
      </c>
      <c r="L30" s="74">
        <f>-'Other - Admin'!L4</f>
        <v>-200693.35000000003</v>
      </c>
      <c r="M30" s="74">
        <f>-'Other - Admin'!M4</f>
        <v>-196989.33000000005</v>
      </c>
      <c r="N30" s="74">
        <f>-'Other - Admin'!N4</f>
        <v>-214047.11000000007</v>
      </c>
      <c r="O30" s="74">
        <f>-'Other - Admin'!O4</f>
        <v>-206020.68</v>
      </c>
      <c r="P30" s="74">
        <f>-'Other - Admin'!P4</f>
        <v>-187535.90000000008</v>
      </c>
      <c r="R30" s="68">
        <f t="shared" si="0"/>
        <v>-2324558.13</v>
      </c>
      <c r="S30" s="68">
        <f t="shared" si="1"/>
        <v>-2389028.1800000002</v>
      </c>
      <c r="U30" s="80"/>
      <c r="V30" s="88"/>
      <c r="W30" s="97"/>
      <c r="Y30" s="74">
        <f>-'Other - Admin'!E20</f>
        <v>-198915.12452138335</v>
      </c>
      <c r="Z30" s="74">
        <f>-'Other - Admin'!F20</f>
        <v>-196326.53511548741</v>
      </c>
      <c r="AA30" s="74">
        <f>-'Other - Admin'!G20</f>
        <v>-193327.41505438602</v>
      </c>
      <c r="AB30" s="74">
        <f>-'Other - Admin'!H20</f>
        <v>-194231.29748219447</v>
      </c>
      <c r="AC30" s="74">
        <f>-'Other - Admin'!I20</f>
        <v>-195553.71700607982</v>
      </c>
      <c r="AD30" s="74">
        <f>-'Other - Admin'!J20</f>
        <v>-196345.09215967884</v>
      </c>
      <c r="AE30" s="74">
        <f>-'Other - Admin'!K20</f>
        <v>-199265.28565356304</v>
      </c>
      <c r="AF30" s="74">
        <f>-'Other - Admin'!L20</f>
        <v>-196524.55789019007</v>
      </c>
      <c r="AG30" s="74">
        <f>-'Other - Admin'!M20</f>
        <v>-193665.09189193745</v>
      </c>
      <c r="AH30" s="74">
        <f>-'Other - Admin'!N20</f>
        <v>-198881.74357588988</v>
      </c>
      <c r="AI30" s="74">
        <f>-'Other - Admin'!O20</f>
        <v>-199503.24155091945</v>
      </c>
      <c r="AJ30" s="74">
        <f>-'Other - Admin'!P20</f>
        <v>-196397.03654173171</v>
      </c>
      <c r="AL30" s="68">
        <f>SUM(Y30:AJ30)</f>
        <v>-2358936.1384434411</v>
      </c>
      <c r="AN30" s="80"/>
      <c r="AO30" s="88"/>
      <c r="AP30" s="92"/>
      <c r="AQ30" s="98">
        <f>-AL30/AL11</f>
        <v>0.31539104827065512</v>
      </c>
    </row>
    <row r="31" spans="1:43" ht="15.75" thickBot="1" x14ac:dyDescent="0.3">
      <c r="A31" s="158" t="s">
        <v>983</v>
      </c>
      <c r="B31" s="84">
        <f t="shared" ref="B31:D31" si="15">B29+B30</f>
        <v>-94530.62</v>
      </c>
      <c r="C31" s="84">
        <f t="shared" si="15"/>
        <v>-97555.019999999873</v>
      </c>
      <c r="D31" s="84">
        <f t="shared" si="15"/>
        <v>70172.850000000122</v>
      </c>
      <c r="E31" s="84">
        <f>E29+E30</f>
        <v>99900.310000000056</v>
      </c>
      <c r="F31" s="84">
        <f t="shared" ref="F31:S31" si="16">F29+F30</f>
        <v>266089.37000000034</v>
      </c>
      <c r="G31" s="84">
        <f t="shared" si="16"/>
        <v>139370.59999999934</v>
      </c>
      <c r="H31" s="84">
        <f t="shared" si="16"/>
        <v>61550.590000000171</v>
      </c>
      <c r="I31" s="84">
        <f t="shared" si="16"/>
        <v>223902.89000000089</v>
      </c>
      <c r="J31" s="84">
        <f t="shared" si="16"/>
        <v>189626.38999999993</v>
      </c>
      <c r="K31" s="84">
        <f t="shared" si="16"/>
        <v>94198.239999999612</v>
      </c>
      <c r="L31" s="84">
        <f t="shared" si="16"/>
        <v>85414.319999999308</v>
      </c>
      <c r="M31" s="84">
        <f t="shared" si="16"/>
        <v>55236.330000000162</v>
      </c>
      <c r="N31" s="84">
        <f t="shared" si="16"/>
        <v>10318.439999999799</v>
      </c>
      <c r="O31" s="84">
        <f t="shared" si="16"/>
        <v>26363.980000000214</v>
      </c>
      <c r="P31" s="84">
        <f t="shared" si="16"/>
        <v>119698.52999999904</v>
      </c>
      <c r="Q31" s="84"/>
      <c r="R31" s="84">
        <f t="shared" si="16"/>
        <v>1093376.25</v>
      </c>
      <c r="S31" s="84">
        <f t="shared" si="16"/>
        <v>1371669.9899999988</v>
      </c>
      <c r="U31" s="80"/>
      <c r="V31" s="88"/>
      <c r="W31" s="98"/>
      <c r="Y31" s="84">
        <f>Y29+Y30</f>
        <v>95261.013614078198</v>
      </c>
      <c r="Z31" s="84">
        <f t="shared" ref="Z31:AJ31" si="17">Z29+Z30</f>
        <v>122409.66595642944</v>
      </c>
      <c r="AA31" s="84">
        <f t="shared" si="17"/>
        <v>250272.25144529104</v>
      </c>
      <c r="AB31" s="84">
        <f t="shared" si="17"/>
        <v>128757.8153245858</v>
      </c>
      <c r="AC31" s="84">
        <f t="shared" si="17"/>
        <v>138217.12838785528</v>
      </c>
      <c r="AD31" s="84">
        <f t="shared" si="17"/>
        <v>275526.98726972984</v>
      </c>
      <c r="AE31" s="84">
        <f t="shared" si="17"/>
        <v>133739.337485975</v>
      </c>
      <c r="AF31" s="84">
        <f t="shared" si="17"/>
        <v>144319.28646809989</v>
      </c>
      <c r="AG31" s="84">
        <f t="shared" si="17"/>
        <v>275803.32270487014</v>
      </c>
      <c r="AH31" s="84">
        <f t="shared" si="17"/>
        <v>105490.85936223189</v>
      </c>
      <c r="AI31" s="84">
        <f t="shared" si="17"/>
        <v>87938.45379608919</v>
      </c>
      <c r="AJ31" s="84">
        <f t="shared" si="17"/>
        <v>311641.5383210954</v>
      </c>
      <c r="AK31" s="84"/>
      <c r="AL31" s="84">
        <f>AL29+AL30</f>
        <v>2069377.6601363318</v>
      </c>
      <c r="AN31" s="80"/>
      <c r="AO31" s="88"/>
      <c r="AP31" s="92">
        <f>(AL31-R31)/R31</f>
        <v>0.89264917738640459</v>
      </c>
      <c r="AQ31" s="98"/>
    </row>
    <row r="32" spans="1:43" ht="15.75" thickTop="1" x14ac:dyDescent="0.25">
      <c r="U32" s="81"/>
      <c r="V32" s="81"/>
      <c r="AN32" s="81"/>
      <c r="AO32" s="81"/>
    </row>
    <row r="33" spans="1:41" hidden="1" outlineLevel="1" x14ac:dyDescent="0.25">
      <c r="A33" s="158" t="s">
        <v>984</v>
      </c>
      <c r="B33" s="66">
        <f>[1]Overall!B13</f>
        <v>-238126.20999999996</v>
      </c>
      <c r="C33" s="66">
        <f>[1]Overall!C13</f>
        <v>-233334.39507999999</v>
      </c>
      <c r="D33" s="66">
        <f>[1]Overall!D13</f>
        <v>547210.55232000002</v>
      </c>
      <c r="E33" s="66">
        <f>[1]Overall!E13</f>
        <v>-155744.43464875483</v>
      </c>
      <c r="F33" s="66">
        <f>[1]Overall!F13</f>
        <v>421.97167228662875</v>
      </c>
      <c r="G33" s="66">
        <f>[1]Overall!G13</f>
        <v>701691.94940448995</v>
      </c>
      <c r="H33" s="66">
        <f>[1]Overall!H13</f>
        <v>115610.45873632538</v>
      </c>
      <c r="I33" s="66">
        <f>[1]Overall!I13</f>
        <v>170847.79206965864</v>
      </c>
      <c r="J33" s="66">
        <f>[1]Overall!J13</f>
        <v>777657.19206965854</v>
      </c>
      <c r="K33" s="66">
        <f>[1]Overall!K13</f>
        <v>126787.72540299199</v>
      </c>
      <c r="L33" s="66">
        <f>[1]Overall!L13</f>
        <v>117314.72540299199</v>
      </c>
      <c r="M33" s="66">
        <f>[1]Overall!M13</f>
        <v>722439.98095854744</v>
      </c>
      <c r="N33" s="66">
        <f>[1]Overall!N13</f>
        <v>47240.380958547583</v>
      </c>
      <c r="O33" s="66">
        <f>[1]Overall!O13</f>
        <v>70251.735625214293</v>
      </c>
      <c r="P33" s="66">
        <f>[1]Overall!P13</f>
        <v>854130.42762521422</v>
      </c>
      <c r="U33" s="80"/>
      <c r="V33" s="81"/>
      <c r="AN33" s="80"/>
      <c r="AO33" s="81"/>
    </row>
    <row r="34" spans="1:41" hidden="1" outlineLevel="1" x14ac:dyDescent="0.25">
      <c r="U34" s="80"/>
      <c r="V34" s="81"/>
      <c r="AN34" s="80"/>
      <c r="AO34" s="81"/>
    </row>
    <row r="35" spans="1:41" hidden="1" outlineLevel="1" x14ac:dyDescent="0.25">
      <c r="A35" s="158" t="s">
        <v>985</v>
      </c>
      <c r="B35" s="66">
        <f>B31-B33</f>
        <v>143595.58999999997</v>
      </c>
      <c r="C35" s="66">
        <f t="shared" ref="C35:P35" si="18">C31-C33</f>
        <v>135779.37508000011</v>
      </c>
      <c r="D35" s="66">
        <f t="shared" si="18"/>
        <v>-477037.70231999992</v>
      </c>
      <c r="E35" s="66">
        <f t="shared" si="18"/>
        <v>255644.74464875489</v>
      </c>
      <c r="F35" s="66">
        <f t="shared" si="18"/>
        <v>265667.39832771372</v>
      </c>
      <c r="G35" s="66">
        <f t="shared" si="18"/>
        <v>-562321.34940449055</v>
      </c>
      <c r="H35" s="66">
        <f t="shared" si="18"/>
        <v>-54059.86873632521</v>
      </c>
      <c r="I35" s="66">
        <f t="shared" si="18"/>
        <v>53055.09793034225</v>
      </c>
      <c r="J35" s="66">
        <f t="shared" si="18"/>
        <v>-588030.80206965865</v>
      </c>
      <c r="K35" s="66">
        <f t="shared" si="18"/>
        <v>-32589.485402992374</v>
      </c>
      <c r="L35" s="66">
        <f t="shared" si="18"/>
        <v>-31900.405402992677</v>
      </c>
      <c r="M35" s="66">
        <f t="shared" si="18"/>
        <v>-667203.65095854725</v>
      </c>
      <c r="N35" s="66">
        <f t="shared" si="18"/>
        <v>-36921.940958547784</v>
      </c>
      <c r="O35" s="66">
        <f t="shared" si="18"/>
        <v>-43887.755625214078</v>
      </c>
      <c r="P35" s="66">
        <f t="shared" si="18"/>
        <v>-734431.89762521512</v>
      </c>
      <c r="U35" s="80"/>
      <c r="V35" s="81"/>
      <c r="AN35" s="80"/>
      <c r="AO35" s="81"/>
    </row>
    <row r="36" spans="1:41" hidden="1" outlineLevel="1" x14ac:dyDescent="0.25">
      <c r="A36" t="s">
        <v>986</v>
      </c>
      <c r="B36" s="3">
        <f>B35/B33</f>
        <v>-0.6030230355574886</v>
      </c>
      <c r="C36" s="3">
        <f t="shared" ref="C36:P36" si="19">C35/C33</f>
        <v>-0.58190895960043698</v>
      </c>
      <c r="D36" s="3">
        <f t="shared" si="19"/>
        <v>-0.87176261550057954</v>
      </c>
      <c r="E36" s="3">
        <f t="shared" si="19"/>
        <v>-1.6414374306555599</v>
      </c>
      <c r="F36" s="3">
        <f t="shared" si="19"/>
        <v>629.58586032110782</v>
      </c>
      <c r="G36" s="3">
        <f t="shared" si="19"/>
        <v>-0.80137922329267131</v>
      </c>
      <c r="H36" s="3">
        <f t="shared" si="19"/>
        <v>-0.46760361758982738</v>
      </c>
      <c r="I36" s="3">
        <f t="shared" si="19"/>
        <v>0.31054014387678153</v>
      </c>
      <c r="J36" s="3">
        <f t="shared" si="19"/>
        <v>-0.75615683628498587</v>
      </c>
      <c r="K36" s="3">
        <f t="shared" si="19"/>
        <v>-0.2570397512803973</v>
      </c>
      <c r="L36" s="3">
        <f t="shared" si="19"/>
        <v>-0.27192157926816485</v>
      </c>
      <c r="M36" s="3">
        <f t="shared" si="19"/>
        <v>-0.92354198070999405</v>
      </c>
      <c r="N36" s="3">
        <f t="shared" si="19"/>
        <v>-0.78157585119700856</v>
      </c>
      <c r="O36" s="3">
        <f t="shared" si="19"/>
        <v>-0.62472130025869665</v>
      </c>
      <c r="P36" s="3">
        <f t="shared" si="19"/>
        <v>-0.85985918996844135</v>
      </c>
      <c r="U36" s="80"/>
      <c r="V36" s="81"/>
      <c r="AN36" s="80"/>
      <c r="AO36" s="81"/>
    </row>
    <row r="37" spans="1:41" hidden="1" outlineLevel="1" x14ac:dyDescent="0.25"/>
    <row r="38" spans="1:41" hidden="1" outlineLevel="1" x14ac:dyDescent="0.25">
      <c r="A38" s="158" t="s">
        <v>987</v>
      </c>
      <c r="B38" s="66">
        <v>-238125.52</v>
      </c>
      <c r="C38" s="66">
        <v>-233335.69</v>
      </c>
      <c r="D38" s="66">
        <v>1038656.91</v>
      </c>
      <c r="E38" s="66">
        <v>-23371.65</v>
      </c>
      <c r="F38" s="66">
        <v>196536.4</v>
      </c>
      <c r="G38" s="66">
        <v>836592.92</v>
      </c>
      <c r="H38" s="66">
        <v>-299234.21000000002</v>
      </c>
      <c r="I38" s="66">
        <v>99191.67</v>
      </c>
      <c r="J38" s="66">
        <v>553053.5</v>
      </c>
      <c r="K38" s="66">
        <v>-40192.800000000003</v>
      </c>
      <c r="L38" s="66">
        <v>113373.87</v>
      </c>
      <c r="M38" s="66">
        <v>323842.93</v>
      </c>
    </row>
    <row r="39" spans="1:41" hidden="1" outlineLevel="1" x14ac:dyDescent="0.25"/>
    <row r="40" spans="1:41" hidden="1" outlineLevel="1" x14ac:dyDescent="0.25">
      <c r="A40" s="158" t="s">
        <v>985</v>
      </c>
      <c r="B40" s="66">
        <f t="shared" ref="B40:M40" si="20">B31-B38</f>
        <v>143594.9</v>
      </c>
      <c r="C40" s="66">
        <f t="shared" si="20"/>
        <v>135780.67000000013</v>
      </c>
      <c r="D40" s="66">
        <f t="shared" si="20"/>
        <v>-968484.05999999994</v>
      </c>
      <c r="E40" s="66">
        <f t="shared" si="20"/>
        <v>123271.96000000005</v>
      </c>
      <c r="F40" s="66">
        <f t="shared" si="20"/>
        <v>69552.97000000035</v>
      </c>
      <c r="G40" s="66">
        <f t="shared" si="20"/>
        <v>-697222.32000000076</v>
      </c>
      <c r="H40" s="66">
        <f t="shared" si="20"/>
        <v>360784.80000000016</v>
      </c>
      <c r="I40" s="66">
        <f t="shared" si="20"/>
        <v>124711.22000000089</v>
      </c>
      <c r="J40" s="66">
        <f t="shared" si="20"/>
        <v>-363427.1100000001</v>
      </c>
      <c r="K40" s="66">
        <f t="shared" si="20"/>
        <v>134391.03999999963</v>
      </c>
      <c r="L40" s="66">
        <f t="shared" si="20"/>
        <v>-27959.550000000687</v>
      </c>
      <c r="M40" s="66">
        <f t="shared" si="20"/>
        <v>-268606.59999999986</v>
      </c>
    </row>
    <row r="41" spans="1:41" collapsed="1" x14ac:dyDescent="0.25"/>
    <row r="42" spans="1:41" x14ac:dyDescent="0.25">
      <c r="A42" s="158" t="s">
        <v>988</v>
      </c>
      <c r="R42" s="94"/>
      <c r="AL42" s="3"/>
    </row>
    <row r="43" spans="1:41" s="3" customFormat="1" outlineLevel="1" x14ac:dyDescent="0.25">
      <c r="A43" s="156" t="s">
        <v>989</v>
      </c>
      <c r="B43" s="66"/>
      <c r="C43" s="66"/>
      <c r="D43" s="66"/>
      <c r="E43" s="66"/>
      <c r="F43" s="66"/>
      <c r="G43" s="66"/>
      <c r="H43" s="66"/>
      <c r="I43" s="66"/>
      <c r="J43" s="66"/>
      <c r="K43" s="66"/>
      <c r="L43" s="66"/>
      <c r="M43" s="66"/>
      <c r="N43" s="66"/>
      <c r="O43" s="66"/>
      <c r="P43" s="66"/>
      <c r="Q43" s="66"/>
      <c r="R43" s="74"/>
      <c r="S43" s="66"/>
      <c r="T43" s="66"/>
      <c r="X43" s="66"/>
      <c r="Y43" s="66" t="e">
        <f>'New Vehicles - Group'!E40-#REF!</f>
        <v>#REF!</v>
      </c>
      <c r="Z43" s="66" t="e">
        <f>'New Vehicles - Group'!F40-#REF!</f>
        <v>#REF!</v>
      </c>
      <c r="AA43" s="66" t="e">
        <f>'New Vehicles - Group'!G40-#REF!</f>
        <v>#REF!</v>
      </c>
      <c r="AB43" s="66" t="e">
        <f>'New Vehicles - Group'!H40-#REF!</f>
        <v>#REF!</v>
      </c>
      <c r="AC43" s="66" t="e">
        <f>'New Vehicles - Group'!I40-#REF!</f>
        <v>#REF!</v>
      </c>
      <c r="AD43" s="66" t="e">
        <f>'New Vehicles - Group'!J40-#REF!</f>
        <v>#REF!</v>
      </c>
      <c r="AE43" s="66" t="e">
        <f>'New Vehicles - Group'!K40-#REF!</f>
        <v>#REF!</v>
      </c>
      <c r="AF43" s="66" t="e">
        <f>'New Vehicles - Group'!L40-#REF!</f>
        <v>#REF!</v>
      </c>
      <c r="AG43" s="66" t="e">
        <f>'New Vehicles - Group'!M40-#REF!</f>
        <v>#REF!</v>
      </c>
      <c r="AH43" s="66" t="e">
        <f>'New Vehicles - Group'!N40-#REF!</f>
        <v>#REF!</v>
      </c>
      <c r="AI43" s="66" t="e">
        <f>'New Vehicles - Group'!O40-#REF!</f>
        <v>#REF!</v>
      </c>
      <c r="AJ43" s="66" t="e">
        <f>'New Vehicles - Group'!P40-#REF!</f>
        <v>#REF!</v>
      </c>
      <c r="AK43" s="66"/>
      <c r="AL43" s="66"/>
      <c r="AM43" s="66"/>
    </row>
    <row r="44" spans="1:41" s="3" customFormat="1" outlineLevel="1" x14ac:dyDescent="0.25">
      <c r="A44" s="157" t="s">
        <v>990</v>
      </c>
      <c r="B44" s="66"/>
      <c r="C44" s="66"/>
      <c r="D44" s="66"/>
      <c r="E44" s="93"/>
      <c r="F44" s="93"/>
      <c r="G44" s="93"/>
      <c r="H44" s="93"/>
      <c r="I44" s="93"/>
      <c r="J44" s="66"/>
      <c r="K44" s="66"/>
      <c r="L44" s="93"/>
      <c r="M44" s="93"/>
      <c r="N44" s="93"/>
      <c r="O44" s="93"/>
      <c r="P44" s="66"/>
      <c r="Q44" s="66"/>
      <c r="R44" s="66"/>
      <c r="S44" s="66"/>
      <c r="T44" s="66"/>
      <c r="X44" s="66"/>
      <c r="Y44" s="66" t="e">
        <f>'Used Vehicles - Group'!E50-'Overall - lexus'!#REF!</f>
        <v>#REF!</v>
      </c>
      <c r="Z44" s="66" t="e">
        <f>'Used Vehicles - Group'!F50-'Overall - lexus'!#REF!</f>
        <v>#REF!</v>
      </c>
      <c r="AA44" s="66" t="e">
        <f>'Used Vehicles - Group'!G50-'Overall - lexus'!#REF!</f>
        <v>#REF!</v>
      </c>
      <c r="AB44" s="66" t="e">
        <f>'Used Vehicles - Group'!H50-'Overall - lexus'!#REF!</f>
        <v>#REF!</v>
      </c>
      <c r="AC44" s="66" t="e">
        <f>'Used Vehicles - Group'!I50-'Overall - lexus'!#REF!</f>
        <v>#REF!</v>
      </c>
      <c r="AD44" s="66" t="e">
        <f>'Used Vehicles - Group'!J50-'Overall - lexus'!#REF!</f>
        <v>#REF!</v>
      </c>
      <c r="AE44" s="66" t="e">
        <f>'Used Vehicles - Group'!K50-'Overall - lexus'!#REF!</f>
        <v>#REF!</v>
      </c>
      <c r="AF44" s="66" t="e">
        <f>'Used Vehicles - Group'!L50-'Overall - lexus'!#REF!</f>
        <v>#REF!</v>
      </c>
      <c r="AG44" s="66" t="e">
        <f>'Used Vehicles - Group'!M50-'Overall - lexus'!#REF!</f>
        <v>#REF!</v>
      </c>
      <c r="AH44" s="66" t="e">
        <f>'Used Vehicles - Group'!N50-'Overall - lexus'!#REF!</f>
        <v>#REF!</v>
      </c>
      <c r="AI44" s="66" t="e">
        <f>'Used Vehicles - Group'!O50-'Overall - lexus'!#REF!</f>
        <v>#REF!</v>
      </c>
      <c r="AJ44" s="66" t="e">
        <f>'Used Vehicles - Group'!P50-'Overall - lexus'!#REF!</f>
        <v>#REF!</v>
      </c>
      <c r="AK44" s="66"/>
      <c r="AL44" s="66"/>
      <c r="AM44" s="66"/>
    </row>
    <row r="45" spans="1:41" s="3" customFormat="1" outlineLevel="1" x14ac:dyDescent="0.25">
      <c r="A45" s="157" t="s">
        <v>966</v>
      </c>
      <c r="B45" s="66"/>
      <c r="C45" s="66"/>
      <c r="D45" s="66"/>
      <c r="E45" s="93"/>
      <c r="F45" s="93"/>
      <c r="G45" s="93"/>
      <c r="H45" s="93"/>
      <c r="I45" s="93"/>
      <c r="J45" s="66"/>
      <c r="K45" s="66"/>
      <c r="L45" s="93"/>
      <c r="M45" s="93"/>
      <c r="N45" s="93"/>
      <c r="O45" s="93"/>
      <c r="P45" s="66"/>
      <c r="Q45" s="66"/>
      <c r="R45" s="66"/>
      <c r="S45" s="66"/>
      <c r="T45" s="66"/>
      <c r="X45" s="66"/>
      <c r="Y45" s="66" t="e">
        <f>'F&amp;I'!E30-'Overall - lexus'!#REF!</f>
        <v>#REF!</v>
      </c>
      <c r="Z45" s="66" t="e">
        <f>'F&amp;I'!F30-'Overall - lexus'!#REF!</f>
        <v>#REF!</v>
      </c>
      <c r="AA45" s="66" t="e">
        <f>'F&amp;I'!G30-'Overall - lexus'!#REF!</f>
        <v>#REF!</v>
      </c>
      <c r="AB45" s="66" t="e">
        <f>'F&amp;I'!H30-'Overall - lexus'!#REF!</f>
        <v>#REF!</v>
      </c>
      <c r="AC45" s="66" t="e">
        <f>'F&amp;I'!I30-'Overall - lexus'!#REF!</f>
        <v>#REF!</v>
      </c>
      <c r="AD45" s="66" t="e">
        <f>'F&amp;I'!J30-'Overall - lexus'!#REF!</f>
        <v>#REF!</v>
      </c>
      <c r="AE45" s="66" t="e">
        <f>'F&amp;I'!K30-'Overall - lexus'!#REF!</f>
        <v>#REF!</v>
      </c>
      <c r="AF45" s="66" t="e">
        <f>'F&amp;I'!L30-'Overall - lexus'!#REF!</f>
        <v>#REF!</v>
      </c>
      <c r="AG45" s="66" t="e">
        <f>'F&amp;I'!M30-'Overall - lexus'!#REF!</f>
        <v>#REF!</v>
      </c>
      <c r="AH45" s="66" t="e">
        <f>'F&amp;I'!N30-'Overall - lexus'!#REF!</f>
        <v>#REF!</v>
      </c>
      <c r="AI45" s="66" t="e">
        <f>'F&amp;I'!O30-'Overall - lexus'!#REF!</f>
        <v>#REF!</v>
      </c>
      <c r="AJ45" s="66" t="e">
        <f>'F&amp;I'!P30-'Overall - lexus'!#REF!</f>
        <v>#REF!</v>
      </c>
      <c r="AK45" s="66"/>
      <c r="AL45" s="66"/>
      <c r="AM45" s="66"/>
    </row>
    <row r="46" spans="1:41" s="3" customFormat="1" outlineLevel="1" x14ac:dyDescent="0.25">
      <c r="A46" s="157" t="s">
        <v>113</v>
      </c>
      <c r="B46" s="66"/>
      <c r="C46" s="66"/>
      <c r="D46" s="66"/>
      <c r="E46" s="93"/>
      <c r="F46" s="93"/>
      <c r="G46" s="93"/>
      <c r="H46" s="93"/>
      <c r="I46" s="93"/>
      <c r="J46" s="66"/>
      <c r="K46" s="66"/>
      <c r="L46" s="93"/>
      <c r="M46" s="93"/>
      <c r="N46" s="93"/>
      <c r="O46" s="93"/>
      <c r="P46" s="66"/>
      <c r="Q46" s="66"/>
      <c r="R46" s="66"/>
      <c r="S46" s="66"/>
      <c r="T46" s="66"/>
      <c r="X46" s="66"/>
      <c r="Y46" s="66" t="e">
        <f>#REF!-#REF!</f>
        <v>#REF!</v>
      </c>
      <c r="Z46" s="66" t="e">
        <f>#REF!-#REF!</f>
        <v>#REF!</v>
      </c>
      <c r="AA46" s="66" t="e">
        <f>#REF!-#REF!</f>
        <v>#REF!</v>
      </c>
      <c r="AB46" s="66" t="e">
        <f>#REF!-#REF!</f>
        <v>#REF!</v>
      </c>
      <c r="AC46" s="66" t="e">
        <f>#REF!-#REF!</f>
        <v>#REF!</v>
      </c>
      <c r="AD46" s="66" t="e">
        <f>#REF!-#REF!</f>
        <v>#REF!</v>
      </c>
      <c r="AE46" s="66" t="e">
        <f>#REF!-#REF!</f>
        <v>#REF!</v>
      </c>
      <c r="AF46" s="66" t="e">
        <f>#REF!-#REF!</f>
        <v>#REF!</v>
      </c>
      <c r="AG46" s="66" t="e">
        <f>#REF!-#REF!</f>
        <v>#REF!</v>
      </c>
      <c r="AH46" s="66" t="e">
        <f>#REF!-#REF!</f>
        <v>#REF!</v>
      </c>
      <c r="AI46" s="66" t="e">
        <f>#REF!-#REF!</f>
        <v>#REF!</v>
      </c>
      <c r="AJ46" s="66" t="e">
        <f>#REF!-#REF!</f>
        <v>#REF!</v>
      </c>
      <c r="AK46" s="66"/>
      <c r="AL46" s="66"/>
      <c r="AM46" s="66"/>
    </row>
    <row r="47" spans="1:41" s="3" customFormat="1" outlineLevel="1" x14ac:dyDescent="0.25">
      <c r="A47" s="157" t="s">
        <v>967</v>
      </c>
      <c r="B47" s="66"/>
      <c r="C47" s="66"/>
      <c r="D47" s="66"/>
      <c r="E47" s="93"/>
      <c r="F47" s="93"/>
      <c r="G47" s="93"/>
      <c r="H47" s="93"/>
      <c r="I47" s="93"/>
      <c r="J47" s="66"/>
      <c r="K47" s="66"/>
      <c r="L47" s="93"/>
      <c r="M47" s="93"/>
      <c r="N47" s="93"/>
      <c r="O47" s="93"/>
      <c r="P47" s="66"/>
      <c r="Q47" s="66"/>
      <c r="R47" s="66"/>
      <c r="S47" s="66"/>
      <c r="T47" s="66"/>
      <c r="X47" s="66"/>
      <c r="Y47" s="66" t="e">
        <f>#REF!-#REF!</f>
        <v>#REF!</v>
      </c>
      <c r="Z47" s="66" t="e">
        <f>#REF!-#REF!</f>
        <v>#REF!</v>
      </c>
      <c r="AA47" s="66" t="e">
        <f>#REF!-#REF!</f>
        <v>#REF!</v>
      </c>
      <c r="AB47" s="66" t="e">
        <f>#REF!-#REF!</f>
        <v>#REF!</v>
      </c>
      <c r="AC47" s="66" t="e">
        <f>#REF!-#REF!</f>
        <v>#REF!</v>
      </c>
      <c r="AD47" s="66" t="e">
        <f>#REF!-#REF!</f>
        <v>#REF!</v>
      </c>
      <c r="AE47" s="66" t="e">
        <f>#REF!-#REF!</f>
        <v>#REF!</v>
      </c>
      <c r="AF47" s="66" t="e">
        <f>#REF!-#REF!</f>
        <v>#REF!</v>
      </c>
      <c r="AG47" s="66" t="e">
        <f>#REF!-#REF!</f>
        <v>#REF!</v>
      </c>
      <c r="AH47" s="66" t="e">
        <f>#REF!-#REF!</f>
        <v>#REF!</v>
      </c>
      <c r="AI47" s="66" t="e">
        <f>#REF!-#REF!</f>
        <v>#REF!</v>
      </c>
      <c r="AJ47" s="66" t="e">
        <f>#REF!-#REF!</f>
        <v>#REF!</v>
      </c>
      <c r="AK47" s="66"/>
      <c r="AL47" s="66"/>
      <c r="AM47" s="66"/>
    </row>
    <row r="48" spans="1:41" s="3" customFormat="1" outlineLevel="1" x14ac:dyDescent="0.25">
      <c r="A48" s="157" t="s">
        <v>991</v>
      </c>
      <c r="B48" s="66"/>
      <c r="C48" s="66"/>
      <c r="D48" s="66"/>
      <c r="E48" s="93"/>
      <c r="F48" s="93"/>
      <c r="G48" s="93"/>
      <c r="H48" s="93"/>
      <c r="I48" s="93"/>
      <c r="J48" s="66"/>
      <c r="K48" s="66"/>
      <c r="L48" s="93"/>
      <c r="M48" s="93"/>
      <c r="N48" s="93"/>
      <c r="O48" s="93"/>
      <c r="P48" s="66"/>
      <c r="Q48" s="66"/>
      <c r="R48" s="66"/>
      <c r="S48" s="66"/>
      <c r="T48" s="66"/>
      <c r="X48" s="66"/>
      <c r="Y48" s="66">
        <f>'LEX - New Vehicles'!E36-Y22</f>
        <v>0</v>
      </c>
      <c r="Z48" s="66">
        <f>'LEX - New Vehicles'!F36-Z22</f>
        <v>0</v>
      </c>
      <c r="AA48" s="66">
        <f>'LEX - New Vehicles'!G36-AA22</f>
        <v>0</v>
      </c>
      <c r="AB48" s="66">
        <f>'LEX - New Vehicles'!H36-AB22</f>
        <v>0</v>
      </c>
      <c r="AC48" s="66">
        <f>'LEX - New Vehicles'!I36-AC22</f>
        <v>0</v>
      </c>
      <c r="AD48" s="66">
        <f>'LEX - New Vehicles'!J36-AD22</f>
        <v>0</v>
      </c>
      <c r="AE48" s="66">
        <f>'LEX - New Vehicles'!K36-AE22</f>
        <v>0</v>
      </c>
      <c r="AF48" s="66">
        <f>'LEX - New Vehicles'!L36-AF22</f>
        <v>0</v>
      </c>
      <c r="AG48" s="66">
        <f>'LEX - New Vehicles'!M36-AG22</f>
        <v>0</v>
      </c>
      <c r="AH48" s="66">
        <f>'LEX - New Vehicles'!N36-AH22</f>
        <v>0</v>
      </c>
      <c r="AI48" s="66">
        <f>'LEX - New Vehicles'!O36-AI22</f>
        <v>0</v>
      </c>
      <c r="AJ48" s="66">
        <f>'LEX - New Vehicles'!P36-AJ22</f>
        <v>0</v>
      </c>
      <c r="AK48" s="66"/>
      <c r="AL48" s="66"/>
      <c r="AM48" s="66"/>
    </row>
    <row r="49" spans="1:41" s="3" customFormat="1" outlineLevel="1" x14ac:dyDescent="0.25">
      <c r="A49" s="156" t="s">
        <v>992</v>
      </c>
      <c r="B49" s="66"/>
      <c r="C49" s="66"/>
      <c r="D49" s="66"/>
      <c r="E49" s="93"/>
      <c r="F49" s="93"/>
      <c r="G49" s="93"/>
      <c r="H49" s="93"/>
      <c r="I49" s="93"/>
      <c r="J49" s="66"/>
      <c r="K49" s="66"/>
      <c r="L49" s="93"/>
      <c r="M49" s="93"/>
      <c r="N49" s="93"/>
      <c r="O49" s="93"/>
      <c r="P49" s="66"/>
      <c r="Q49" s="66"/>
      <c r="R49" s="74"/>
      <c r="S49" s="66"/>
      <c r="T49" s="66"/>
      <c r="X49" s="66"/>
      <c r="Y49" s="66">
        <f>'LEX - Used Vehicles'!E40-Y23</f>
        <v>0</v>
      </c>
      <c r="Z49" s="66">
        <f>'LEX - Used Vehicles'!F40-Z23</f>
        <v>0</v>
      </c>
      <c r="AA49" s="66">
        <f>'LEX - Used Vehicles'!G40-AA23</f>
        <v>0</v>
      </c>
      <c r="AB49" s="66">
        <f>'LEX - Used Vehicles'!H40-AB23</f>
        <v>0</v>
      </c>
      <c r="AC49" s="66">
        <f>'LEX - Used Vehicles'!I40-AC23</f>
        <v>0</v>
      </c>
      <c r="AD49" s="66">
        <f>'LEX - Used Vehicles'!J40-AD23</f>
        <v>0</v>
      </c>
      <c r="AE49" s="66">
        <f>'LEX - Used Vehicles'!K40-AE23</f>
        <v>0</v>
      </c>
      <c r="AF49" s="66">
        <f>'LEX - Used Vehicles'!L40-AF23</f>
        <v>0</v>
      </c>
      <c r="AG49" s="66">
        <f>'LEX - Used Vehicles'!M40-AG23</f>
        <v>0</v>
      </c>
      <c r="AH49" s="66">
        <f>'LEX - Used Vehicles'!N40-AH23</f>
        <v>0</v>
      </c>
      <c r="AI49" s="66">
        <f>'LEX - Used Vehicles'!O40-AI23</f>
        <v>0</v>
      </c>
      <c r="AJ49" s="66">
        <f>'LEX - Used Vehicles'!P40-AJ23</f>
        <v>0</v>
      </c>
      <c r="AK49" s="66"/>
      <c r="AL49" s="66"/>
      <c r="AM49" s="66"/>
    </row>
    <row r="50" spans="1:41" s="3" customFormat="1" outlineLevel="1" x14ac:dyDescent="0.25">
      <c r="A50" s="157" t="s">
        <v>993</v>
      </c>
      <c r="B50" s="66"/>
      <c r="C50" s="66"/>
      <c r="D50" s="66"/>
      <c r="E50" s="93"/>
      <c r="F50" s="93"/>
      <c r="G50" s="93"/>
      <c r="H50" s="93"/>
      <c r="I50" s="93"/>
      <c r="J50" s="66"/>
      <c r="K50" s="66"/>
      <c r="L50" s="93"/>
      <c r="M50" s="93"/>
      <c r="N50" s="93"/>
      <c r="O50" s="93"/>
      <c r="P50" s="66"/>
      <c r="Q50" s="66"/>
      <c r="R50" s="66"/>
      <c r="S50" s="66"/>
      <c r="T50" s="66"/>
      <c r="X50" s="66"/>
      <c r="Y50" s="66">
        <f>'LEX - F&amp;I'!E30-Y24</f>
        <v>0</v>
      </c>
      <c r="Z50" s="66">
        <f>'LEX - F&amp;I'!F30-Z24</f>
        <v>0</v>
      </c>
      <c r="AA50" s="66">
        <f>'LEX - F&amp;I'!G30-AA24</f>
        <v>0</v>
      </c>
      <c r="AB50" s="66">
        <f>'LEX - F&amp;I'!H30-AB24</f>
        <v>0</v>
      </c>
      <c r="AC50" s="66">
        <f>'LEX - F&amp;I'!I30-AC24</f>
        <v>0</v>
      </c>
      <c r="AD50" s="66">
        <f>'LEX - F&amp;I'!J30-AD24</f>
        <v>0</v>
      </c>
      <c r="AE50" s="66">
        <f>'LEX - F&amp;I'!K30-AE24</f>
        <v>0</v>
      </c>
      <c r="AF50" s="66">
        <f>'LEX - F&amp;I'!L30-AF24</f>
        <v>0</v>
      </c>
      <c r="AG50" s="66">
        <f>'LEX - F&amp;I'!M30-AG24</f>
        <v>0</v>
      </c>
      <c r="AH50" s="66">
        <f>'LEX - F&amp;I'!N30-AH24</f>
        <v>0</v>
      </c>
      <c r="AI50" s="66">
        <f>'LEX - F&amp;I'!O30-AI24</f>
        <v>0</v>
      </c>
      <c r="AJ50" s="66">
        <f>'LEX - F&amp;I'!P30-AJ24</f>
        <v>0</v>
      </c>
      <c r="AK50" s="66"/>
      <c r="AL50" s="66"/>
      <c r="AM50" s="66"/>
    </row>
    <row r="51" spans="1:41" s="3" customFormat="1" outlineLevel="1" x14ac:dyDescent="0.25">
      <c r="A51" s="157" t="s">
        <v>994</v>
      </c>
      <c r="B51" s="66"/>
      <c r="C51" s="66"/>
      <c r="D51" s="66"/>
      <c r="E51" s="93"/>
      <c r="F51" s="93"/>
      <c r="G51" s="93"/>
      <c r="H51" s="93"/>
      <c r="I51" s="93"/>
      <c r="J51" s="66"/>
      <c r="K51" s="66"/>
      <c r="L51" s="93"/>
      <c r="M51" s="93"/>
      <c r="N51" s="93"/>
      <c r="O51" s="93"/>
      <c r="P51" s="66"/>
      <c r="Q51" s="66"/>
      <c r="R51" s="66"/>
      <c r="S51" s="66"/>
      <c r="T51" s="66"/>
      <c r="X51" s="66"/>
      <c r="Y51" s="66">
        <f>'LEX - Parts'!E24-Y25</f>
        <v>0</v>
      </c>
      <c r="Z51" s="66">
        <f>'LEX - Parts'!F24-Z25</f>
        <v>0</v>
      </c>
      <c r="AA51" s="66">
        <f>'LEX - Parts'!G24-AA25</f>
        <v>0</v>
      </c>
      <c r="AB51" s="66">
        <f>'LEX - Parts'!H24-AB25</f>
        <v>0</v>
      </c>
      <c r="AC51" s="66">
        <f>'LEX - Parts'!I24-AC25</f>
        <v>0</v>
      </c>
      <c r="AD51" s="66">
        <f>'LEX - Parts'!J24-AD25</f>
        <v>0</v>
      </c>
      <c r="AE51" s="66">
        <f>'LEX - Parts'!K24-AE25</f>
        <v>0</v>
      </c>
      <c r="AF51" s="66">
        <f>'LEX - Parts'!L24-AF25</f>
        <v>0</v>
      </c>
      <c r="AG51" s="66">
        <f>'LEX - Parts'!M24-AG25</f>
        <v>0</v>
      </c>
      <c r="AH51" s="66">
        <f>'LEX - Parts'!N24-AH25</f>
        <v>0</v>
      </c>
      <c r="AI51" s="66">
        <f>'LEX - Parts'!O24-AI25</f>
        <v>0</v>
      </c>
      <c r="AJ51" s="66">
        <f>'LEX - Parts'!P24-AJ25</f>
        <v>0</v>
      </c>
      <c r="AK51" s="66"/>
      <c r="AL51" s="66"/>
      <c r="AM51" s="66"/>
    </row>
    <row r="52" spans="1:41" s="3" customFormat="1" outlineLevel="1" x14ac:dyDescent="0.25">
      <c r="A52" s="157" t="s">
        <v>995</v>
      </c>
      <c r="B52" s="66"/>
      <c r="C52" s="66"/>
      <c r="D52" s="66"/>
      <c r="E52" s="93"/>
      <c r="F52" s="93"/>
      <c r="G52" s="93"/>
      <c r="H52" s="93"/>
      <c r="I52" s="93"/>
      <c r="J52" s="66"/>
      <c r="K52" s="66"/>
      <c r="L52" s="93"/>
      <c r="M52" s="93"/>
      <c r="N52" s="93"/>
      <c r="O52" s="93"/>
      <c r="P52" s="66"/>
      <c r="Q52" s="66"/>
      <c r="R52" s="66"/>
      <c r="S52" s="66"/>
      <c r="T52" s="66"/>
      <c r="X52" s="66"/>
      <c r="Y52" s="66">
        <f>Y26-'LEX - Service'!E38</f>
        <v>0</v>
      </c>
      <c r="Z52" s="66">
        <f>Z26-'LEX - Service'!F38</f>
        <v>0</v>
      </c>
      <c r="AA52" s="66">
        <f>AA26-'LEX - Service'!G38</f>
        <v>0</v>
      </c>
      <c r="AB52" s="66">
        <f>AB26-'LEX - Service'!H38</f>
        <v>0</v>
      </c>
      <c r="AC52" s="66">
        <f>AC26-'LEX - Service'!I38</f>
        <v>0</v>
      </c>
      <c r="AD52" s="66">
        <f>AD26-'LEX - Service'!J38</f>
        <v>0</v>
      </c>
      <c r="AE52" s="66">
        <f>AE26-'LEX - Service'!K38</f>
        <v>0</v>
      </c>
      <c r="AF52" s="66">
        <f>AF26-'LEX - Service'!L38</f>
        <v>0</v>
      </c>
      <c r="AG52" s="66">
        <f>AG26-'LEX - Service'!M38</f>
        <v>0</v>
      </c>
      <c r="AH52" s="66">
        <f>AH26-'LEX - Service'!N38</f>
        <v>0</v>
      </c>
      <c r="AI52" s="66">
        <f>AI26-'LEX - Service'!O38</f>
        <v>0</v>
      </c>
      <c r="AJ52" s="66">
        <f>AJ26-'LEX - Service'!P38</f>
        <v>0</v>
      </c>
      <c r="AK52" s="66"/>
      <c r="AL52" s="66"/>
      <c r="AM52" s="66"/>
    </row>
    <row r="53" spans="1:41" s="3" customFormat="1" outlineLevel="1" x14ac:dyDescent="0.25">
      <c r="A53" s="157" t="s">
        <v>975</v>
      </c>
      <c r="B53" s="66"/>
      <c r="C53" s="66"/>
      <c r="D53" s="66"/>
      <c r="E53" s="93"/>
      <c r="F53" s="93"/>
      <c r="G53" s="93"/>
      <c r="H53" s="93"/>
      <c r="I53" s="93"/>
      <c r="J53" s="66"/>
      <c r="K53" s="66"/>
      <c r="L53" s="93"/>
      <c r="M53" s="93"/>
      <c r="N53" s="93"/>
      <c r="O53" s="93"/>
      <c r="P53" s="66"/>
      <c r="Q53" s="66"/>
      <c r="R53" s="66"/>
      <c r="S53" s="66"/>
      <c r="T53" s="66"/>
      <c r="X53" s="66"/>
      <c r="Y53" s="66">
        <f>'Bridgestone Group'!E26-Y27</f>
        <v>0</v>
      </c>
      <c r="Z53" s="66">
        <f>'Bridgestone Group'!F26-Z27</f>
        <v>0</v>
      </c>
      <c r="AA53" s="66">
        <f>'Bridgestone Group'!G26-AA27</f>
        <v>0</v>
      </c>
      <c r="AB53" s="66">
        <f>'Bridgestone Group'!H26-AB27</f>
        <v>0</v>
      </c>
      <c r="AC53" s="66">
        <f>'Bridgestone Group'!I26-AC27</f>
        <v>0</v>
      </c>
      <c r="AD53" s="66">
        <f>'Bridgestone Group'!J26-AD27</f>
        <v>0</v>
      </c>
      <c r="AE53" s="66">
        <f>'Bridgestone Group'!K26-AE27</f>
        <v>0</v>
      </c>
      <c r="AF53" s="66">
        <f>'Bridgestone Group'!L26-AF27</f>
        <v>0</v>
      </c>
      <c r="AG53" s="66">
        <f>'Bridgestone Group'!M26-AG27</f>
        <v>0</v>
      </c>
      <c r="AH53" s="66">
        <f>'Bridgestone Group'!N26-AH27</f>
        <v>0</v>
      </c>
      <c r="AI53" s="66">
        <f>'Bridgestone Group'!O26-AI27</f>
        <v>0</v>
      </c>
      <c r="AJ53" s="66">
        <f>'Bridgestone Group'!P26-AJ27</f>
        <v>0</v>
      </c>
      <c r="AK53" s="66"/>
      <c r="AL53" s="66"/>
      <c r="AM53" s="66"/>
    </row>
    <row r="54" spans="1:41" s="3" customFormat="1" outlineLevel="1" x14ac:dyDescent="0.25">
      <c r="A54" s="157" t="s">
        <v>976</v>
      </c>
      <c r="B54" s="66"/>
      <c r="C54" s="66"/>
      <c r="D54" s="66"/>
      <c r="E54" s="93"/>
      <c r="F54" s="93"/>
      <c r="G54" s="93"/>
      <c r="H54" s="93"/>
      <c r="I54" s="93"/>
      <c r="J54" s="66"/>
      <c r="K54" s="66"/>
      <c r="L54" s="93"/>
      <c r="M54" s="93"/>
      <c r="N54" s="93"/>
      <c r="O54" s="93"/>
      <c r="P54" s="66"/>
      <c r="Q54" s="66"/>
      <c r="R54" s="66"/>
      <c r="S54" s="66"/>
      <c r="T54" s="66"/>
      <c r="X54" s="66"/>
      <c r="Y54" s="66">
        <f>'Retail Detailing'!E28-Y28</f>
        <v>0</v>
      </c>
      <c r="Z54" s="66">
        <f>'Retail Detailing'!F28-Z28</f>
        <v>0</v>
      </c>
      <c r="AA54" s="66">
        <f>'Retail Detailing'!G28-AA28</f>
        <v>0</v>
      </c>
      <c r="AB54" s="66">
        <f>'Retail Detailing'!H28-AB28</f>
        <v>0</v>
      </c>
      <c r="AC54" s="66">
        <f>'Retail Detailing'!I28-AC28</f>
        <v>0</v>
      </c>
      <c r="AD54" s="66">
        <f>'Retail Detailing'!J28-AD28</f>
        <v>0</v>
      </c>
      <c r="AE54" s="66">
        <f>'Retail Detailing'!K28-AE28</f>
        <v>0</v>
      </c>
      <c r="AF54" s="66">
        <f>'Retail Detailing'!L28-AF28</f>
        <v>0</v>
      </c>
      <c r="AG54" s="66">
        <f>'Retail Detailing'!M28-AG28</f>
        <v>0</v>
      </c>
      <c r="AH54" s="66">
        <f>'Retail Detailing'!N28-AH28</f>
        <v>0</v>
      </c>
      <c r="AI54" s="66">
        <f>'Retail Detailing'!O28-AI28</f>
        <v>0</v>
      </c>
      <c r="AJ54" s="66">
        <f>'Retail Detailing'!P28-AJ28</f>
        <v>0</v>
      </c>
      <c r="AK54" s="66"/>
      <c r="AL54" s="66"/>
      <c r="AM54" s="66"/>
    </row>
    <row r="55" spans="1:41" s="3" customFormat="1" outlineLevel="1" x14ac:dyDescent="0.25">
      <c r="A55" s="158" t="s">
        <v>996</v>
      </c>
      <c r="B55" s="66"/>
      <c r="C55" s="66"/>
      <c r="D55" s="66"/>
      <c r="E55" s="93"/>
      <c r="F55" s="93"/>
      <c r="G55" s="93"/>
      <c r="H55" s="93"/>
      <c r="I55" s="93"/>
      <c r="J55" s="66"/>
      <c r="K55" s="66"/>
      <c r="L55" s="93"/>
      <c r="M55" s="93"/>
      <c r="N55" s="93"/>
      <c r="O55" s="93"/>
      <c r="P55" s="66"/>
      <c r="Q55" s="66"/>
      <c r="R55" s="74"/>
      <c r="S55" s="66"/>
      <c r="T55" s="66"/>
      <c r="X55" s="66"/>
      <c r="Y55" s="66" t="e">
        <f>#REF!+Y30+'Toyota - Admin'!E18+'Other - Admin'!E20</f>
        <v>#REF!</v>
      </c>
      <c r="Z55" s="66" t="e">
        <f>#REF!+Z30+'Toyota - Admin'!F18+'Other - Admin'!F20</f>
        <v>#REF!</v>
      </c>
      <c r="AA55" s="66" t="e">
        <f>#REF!+AA30+'Toyota - Admin'!G18+'Other - Admin'!G20</f>
        <v>#REF!</v>
      </c>
      <c r="AB55" s="66" t="e">
        <f>#REF!+AB30+'Toyota - Admin'!H18+'Other - Admin'!H20</f>
        <v>#REF!</v>
      </c>
      <c r="AC55" s="66" t="e">
        <f>#REF!+AC30+'Toyota - Admin'!I18+'Other - Admin'!I20</f>
        <v>#REF!</v>
      </c>
      <c r="AD55" s="66" t="e">
        <f>#REF!+AD30+'Toyota - Admin'!J18+'Other - Admin'!J20</f>
        <v>#REF!</v>
      </c>
      <c r="AE55" s="66" t="e">
        <f>#REF!+AE30+'Toyota - Admin'!K18+'Other - Admin'!K20</f>
        <v>#REF!</v>
      </c>
      <c r="AF55" s="66" t="e">
        <f>#REF!+AF30+'Toyota - Admin'!L18+'Other - Admin'!L20</f>
        <v>#REF!</v>
      </c>
      <c r="AG55" s="66" t="e">
        <f>#REF!+AG30+'Toyota - Admin'!M18+'Other - Admin'!M20</f>
        <v>#REF!</v>
      </c>
      <c r="AH55" s="66" t="e">
        <f>#REF!+AH30+'Toyota - Admin'!N18+'Other - Admin'!N20</f>
        <v>#REF!</v>
      </c>
      <c r="AI55" s="66" t="e">
        <f>#REF!+AI30+'Toyota - Admin'!O18+'Other - Admin'!O20</f>
        <v>#REF!</v>
      </c>
      <c r="AJ55" s="66" t="e">
        <f>#REF!+AJ30+'Toyota - Admin'!P18+'Other - Admin'!P20</f>
        <v>#REF!</v>
      </c>
      <c r="AK55" s="66"/>
      <c r="AL55" s="66"/>
      <c r="AM55" s="66"/>
    </row>
    <row r="56" spans="1:41" s="3" customFormat="1" x14ac:dyDescent="0.25">
      <c r="A56" s="157"/>
      <c r="B56" s="66"/>
      <c r="C56" s="66"/>
      <c r="D56" s="66"/>
      <c r="E56" s="93"/>
      <c r="F56" s="93"/>
      <c r="G56" s="93"/>
      <c r="H56" s="93"/>
      <c r="I56" s="93"/>
      <c r="J56" s="66"/>
      <c r="K56" s="66"/>
      <c r="L56" s="93"/>
      <c r="M56" s="93"/>
      <c r="N56" s="93"/>
      <c r="O56" s="93"/>
      <c r="P56" s="66"/>
      <c r="Q56" s="66"/>
      <c r="R56" s="66"/>
      <c r="S56" s="66"/>
      <c r="T56" s="66"/>
      <c r="X56" s="66"/>
      <c r="Y56" s="66"/>
      <c r="Z56" s="66"/>
      <c r="AA56" s="66"/>
      <c r="AB56" s="66"/>
      <c r="AC56" s="66"/>
      <c r="AD56" s="66"/>
      <c r="AE56" s="66"/>
      <c r="AF56" s="66"/>
      <c r="AG56" s="66"/>
      <c r="AH56" s="66"/>
      <c r="AI56" s="66"/>
      <c r="AJ56" s="66"/>
      <c r="AK56" s="66"/>
      <c r="AL56" s="66"/>
      <c r="AM56" s="66"/>
    </row>
    <row r="57" spans="1:41" s="3" customFormat="1" x14ac:dyDescent="0.25">
      <c r="A57" s="157"/>
      <c r="B57" s="66"/>
      <c r="C57" s="66"/>
      <c r="D57" s="66"/>
      <c r="E57" s="93"/>
      <c r="F57" s="93"/>
      <c r="G57" s="93"/>
      <c r="H57" s="93"/>
      <c r="I57" s="93"/>
      <c r="J57" s="66"/>
      <c r="K57" s="66"/>
      <c r="L57" s="93"/>
      <c r="M57" s="93"/>
      <c r="N57" s="93"/>
      <c r="O57" s="93"/>
      <c r="P57" s="66"/>
      <c r="Q57" s="66"/>
      <c r="R57" s="66"/>
      <c r="S57" s="66"/>
      <c r="T57" s="66"/>
      <c r="X57" s="139" t="s">
        <v>997</v>
      </c>
      <c r="Y57" s="140"/>
      <c r="Z57" s="140"/>
      <c r="AA57" s="140">
        <f>SUM(Y31:AA31)</f>
        <v>467942.93101579871</v>
      </c>
      <c r="AB57" s="140"/>
      <c r="AC57" s="140"/>
      <c r="AD57" s="140">
        <f>SUM(AB31:AD31)</f>
        <v>542501.93098217086</v>
      </c>
      <c r="AE57" s="140"/>
      <c r="AF57" s="140"/>
      <c r="AG57" s="140">
        <f>SUM(AE31:AG31)</f>
        <v>553861.94665894506</v>
      </c>
      <c r="AH57" s="140"/>
      <c r="AI57" s="142"/>
      <c r="AJ57" s="140">
        <f>SUM(AH31:AJ31)</f>
        <v>505070.85147941648</v>
      </c>
      <c r="AK57" s="142"/>
      <c r="AL57" s="145">
        <f>SUM(Y57:AJ57)</f>
        <v>2069377.6601363311</v>
      </c>
      <c r="AM57" s="141"/>
    </row>
    <row r="58" spans="1:41" s="3" customFormat="1" x14ac:dyDescent="0.25">
      <c r="A58" s="157"/>
      <c r="B58" s="66"/>
      <c r="C58" s="66"/>
      <c r="D58" s="66"/>
      <c r="E58" s="93"/>
      <c r="F58" s="93"/>
      <c r="G58" s="93"/>
      <c r="H58" s="93"/>
      <c r="I58" s="93"/>
      <c r="J58" s="66"/>
      <c r="K58" s="66"/>
      <c r="L58" s="93"/>
      <c r="M58" s="93"/>
      <c r="N58" s="93"/>
      <c r="O58" s="93"/>
      <c r="P58" s="66"/>
      <c r="Q58" s="66"/>
      <c r="R58" s="66"/>
      <c r="S58" s="66"/>
      <c r="T58" s="66"/>
      <c r="X58" s="139" t="s">
        <v>998</v>
      </c>
      <c r="Y58" s="140"/>
      <c r="Z58" s="140"/>
      <c r="AA58" s="153">
        <f>AA57/AA63</f>
        <v>4.4990419782966778E-2</v>
      </c>
      <c r="AB58" s="154"/>
      <c r="AC58" s="154"/>
      <c r="AD58" s="153">
        <f>AD57/AD63</f>
        <v>5.1334468164388469E-2</v>
      </c>
      <c r="AE58" s="154"/>
      <c r="AF58" s="154"/>
      <c r="AG58" s="153">
        <f>AG57/AG63</f>
        <v>5.220797183178174E-2</v>
      </c>
      <c r="AH58" s="154"/>
      <c r="AI58" s="154"/>
      <c r="AJ58" s="153">
        <f>AJ57/AJ63</f>
        <v>4.8269604796777124E-2</v>
      </c>
      <c r="AK58" s="154"/>
      <c r="AL58" s="153">
        <f>AL57/AL62</f>
        <v>4.922257412059812E-2</v>
      </c>
      <c r="AM58" s="143"/>
      <c r="AN58" s="153">
        <v>0.02</v>
      </c>
      <c r="AO58" s="3" t="s">
        <v>999</v>
      </c>
    </row>
    <row r="59" spans="1:41" s="3" customFormat="1" x14ac:dyDescent="0.25">
      <c r="A59" s="157"/>
      <c r="B59" s="66"/>
      <c r="C59" s="66"/>
      <c r="D59" s="66"/>
      <c r="E59" s="93"/>
      <c r="F59" s="93"/>
      <c r="G59" s="93"/>
      <c r="H59" s="93"/>
      <c r="I59" s="93"/>
      <c r="J59" s="66"/>
      <c r="K59" s="66"/>
      <c r="L59" s="93"/>
      <c r="M59" s="93"/>
      <c r="N59" s="93"/>
      <c r="O59" s="93"/>
      <c r="P59" s="66"/>
      <c r="Q59" s="66"/>
      <c r="R59" s="66"/>
      <c r="S59" s="66"/>
      <c r="T59" s="66"/>
      <c r="X59" s="139"/>
      <c r="Y59" s="140"/>
      <c r="Z59" s="140"/>
      <c r="AA59" s="140"/>
      <c r="AB59" s="140"/>
      <c r="AC59" s="140"/>
      <c r="AD59" s="143"/>
      <c r="AE59" s="140"/>
      <c r="AF59" s="140"/>
      <c r="AG59" s="143"/>
      <c r="AH59" s="140"/>
      <c r="AI59" s="142"/>
      <c r="AJ59" s="143"/>
      <c r="AK59" s="142"/>
      <c r="AL59" s="142"/>
      <c r="AM59" s="143"/>
    </row>
    <row r="60" spans="1:41" s="3" customFormat="1" x14ac:dyDescent="0.25">
      <c r="A60" s="157"/>
      <c r="B60" s="66"/>
      <c r="C60" s="66"/>
      <c r="D60" s="66"/>
      <c r="E60" s="93"/>
      <c r="F60" s="93"/>
      <c r="G60" s="93"/>
      <c r="H60" s="93"/>
      <c r="I60" s="93"/>
      <c r="J60" s="66"/>
      <c r="K60" s="66"/>
      <c r="L60" s="93"/>
      <c r="M60" s="93"/>
      <c r="N60" s="93"/>
      <c r="O60" s="93"/>
      <c r="P60" s="66"/>
      <c r="Q60" s="66"/>
      <c r="R60" s="66"/>
      <c r="S60" s="66"/>
      <c r="T60" s="66"/>
      <c r="X60" s="144" t="s">
        <v>1002</v>
      </c>
      <c r="Y60" s="145">
        <f>'LEX - New Vehicles'!E40+'LEX - Used Vehicles'!E44+'LEX - Parts'!E17+'LEX - Service'!E26+'Bridgestone Group'!E18+'Retail Detailing'!E22</f>
        <v>3441778.0610398552</v>
      </c>
      <c r="Z60" s="145">
        <f>'LEX - New Vehicles'!F40+'LEX - Used Vehicles'!F44+'LEX - Parts'!F17+'LEX - Service'!F26+'Bridgestone Group'!F18+'Retail Detailing'!F22</f>
        <v>3498001.8875452904</v>
      </c>
      <c r="AA60" s="145">
        <f>'LEX - New Vehicles'!G40+'LEX - Used Vehicles'!G44+'LEX - Parts'!G17+'LEX - Service'!G26+'Bridgestone Group'!G18+'Retail Detailing'!G22</f>
        <v>3461166.1477871379</v>
      </c>
      <c r="AB60" s="145">
        <f>'LEX - New Vehicles'!H40+'LEX - Used Vehicles'!H44+'LEX - Parts'!H17+'LEX - Service'!H26+'Bridgestone Group'!H18+'Retail Detailing'!H22</f>
        <v>3507001.8875452904</v>
      </c>
      <c r="AC60" s="145">
        <f>'LEX - New Vehicles'!I40+'LEX - Used Vehicles'!I44+'LEX - Parts'!I17+'LEX - Service'!I26+'Bridgestone Group'!I18+'Retail Detailing'!I22</f>
        <v>3534797.9164610505</v>
      </c>
      <c r="AD60" s="145">
        <f>'LEX - New Vehicles'!J40+'LEX - Used Vehicles'!J44+'LEX - Parts'!J17+'LEX - Service'!J26+'Bridgestone Group'!J18+'Retail Detailing'!J22</f>
        <v>3526186.0032083336</v>
      </c>
      <c r="AE60" s="145">
        <f>'LEX - New Vehicles'!K40+'LEX - Used Vehicles'!K44+'LEX - Parts'!K17+'LEX - Service'!K26+'Bridgestone Group'!K18+'Retail Detailing'!K22</f>
        <v>3533593.9453768115</v>
      </c>
      <c r="AF60" s="145">
        <f>'LEX - New Vehicles'!L40+'LEX - Used Vehicles'!L44+'LEX - Parts'!L17+'LEX - Service'!L26+'Bridgestone Group'!L18+'Retail Detailing'!L22</f>
        <v>3553389.9742925726</v>
      </c>
      <c r="AG60" s="145">
        <f>'LEX - New Vehicles'!M40+'LEX - Used Vehicles'!M44+'LEX - Parts'!M17+'LEX - Service'!M26+'Bridgestone Group'!M18+'Retail Detailing'!M22</f>
        <v>3521778.0610398552</v>
      </c>
      <c r="AH60" s="145">
        <f>'LEX - New Vehicles'!N40+'LEX - Used Vehicles'!N44+'LEX - Parts'!N17+'LEX - Service'!N26+'Bridgestone Group'!N18+'Retail Detailing'!N22</f>
        <v>3353778.0610398552</v>
      </c>
      <c r="AI60" s="145">
        <f>'LEX - New Vehicles'!O40+'LEX - Used Vehicles'!O44+'LEX - Parts'!O17+'LEX - Service'!O26+'Bridgestone Group'!O18+'Retail Detailing'!O22</f>
        <v>3313370.1188713773</v>
      </c>
      <c r="AJ60" s="145">
        <f>'LEX - New Vehicles'!P40+'LEX - Used Vehicles'!P44+'LEX - Parts'!P17+'LEX - Service'!P26+'Bridgestone Group'!P18+'Retail Detailing'!P22</f>
        <v>3796389.9742925726</v>
      </c>
      <c r="AK60" s="146"/>
      <c r="AL60" s="145">
        <f>SUM(Y60:AJ60)</f>
        <v>42041232.038500011</v>
      </c>
      <c r="AM60" s="146"/>
    </row>
    <row r="61" spans="1:41" s="3" customFormat="1" x14ac:dyDescent="0.25">
      <c r="A61" s="157"/>
      <c r="B61" s="66"/>
      <c r="C61" s="66"/>
      <c r="D61" s="66"/>
      <c r="E61" s="93"/>
      <c r="F61" s="93"/>
      <c r="G61" s="93"/>
      <c r="H61" s="93"/>
      <c r="I61" s="93"/>
      <c r="J61" s="66"/>
      <c r="K61" s="66"/>
      <c r="L61" s="93"/>
      <c r="M61" s="93"/>
      <c r="N61" s="93"/>
      <c r="O61" s="93"/>
      <c r="P61" s="66"/>
      <c r="Q61" s="66"/>
      <c r="R61" s="66"/>
      <c r="S61" s="66"/>
      <c r="T61" s="66"/>
      <c r="X61" s="144"/>
      <c r="Y61" s="144"/>
      <c r="Z61" s="144"/>
      <c r="AA61" s="144"/>
      <c r="AB61" s="144"/>
      <c r="AC61" s="144"/>
      <c r="AD61" s="144"/>
      <c r="AE61" s="144"/>
      <c r="AF61" s="144"/>
      <c r="AG61" s="144"/>
      <c r="AH61" s="144"/>
      <c r="AI61" s="144"/>
      <c r="AJ61" s="144"/>
      <c r="AK61" s="144"/>
      <c r="AL61" s="144"/>
      <c r="AM61" s="146"/>
    </row>
    <row r="62" spans="1:41" s="3" customFormat="1" ht="15.75" thickBot="1" x14ac:dyDescent="0.3">
      <c r="A62" s="157"/>
      <c r="B62" s="66"/>
      <c r="C62" s="66"/>
      <c r="D62" s="66"/>
      <c r="E62" s="93"/>
      <c r="F62" s="93"/>
      <c r="G62" s="93"/>
      <c r="H62" s="93"/>
      <c r="I62" s="93"/>
      <c r="J62" s="66"/>
      <c r="K62" s="66"/>
      <c r="L62" s="93"/>
      <c r="M62" s="93"/>
      <c r="N62" s="93"/>
      <c r="O62" s="93"/>
      <c r="P62" s="66"/>
      <c r="Q62" s="66"/>
      <c r="R62" s="66"/>
      <c r="S62" s="66"/>
      <c r="T62" s="66"/>
      <c r="X62" s="144" t="s">
        <v>1003</v>
      </c>
      <c r="Y62" s="147">
        <f t="shared" ref="Y62:AJ62" si="21">SUM(Y60:Y61)</f>
        <v>3441778.0610398552</v>
      </c>
      <c r="Z62" s="147">
        <f t="shared" si="21"/>
        <v>3498001.8875452904</v>
      </c>
      <c r="AA62" s="147">
        <f t="shared" si="21"/>
        <v>3461166.1477871379</v>
      </c>
      <c r="AB62" s="147">
        <f t="shared" si="21"/>
        <v>3507001.8875452904</v>
      </c>
      <c r="AC62" s="147">
        <f t="shared" si="21"/>
        <v>3534797.9164610505</v>
      </c>
      <c r="AD62" s="147">
        <f t="shared" si="21"/>
        <v>3526186.0032083336</v>
      </c>
      <c r="AE62" s="147">
        <f t="shared" si="21"/>
        <v>3533593.9453768115</v>
      </c>
      <c r="AF62" s="147">
        <f t="shared" si="21"/>
        <v>3553389.9742925726</v>
      </c>
      <c r="AG62" s="147">
        <f t="shared" si="21"/>
        <v>3521778.0610398552</v>
      </c>
      <c r="AH62" s="147">
        <f t="shared" si="21"/>
        <v>3353778.0610398552</v>
      </c>
      <c r="AI62" s="147">
        <f t="shared" si="21"/>
        <v>3313370.1188713773</v>
      </c>
      <c r="AJ62" s="147">
        <f t="shared" si="21"/>
        <v>3796389.9742925726</v>
      </c>
      <c r="AK62" s="147"/>
      <c r="AL62" s="147">
        <f>SUM(AL60:AL61)</f>
        <v>42041232.038500011</v>
      </c>
      <c r="AM62" s="146"/>
    </row>
    <row r="63" spans="1:41" s="3" customFormat="1" ht="15.75" thickTop="1" x14ac:dyDescent="0.25">
      <c r="A63" s="157"/>
      <c r="B63" s="66"/>
      <c r="C63" s="66"/>
      <c r="D63" s="66"/>
      <c r="E63" s="93"/>
      <c r="F63" s="93"/>
      <c r="G63" s="93"/>
      <c r="H63" s="93"/>
      <c r="I63" s="93"/>
      <c r="J63" s="66"/>
      <c r="K63" s="66"/>
      <c r="L63" s="93"/>
      <c r="M63" s="93"/>
      <c r="N63" s="93"/>
      <c r="O63" s="93"/>
      <c r="P63" s="66"/>
      <c r="Q63" s="66"/>
      <c r="R63" s="66"/>
      <c r="S63" s="66"/>
      <c r="T63" s="66"/>
      <c r="X63" s="144" t="s">
        <v>1004</v>
      </c>
      <c r="Y63" s="144"/>
      <c r="Z63" s="144"/>
      <c r="AA63" s="148">
        <f>SUM(Y62:AA62)</f>
        <v>10400946.096372284</v>
      </c>
      <c r="AB63" s="144"/>
      <c r="AC63" s="144"/>
      <c r="AD63" s="148">
        <f>SUM(AB62:AD62)</f>
        <v>10567985.807214674</v>
      </c>
      <c r="AE63" s="144"/>
      <c r="AF63" s="144"/>
      <c r="AG63" s="148">
        <f>SUM(AE62:AG62)</f>
        <v>10608761.98070924</v>
      </c>
      <c r="AH63" s="144"/>
      <c r="AI63" s="144"/>
      <c r="AJ63" s="148">
        <f>SUM(AH62:AJ62)</f>
        <v>10463538.154203806</v>
      </c>
      <c r="AK63" s="144"/>
      <c r="AL63" s="144"/>
      <c r="AM63" s="146"/>
    </row>
    <row r="64" spans="1:41" s="3" customFormat="1" x14ac:dyDescent="0.25">
      <c r="A64" s="157"/>
      <c r="B64" s="66"/>
      <c r="C64" s="66"/>
      <c r="D64" s="66"/>
      <c r="E64" s="93"/>
      <c r="F64" s="93"/>
      <c r="G64" s="93"/>
      <c r="H64" s="93"/>
      <c r="I64" s="93"/>
      <c r="J64" s="66"/>
      <c r="K64" s="66"/>
      <c r="L64" s="93"/>
      <c r="M64" s="93"/>
      <c r="N64" s="93"/>
      <c r="O64" s="93"/>
      <c r="P64" s="66"/>
      <c r="Q64" s="66"/>
      <c r="R64" s="66"/>
      <c r="S64" s="66"/>
      <c r="T64" s="66"/>
      <c r="X64" s="66"/>
      <c r="Y64" s="66"/>
      <c r="Z64" s="66"/>
      <c r="AA64" s="66"/>
      <c r="AB64" s="66"/>
      <c r="AC64" s="66"/>
      <c r="AD64" s="66"/>
      <c r="AE64" s="66"/>
      <c r="AF64" s="66"/>
      <c r="AG64" s="66"/>
      <c r="AH64" s="66"/>
      <c r="AI64" s="66"/>
      <c r="AJ64" s="66"/>
      <c r="AK64" s="66"/>
      <c r="AL64" s="66"/>
      <c r="AM64" s="66"/>
    </row>
    <row r="65" spans="1:39" s="3" customFormat="1" x14ac:dyDescent="0.25">
      <c r="A65" s="157"/>
      <c r="B65" s="66"/>
      <c r="C65" s="66"/>
      <c r="D65" s="66"/>
      <c r="E65" s="93"/>
      <c r="F65" s="93"/>
      <c r="G65" s="93"/>
      <c r="H65" s="93"/>
      <c r="I65" s="93"/>
      <c r="J65" s="66"/>
      <c r="K65" s="66"/>
      <c r="L65" s="93"/>
      <c r="M65" s="93"/>
      <c r="N65" s="93"/>
      <c r="O65" s="93"/>
      <c r="P65" s="66"/>
      <c r="Q65" s="66"/>
      <c r="R65" s="66"/>
      <c r="S65" s="66"/>
      <c r="T65" s="66"/>
      <c r="X65" s="66"/>
      <c r="Y65" s="66"/>
      <c r="Z65" s="66"/>
      <c r="AA65" s="66"/>
      <c r="AB65" s="66"/>
      <c r="AC65" s="66"/>
      <c r="AD65" s="66"/>
      <c r="AE65" s="66"/>
      <c r="AF65" s="66"/>
      <c r="AG65" s="66"/>
      <c r="AH65" s="66"/>
      <c r="AI65" s="66"/>
      <c r="AJ65" s="66"/>
      <c r="AK65" s="66"/>
      <c r="AL65" s="66"/>
      <c r="AM65" s="66"/>
    </row>
    <row r="66" spans="1:39" s="3" customFormat="1" x14ac:dyDescent="0.25">
      <c r="A66" s="158"/>
      <c r="B66" s="66"/>
      <c r="C66" s="66"/>
      <c r="D66" s="66"/>
      <c r="E66" s="93"/>
      <c r="F66" s="93"/>
      <c r="G66" s="93"/>
      <c r="H66" s="93"/>
      <c r="I66" s="93"/>
      <c r="J66" s="66"/>
      <c r="K66" s="66"/>
      <c r="L66" s="93"/>
      <c r="M66" s="93"/>
      <c r="N66" s="93"/>
      <c r="O66" s="93"/>
      <c r="P66" s="66"/>
      <c r="Q66" s="66"/>
      <c r="R66" s="74"/>
      <c r="S66" s="66"/>
      <c r="T66" s="66"/>
      <c r="X66" s="66"/>
      <c r="Y66" s="66"/>
      <c r="Z66" s="66"/>
      <c r="AA66" s="66"/>
      <c r="AB66" s="66"/>
      <c r="AC66" s="66"/>
      <c r="AD66" s="66"/>
      <c r="AE66" s="66"/>
      <c r="AF66" s="66"/>
      <c r="AG66" s="66"/>
      <c r="AH66" s="66"/>
      <c r="AI66" s="66"/>
      <c r="AJ66" s="66"/>
      <c r="AK66" s="66"/>
      <c r="AL66" s="66"/>
      <c r="AM66" s="66"/>
    </row>
  </sheetData>
  <mergeCells count="2">
    <mergeCell ref="U1:U2"/>
    <mergeCell ref="AN1:AN2"/>
  </mergeCells>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20AD7F1C-F284-4914-B9EF-86C4F026418B}">
          <x14:colorSeries rgb="FF000000"/>
          <x14:colorNegative rgb="FF0070C0"/>
          <x14:colorAxis rgb="FF000000"/>
          <x14:colorMarkers rgb="FF0070C0"/>
          <x14:colorFirst rgb="FF0070C0"/>
          <x14:colorLast rgb="FF0070C0"/>
          <x14:colorHigh rgb="FF0070C0"/>
          <x14:colorLow rgb="FF0070C0"/>
          <x14:sparklines>
            <x14:sparkline>
              <xm:f>'Overall - lexus'!E31:E31</xm:f>
              <xm:sqref>E59</xm:sqref>
            </x14:sparkline>
            <x14:sparkline>
              <xm:f>'Overall - lexus'!F31:F31</xm:f>
              <xm:sqref>F59</xm:sqref>
            </x14:sparkline>
            <x14:sparkline>
              <xm:f>'Overall - lexus'!G31:G31</xm:f>
              <xm:sqref>G59</xm:sqref>
            </x14:sparkline>
            <x14:sparkline>
              <xm:f>'Overall - lexus'!H31:H31</xm:f>
              <xm:sqref>H59</xm:sqref>
            </x14:sparkline>
            <x14:sparkline>
              <xm:f>'Overall - lexus'!I31:I31</xm:f>
              <xm:sqref>I59</xm:sqref>
            </x14:sparkline>
            <x14:sparkline>
              <xm:f>'Overall - lexus'!J31:J31</xm:f>
              <xm:sqref>J59</xm:sqref>
            </x14:sparkline>
            <x14:sparkline>
              <xm:f>'Overall - lexus'!K31:K31</xm:f>
              <xm:sqref>K59</xm:sqref>
            </x14:sparkline>
            <x14:sparkline>
              <xm:f>'Overall - lexus'!L31:L31</xm:f>
              <xm:sqref>L59</xm:sqref>
            </x14:sparkline>
            <x14:sparkline>
              <xm:f>'Overall - lexus'!M31:M31</xm:f>
              <xm:sqref>M59</xm:sqref>
            </x14:sparkline>
            <x14:sparkline>
              <xm:f>'Overall - lexus'!N31:N31</xm:f>
              <xm:sqref>N59</xm:sqref>
            </x14:sparkline>
            <x14:sparkline>
              <xm:f>'Overall - lexus'!O31:O31</xm:f>
              <xm:sqref>O59</xm:sqref>
            </x14:sparkline>
            <x14:sparkline>
              <xm:f>'Overall - lexus'!P31:P31</xm:f>
              <xm:sqref>P59</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CB85D-5E4A-4976-BECE-BD5D0644656C}">
  <sheetPr codeName="Sheet4">
    <tabColor theme="9" tint="0.79998168889431442"/>
  </sheetPr>
  <dimension ref="A1:P46"/>
  <sheetViews>
    <sheetView topLeftCell="N1" workbookViewId="0">
      <selection activeCell="P4" sqref="P4"/>
    </sheetView>
  </sheetViews>
  <sheetFormatPr defaultColWidth="20" defaultRowHeight="15" x14ac:dyDescent="0.25"/>
  <cols>
    <col min="1" max="1" width="23.42578125" customWidth="1"/>
    <col min="6" max="6" width="23.42578125" customWidth="1"/>
    <col min="10" max="10" width="23.42578125" customWidth="1"/>
    <col min="14" max="14" width="23.42578125" customWidth="1"/>
  </cols>
  <sheetData>
    <row r="1" spans="1:16" x14ac:dyDescent="0.25">
      <c r="C1" t="s">
        <v>1006</v>
      </c>
      <c r="D1" t="s">
        <v>1007</v>
      </c>
      <c r="H1" t="s">
        <v>1008</v>
      </c>
      <c r="L1" t="s">
        <v>1009</v>
      </c>
      <c r="P1" t="s">
        <v>1010</v>
      </c>
    </row>
    <row r="2" spans="1:16" x14ac:dyDescent="0.25">
      <c r="A2" t="s">
        <v>1011</v>
      </c>
      <c r="D2">
        <f>SUM('New Vehicles - Group'!E25:G25)</f>
        <v>351</v>
      </c>
      <c r="F2" t="s">
        <v>1011</v>
      </c>
      <c r="H2">
        <f>SUM('New Vehicles - Group'!H25:J25)</f>
        <v>342</v>
      </c>
      <c r="J2" t="s">
        <v>1011</v>
      </c>
      <c r="L2">
        <f>SUM('New Vehicles - Group'!K25:M25)</f>
        <v>334</v>
      </c>
      <c r="N2" t="s">
        <v>1011</v>
      </c>
      <c r="P2">
        <f>SUM('New Vehicles - Group'!N25:P25)</f>
        <v>330</v>
      </c>
    </row>
    <row r="3" spans="1:16" x14ac:dyDescent="0.25">
      <c r="A3" t="s">
        <v>1012</v>
      </c>
      <c r="D3">
        <v>100</v>
      </c>
      <c r="F3" t="s">
        <v>1012</v>
      </c>
      <c r="H3">
        <v>100</v>
      </c>
      <c r="J3" t="s">
        <v>1012</v>
      </c>
      <c r="L3">
        <v>100</v>
      </c>
      <c r="N3" t="s">
        <v>1012</v>
      </c>
      <c r="P3">
        <v>100</v>
      </c>
    </row>
    <row r="4" spans="1:16" x14ac:dyDescent="0.25">
      <c r="A4" t="s">
        <v>1013</v>
      </c>
      <c r="D4" cm="1">
        <f t="array" ref="D4">_xlfn.IFS(D3&lt;70,0,D3&lt;80,875,D3&lt;90,1000,D3&lt;100,1125,D3=100,1250)</f>
        <v>1250</v>
      </c>
      <c r="F4" t="s">
        <v>1013</v>
      </c>
      <c r="H4" cm="1">
        <f t="array" ref="H4">_xlfn.IFS(H3&lt;70,0,H3&lt;80,875,H3&lt;90,1000,H3&lt;100,1125,H3=100,1250)</f>
        <v>1250</v>
      </c>
      <c r="J4" t="s">
        <v>1013</v>
      </c>
      <c r="L4" cm="1">
        <f t="array" ref="L4">_xlfn.IFS(L3&lt;70,0,L3&lt;80,875,L3&lt;90,1000,L3&lt;100,1125,L3=100,1250)</f>
        <v>1250</v>
      </c>
      <c r="N4" t="s">
        <v>1013</v>
      </c>
      <c r="P4" cm="1">
        <f t="array" ref="P4">_xlfn.IFS(P3&lt;70,0,P3&lt;80,875,P3&lt;90,1000,P3&lt;100,1125,P3=100,1250)</f>
        <v>1250</v>
      </c>
    </row>
    <row r="5" spans="1:16" ht="15.75" thickBot="1" x14ac:dyDescent="0.3"/>
    <row r="6" spans="1:16" x14ac:dyDescent="0.25">
      <c r="A6" s="100" t="s">
        <v>1014</v>
      </c>
      <c r="B6" s="101" t="s">
        <v>1015</v>
      </c>
      <c r="C6" s="101" t="s">
        <v>1016</v>
      </c>
      <c r="D6" s="101" t="s">
        <v>1016</v>
      </c>
      <c r="E6" s="115"/>
      <c r="F6" s="100" t="s">
        <v>1014</v>
      </c>
      <c r="G6" s="101" t="s">
        <v>1015</v>
      </c>
      <c r="H6" s="101" t="s">
        <v>1016</v>
      </c>
      <c r="I6" s="115"/>
      <c r="J6" s="100" t="s">
        <v>1014</v>
      </c>
      <c r="K6" s="101" t="s">
        <v>1015</v>
      </c>
      <c r="L6" s="101" t="s">
        <v>1016</v>
      </c>
      <c r="M6" s="115"/>
      <c r="N6" s="100" t="s">
        <v>1014</v>
      </c>
      <c r="O6" s="101" t="s">
        <v>1015</v>
      </c>
      <c r="P6" s="101" t="s">
        <v>1016</v>
      </c>
    </row>
    <row r="7" spans="1:16" x14ac:dyDescent="0.25">
      <c r="A7" s="102"/>
      <c r="B7" s="103"/>
      <c r="C7" s="103"/>
      <c r="D7" s="165">
        <f>D2*$D$4</f>
        <v>438750</v>
      </c>
      <c r="E7" s="115"/>
      <c r="F7" s="102"/>
      <c r="G7" s="103"/>
      <c r="H7" s="165">
        <f>H2*$H$4</f>
        <v>427500</v>
      </c>
      <c r="I7" s="115"/>
      <c r="J7" s="102"/>
      <c r="K7" s="103"/>
      <c r="L7" s="165">
        <f>L2*$L$4</f>
        <v>417500</v>
      </c>
      <c r="M7" s="115"/>
      <c r="N7" s="102"/>
      <c r="O7" s="103"/>
      <c r="P7" s="165">
        <f>P2*$P$4</f>
        <v>412500</v>
      </c>
    </row>
    <row r="8" spans="1:16" x14ac:dyDescent="0.25">
      <c r="A8" s="102" t="s">
        <v>966</v>
      </c>
      <c r="B8" s="103"/>
      <c r="C8" s="103"/>
      <c r="D8" s="103"/>
      <c r="E8" s="115"/>
      <c r="F8" s="102" t="s">
        <v>966</v>
      </c>
      <c r="G8" s="103"/>
      <c r="H8" s="103"/>
      <c r="I8" s="115"/>
      <c r="J8" s="102" t="s">
        <v>966</v>
      </c>
      <c r="K8" s="103"/>
      <c r="L8" s="103"/>
      <c r="M8" s="115"/>
      <c r="N8" s="102" t="s">
        <v>966</v>
      </c>
      <c r="O8" s="103"/>
      <c r="P8" s="103"/>
    </row>
    <row r="9" spans="1:16" x14ac:dyDescent="0.25">
      <c r="A9" s="104" t="s">
        <v>1017</v>
      </c>
      <c r="B9" s="112">
        <v>5</v>
      </c>
      <c r="C9" s="105"/>
      <c r="D9" s="105">
        <f>D$7*$B9/$B$34</f>
        <v>21937.5</v>
      </c>
      <c r="E9" s="115"/>
      <c r="F9" s="104" t="s">
        <v>1017</v>
      </c>
      <c r="G9" s="112">
        <v>5</v>
      </c>
      <c r="H9" s="105">
        <f>H$7*$G9/$G$34</f>
        <v>21375</v>
      </c>
      <c r="I9" s="115"/>
      <c r="J9" s="104" t="s">
        <v>1017</v>
      </c>
      <c r="K9" s="112">
        <v>5</v>
      </c>
      <c r="L9" s="105">
        <f>L$7*$K9/$K$34</f>
        <v>20875</v>
      </c>
      <c r="M9" s="115"/>
      <c r="N9" s="104" t="s">
        <v>1017</v>
      </c>
      <c r="O9" s="112">
        <v>5</v>
      </c>
      <c r="P9" s="105">
        <f>P$7*$O9/$O$34</f>
        <v>20625</v>
      </c>
    </row>
    <row r="10" spans="1:16" x14ac:dyDescent="0.25">
      <c r="A10" s="104" t="s">
        <v>1018</v>
      </c>
      <c r="B10" s="112">
        <v>5</v>
      </c>
      <c r="C10" s="105"/>
      <c r="D10" s="105">
        <f>D$7*$B10/$B$34</f>
        <v>21937.5</v>
      </c>
      <c r="E10" s="115"/>
      <c r="F10" s="104" t="s">
        <v>1018</v>
      </c>
      <c r="G10" s="112">
        <v>5</v>
      </c>
      <c r="H10" s="105">
        <f>H$7*$G10/$G$34</f>
        <v>21375</v>
      </c>
      <c r="I10" s="115"/>
      <c r="J10" s="104" t="s">
        <v>1018</v>
      </c>
      <c r="K10" s="112">
        <v>5</v>
      </c>
      <c r="L10" s="105">
        <f>L$7*$K10/$K$34</f>
        <v>20875</v>
      </c>
      <c r="M10" s="115"/>
      <c r="N10" s="104" t="s">
        <v>1018</v>
      </c>
      <c r="O10" s="112">
        <v>5</v>
      </c>
      <c r="P10" s="105">
        <f>P$7*$O10/$O$34</f>
        <v>20625</v>
      </c>
    </row>
    <row r="11" spans="1:16" x14ac:dyDescent="0.25">
      <c r="A11" s="106" t="s">
        <v>1019</v>
      </c>
      <c r="B11" s="113">
        <v>10</v>
      </c>
      <c r="C11" s="105"/>
      <c r="D11" s="105">
        <f>D$7*$B11/$B$34</f>
        <v>43875</v>
      </c>
      <c r="E11" s="115"/>
      <c r="F11" s="106" t="s">
        <v>1019</v>
      </c>
      <c r="G11" s="113">
        <v>10</v>
      </c>
      <c r="H11" s="105">
        <f>H$7*$G11/$G$34</f>
        <v>42750</v>
      </c>
      <c r="I11" s="115"/>
      <c r="J11" s="106" t="s">
        <v>1019</v>
      </c>
      <c r="K11" s="113">
        <v>10</v>
      </c>
      <c r="L11" s="105">
        <f>L$7*$K11/$K$34</f>
        <v>41750</v>
      </c>
      <c r="M11" s="115"/>
      <c r="N11" s="106" t="s">
        <v>1019</v>
      </c>
      <c r="O11" s="113">
        <v>10</v>
      </c>
      <c r="P11" s="105">
        <f>P$7*$O11/$O$34</f>
        <v>41250</v>
      </c>
    </row>
    <row r="12" spans="1:16" ht="15.75" thickBot="1" x14ac:dyDescent="0.3">
      <c r="A12" s="104"/>
      <c r="B12" s="112"/>
      <c r="C12" s="107">
        <f>SUM(C9:C10)</f>
        <v>0</v>
      </c>
      <c r="D12" s="107">
        <f>SUM(D9:D11)</f>
        <v>87750</v>
      </c>
      <c r="E12" s="115"/>
      <c r="F12" s="104"/>
      <c r="G12" s="112"/>
      <c r="H12" s="107">
        <f>SUM(H9:H11)</f>
        <v>85500</v>
      </c>
      <c r="I12" s="115"/>
      <c r="J12" s="104"/>
      <c r="K12" s="112"/>
      <c r="L12" s="107">
        <f>SUM(L9:L11)</f>
        <v>83500</v>
      </c>
      <c r="M12" s="115"/>
      <c r="N12" s="104"/>
      <c r="O12" s="112"/>
      <c r="P12" s="107">
        <f>SUM(P9:P11)</f>
        <v>82500</v>
      </c>
    </row>
    <row r="13" spans="1:16" ht="15.75" thickTop="1" x14ac:dyDescent="0.25">
      <c r="A13" s="104"/>
      <c r="B13" s="112"/>
      <c r="C13" s="105"/>
      <c r="D13" s="105"/>
      <c r="E13" s="115"/>
      <c r="F13" s="104"/>
      <c r="G13" s="112"/>
      <c r="H13" s="105"/>
      <c r="I13" s="115"/>
      <c r="J13" s="104"/>
      <c r="K13" s="112"/>
      <c r="L13" s="105"/>
      <c r="M13" s="115"/>
      <c r="N13" s="104"/>
      <c r="O13" s="112"/>
      <c r="P13" s="105"/>
    </row>
    <row r="14" spans="1:16" x14ac:dyDescent="0.25">
      <c r="A14" s="102" t="s">
        <v>964</v>
      </c>
      <c r="B14" s="103"/>
      <c r="C14" s="103"/>
      <c r="D14" s="103"/>
      <c r="E14" s="115"/>
      <c r="F14" s="102" t="s">
        <v>964</v>
      </c>
      <c r="G14" s="103"/>
      <c r="H14" s="103"/>
      <c r="I14" s="115"/>
      <c r="J14" s="102" t="s">
        <v>964</v>
      </c>
      <c r="K14" s="103"/>
      <c r="L14" s="103"/>
      <c r="M14" s="115"/>
      <c r="N14" s="102" t="s">
        <v>964</v>
      </c>
      <c r="O14" s="103"/>
      <c r="P14" s="103"/>
    </row>
    <row r="15" spans="1:16" x14ac:dyDescent="0.25">
      <c r="A15" s="104" t="s">
        <v>1020</v>
      </c>
      <c r="B15" s="112">
        <v>10</v>
      </c>
      <c r="C15" s="105"/>
      <c r="D15" s="105">
        <f>D$7*$B15/$B$34</f>
        <v>43875</v>
      </c>
      <c r="E15" s="115"/>
      <c r="F15" s="104" t="s">
        <v>1020</v>
      </c>
      <c r="G15" s="112">
        <v>10</v>
      </c>
      <c r="H15" s="105">
        <f>H$7*$G15/$G$34</f>
        <v>42750</v>
      </c>
      <c r="I15" s="115"/>
      <c r="J15" s="104" t="s">
        <v>1020</v>
      </c>
      <c r="K15" s="112">
        <v>10</v>
      </c>
      <c r="L15" s="105">
        <f>L$7*$K15/$K$34</f>
        <v>41750</v>
      </c>
      <c r="M15" s="115"/>
      <c r="N15" s="104" t="s">
        <v>1020</v>
      </c>
      <c r="O15" s="112">
        <v>10</v>
      </c>
      <c r="P15" s="105">
        <f>P$7*$O15/$O$34</f>
        <v>41250</v>
      </c>
    </row>
    <row r="16" spans="1:16" x14ac:dyDescent="0.25">
      <c r="A16" s="104" t="s">
        <v>1021</v>
      </c>
      <c r="B16" s="112">
        <v>10</v>
      </c>
      <c r="C16" s="105"/>
      <c r="D16" s="105">
        <f>D$7*$B16/$B$34</f>
        <v>43875</v>
      </c>
      <c r="E16" s="115" t="s">
        <v>1022</v>
      </c>
      <c r="F16" s="104" t="s">
        <v>1021</v>
      </c>
      <c r="G16" s="112">
        <v>10</v>
      </c>
      <c r="H16" s="105">
        <f>H$7*$G16/$G$34</f>
        <v>42750</v>
      </c>
      <c r="I16" s="115"/>
      <c r="J16" s="104" t="s">
        <v>1021</v>
      </c>
      <c r="K16" s="112">
        <v>10</v>
      </c>
      <c r="L16" s="105">
        <f>L$7*$K16/$K$34</f>
        <v>41750</v>
      </c>
      <c r="M16" s="115"/>
      <c r="N16" s="104" t="s">
        <v>1021</v>
      </c>
      <c r="O16" s="112">
        <v>10</v>
      </c>
      <c r="P16" s="105">
        <f>P$7*$O16/$O$34</f>
        <v>41250</v>
      </c>
    </row>
    <row r="17" spans="1:16" x14ac:dyDescent="0.25">
      <c r="A17" s="104" t="s">
        <v>1023</v>
      </c>
      <c r="B17" s="112">
        <v>10</v>
      </c>
      <c r="C17" s="105"/>
      <c r="D17" s="105">
        <f>D$7*$B17/$B$34</f>
        <v>43875</v>
      </c>
      <c r="E17" s="115"/>
      <c r="F17" s="104" t="s">
        <v>1023</v>
      </c>
      <c r="G17" s="112">
        <v>10</v>
      </c>
      <c r="H17" s="105">
        <f>H$7*$G17/$G$34</f>
        <v>42750</v>
      </c>
      <c r="I17" s="115"/>
      <c r="J17" s="104" t="s">
        <v>1023</v>
      </c>
      <c r="K17" s="112">
        <v>10</v>
      </c>
      <c r="L17" s="105">
        <f>L$7*$K17/$K$34</f>
        <v>41750</v>
      </c>
      <c r="M17" s="115"/>
      <c r="N17" s="104" t="s">
        <v>1023</v>
      </c>
      <c r="O17" s="112">
        <v>10</v>
      </c>
      <c r="P17" s="105">
        <f>P$7*$O17/$O$34</f>
        <v>41250</v>
      </c>
    </row>
    <row r="18" spans="1:16" x14ac:dyDescent="0.25">
      <c r="A18" s="104" t="s">
        <v>1024</v>
      </c>
      <c r="B18" s="112">
        <f>5/2</f>
        <v>2.5</v>
      </c>
      <c r="C18" s="105"/>
      <c r="D18" s="105">
        <f>D$7*$B18/$B$34</f>
        <v>10968.75</v>
      </c>
      <c r="E18" s="115"/>
      <c r="F18" s="104" t="s">
        <v>1024</v>
      </c>
      <c r="G18" s="112">
        <f>5/2</f>
        <v>2.5</v>
      </c>
      <c r="H18" s="105">
        <f>H$7*$G18/$G$34</f>
        <v>10687.5</v>
      </c>
      <c r="I18" s="115"/>
      <c r="J18" s="104" t="s">
        <v>1024</v>
      </c>
      <c r="K18" s="112">
        <f>5/2</f>
        <v>2.5</v>
      </c>
      <c r="L18" s="105">
        <f>L$7*$K18/$K$34</f>
        <v>10437.5</v>
      </c>
      <c r="M18" s="115"/>
      <c r="N18" s="104" t="s">
        <v>1024</v>
      </c>
      <c r="O18" s="112">
        <f>5/2</f>
        <v>2.5</v>
      </c>
      <c r="P18" s="105">
        <f>P$7*$O18/$O$34</f>
        <v>10312.5</v>
      </c>
    </row>
    <row r="19" spans="1:16" ht="15.75" thickBot="1" x14ac:dyDescent="0.3">
      <c r="A19" s="104"/>
      <c r="B19" s="112"/>
      <c r="C19" s="107">
        <f>SUM(C15:C16)</f>
        <v>0</v>
      </c>
      <c r="D19" s="107">
        <f>SUM(D15:D18)</f>
        <v>142593.75</v>
      </c>
      <c r="E19" s="115"/>
      <c r="F19" s="104"/>
      <c r="G19" s="112"/>
      <c r="H19" s="107">
        <f>SUM(H15:H18)</f>
        <v>138937.5</v>
      </c>
      <c r="I19" s="115"/>
      <c r="J19" s="104"/>
      <c r="K19" s="112"/>
      <c r="L19" s="107">
        <f>SUM(L15:L18)</f>
        <v>135687.5</v>
      </c>
      <c r="M19" s="115"/>
      <c r="N19" s="104"/>
      <c r="O19" s="112"/>
      <c r="P19" s="107">
        <f>SUM(P15:P18)</f>
        <v>134062.5</v>
      </c>
    </row>
    <row r="20" spans="1:16" ht="15.75" thickTop="1" x14ac:dyDescent="0.25">
      <c r="A20" s="102"/>
      <c r="B20" s="103"/>
      <c r="C20" s="103"/>
      <c r="D20" s="103"/>
      <c r="E20" s="115"/>
      <c r="F20" s="102"/>
      <c r="G20" s="103"/>
      <c r="H20" s="103"/>
      <c r="I20" s="115"/>
      <c r="J20" s="102"/>
      <c r="K20" s="103"/>
      <c r="L20" s="103"/>
      <c r="M20" s="115"/>
      <c r="N20" s="102"/>
      <c r="O20" s="103"/>
      <c r="P20" s="103"/>
    </row>
    <row r="21" spans="1:16" x14ac:dyDescent="0.25">
      <c r="A21" s="108" t="s">
        <v>965</v>
      </c>
      <c r="B21" s="113"/>
      <c r="C21" s="105"/>
      <c r="D21" s="105"/>
      <c r="E21" s="115"/>
      <c r="F21" s="108" t="s">
        <v>965</v>
      </c>
      <c r="G21" s="113"/>
      <c r="H21" s="105"/>
      <c r="I21" s="115"/>
      <c r="J21" s="108" t="s">
        <v>965</v>
      </c>
      <c r="K21" s="113"/>
      <c r="L21" s="105"/>
      <c r="M21" s="115"/>
      <c r="N21" s="108" t="s">
        <v>965</v>
      </c>
      <c r="O21" s="113"/>
      <c r="P21" s="105"/>
    </row>
    <row r="22" spans="1:16" x14ac:dyDescent="0.25">
      <c r="A22" s="104" t="s">
        <v>1025</v>
      </c>
      <c r="B22" s="112">
        <v>10</v>
      </c>
      <c r="C22" s="105"/>
      <c r="D22" s="105">
        <f>D$7*$B22/$B$34</f>
        <v>43875</v>
      </c>
      <c r="E22" s="115" t="s">
        <v>1005</v>
      </c>
      <c r="F22" s="104" t="s">
        <v>1025</v>
      </c>
      <c r="G22" s="112">
        <v>10</v>
      </c>
      <c r="H22" s="105">
        <f>H$7*$G22/$G$34</f>
        <v>42750</v>
      </c>
      <c r="I22" s="115"/>
      <c r="J22" s="104" t="s">
        <v>1025</v>
      </c>
      <c r="K22" s="112">
        <v>10</v>
      </c>
      <c r="L22" s="105">
        <f>L$7*$K22/$K$34</f>
        <v>41750</v>
      </c>
      <c r="M22" s="115"/>
      <c r="N22" s="104" t="s">
        <v>1025</v>
      </c>
      <c r="O22" s="112">
        <v>10</v>
      </c>
      <c r="P22" s="105">
        <f>P$7*$O22/$O$34</f>
        <v>41250</v>
      </c>
    </row>
    <row r="23" spans="1:16" x14ac:dyDescent="0.25">
      <c r="A23" s="104" t="s">
        <v>1026</v>
      </c>
      <c r="B23" s="112">
        <v>10</v>
      </c>
      <c r="C23" s="105"/>
      <c r="D23" s="105">
        <f>D$7*$B23/$B$34</f>
        <v>43875</v>
      </c>
      <c r="E23" s="115" t="s">
        <v>1027</v>
      </c>
      <c r="F23" s="104" t="s">
        <v>1026</v>
      </c>
      <c r="G23" s="112">
        <v>10</v>
      </c>
      <c r="H23" s="105">
        <f>H$7*$G23/$G$34</f>
        <v>42750</v>
      </c>
      <c r="I23" s="115"/>
      <c r="J23" s="104" t="s">
        <v>1026</v>
      </c>
      <c r="K23" s="112">
        <v>10</v>
      </c>
      <c r="L23" s="105">
        <f>L$7*$K23/$K$34</f>
        <v>41750</v>
      </c>
      <c r="M23" s="115"/>
      <c r="N23" s="104" t="s">
        <v>1026</v>
      </c>
      <c r="O23" s="112">
        <v>10</v>
      </c>
      <c r="P23" s="105">
        <f>P$7*$O23/$O$34</f>
        <v>41250</v>
      </c>
    </row>
    <row r="24" spans="1:16" x14ac:dyDescent="0.25">
      <c r="A24" s="104" t="s">
        <v>1028</v>
      </c>
      <c r="B24" s="112">
        <f>5/2</f>
        <v>2.5</v>
      </c>
      <c r="C24" s="105"/>
      <c r="D24" s="105">
        <f>D$7*$B24/$B$34</f>
        <v>10968.75</v>
      </c>
      <c r="E24" s="115"/>
      <c r="F24" s="104" t="s">
        <v>1028</v>
      </c>
      <c r="G24" s="112">
        <f>5/2</f>
        <v>2.5</v>
      </c>
      <c r="H24" s="105">
        <f>H$7*$G24/$G$34</f>
        <v>10687.5</v>
      </c>
      <c r="I24" s="115"/>
      <c r="J24" s="104" t="s">
        <v>1028</v>
      </c>
      <c r="K24" s="112">
        <f>5/2</f>
        <v>2.5</v>
      </c>
      <c r="L24" s="105">
        <f>L$7*$K24/$K$34</f>
        <v>10437.5</v>
      </c>
      <c r="M24" s="115"/>
      <c r="N24" s="104" t="s">
        <v>1028</v>
      </c>
      <c r="O24" s="112">
        <f>5/2</f>
        <v>2.5</v>
      </c>
      <c r="P24" s="105">
        <f>P$7*$O24/$O$34</f>
        <v>10312.5</v>
      </c>
    </row>
    <row r="25" spans="1:16" ht="15.75" thickBot="1" x14ac:dyDescent="0.3">
      <c r="A25" s="104"/>
      <c r="B25" s="112"/>
      <c r="C25" s="107">
        <f>SUM(C22:C23)</f>
        <v>0</v>
      </c>
      <c r="D25" s="107">
        <f>SUM(D22:D24)</f>
        <v>98718.75</v>
      </c>
      <c r="E25" s="115"/>
      <c r="F25" s="104"/>
      <c r="G25" s="112"/>
      <c r="H25" s="107">
        <f>SUM(H22:H24)</f>
        <v>96187.5</v>
      </c>
      <c r="I25" s="115"/>
      <c r="J25" s="104"/>
      <c r="K25" s="112"/>
      <c r="L25" s="107">
        <f>SUM(L22:L24)</f>
        <v>93937.5</v>
      </c>
      <c r="M25" s="115"/>
      <c r="N25" s="104"/>
      <c r="O25" s="112"/>
      <c r="P25" s="107">
        <f>SUM(P22:P24)</f>
        <v>92812.5</v>
      </c>
    </row>
    <row r="26" spans="1:16" ht="15.75" thickTop="1" x14ac:dyDescent="0.25">
      <c r="A26" s="109"/>
      <c r="B26" s="113"/>
      <c r="C26" s="105"/>
      <c r="D26" s="105"/>
      <c r="E26" s="115"/>
      <c r="F26" s="109"/>
      <c r="G26" s="113"/>
      <c r="H26" s="105"/>
      <c r="I26" s="115"/>
      <c r="J26" s="109"/>
      <c r="K26" s="113"/>
      <c r="L26" s="105"/>
      <c r="M26" s="115"/>
      <c r="N26" s="109"/>
      <c r="O26" s="113"/>
      <c r="P26" s="105"/>
    </row>
    <row r="27" spans="1:16" x14ac:dyDescent="0.25">
      <c r="A27" s="102" t="s">
        <v>1029</v>
      </c>
      <c r="B27" s="113"/>
      <c r="C27" s="105"/>
      <c r="D27" s="105"/>
      <c r="E27" s="115"/>
      <c r="F27" s="102" t="s">
        <v>1029</v>
      </c>
      <c r="G27" s="113"/>
      <c r="H27" s="105"/>
      <c r="I27" s="115"/>
      <c r="J27" s="102" t="s">
        <v>1029</v>
      </c>
      <c r="K27" s="113"/>
      <c r="L27" s="105"/>
      <c r="M27" s="115"/>
      <c r="N27" s="102" t="s">
        <v>1029</v>
      </c>
      <c r="O27" s="113"/>
      <c r="P27" s="105"/>
    </row>
    <row r="28" spans="1:16" x14ac:dyDescent="0.25">
      <c r="A28" s="104" t="s">
        <v>1030</v>
      </c>
      <c r="B28" s="113">
        <v>10</v>
      </c>
      <c r="C28" s="105"/>
      <c r="D28" s="105">
        <f>D$7*$B28/$B$34</f>
        <v>43875</v>
      </c>
      <c r="E28" s="115" t="s">
        <v>1031</v>
      </c>
      <c r="F28" s="104" t="s">
        <v>1030</v>
      </c>
      <c r="G28" s="113">
        <v>10</v>
      </c>
      <c r="H28" s="105">
        <f>H$7*$G28/$G$34</f>
        <v>42750</v>
      </c>
      <c r="I28" s="115"/>
      <c r="J28" s="104" t="s">
        <v>1030</v>
      </c>
      <c r="K28" s="113">
        <v>10</v>
      </c>
      <c r="L28" s="105">
        <f>L$7*$K28/$K$34</f>
        <v>41750</v>
      </c>
      <c r="M28" s="115"/>
      <c r="N28" s="104" t="s">
        <v>1030</v>
      </c>
      <c r="O28" s="113">
        <v>10</v>
      </c>
      <c r="P28" s="105">
        <f>P$7*$O28/$O$34</f>
        <v>41250</v>
      </c>
    </row>
    <row r="29" spans="1:16" x14ac:dyDescent="0.25">
      <c r="A29" s="104" t="s">
        <v>1032</v>
      </c>
      <c r="B29" s="113">
        <v>10</v>
      </c>
      <c r="C29" s="105"/>
      <c r="D29" s="105">
        <f>D$7*$B29/$B$34</f>
        <v>43875</v>
      </c>
      <c r="E29" s="115"/>
      <c r="F29" s="104" t="s">
        <v>1032</v>
      </c>
      <c r="G29" s="113">
        <v>10</v>
      </c>
      <c r="H29" s="105">
        <f>H$7*$G29/$G$34</f>
        <v>42750</v>
      </c>
      <c r="I29" s="115"/>
      <c r="J29" s="104" t="s">
        <v>1032</v>
      </c>
      <c r="K29" s="113">
        <v>10</v>
      </c>
      <c r="L29" s="105">
        <f>L$7*$K29/$K$34</f>
        <v>41750</v>
      </c>
      <c r="M29" s="115"/>
      <c r="N29" s="104" t="s">
        <v>1032</v>
      </c>
      <c r="O29" s="113">
        <v>10</v>
      </c>
      <c r="P29" s="105">
        <f>P$7*$O29/$O$34</f>
        <v>41250</v>
      </c>
    </row>
    <row r="30" spans="1:16" x14ac:dyDescent="0.25">
      <c r="A30" s="104" t="s">
        <v>1033</v>
      </c>
      <c r="B30" s="113">
        <v>5</v>
      </c>
      <c r="C30" s="105"/>
      <c r="D30" s="105">
        <f>D$7*$B30/$B$34</f>
        <v>21937.5</v>
      </c>
      <c r="E30" s="115"/>
      <c r="F30" s="104" t="s">
        <v>1033</v>
      </c>
      <c r="G30" s="113">
        <v>5</v>
      </c>
      <c r="H30" s="105">
        <f>H$7*$G30/$G$34</f>
        <v>21375</v>
      </c>
      <c r="I30" s="115"/>
      <c r="J30" s="104" t="s">
        <v>1033</v>
      </c>
      <c r="K30" s="113">
        <v>5</v>
      </c>
      <c r="L30" s="105">
        <f>L$7*$K30/$K$34</f>
        <v>20875</v>
      </c>
      <c r="M30" s="115"/>
      <c r="N30" s="104" t="s">
        <v>1033</v>
      </c>
      <c r="O30" s="113">
        <v>5</v>
      </c>
      <c r="P30" s="105">
        <f>P$7*$O30/$O$34</f>
        <v>20625</v>
      </c>
    </row>
    <row r="31" spans="1:16" ht="15.75" thickBot="1" x14ac:dyDescent="0.3">
      <c r="A31" s="104"/>
      <c r="B31" s="113"/>
      <c r="C31" s="107">
        <f>SUM(C28)</f>
        <v>0</v>
      </c>
      <c r="D31" s="107">
        <f>SUM(D28:D30)</f>
        <v>109687.5</v>
      </c>
      <c r="E31" s="115"/>
      <c r="F31" s="104"/>
      <c r="G31" s="113"/>
      <c r="H31" s="107">
        <f>SUM(H28:H30)</f>
        <v>106875</v>
      </c>
      <c r="I31" s="115"/>
      <c r="J31" s="104"/>
      <c r="K31" s="113"/>
      <c r="L31" s="107">
        <f>SUM(L28:L30)</f>
        <v>104375</v>
      </c>
      <c r="M31" s="115"/>
      <c r="N31" s="104"/>
      <c r="O31" s="113"/>
      <c r="P31" s="107">
        <f>SUM(P28:P30)</f>
        <v>103125</v>
      </c>
    </row>
    <row r="32" spans="1:16" ht="15.75" thickTop="1" x14ac:dyDescent="0.25">
      <c r="A32" s="104"/>
      <c r="B32" s="113"/>
      <c r="C32" s="105"/>
      <c r="D32" s="105"/>
      <c r="E32" s="115"/>
      <c r="F32" s="104"/>
      <c r="G32" s="113"/>
      <c r="H32" s="105"/>
      <c r="I32" s="115"/>
      <c r="J32" s="104"/>
      <c r="K32" s="113"/>
      <c r="L32" s="105"/>
      <c r="M32" s="115"/>
      <c r="N32" s="104"/>
      <c r="O32" s="113"/>
      <c r="P32" s="105"/>
    </row>
    <row r="33" spans="1:16" x14ac:dyDescent="0.25">
      <c r="A33" s="104"/>
      <c r="B33" s="113"/>
      <c r="C33" s="105"/>
      <c r="D33" s="105"/>
      <c r="E33" s="115"/>
      <c r="F33" s="104"/>
      <c r="G33" s="113"/>
      <c r="H33" s="105"/>
      <c r="I33" s="115"/>
      <c r="J33" s="104"/>
      <c r="K33" s="113"/>
      <c r="L33" s="105"/>
      <c r="M33" s="115"/>
      <c r="N33" s="104"/>
      <c r="O33" s="113"/>
      <c r="P33" s="105"/>
    </row>
    <row r="34" spans="1:16" ht="15.75" thickBot="1" x14ac:dyDescent="0.3">
      <c r="A34" s="110" t="s">
        <v>1003</v>
      </c>
      <c r="B34" s="114">
        <v>100</v>
      </c>
      <c r="C34" s="111">
        <f>C19+C25+C31+C12</f>
        <v>0</v>
      </c>
      <c r="D34" s="111">
        <f>D19+D25+D31+D12</f>
        <v>438750</v>
      </c>
      <c r="E34" s="115"/>
      <c r="F34" s="110" t="s">
        <v>1003</v>
      </c>
      <c r="G34" s="114">
        <v>100</v>
      </c>
      <c r="H34" s="111">
        <f>H19+H25+H31+H12</f>
        <v>427500</v>
      </c>
      <c r="I34" s="115"/>
      <c r="J34" s="110" t="s">
        <v>1003</v>
      </c>
      <c r="K34" s="114">
        <v>100</v>
      </c>
      <c r="L34" s="111">
        <f>L19+L25+L31+L12</f>
        <v>417500</v>
      </c>
      <c r="M34" s="115"/>
      <c r="N34" s="110" t="s">
        <v>1003</v>
      </c>
      <c r="O34" s="114">
        <v>100</v>
      </c>
      <c r="P34" s="111">
        <f>P19+P25+P31+P12</f>
        <v>412500</v>
      </c>
    </row>
    <row r="37" spans="1:16" x14ac:dyDescent="0.25">
      <c r="D37" s="134">
        <f>D34+H34+L34+P34</f>
        <v>1696250</v>
      </c>
      <c r="G37" s="15"/>
      <c r="H37" s="15"/>
      <c r="I37" s="15"/>
      <c r="J37" s="15"/>
    </row>
    <row r="38" spans="1:16" x14ac:dyDescent="0.25">
      <c r="D38" s="134">
        <f>D37-'[2]FEF Incentive Forecast FY2025'!$D$37</f>
        <v>214625</v>
      </c>
      <c r="G38" s="134"/>
      <c r="H38" s="134"/>
      <c r="I38" s="134"/>
      <c r="J38" s="134"/>
    </row>
    <row r="40" spans="1:16" x14ac:dyDescent="0.25">
      <c r="A40" t="str">
        <f>A8</f>
        <v>F&amp;I</v>
      </c>
      <c r="D40" s="134">
        <f>D12+H12+L12+P12</f>
        <v>339250</v>
      </c>
      <c r="E40" s="134">
        <f>D40-'[2]FEF Incentive Forecast FY2025'!D40</f>
        <v>42925</v>
      </c>
    </row>
    <row r="41" spans="1:16" x14ac:dyDescent="0.25">
      <c r="A41" t="str">
        <f>A14</f>
        <v>New Vehicles</v>
      </c>
      <c r="D41" s="134">
        <f>D19+H19+L19+P19</f>
        <v>551281.25</v>
      </c>
      <c r="E41" s="134">
        <f>D41-'[2]FEF Incentive Forecast FY2025'!D41</f>
        <v>69753.125</v>
      </c>
      <c r="H41" s="232"/>
    </row>
    <row r="42" spans="1:16" x14ac:dyDescent="0.25">
      <c r="A42" t="str">
        <f>A21</f>
        <v>Used Vehicles</v>
      </c>
      <c r="D42" s="134">
        <f>D25+H25+P25</f>
        <v>287718.75</v>
      </c>
      <c r="E42" s="134">
        <f>D42-'[2]FEF Incentive Forecast FY2025'!D42</f>
        <v>36365.625</v>
      </c>
      <c r="H42" s="233"/>
      <c r="I42" s="44"/>
    </row>
    <row r="43" spans="1:16" x14ac:dyDescent="0.25">
      <c r="A43" t="str">
        <f>A27</f>
        <v>Parts &amp; Service</v>
      </c>
      <c r="D43" s="134">
        <f>D31+H31+L31+P31</f>
        <v>424062.5</v>
      </c>
      <c r="E43" s="134">
        <f>D43-'[2]FEF Incentive Forecast FY2025'!D43</f>
        <v>53656.25</v>
      </c>
      <c r="H43" s="232"/>
    </row>
    <row r="44" spans="1:16" x14ac:dyDescent="0.25">
      <c r="I44" s="233"/>
    </row>
    <row r="45" spans="1:16" x14ac:dyDescent="0.25">
      <c r="I45" s="233"/>
    </row>
    <row r="46" spans="1:16" x14ac:dyDescent="0.25">
      <c r="I46" s="2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6E7CC-A2B9-4594-81FF-B09E4FA5A47D}">
  <sheetPr>
    <tabColor theme="9" tint="0.79998168889431442"/>
  </sheetPr>
  <dimension ref="A1:P52"/>
  <sheetViews>
    <sheetView workbookViewId="0"/>
  </sheetViews>
  <sheetFormatPr defaultColWidth="20" defaultRowHeight="11.25" x14ac:dyDescent="0.2"/>
  <cols>
    <col min="1" max="1" width="20.7109375" style="192" customWidth="1"/>
    <col min="2" max="3" width="20" style="192"/>
    <col min="4" max="4" width="30.7109375" style="193" customWidth="1"/>
    <col min="5" max="5" width="1.42578125" style="192" customWidth="1"/>
    <col min="6" max="6" width="20.7109375" style="192" customWidth="1"/>
    <col min="7" max="8" width="20" style="192"/>
    <col min="9" max="9" width="30.7109375" style="192" customWidth="1"/>
    <col min="10" max="16384" width="20" style="192"/>
  </cols>
  <sheetData>
    <row r="1" spans="1:9" ht="12" thickBot="1" x14ac:dyDescent="0.25"/>
    <row r="2" spans="1:9" x14ac:dyDescent="0.2">
      <c r="A2" s="223" t="s">
        <v>1035</v>
      </c>
      <c r="B2" s="222" t="s">
        <v>1036</v>
      </c>
      <c r="C2" s="224">
        <v>35</v>
      </c>
      <c r="F2" s="223" t="s">
        <v>1037</v>
      </c>
      <c r="G2" s="222" t="s">
        <v>1036</v>
      </c>
      <c r="H2" s="224">
        <v>11</v>
      </c>
      <c r="I2" s="193"/>
    </row>
    <row r="3" spans="1:9" x14ac:dyDescent="0.2">
      <c r="A3" s="204"/>
      <c r="B3" s="231"/>
      <c r="C3" s="228"/>
      <c r="F3" s="204"/>
      <c r="G3" s="231"/>
      <c r="H3" s="219"/>
      <c r="I3" s="193"/>
    </row>
    <row r="4" spans="1:9" x14ac:dyDescent="0.2">
      <c r="A4" s="204" t="s">
        <v>1038</v>
      </c>
      <c r="B4" s="213">
        <v>100</v>
      </c>
      <c r="C4" s="202">
        <f>B4*C2</f>
        <v>3500</v>
      </c>
      <c r="F4" s="204" t="s">
        <v>1039</v>
      </c>
      <c r="G4" s="213">
        <v>250</v>
      </c>
      <c r="H4" s="202">
        <f>H2*G4</f>
        <v>2750</v>
      </c>
    </row>
    <row r="5" spans="1:9" x14ac:dyDescent="0.2">
      <c r="A5" s="215" t="s">
        <v>1040</v>
      </c>
      <c r="B5" s="213"/>
      <c r="C5" s="202"/>
      <c r="F5" s="215" t="s">
        <v>1040</v>
      </c>
      <c r="G5" s="213"/>
      <c r="H5" s="202"/>
    </row>
    <row r="6" spans="1:9" x14ac:dyDescent="0.2">
      <c r="A6" s="214">
        <v>8</v>
      </c>
      <c r="B6" s="213">
        <v>500</v>
      </c>
      <c r="C6" s="202">
        <f t="shared" ref="C6:C12" si="0">IF($C$2&gt;=A6,B6,0)</f>
        <v>500</v>
      </c>
      <c r="F6" s="214">
        <v>20</v>
      </c>
      <c r="G6" s="213">
        <v>50</v>
      </c>
      <c r="H6" s="202">
        <f>+IF(H2&gt;F6,H2*G6,0)</f>
        <v>0</v>
      </c>
    </row>
    <row r="7" spans="1:9" x14ac:dyDescent="0.2">
      <c r="A7" s="214">
        <v>10</v>
      </c>
      <c r="B7" s="213">
        <v>1000</v>
      </c>
      <c r="C7" s="202">
        <f t="shared" si="0"/>
        <v>1000</v>
      </c>
      <c r="F7" s="215"/>
      <c r="G7" s="213"/>
      <c r="H7" s="202"/>
    </row>
    <row r="8" spans="1:9" x14ac:dyDescent="0.2">
      <c r="A8" s="214">
        <v>12</v>
      </c>
      <c r="B8" s="213">
        <v>1000</v>
      </c>
      <c r="C8" s="202">
        <f t="shared" si="0"/>
        <v>1000</v>
      </c>
      <c r="F8" s="215" t="s">
        <v>1041</v>
      </c>
      <c r="G8" s="213">
        <v>50</v>
      </c>
      <c r="H8" s="202">
        <f>+G8*H2</f>
        <v>550</v>
      </c>
      <c r="I8" s="193" t="s">
        <v>1042</v>
      </c>
    </row>
    <row r="9" spans="1:9" x14ac:dyDescent="0.2">
      <c r="A9" s="214">
        <v>15</v>
      </c>
      <c r="B9" s="213">
        <v>1000</v>
      </c>
      <c r="C9" s="202">
        <f t="shared" si="0"/>
        <v>1000</v>
      </c>
      <c r="F9" s="214" t="s">
        <v>1043</v>
      </c>
      <c r="G9" s="213"/>
      <c r="H9" s="202"/>
      <c r="I9" s="193"/>
    </row>
    <row r="10" spans="1:9" x14ac:dyDescent="0.2">
      <c r="A10" s="214">
        <v>18</v>
      </c>
      <c r="B10" s="213">
        <v>1000</v>
      </c>
      <c r="C10" s="202">
        <f t="shared" si="0"/>
        <v>1000</v>
      </c>
      <c r="F10" s="230">
        <v>1</v>
      </c>
      <c r="G10" s="213">
        <v>50</v>
      </c>
      <c r="H10" s="202">
        <f>+G10*H2</f>
        <v>550</v>
      </c>
      <c r="I10" s="193" t="s">
        <v>1044</v>
      </c>
    </row>
    <row r="11" spans="1:9" x14ac:dyDescent="0.2">
      <c r="A11" s="214">
        <v>20</v>
      </c>
      <c r="B11" s="213">
        <v>1000</v>
      </c>
      <c r="C11" s="202">
        <f t="shared" si="0"/>
        <v>1000</v>
      </c>
      <c r="F11" s="230" t="s">
        <v>1045</v>
      </c>
      <c r="G11" s="213">
        <v>50</v>
      </c>
      <c r="H11" s="202">
        <f>+G11*H2</f>
        <v>550</v>
      </c>
      <c r="I11" s="193" t="s">
        <v>1046</v>
      </c>
    </row>
    <row r="12" spans="1:9" x14ac:dyDescent="0.2">
      <c r="A12" s="214">
        <v>25</v>
      </c>
      <c r="B12" s="213">
        <v>1000</v>
      </c>
      <c r="C12" s="202">
        <f t="shared" si="0"/>
        <v>1000</v>
      </c>
      <c r="F12" s="214" t="s">
        <v>1047</v>
      </c>
      <c r="G12" s="213">
        <v>50</v>
      </c>
      <c r="H12" s="202">
        <f>+G12*H2</f>
        <v>550</v>
      </c>
      <c r="I12" s="193"/>
    </row>
    <row r="13" spans="1:9" x14ac:dyDescent="0.2">
      <c r="A13" s="214">
        <v>26</v>
      </c>
      <c r="B13" s="213">
        <v>200</v>
      </c>
      <c r="C13" s="202">
        <f>IF($C$2&gt;=A13,$B$13*($C$2-$A$13),0)</f>
        <v>1800</v>
      </c>
      <c r="F13" s="214"/>
      <c r="G13" s="213"/>
      <c r="H13" s="202"/>
      <c r="I13" s="193"/>
    </row>
    <row r="14" spans="1:9" x14ac:dyDescent="0.2">
      <c r="A14" s="204" t="s">
        <v>1048</v>
      </c>
      <c r="B14" s="213"/>
      <c r="C14" s="202"/>
      <c r="F14" s="214"/>
      <c r="G14" s="213"/>
      <c r="H14" s="202"/>
      <c r="I14" s="193"/>
    </row>
    <row r="15" spans="1:9" x14ac:dyDescent="0.2">
      <c r="A15" s="204" t="s">
        <v>1049</v>
      </c>
      <c r="B15" s="213">
        <v>100</v>
      </c>
      <c r="C15" s="202">
        <f>$C$2*$B15</f>
        <v>3500</v>
      </c>
      <c r="D15" s="193" t="s">
        <v>1050</v>
      </c>
      <c r="F15" s="214"/>
      <c r="G15" s="213"/>
      <c r="H15" s="202"/>
      <c r="I15" s="193"/>
    </row>
    <row r="16" spans="1:9" x14ac:dyDescent="0.2">
      <c r="A16" s="215" t="s">
        <v>1051</v>
      </c>
      <c r="B16" s="206">
        <v>50</v>
      </c>
      <c r="C16" s="202">
        <f>$C$2*$B16</f>
        <v>1750</v>
      </c>
      <c r="D16" s="193" t="s">
        <v>1050</v>
      </c>
      <c r="F16" s="204"/>
      <c r="G16" s="213"/>
      <c r="H16" s="202"/>
      <c r="I16" s="193"/>
    </row>
    <row r="17" spans="1:16" x14ac:dyDescent="0.2">
      <c r="A17" s="204"/>
      <c r="B17" s="213"/>
      <c r="C17" s="202"/>
      <c r="F17" s="215"/>
      <c r="G17" s="206"/>
      <c r="H17" s="202"/>
      <c r="I17" s="193"/>
    </row>
    <row r="18" spans="1:16" x14ac:dyDescent="0.2">
      <c r="A18" s="204" t="s">
        <v>1052</v>
      </c>
      <c r="B18" s="213"/>
      <c r="C18" s="202">
        <f>SUM(C4:C16)</f>
        <v>17050</v>
      </c>
      <c r="F18" s="204" t="s">
        <v>1052</v>
      </c>
      <c r="G18" s="213"/>
      <c r="H18" s="202">
        <f>SUM(H4:H16)</f>
        <v>4950</v>
      </c>
      <c r="I18" s="193"/>
    </row>
    <row r="19" spans="1:16" x14ac:dyDescent="0.2">
      <c r="A19" s="204" t="s">
        <v>1053</v>
      </c>
      <c r="B19" s="213"/>
      <c r="C19" s="202">
        <f>+C18/C2</f>
        <v>487.14285714285717</v>
      </c>
      <c r="F19" s="204" t="s">
        <v>1053</v>
      </c>
      <c r="G19" s="213"/>
      <c r="H19" s="202">
        <f>H18/H2</f>
        <v>450</v>
      </c>
      <c r="I19" s="193"/>
    </row>
    <row r="20" spans="1:16" x14ac:dyDescent="0.2">
      <c r="A20" s="229"/>
      <c r="B20" s="206"/>
      <c r="C20" s="202"/>
      <c r="F20" s="204"/>
      <c r="G20" s="213"/>
      <c r="H20" s="202"/>
      <c r="I20" s="193"/>
    </row>
    <row r="21" spans="1:16" x14ac:dyDescent="0.2">
      <c r="A21" s="204" t="s">
        <v>1054</v>
      </c>
      <c r="B21" s="206">
        <v>48676.29</v>
      </c>
      <c r="C21" s="202">
        <f>B21/12</f>
        <v>4056.3575000000001</v>
      </c>
      <c r="F21" s="204" t="s">
        <v>1054</v>
      </c>
      <c r="G21" s="206">
        <v>60000</v>
      </c>
      <c r="H21" s="202">
        <f>G21/12</f>
        <v>5000</v>
      </c>
      <c r="I21" s="193"/>
      <c r="O21" s="201"/>
      <c r="P21" s="201"/>
    </row>
    <row r="22" spans="1:16" s="201" customFormat="1" ht="12" thickBot="1" x14ac:dyDescent="0.25">
      <c r="A22" s="210" t="s">
        <v>1055</v>
      </c>
      <c r="B22" s="211"/>
      <c r="C22" s="208">
        <f>C18+C21</f>
        <v>21106.357499999998</v>
      </c>
      <c r="D22" s="205"/>
      <c r="F22" s="210" t="s">
        <v>1055</v>
      </c>
      <c r="G22" s="211"/>
      <c r="H22" s="208">
        <f>H18+H21</f>
        <v>9950</v>
      </c>
      <c r="I22" s="205"/>
      <c r="L22" s="192"/>
      <c r="M22" s="192"/>
      <c r="N22" s="192"/>
      <c r="O22" s="192"/>
      <c r="P22" s="192"/>
    </row>
    <row r="23" spans="1:16" ht="12" thickTop="1" x14ac:dyDescent="0.2">
      <c r="A23" s="204"/>
      <c r="B23" s="227"/>
      <c r="C23" s="228"/>
      <c r="F23" s="204"/>
      <c r="G23" s="227"/>
      <c r="H23" s="202"/>
      <c r="I23" s="193"/>
      <c r="L23" s="201"/>
      <c r="M23" s="201"/>
      <c r="N23" s="201"/>
    </row>
    <row r="24" spans="1:16" ht="12" thickBot="1" x14ac:dyDescent="0.25">
      <c r="A24" s="199"/>
      <c r="B24" s="225"/>
      <c r="C24" s="226"/>
      <c r="F24" s="199" t="s">
        <v>1056</v>
      </c>
      <c r="G24" s="225"/>
      <c r="H24" s="197">
        <f>H22-C22</f>
        <v>-11156.357499999998</v>
      </c>
      <c r="I24" s="193"/>
    </row>
    <row r="27" spans="1:16" ht="12" thickBot="1" x14ac:dyDescent="0.25"/>
    <row r="28" spans="1:16" x14ac:dyDescent="0.2">
      <c r="A28" s="223" t="s">
        <v>1057</v>
      </c>
      <c r="B28" s="222" t="s">
        <v>1036</v>
      </c>
      <c r="C28" s="224">
        <v>35</v>
      </c>
      <c r="F28" s="223" t="s">
        <v>1058</v>
      </c>
      <c r="G28" s="222" t="s">
        <v>1036</v>
      </c>
      <c r="H28" s="221">
        <v>20</v>
      </c>
      <c r="I28" s="193"/>
    </row>
    <row r="29" spans="1:16" x14ac:dyDescent="0.2">
      <c r="A29" s="218"/>
      <c r="B29" s="220"/>
      <c r="C29" s="219"/>
      <c r="F29" s="218"/>
      <c r="G29" s="212"/>
      <c r="H29" s="217"/>
      <c r="I29" s="196"/>
    </row>
    <row r="30" spans="1:16" x14ac:dyDescent="0.2">
      <c r="A30" s="204" t="s">
        <v>1059</v>
      </c>
      <c r="B30" s="212"/>
      <c r="C30" s="216">
        <v>2500</v>
      </c>
      <c r="F30" s="204" t="s">
        <v>1059</v>
      </c>
      <c r="G30" s="212"/>
      <c r="H30" s="216">
        <v>2500</v>
      </c>
      <c r="I30" s="196"/>
    </row>
    <row r="31" spans="1:16" x14ac:dyDescent="0.2">
      <c r="A31" s="204"/>
      <c r="B31" s="212"/>
      <c r="C31" s="202"/>
      <c r="F31" s="204"/>
      <c r="G31" s="212"/>
      <c r="H31" s="202"/>
      <c r="I31" s="196"/>
    </row>
    <row r="32" spans="1:16" x14ac:dyDescent="0.2">
      <c r="A32" s="204" t="s">
        <v>1060</v>
      </c>
      <c r="B32" s="213">
        <v>250</v>
      </c>
      <c r="C32" s="202">
        <f>IF($C$30&lt;=$B$33,$B$32*$C$28,10%*$C$30)</f>
        <v>8750</v>
      </c>
      <c r="F32" s="204" t="s">
        <v>1061</v>
      </c>
      <c r="G32" s="212">
        <v>250</v>
      </c>
      <c r="H32" s="202">
        <f>+H28*H30*0.1</f>
        <v>5000</v>
      </c>
      <c r="I32" s="196"/>
    </row>
    <row r="33" spans="1:9" x14ac:dyDescent="0.2">
      <c r="A33" s="215" t="s">
        <v>1059</v>
      </c>
      <c r="B33" s="213">
        <v>2500</v>
      </c>
      <c r="C33" s="202"/>
      <c r="F33" s="215" t="s">
        <v>1041</v>
      </c>
      <c r="G33" s="212">
        <v>50</v>
      </c>
      <c r="H33" s="202">
        <f>+H28*G33</f>
        <v>1000</v>
      </c>
      <c r="I33" s="196" t="s">
        <v>1042</v>
      </c>
    </row>
    <row r="34" spans="1:9" x14ac:dyDescent="0.2">
      <c r="A34" s="214" t="s">
        <v>1062</v>
      </c>
      <c r="B34" s="213"/>
      <c r="C34" s="202"/>
      <c r="F34" s="214" t="s">
        <v>1062</v>
      </c>
      <c r="G34" s="212"/>
      <c r="H34" s="202"/>
      <c r="I34" s="196"/>
    </row>
    <row r="35" spans="1:9" x14ac:dyDescent="0.2">
      <c r="A35" s="214">
        <v>8</v>
      </c>
      <c r="B35" s="213">
        <v>150</v>
      </c>
      <c r="C35" s="202">
        <f>IF($C$28&gt;=A35,$B35,0)</f>
        <v>150</v>
      </c>
      <c r="F35" s="214">
        <v>16</v>
      </c>
      <c r="G35" s="212">
        <v>50</v>
      </c>
      <c r="H35" s="202">
        <f>IF(H28&gt;F35,H28*G35,0)</f>
        <v>1000</v>
      </c>
      <c r="I35" s="196"/>
    </row>
    <row r="36" spans="1:9" x14ac:dyDescent="0.2">
      <c r="A36" s="214">
        <v>12</v>
      </c>
      <c r="B36" s="213">
        <v>300</v>
      </c>
      <c r="C36" s="202">
        <f>IF($C$28&gt;=A36,$B36,0)</f>
        <v>300</v>
      </c>
      <c r="F36" s="214">
        <v>20</v>
      </c>
      <c r="G36" s="212">
        <v>50</v>
      </c>
      <c r="H36" s="202">
        <f>IF($H$28&gt;$F$36,G36*H28,0)</f>
        <v>0</v>
      </c>
      <c r="I36" s="196"/>
    </row>
    <row r="37" spans="1:9" x14ac:dyDescent="0.2">
      <c r="A37" s="214">
        <v>16</v>
      </c>
      <c r="B37" s="213">
        <v>1000</v>
      </c>
      <c r="C37" s="202">
        <f>IF($C$28&gt;=A37,$B37,0)</f>
        <v>1000</v>
      </c>
      <c r="F37" s="214"/>
      <c r="G37" s="212"/>
      <c r="H37" s="202"/>
      <c r="I37" s="196"/>
    </row>
    <row r="38" spans="1:9" x14ac:dyDescent="0.2">
      <c r="A38" s="214" t="s">
        <v>1063</v>
      </c>
      <c r="B38" s="213">
        <v>90</v>
      </c>
      <c r="C38" s="202">
        <f>IF($C$28&gt;$A$37,$C$28*$B$38,0)</f>
        <v>3150</v>
      </c>
      <c r="F38" s="214"/>
      <c r="G38" s="212"/>
      <c r="H38" s="202"/>
      <c r="I38" s="196"/>
    </row>
    <row r="39" spans="1:9" x14ac:dyDescent="0.2">
      <c r="A39" s="204"/>
      <c r="B39" s="213"/>
      <c r="C39" s="202"/>
      <c r="F39" s="204"/>
      <c r="G39" s="212"/>
      <c r="H39" s="202"/>
      <c r="I39" s="196"/>
    </row>
    <row r="40" spans="1:9" x14ac:dyDescent="0.2">
      <c r="A40" s="204" t="s">
        <v>1052</v>
      </c>
      <c r="B40" s="213"/>
      <c r="C40" s="202">
        <f>SUM(C32:C39)</f>
        <v>13350</v>
      </c>
      <c r="F40" s="204" t="s">
        <v>1052</v>
      </c>
      <c r="G40" s="212"/>
      <c r="H40" s="202">
        <f>SUM(H31:H39)</f>
        <v>7000</v>
      </c>
      <c r="I40" s="196"/>
    </row>
    <row r="41" spans="1:9" x14ac:dyDescent="0.2">
      <c r="A41" s="204" t="s">
        <v>1053</v>
      </c>
      <c r="B41" s="213"/>
      <c r="C41" s="202">
        <f>C40/C28</f>
        <v>381.42857142857144</v>
      </c>
      <c r="F41" s="204" t="s">
        <v>1053</v>
      </c>
      <c r="G41" s="212"/>
      <c r="H41" s="202">
        <f>H40/H28</f>
        <v>350</v>
      </c>
      <c r="I41" s="196"/>
    </row>
    <row r="42" spans="1:9" x14ac:dyDescent="0.2">
      <c r="A42" s="204"/>
      <c r="B42" s="206"/>
      <c r="C42" s="202"/>
      <c r="F42" s="204"/>
      <c r="G42" s="212"/>
      <c r="H42" s="202"/>
      <c r="I42" s="196"/>
    </row>
    <row r="43" spans="1:9" x14ac:dyDescent="0.2">
      <c r="A43" s="204" t="s">
        <v>1054</v>
      </c>
      <c r="B43" s="206">
        <f>25*40*52</f>
        <v>52000</v>
      </c>
      <c r="C43" s="202">
        <f>B43/12</f>
        <v>4333.333333333333</v>
      </c>
      <c r="F43" s="204" t="s">
        <v>1054</v>
      </c>
      <c r="G43" s="203">
        <v>60000</v>
      </c>
      <c r="H43" s="202">
        <f>G43/12</f>
        <v>5000</v>
      </c>
      <c r="I43" s="196"/>
    </row>
    <row r="44" spans="1:9" ht="12" thickBot="1" x14ac:dyDescent="0.25">
      <c r="A44" s="210" t="s">
        <v>1055</v>
      </c>
      <c r="B44" s="211"/>
      <c r="C44" s="208">
        <f>C40+C43</f>
        <v>17683.333333333332</v>
      </c>
      <c r="F44" s="210" t="s">
        <v>1055</v>
      </c>
      <c r="G44" s="209"/>
      <c r="H44" s="208">
        <f>H40+H43</f>
        <v>12000</v>
      </c>
      <c r="I44" s="207"/>
    </row>
    <row r="45" spans="1:9" s="201" customFormat="1" ht="12" thickTop="1" x14ac:dyDescent="0.2">
      <c r="A45" s="204"/>
      <c r="B45" s="206"/>
      <c r="C45" s="202"/>
      <c r="D45" s="205"/>
      <c r="F45" s="204"/>
      <c r="G45" s="203"/>
      <c r="H45" s="202"/>
      <c r="I45" s="196"/>
    </row>
    <row r="46" spans="1:9" ht="12" thickBot="1" x14ac:dyDescent="0.25">
      <c r="A46" s="199"/>
      <c r="B46" s="200"/>
      <c r="C46" s="197"/>
      <c r="F46" s="199"/>
      <c r="G46" s="198"/>
      <c r="H46" s="197">
        <f>H44-C44</f>
        <v>-5683.3333333333321</v>
      </c>
      <c r="I46" s="196"/>
    </row>
    <row r="47" spans="1:9" x14ac:dyDescent="0.2">
      <c r="B47" s="195"/>
      <c r="G47" s="194"/>
      <c r="H47" s="194"/>
      <c r="I47" s="194"/>
    </row>
    <row r="48" spans="1:9" x14ac:dyDescent="0.2">
      <c r="G48" s="194"/>
      <c r="H48" s="194"/>
      <c r="I48" s="194"/>
    </row>
    <row r="49" spans="7:9" x14ac:dyDescent="0.2">
      <c r="G49" s="194"/>
      <c r="H49" s="194"/>
      <c r="I49" s="194"/>
    </row>
    <row r="50" spans="7:9" x14ac:dyDescent="0.2">
      <c r="G50" s="194"/>
      <c r="H50" s="194"/>
      <c r="I50" s="194"/>
    </row>
    <row r="51" spans="7:9" x14ac:dyDescent="0.2">
      <c r="G51" s="194"/>
      <c r="H51" s="194"/>
      <c r="I51" s="194"/>
    </row>
    <row r="52" spans="7:9" x14ac:dyDescent="0.2">
      <c r="G52" s="194"/>
      <c r="H52" s="194"/>
      <c r="I52" s="19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F185-8205-4A2D-B6B8-D2A6589595F7}">
  <sheetPr codeName="Sheet5">
    <tabColor theme="9" tint="0.79998168889431442"/>
  </sheetPr>
  <dimension ref="A1:V58"/>
  <sheetViews>
    <sheetView workbookViewId="0">
      <selection activeCell="E45" sqref="E45"/>
    </sheetView>
  </sheetViews>
  <sheetFormatPr defaultRowHeight="15" x14ac:dyDescent="0.25"/>
  <cols>
    <col min="1" max="1" width="26.5703125" bestFit="1" customWidth="1"/>
    <col min="2" max="2" width="8.7109375" hidden="1" customWidth="1"/>
    <col min="3" max="4" width="9.5703125" hidden="1" customWidth="1"/>
    <col min="5" max="5" width="10.28515625" bestFit="1" customWidth="1"/>
    <col min="6" max="16" width="10.7109375" customWidth="1"/>
    <col min="17" max="17" width="2.85546875" customWidth="1"/>
    <col min="18" max="18" width="11.28515625" bestFit="1" customWidth="1"/>
    <col min="19" max="19" width="10.5703125" style="34" bestFit="1" customWidth="1"/>
    <col min="20" max="20" width="10.140625" bestFit="1" customWidth="1"/>
    <col min="21" max="21" width="9.5703125" bestFit="1" customWidth="1"/>
  </cols>
  <sheetData>
    <row r="1" spans="1:22" ht="15.75" x14ac:dyDescent="0.25">
      <c r="A1" s="11" t="s">
        <v>1064</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2" x14ac:dyDescent="0.25">
      <c r="D3" s="34"/>
      <c r="G3" s="34"/>
    </row>
    <row r="4" spans="1:22" x14ac:dyDescent="0.25">
      <c r="A4" t="s">
        <v>1065</v>
      </c>
      <c r="B4" s="2">
        <f>'New Vehicles - NS'!B4+'New Vehicles - NW'!B4</f>
        <v>135</v>
      </c>
      <c r="C4" s="2">
        <f>'New Vehicles - NS'!C4+'New Vehicles - NW'!C4</f>
        <v>71</v>
      </c>
      <c r="D4" s="2">
        <f>'New Vehicles - NS'!D4+'New Vehicles - NW'!D4</f>
        <v>153</v>
      </c>
      <c r="E4" s="2">
        <f>'New Vehicles - NS'!E4+'New Vehicles - NW'!E4</f>
        <v>140</v>
      </c>
      <c r="F4" s="2">
        <f>'New Vehicles - NS'!F4+'New Vehicles - NW'!F4</f>
        <v>146</v>
      </c>
      <c r="G4" s="2">
        <f>'New Vehicles - NS'!G4+'New Vehicles - NW'!G4</f>
        <v>246</v>
      </c>
      <c r="H4" s="2">
        <f>'New Vehicles - NS'!H4+'New Vehicles - NW'!H4</f>
        <v>46</v>
      </c>
      <c r="I4" s="2">
        <f>'New Vehicles - NS'!I4+'New Vehicles - NW'!I4</f>
        <v>129</v>
      </c>
      <c r="J4" s="2">
        <f>'New Vehicles - NS'!J4+'New Vehicles - NW'!J4</f>
        <v>126</v>
      </c>
      <c r="K4" s="2">
        <f>'New Vehicles - NS'!K4+'New Vehicles - NW'!K4</f>
        <v>81</v>
      </c>
      <c r="L4" s="2">
        <f>'New Vehicles - NS'!L4+'New Vehicles - NW'!L4</f>
        <v>119</v>
      </c>
      <c r="M4" s="2">
        <f>'New Vehicles - NS'!M4+'New Vehicles - NW'!M4</f>
        <v>89</v>
      </c>
      <c r="N4" s="2">
        <f>'New Vehicles - NS'!N4+'New Vehicles - NW'!N4</f>
        <v>124</v>
      </c>
      <c r="O4" s="2">
        <f>'New Vehicles - NS'!O4+'New Vehicles - NW'!O4</f>
        <v>87</v>
      </c>
      <c r="P4" s="2">
        <f>'New Vehicles - NS'!P4+'New Vehicles - NW'!P4</f>
        <v>114</v>
      </c>
      <c r="Q4" s="8"/>
      <c r="R4" s="2">
        <f>SUM(E4:P4)</f>
        <v>1447</v>
      </c>
      <c r="T4" s="39"/>
    </row>
    <row r="5" spans="1:22" x14ac:dyDescent="0.25">
      <c r="A5" t="s">
        <v>1066</v>
      </c>
      <c r="B5" s="2">
        <f>'New Vehicles - NS'!B5+'New Vehicles - NW'!B5</f>
        <v>6</v>
      </c>
      <c r="C5" s="2">
        <f>'New Vehicles - NS'!C5+'New Vehicles - NW'!C5</f>
        <v>6</v>
      </c>
      <c r="D5" s="2">
        <f>'New Vehicles - NS'!D5+'New Vehicles - NW'!D5</f>
        <v>6</v>
      </c>
      <c r="E5" s="2">
        <f>'New Vehicles - NS'!E5+'New Vehicles - NW'!E5</f>
        <v>6</v>
      </c>
      <c r="F5" s="2">
        <f>'New Vehicles - NS'!F5+'New Vehicles - NW'!F5</f>
        <v>6</v>
      </c>
      <c r="G5" s="2">
        <f>'New Vehicles - NS'!G5+'New Vehicles - NW'!G5</f>
        <v>6</v>
      </c>
      <c r="H5" s="2">
        <f>'New Vehicles - NS'!H5+'New Vehicles - NW'!H5</f>
        <v>6</v>
      </c>
      <c r="I5" s="2">
        <f>'New Vehicles - NS'!I5+'New Vehicles - NW'!I5</f>
        <v>7</v>
      </c>
      <c r="J5" s="2">
        <f>'New Vehicles - NS'!J5+'New Vehicles - NW'!J5</f>
        <v>7</v>
      </c>
      <c r="K5" s="2">
        <f>'New Vehicles - NS'!K5+'New Vehicles - NW'!K5</f>
        <v>7</v>
      </c>
      <c r="L5" s="2">
        <f>'New Vehicles - NS'!L5+'New Vehicles - NW'!L5</f>
        <v>7</v>
      </c>
      <c r="M5" s="2">
        <f>'New Vehicles - NS'!M5+'New Vehicles - NW'!M5</f>
        <v>7</v>
      </c>
      <c r="N5" s="2">
        <f>'New Vehicles - NS'!N5+'New Vehicles - NW'!N5</f>
        <v>7</v>
      </c>
      <c r="O5" s="2">
        <f>'New Vehicles - NS'!O5+'New Vehicles - NW'!O5</f>
        <v>7</v>
      </c>
      <c r="P5" s="2">
        <f>'New Vehicles - NS'!P5+'New Vehicles - NW'!P5</f>
        <v>7</v>
      </c>
      <c r="Q5" s="3"/>
      <c r="R5" s="2">
        <f>AVERAGE(E5,P5)</f>
        <v>6.5</v>
      </c>
    </row>
    <row r="6" spans="1:22" x14ac:dyDescent="0.25">
      <c r="A6" s="39" t="s">
        <v>1067</v>
      </c>
      <c r="B6" s="2">
        <f>B4/B5</f>
        <v>22.5</v>
      </c>
      <c r="C6" s="2">
        <f t="shared" ref="C6:M6" si="0">C4/C5</f>
        <v>11.833333333333334</v>
      </c>
      <c r="D6" s="2">
        <f t="shared" si="0"/>
        <v>25.5</v>
      </c>
      <c r="E6" s="2">
        <f t="shared" si="0"/>
        <v>23.333333333333332</v>
      </c>
      <c r="F6" s="2">
        <f t="shared" si="0"/>
        <v>24.333333333333332</v>
      </c>
      <c r="G6" s="2">
        <f t="shared" si="0"/>
        <v>41</v>
      </c>
      <c r="H6" s="2">
        <f t="shared" si="0"/>
        <v>7.666666666666667</v>
      </c>
      <c r="I6" s="2">
        <f t="shared" si="0"/>
        <v>18.428571428571427</v>
      </c>
      <c r="J6" s="2">
        <f t="shared" si="0"/>
        <v>18</v>
      </c>
      <c r="K6" s="2">
        <f t="shared" si="0"/>
        <v>11.571428571428571</v>
      </c>
      <c r="L6" s="2">
        <f t="shared" si="0"/>
        <v>17</v>
      </c>
      <c r="M6" s="2">
        <f t="shared" si="0"/>
        <v>12.714285714285714</v>
      </c>
      <c r="N6" s="2">
        <f>N4/N5</f>
        <v>17.714285714285715</v>
      </c>
      <c r="O6" s="2">
        <f>O4/O5</f>
        <v>12.428571428571429</v>
      </c>
      <c r="P6" s="2">
        <f>P4/P5</f>
        <v>16.285714285714285</v>
      </c>
      <c r="Q6" s="3"/>
      <c r="R6" s="2">
        <f>AVERAGE(E6:P6)</f>
        <v>18.373015873015873</v>
      </c>
    </row>
    <row r="7" spans="1:22" x14ac:dyDescent="0.25">
      <c r="B7" s="2"/>
      <c r="C7" s="2"/>
      <c r="D7" s="2"/>
      <c r="E7" s="2"/>
      <c r="F7" s="2"/>
      <c r="G7" s="2"/>
      <c r="H7" s="2"/>
      <c r="I7" s="2"/>
      <c r="J7" s="2"/>
      <c r="K7" s="2"/>
      <c r="L7" s="2"/>
      <c r="M7" s="2"/>
      <c r="N7" s="2"/>
      <c r="O7" s="2"/>
      <c r="P7" s="2"/>
      <c r="Q7" s="3"/>
      <c r="R7" s="2"/>
    </row>
    <row r="8" spans="1:22" x14ac:dyDescent="0.25">
      <c r="A8" s="7" t="s">
        <v>1068</v>
      </c>
      <c r="B8" s="6">
        <f>(('New Vehicles - NS'!B9+'New Vehicles - NS'!B10)*'New Vehicles - NS'!B4+('New Vehicles - NW'!B9+'New Vehicles - NW'!B10)*'New Vehicles - NW'!B4)/('New Vehicles - NW'!B4+'New Vehicles - NS'!B4)</f>
        <v>1731.4023703703704</v>
      </c>
      <c r="C8" s="6">
        <f>(('New Vehicles - NS'!C9+'New Vehicles - NS'!C10)*'New Vehicles - NS'!C4+('New Vehicles - NW'!C9+'New Vehicles - NW'!C10)*'New Vehicles - NW'!C4)/('New Vehicles - NW'!C4+'New Vehicles - NS'!C4)</f>
        <v>2067.6997183098592</v>
      </c>
      <c r="D8" s="6">
        <f>(('New Vehicles - NS'!D9+'New Vehicles - NS'!D10)*'New Vehicles - NS'!D4+('New Vehicles - NW'!D9+'New Vehicles - NW'!D10)*'New Vehicles - NW'!D4)/('New Vehicles - NW'!D4+'New Vehicles - NS'!D4)</f>
        <v>2045.3001960784318</v>
      </c>
      <c r="E8" s="6">
        <f>(('New Vehicles - NS'!E9+'New Vehicles - NS'!E10)*'New Vehicles - NS'!E4+('New Vehicles - NW'!E9+'New Vehicles - NW'!E10)*'New Vehicles - NW'!E4)/('New Vehicles - NW'!E4+'New Vehicles - NS'!E4)</f>
        <v>1997.8277857142857</v>
      </c>
      <c r="F8" s="6">
        <f>(('New Vehicles - NS'!F9+'New Vehicles - NS'!F10)*'New Vehicles - NS'!F4+('New Vehicles - NW'!F9+'New Vehicles - NW'!F10)*'New Vehicles - NW'!F4)/('New Vehicles - NW'!F4+'New Vehicles - NS'!F4)</f>
        <v>1892.5890410958905</v>
      </c>
      <c r="G8" s="6">
        <f>(('New Vehicles - NS'!G9+'New Vehicles - NS'!G10)*'New Vehicles - NS'!G4+('New Vehicles - NW'!G9+'New Vehicles - NW'!G10)*'New Vehicles - NW'!G4)/('New Vehicles - NW'!G4+'New Vehicles - NS'!G4)</f>
        <v>2372.5895934959353</v>
      </c>
      <c r="H8" s="6">
        <f>(('New Vehicles - NS'!H9+'New Vehicles - NS'!H10)*'New Vehicles - NS'!H4+('New Vehicles - NW'!H9+'New Vehicles - NW'!H10)*'New Vehicles - NW'!H4)/('New Vehicles - NW'!H4+'New Vehicles - NS'!H4)</f>
        <v>2304.586956521739</v>
      </c>
      <c r="I8" s="6">
        <f>(('New Vehicles - NS'!I9+'New Vehicles - NS'!I10)*'New Vehicles - NS'!I4+('New Vehicles - NW'!I9+'New Vehicles - NW'!I10)*'New Vehicles - NW'!I4)/('New Vehicles - NW'!I4+'New Vehicles - NS'!I4)</f>
        <v>1993.1203875968999</v>
      </c>
      <c r="J8" s="6">
        <f>(('New Vehicles - NS'!J9+'New Vehicles - NS'!J10)*'New Vehicles - NS'!J4+('New Vehicles - NW'!J9+'New Vehicles - NW'!J10)*'New Vehicles - NW'!J4)/('New Vehicles - NW'!J4+'New Vehicles - NS'!J4)</f>
        <v>2452.1273809523814</v>
      </c>
      <c r="K8" s="6">
        <f>(('New Vehicles - NS'!K9+'New Vehicles - NS'!K10)*'New Vehicles - NS'!K4+('New Vehicles - NW'!K9+'New Vehicles - NW'!K10)*'New Vehicles - NW'!K4)/('New Vehicles - NW'!K4+'New Vehicles - NS'!K4)</f>
        <v>1861.3103703703703</v>
      </c>
      <c r="L8" s="6">
        <f>(('New Vehicles - NS'!L9+'New Vehicles - NS'!L10)*'New Vehicles - NS'!L4+('New Vehicles - NW'!L9+'New Vehicles - NW'!L10)*'New Vehicles - NW'!L4)/('New Vehicles - NW'!L4+'New Vehicles - NS'!L4)</f>
        <v>1751.832184873949</v>
      </c>
      <c r="M8" s="6">
        <f>(('New Vehicles - NS'!M9+'New Vehicles - NS'!M10)*'New Vehicles - NS'!M4+('New Vehicles - NW'!M9+'New Vehicles - NW'!M10)*'New Vehicles - NW'!M4)/('New Vehicles - NW'!M4+'New Vehicles - NS'!M4)</f>
        <v>2833.4122471910114</v>
      </c>
      <c r="N8" s="6">
        <f>(('New Vehicles - NS'!N9+'New Vehicles - NS'!N10)*'New Vehicles - NS'!N4+('New Vehicles - NW'!N9+'New Vehicles - NW'!N10)*'New Vehicles - NW'!N4)/('New Vehicles - NW'!N4+'New Vehicles - NS'!N4)</f>
        <v>1988.508387096774</v>
      </c>
      <c r="O8" s="6">
        <f>(('New Vehicles - NS'!O9+'New Vehicles - NS'!O10)*'New Vehicles - NS'!O4+('New Vehicles - NW'!O9+'New Vehicles - NW'!O10)*'New Vehicles - NW'!O4)/('New Vehicles - NW'!O4+'New Vehicles - NS'!O4)</f>
        <v>2000.8870114942526</v>
      </c>
      <c r="P8" s="6">
        <f>(('New Vehicles - NS'!P9+'New Vehicles - NS'!P10)*'New Vehicles - NS'!P4+('New Vehicles - NW'!P9+'New Vehicles - NW'!P10)*'New Vehicles - NW'!P4)/('New Vehicles - NW'!P4+'New Vehicles - NS'!P4)</f>
        <v>2737.0564035087714</v>
      </c>
      <c r="Q8" s="3"/>
      <c r="R8" s="6">
        <f t="shared" ref="R8:R14" si="1">AVERAGE(E8:P8)</f>
        <v>2182.1539791593555</v>
      </c>
    </row>
    <row r="9" spans="1:22" x14ac:dyDescent="0.25">
      <c r="A9" s="7" t="s">
        <v>1069</v>
      </c>
      <c r="B9" s="6">
        <f t="shared" ref="B9:P9" si="2">B8-B10</f>
        <v>1686.813037037037</v>
      </c>
      <c r="C9" s="6">
        <f t="shared" si="2"/>
        <v>2067.6997183098592</v>
      </c>
      <c r="D9" s="6">
        <f t="shared" si="2"/>
        <v>1715.3369934640527</v>
      </c>
      <c r="E9" s="6">
        <f t="shared" si="2"/>
        <v>1997.8277857142857</v>
      </c>
      <c r="F9" s="6">
        <f t="shared" si="2"/>
        <v>1892.5890410958905</v>
      </c>
      <c r="G9" s="6">
        <f t="shared" si="2"/>
        <v>1729.0710975609759</v>
      </c>
      <c r="H9" s="6">
        <f t="shared" si="2"/>
        <v>2304.586956521739</v>
      </c>
      <c r="I9" s="6">
        <f t="shared" si="2"/>
        <v>1993.1203875968999</v>
      </c>
      <c r="J9" s="6">
        <f t="shared" si="2"/>
        <v>1858.8734126984132</v>
      </c>
      <c r="K9" s="6">
        <f t="shared" si="2"/>
        <v>1861.3103703703703</v>
      </c>
      <c r="L9" s="6">
        <f t="shared" si="2"/>
        <v>1751.832184873949</v>
      </c>
      <c r="M9" s="6">
        <f t="shared" si="2"/>
        <v>2024.4234831460676</v>
      </c>
      <c r="N9" s="6">
        <f t="shared" si="2"/>
        <v>1988.508387096774</v>
      </c>
      <c r="O9" s="6">
        <f t="shared" ref="O9" si="3">O8-O10</f>
        <v>2000.8870114942526</v>
      </c>
      <c r="P9" s="6">
        <f t="shared" si="2"/>
        <v>1987.0564035087714</v>
      </c>
      <c r="Q9" s="3"/>
      <c r="R9" s="6">
        <f t="shared" si="1"/>
        <v>1949.1738768065325</v>
      </c>
    </row>
    <row r="10" spans="1:22" s="7" customFormat="1" x14ac:dyDescent="0.25">
      <c r="A10" s="7" t="s">
        <v>1070</v>
      </c>
      <c r="B10" s="6">
        <f>'[3]NEW VEHICLE GROUP'!$B$9</f>
        <v>44.589333333333329</v>
      </c>
      <c r="C10" s="6">
        <f>'[4]NEW VEHICLE GROUP'!$B$9</f>
        <v>0</v>
      </c>
      <c r="D10" s="6">
        <f>'[5]NEW VEHICLE GROUP'!$B$9</f>
        <v>329.96320261437904</v>
      </c>
      <c r="E10" s="6">
        <f>'[6]NEW VEHICLE GROUP'!$B$9</f>
        <v>0</v>
      </c>
      <c r="F10" s="6">
        <f>'[7]NEW VEHICLE GROUP'!$B$9</f>
        <v>0</v>
      </c>
      <c r="G10" s="6">
        <f>'[8]NEW VEHICLE GROUP'!$B$9</f>
        <v>643.51849593495933</v>
      </c>
      <c r="H10" s="6">
        <f>'[9]NEW VEHICLE GROUP'!$B$9</f>
        <v>0</v>
      </c>
      <c r="I10" s="6">
        <f>'[10]NEW VEHICLE GROUP'!$B$9</f>
        <v>0</v>
      </c>
      <c r="J10" s="6">
        <f>'[11]NEW VEHICLE GROUP'!$B$9</f>
        <v>593.25396825396831</v>
      </c>
      <c r="K10" s="6">
        <f>'[12]NEW VEHICLE GROUP'!$B$9</f>
        <v>0</v>
      </c>
      <c r="L10" s="6">
        <f>'[13]NEW VEHICLE GROUP'!$B$9</f>
        <v>0</v>
      </c>
      <c r="M10" s="6">
        <f>'[14]NEW VEHICLE GROUP'!$B$9</f>
        <v>808.98876404494376</v>
      </c>
      <c r="N10" s="6">
        <f>'[15]NEW VEHICLE GROUP'!$B$9</f>
        <v>0</v>
      </c>
      <c r="O10" s="6">
        <f>'[16]NEW VEHICLE GROUP'!$B$9</f>
        <v>0</v>
      </c>
      <c r="P10" s="6">
        <f>'[17]NEW VEHICLE GROUP'!$C$9</f>
        <v>750</v>
      </c>
      <c r="Q10" s="6"/>
      <c r="R10" s="6">
        <f t="shared" si="1"/>
        <v>232.98010235282263</v>
      </c>
      <c r="S10" s="116"/>
      <c r="T10" s="1"/>
      <c r="U10" s="6"/>
      <c r="V10" s="6"/>
    </row>
    <row r="11" spans="1:22" x14ac:dyDescent="0.25">
      <c r="A11" s="7" t="s">
        <v>1071</v>
      </c>
      <c r="B11" s="6">
        <f>('New Vehicles - NS'!B11*'New Vehicles - NS'!B4+'New Vehicles - NW'!B11*'New Vehicles - NW'!B4)/('New Vehicles - NW'!B4+'New Vehicles - NS'!B4)</f>
        <v>534.0977037037037</v>
      </c>
      <c r="C11" s="6">
        <f>('New Vehicles - NS'!C11*'New Vehicles - NS'!C4+'New Vehicles - NW'!C11*'New Vehicles - NW'!C4)/('New Vehicles - NW'!C4+'New Vehicles - NS'!C4)</f>
        <v>711.98239436619713</v>
      </c>
      <c r="D11" s="6">
        <f>('New Vehicles - NS'!D11*'New Vehicles - NS'!D4+'New Vehicles - NW'!D11*'New Vehicles - NW'!D4)/('New Vehicles - NW'!D4+'New Vehicles - NS'!D4)</f>
        <v>656.77039215686284</v>
      </c>
      <c r="E11" s="6">
        <f>('New Vehicles - NS'!E11*'New Vehicles - NS'!E4+'New Vehicles - NW'!E11*'New Vehicles - NW'!E4)/('New Vehicles - NW'!E4+'New Vehicles - NS'!E4)</f>
        <v>457.52249999999998</v>
      </c>
      <c r="F11" s="6">
        <f>('New Vehicles - NS'!F11*'New Vehicles - NS'!F4+'New Vehicles - NW'!F11*'New Vehicles - NW'!F4)/('New Vehicles - NW'!F4+'New Vehicles - NS'!F4)</f>
        <v>591.39431506849314</v>
      </c>
      <c r="G11" s="6">
        <f>('New Vehicles - NS'!G11*'New Vehicles - NS'!G4+'New Vehicles - NW'!G11*'New Vehicles - NW'!G4)/('New Vehicles - NW'!G4+'New Vehicles - NS'!G4)</f>
        <v>488.46691056910572</v>
      </c>
      <c r="H11" s="6">
        <f>('New Vehicles - NS'!H11*'New Vehicles - NS'!H4+'New Vehicles - NW'!H11*'New Vehicles - NW'!H4)/('New Vehicles - NW'!H4+'New Vehicles - NS'!H4)</f>
        <v>1328.0239130434782</v>
      </c>
      <c r="I11" s="6">
        <f>('New Vehicles - NS'!I11*'New Vehicles - NS'!I4+'New Vehicles - NW'!I11*'New Vehicles - NW'!I4)/('New Vehicles - NW'!I4+'New Vehicles - NS'!I4)</f>
        <v>566.17705426356588</v>
      </c>
      <c r="J11" s="6">
        <f>('New Vehicles - NS'!J11*'New Vehicles - NS'!J4+'New Vehicles - NW'!J11*'New Vehicles - NW'!J4)/('New Vehicles - NW'!J4+'New Vehicles - NS'!J4)</f>
        <v>461.30182539682539</v>
      </c>
      <c r="K11" s="6">
        <f>('New Vehicles - NS'!K11*'New Vehicles - NS'!K4+'New Vehicles - NW'!K11*'New Vehicles - NW'!K4)/('New Vehicles - NW'!K4+'New Vehicles - NS'!K4)</f>
        <v>1541.6839506172839</v>
      </c>
      <c r="L11" s="6">
        <f>('New Vehicles - NS'!L11*'New Vehicles - NS'!L4+'New Vehicles - NW'!L11*'New Vehicles - NW'!L4)/('New Vehicles - NW'!L4+'New Vehicles - NS'!L4)</f>
        <v>579.99798319327738</v>
      </c>
      <c r="M11" s="6">
        <f>('New Vehicles - NS'!M11*'New Vehicles - NS'!M4+'New Vehicles - NW'!M11*'New Vehicles - NW'!M4)/('New Vehicles - NW'!M4+'New Vehicles - NS'!M4)</f>
        <v>397.07955056179776</v>
      </c>
      <c r="N11" s="6">
        <f>('New Vehicles - NS'!N11*'New Vehicles - NS'!N4+'New Vehicles - NW'!N11*'New Vehicles - NW'!N4)/('New Vehicles - NW'!N4+'New Vehicles - NS'!N4)</f>
        <v>445.79032258064518</v>
      </c>
      <c r="O11" s="6">
        <f>('New Vehicles - NS'!O11*'New Vehicles - NS'!O4+'New Vehicles - NW'!O11*'New Vehicles - NW'!O4)/('New Vehicles - NW'!O4+'New Vehicles - NS'!O4)</f>
        <v>674.61482758620696</v>
      </c>
      <c r="P11" s="6">
        <f>('New Vehicles - NS'!P11*'New Vehicles - NS'!P4+'New Vehicles - NW'!P11*'New Vehicles - NW'!P4)/('New Vehicles - NW'!P4+'New Vehicles - NS'!P4)</f>
        <v>442.83631578947364</v>
      </c>
      <c r="Q11" s="3"/>
      <c r="R11" s="6">
        <f t="shared" si="1"/>
        <v>664.57412238917937</v>
      </c>
      <c r="T11" s="6"/>
    </row>
    <row r="12" spans="1:22" x14ac:dyDescent="0.25">
      <c r="A12" s="7" t="s">
        <v>1072</v>
      </c>
      <c r="B12" s="6">
        <f>('New Vehicles - NS'!B12*'New Vehicles - NS'!B4+'New Vehicles - NW'!B12*'New Vehicles - NW'!B4)/('New Vehicles - NW'!B4+'New Vehicles - NS'!B4)</f>
        <v>1138.9414074074073</v>
      </c>
      <c r="C12" s="6">
        <f>('New Vehicles - NS'!C12*'New Vehicles - NS'!C4+'New Vehicles - NW'!C12*'New Vehicles - NW'!C4)/('New Vehicles - NW'!C4+'New Vehicles - NS'!C4)</f>
        <v>1512.2874647887324</v>
      </c>
      <c r="D12" s="6">
        <f>('New Vehicles - NS'!D12*'New Vehicles - NS'!D4+'New Vehicles - NW'!D12*'New Vehicles - NW'!D4)/('New Vehicles - NW'!D4+'New Vehicles - NS'!D4)</f>
        <v>-94.452679738562011</v>
      </c>
      <c r="E12" s="6">
        <f>('New Vehicles - NS'!E12*'New Vehicles - NS'!E4+'New Vehicles - NW'!E12*'New Vehicles - NW'!E4)/('New Vehicles - NW'!E4+'New Vehicles - NS'!E4)</f>
        <v>1077.8765714285714</v>
      </c>
      <c r="F12" s="6">
        <f>('New Vehicles - NS'!F12*'New Vehicles - NS'!F4+'New Vehicles - NW'!F12*'New Vehicles - NW'!F4)/('New Vehicles - NW'!F4+'New Vehicles - NS'!F4)</f>
        <v>956.84164383561642</v>
      </c>
      <c r="G12" s="6">
        <f>('New Vehicles - NS'!G12*'New Vehicles - NS'!G4+'New Vehicles - NW'!G12*'New Vehicles - NW'!G4)/('New Vehicles - NW'!G4+'New Vehicles - NS'!G4)</f>
        <v>476.02780487804876</v>
      </c>
      <c r="H12" s="6">
        <f>('New Vehicles - NS'!H12*'New Vehicles - NS'!H4+'New Vehicles - NW'!H12*'New Vehicles - NW'!H4)/('New Vehicles - NW'!H4+'New Vehicles - NS'!H4)</f>
        <v>3236.8221739130436</v>
      </c>
      <c r="I12" s="6">
        <f>('New Vehicles - NS'!I12*'New Vehicles - NS'!I4+'New Vehicles - NW'!I12*'New Vehicles - NW'!I4)/('New Vehicles - NW'!I4+'New Vehicles - NS'!I4)</f>
        <v>1014.9862790697675</v>
      </c>
      <c r="J12" s="6">
        <f>('New Vehicles - NS'!J12*'New Vehicles - NS'!J4+'New Vehicles - NW'!J12*'New Vehicles - NW'!J4)/('New Vehicles - NW'!J4+'New Vehicles - NS'!J4)</f>
        <v>979.33015873015881</v>
      </c>
      <c r="K12" s="6">
        <f>('New Vehicles - NS'!K12*'New Vehicles - NS'!K4+'New Vehicles - NW'!K12*'New Vehicles - NW'!K4)/('New Vehicles - NW'!K4+'New Vehicles - NS'!K4)</f>
        <v>1592.6616049382715</v>
      </c>
      <c r="L12" s="6">
        <f>('New Vehicles - NS'!L12*'New Vehicles - NS'!L4+'New Vehicles - NW'!L12*'New Vehicles - NW'!L4)/('New Vehicles - NW'!L4+'New Vehicles - NS'!L4)</f>
        <v>1146.8537815126051</v>
      </c>
      <c r="M12" s="6">
        <f>('New Vehicles - NS'!M12*'New Vehicles - NS'!M4+'New Vehicles - NW'!M12*'New Vehicles - NW'!M4)/('New Vehicles - NW'!M4+'New Vehicles - NS'!M4)</f>
        <v>1473.266404494382</v>
      </c>
      <c r="N12" s="6">
        <f>('New Vehicles - NS'!N12*'New Vehicles - NS'!N4+'New Vehicles - NW'!N12*'New Vehicles - NW'!N4)/('New Vehicles - NW'!N4+'New Vehicles - NS'!N4)</f>
        <v>1083.6604032258065</v>
      </c>
      <c r="O12" s="6">
        <f>('New Vehicles - NS'!O12*'New Vehicles - NS'!O4+'New Vehicles - NW'!O12*'New Vehicles - NW'!O4)/('New Vehicles - NW'!O4+'New Vehicles - NS'!O4)</f>
        <v>1707.5355172413792</v>
      </c>
      <c r="P12" s="6">
        <f>('New Vehicles - NS'!P12*'New Vehicles - NS'!P4+'New Vehicles - NW'!P12*'New Vehicles - NW'!P4)/('New Vehicles - NW'!P4+'New Vehicles - NS'!P4)</f>
        <v>891.56315789473672</v>
      </c>
      <c r="R12" s="6">
        <f t="shared" si="1"/>
        <v>1303.1187917635323</v>
      </c>
    </row>
    <row r="13" spans="1:22" x14ac:dyDescent="0.25">
      <c r="A13" s="7" t="s">
        <v>1073</v>
      </c>
      <c r="B13" s="6">
        <f>('New Vehicles - NS'!B13*'New Vehicles - NS'!B4+'New Vehicles - NW'!B13*'New Vehicles - NW'!B4)/('New Vehicles - NW'!B4+'New Vehicles - NS'!B4)</f>
        <v>1673.0391111111114</v>
      </c>
      <c r="C13" s="6">
        <f>('New Vehicles - NS'!C13*'New Vehicles - NS'!C4+'New Vehicles - NW'!C13*'New Vehicles - NW'!C4)/('New Vehicles - NW'!C4+'New Vehicles - NS'!C4)</f>
        <v>2224.2698591549297</v>
      </c>
      <c r="D13" s="6">
        <f>('New Vehicles - NS'!D13*'New Vehicles - NS'!D4+'New Vehicles - NW'!D13*'New Vehicles - NW'!D4)/('New Vehicles - NW'!D4+'New Vehicles - NS'!D4)</f>
        <v>562.31771241830074</v>
      </c>
      <c r="E13" s="6">
        <f>('New Vehicles - NS'!E13*'New Vehicles - NS'!E4+'New Vehicles - NW'!E13*'New Vehicles - NW'!E4)/('New Vehicles - NW'!E4+'New Vehicles - NS'!E4)</f>
        <v>1535.3990714285715</v>
      </c>
      <c r="F13" s="6">
        <f>('New Vehicles - NS'!F13*'New Vehicles - NS'!F4+'New Vehicles - NW'!F13*'New Vehicles - NW'!F4)/('New Vehicles - NW'!F4+'New Vehicles - NS'!F4)</f>
        <v>1548.2359589041096</v>
      </c>
      <c r="G13" s="6">
        <f>('New Vehicles - NS'!G13*'New Vehicles - NS'!G4+'New Vehicles - NW'!G13*'New Vehicles - NW'!G4)/('New Vehicles - NW'!G4+'New Vehicles - NS'!G4)</f>
        <v>964.49471544715448</v>
      </c>
      <c r="H13" s="6">
        <f>('New Vehicles - NS'!H13*'New Vehicles - NS'!H4+'New Vehicles - NW'!H13*'New Vehicles - NW'!H4)/('New Vehicles - NW'!H4+'New Vehicles - NS'!H4)</f>
        <v>4564.8460869565215</v>
      </c>
      <c r="I13" s="6">
        <f>('New Vehicles - NS'!I13*'New Vehicles - NS'!I4+'New Vehicles - NW'!I13*'New Vehicles - NW'!I4)/('New Vehicles - NW'!I4+'New Vehicles - NS'!I4)</f>
        <v>1581.1633333333332</v>
      </c>
      <c r="J13" s="6">
        <f>('New Vehicles - NS'!J13*'New Vehicles - NS'!J4+'New Vehicles - NW'!J13*'New Vehicles - NW'!J4)/('New Vehicles - NW'!J4+'New Vehicles - NS'!J4)</f>
        <v>1440.6319841269842</v>
      </c>
      <c r="K13" s="6">
        <f>('New Vehicles - NS'!K13*'New Vehicles - NS'!K4+'New Vehicles - NW'!K13*'New Vehicles - NW'!K4)/('New Vehicles - NW'!K4+'New Vehicles - NS'!K4)</f>
        <v>2097.4158024691355</v>
      </c>
      <c r="L13" s="6">
        <f>('New Vehicles - NS'!L13*'New Vehicles - NS'!L4+'New Vehicles - NW'!L13*'New Vehicles - NW'!L4)/('New Vehicles - NW'!L4+'New Vehicles - NS'!L4)</f>
        <v>1726.8517647058825</v>
      </c>
      <c r="M13" s="6">
        <f>('New Vehicles - NS'!M13*'New Vehicles - NS'!M4+'New Vehicles - NW'!M13*'New Vehicles - NW'!M4)/('New Vehicles - NW'!M4+'New Vehicles - NS'!M4)</f>
        <v>1870.3459550561795</v>
      </c>
      <c r="N13" s="6">
        <f>('New Vehicles - NS'!N13*'New Vehicles - NS'!N4+'New Vehicles - NW'!N13*'New Vehicles - NW'!N4)/('New Vehicles - NW'!N4+'New Vehicles - NS'!N4)</f>
        <v>1529.4507258064516</v>
      </c>
      <c r="O13" s="6">
        <f>('New Vehicles - NS'!O13*'New Vehicles - NS'!O4+'New Vehicles - NW'!O13*'New Vehicles - NW'!O4)/('New Vehicles - NW'!O4+'New Vehicles - NS'!O4)</f>
        <v>2382.1503448275862</v>
      </c>
      <c r="P13" s="6">
        <f>('New Vehicles - NS'!P13*'New Vehicles - NS'!P4+'New Vehicles - NW'!P13*'New Vehicles - NW'!P4)/('New Vehicles - NW'!P4+'New Vehicles - NS'!P4)</f>
        <v>1334.3994736842103</v>
      </c>
      <c r="R13" s="6">
        <f t="shared" si="1"/>
        <v>1881.2821013955099</v>
      </c>
      <c r="T13" s="15"/>
    </row>
    <row r="14" spans="1:22" x14ac:dyDescent="0.25">
      <c r="A14" s="7" t="s">
        <v>1074</v>
      </c>
      <c r="B14" s="6">
        <f t="shared" ref="B14:M14" si="4">B8-B13</f>
        <v>58.363259259258939</v>
      </c>
      <c r="C14" s="6">
        <f t="shared" si="4"/>
        <v>-156.57014084507045</v>
      </c>
      <c r="D14" s="6">
        <f t="shared" si="4"/>
        <v>1482.982483660131</v>
      </c>
      <c r="E14" s="6">
        <f t="shared" si="4"/>
        <v>462.42871428571425</v>
      </c>
      <c r="F14" s="6">
        <f t="shared" si="4"/>
        <v>344.35308219178091</v>
      </c>
      <c r="G14" s="6">
        <f t="shared" si="4"/>
        <v>1408.0948780487809</v>
      </c>
      <c r="H14" s="6">
        <f t="shared" si="4"/>
        <v>-2260.2591304347825</v>
      </c>
      <c r="I14" s="6">
        <f t="shared" si="4"/>
        <v>411.95705426356676</v>
      </c>
      <c r="J14" s="6">
        <f t="shared" si="4"/>
        <v>1011.4953968253972</v>
      </c>
      <c r="K14" s="6">
        <f t="shared" si="4"/>
        <v>-236.10543209876528</v>
      </c>
      <c r="L14" s="6">
        <f t="shared" si="4"/>
        <v>24.98042016806653</v>
      </c>
      <c r="M14" s="6">
        <f t="shared" si="4"/>
        <v>963.06629213483188</v>
      </c>
      <c r="N14" s="6">
        <f>N8-N13</f>
        <v>459.05766129032236</v>
      </c>
      <c r="O14" s="6">
        <f>O8-O13</f>
        <v>-381.26333333333355</v>
      </c>
      <c r="P14" s="6">
        <f>P8-P13</f>
        <v>1402.6569298245611</v>
      </c>
      <c r="R14" s="6">
        <f t="shared" si="1"/>
        <v>300.87187776384508</v>
      </c>
    </row>
    <row r="15" spans="1:22" x14ac:dyDescent="0.25">
      <c r="A15" s="7"/>
      <c r="B15" s="6"/>
      <c r="C15" s="6"/>
      <c r="D15" s="6"/>
      <c r="E15" s="6"/>
      <c r="F15" s="6"/>
      <c r="G15" s="6"/>
      <c r="H15" s="6"/>
      <c r="I15" s="6"/>
      <c r="J15" s="6"/>
      <c r="K15" s="6"/>
      <c r="L15" s="6"/>
      <c r="M15" s="6"/>
      <c r="N15" s="6"/>
      <c r="O15" s="6"/>
      <c r="P15" s="6"/>
      <c r="R15" s="6"/>
    </row>
    <row r="16" spans="1:22" x14ac:dyDescent="0.25">
      <c r="A16" s="7" t="s">
        <v>1075</v>
      </c>
      <c r="B16" s="6">
        <f t="shared" ref="B16:P16" si="5">B4*B8</f>
        <v>233739.32</v>
      </c>
      <c r="C16" s="6">
        <f t="shared" si="5"/>
        <v>146806.68</v>
      </c>
      <c r="D16" s="6">
        <f t="shared" si="5"/>
        <v>312930.93000000005</v>
      </c>
      <c r="E16" s="6">
        <f>E4*E8</f>
        <v>279695.89</v>
      </c>
      <c r="F16" s="6">
        <f t="shared" si="5"/>
        <v>276318</v>
      </c>
      <c r="G16" s="6">
        <f t="shared" si="5"/>
        <v>583657.04</v>
      </c>
      <c r="H16" s="6">
        <f t="shared" si="5"/>
        <v>106011</v>
      </c>
      <c r="I16" s="6">
        <f t="shared" si="5"/>
        <v>257112.53000000009</v>
      </c>
      <c r="J16" s="6">
        <f t="shared" si="5"/>
        <v>308968.05000000005</v>
      </c>
      <c r="K16" s="6">
        <f t="shared" si="5"/>
        <v>150766.13999999998</v>
      </c>
      <c r="L16" s="6">
        <f t="shared" si="5"/>
        <v>208468.02999999994</v>
      </c>
      <c r="M16" s="6">
        <f t="shared" si="5"/>
        <v>252173.69</v>
      </c>
      <c r="N16" s="6">
        <f t="shared" si="5"/>
        <v>246575.03999999998</v>
      </c>
      <c r="O16" s="6">
        <f t="shared" ref="O16" si="6">O4*O8</f>
        <v>174077.16999999998</v>
      </c>
      <c r="P16" s="6">
        <f t="shared" si="5"/>
        <v>312024.42999999993</v>
      </c>
      <c r="R16" s="6">
        <f>SUM(E16:P16)</f>
        <v>3155847.01</v>
      </c>
    </row>
    <row r="17" spans="1:22" x14ac:dyDescent="0.25">
      <c r="A17" s="7" t="s">
        <v>1076</v>
      </c>
      <c r="B17" s="6">
        <f t="shared" ref="B17:P17" si="7">B4*B13</f>
        <v>225860.28000000003</v>
      </c>
      <c r="C17" s="6">
        <f t="shared" si="7"/>
        <v>157923.16</v>
      </c>
      <c r="D17" s="6">
        <f t="shared" si="7"/>
        <v>86034.610000000015</v>
      </c>
      <c r="E17" s="6">
        <f t="shared" si="7"/>
        <v>214955.87</v>
      </c>
      <c r="F17" s="6">
        <f t="shared" si="7"/>
        <v>226042.44999999998</v>
      </c>
      <c r="G17" s="6">
        <f t="shared" si="7"/>
        <v>237265.7</v>
      </c>
      <c r="H17" s="6">
        <f t="shared" si="7"/>
        <v>209982.91999999998</v>
      </c>
      <c r="I17" s="6">
        <f t="shared" si="7"/>
        <v>203970.06999999998</v>
      </c>
      <c r="J17" s="6">
        <f t="shared" si="7"/>
        <v>181519.63</v>
      </c>
      <c r="K17" s="6">
        <f t="shared" si="7"/>
        <v>169890.68</v>
      </c>
      <c r="L17" s="6">
        <f t="shared" si="7"/>
        <v>205495.36000000002</v>
      </c>
      <c r="M17" s="6">
        <f t="shared" si="7"/>
        <v>166460.78999999998</v>
      </c>
      <c r="N17" s="6">
        <f t="shared" si="7"/>
        <v>189651.88999999998</v>
      </c>
      <c r="O17" s="6">
        <f t="shared" ref="O17" si="8">O4*O13</f>
        <v>207247.08</v>
      </c>
      <c r="P17" s="6">
        <f t="shared" si="7"/>
        <v>152121.53999999998</v>
      </c>
      <c r="Q17" s="5"/>
      <c r="R17" s="6">
        <f>SUM(E17:P17)</f>
        <v>2364603.98</v>
      </c>
    </row>
    <row r="18" spans="1:22" x14ac:dyDescent="0.25">
      <c r="A18" s="42" t="s">
        <v>1077</v>
      </c>
      <c r="B18" s="6">
        <f>'New Vehicles - NS'!B18+'New Vehicles - NW'!B18</f>
        <v>2207.0799999999945</v>
      </c>
      <c r="C18" s="6">
        <f>'New Vehicles - NS'!C18+'New Vehicles - NW'!C18</f>
        <v>2465.4400000000023</v>
      </c>
      <c r="D18" s="6">
        <f>'New Vehicles - NS'!D18+'New Vehicles - NW'!D18</f>
        <v>8449.9900000000052</v>
      </c>
      <c r="E18" s="6">
        <f>'New Vehicles - NS'!E18+'New Vehicles - NW'!E18</f>
        <v>4216.4099999999989</v>
      </c>
      <c r="F18" s="6">
        <f>'New Vehicles - NS'!F18+'New Vehicles - NW'!F18</f>
        <v>4506.0000000000009</v>
      </c>
      <c r="G18" s="6">
        <f>'New Vehicles - NS'!G18+'New Vehicles - NW'!G18</f>
        <v>3806.1399999999994</v>
      </c>
      <c r="H18" s="6">
        <f>'New Vehicles - NS'!H18+'New Vehicles - NW'!H18</f>
        <v>2482.6800000000003</v>
      </c>
      <c r="I18" s="6">
        <f>'New Vehicles - NS'!I18+'New Vehicles - NW'!I18</f>
        <v>1882.8900000000012</v>
      </c>
      <c r="J18" s="6">
        <f>'New Vehicles - NS'!J18+'New Vehicles - NW'!J18</f>
        <v>1096.1000000000013</v>
      </c>
      <c r="K18" s="6">
        <f>'New Vehicles - NS'!K18+'New Vehicles - NW'!K18</f>
        <v>6253.7799999999988</v>
      </c>
      <c r="L18" s="6">
        <f>'New Vehicles - NS'!L18+'New Vehicles - NW'!L18</f>
        <v>4196.9400000000023</v>
      </c>
      <c r="M18" s="6">
        <f>'New Vehicles - NS'!M18+'New Vehicles - NW'!M18</f>
        <v>2401.510000000002</v>
      </c>
      <c r="N18" s="6">
        <f>'New Vehicles - NS'!N18+'New Vehicles - NW'!N18</f>
        <v>1193.7300000000005</v>
      </c>
      <c r="O18" s="6">
        <f>'New Vehicles - NS'!O18+'New Vehicles - NW'!O18</f>
        <v>2552.1000000000026</v>
      </c>
      <c r="P18" s="6">
        <f>'New Vehicles - NS'!P18+'New Vehicles - NW'!P18</f>
        <v>2959.92</v>
      </c>
      <c r="Q18" s="5"/>
      <c r="R18" s="6">
        <f>SUM(E18:P18)</f>
        <v>37548.200000000012</v>
      </c>
      <c r="T18" s="15"/>
    </row>
    <row r="19" spans="1:22" ht="15.75" thickBot="1" x14ac:dyDescent="0.3">
      <c r="A19" s="9" t="s">
        <v>1078</v>
      </c>
      <c r="B19" s="10">
        <f t="shared" ref="B19:M19" si="9">B16-B17+B18</f>
        <v>10086.119999999974</v>
      </c>
      <c r="C19" s="10">
        <f t="shared" si="9"/>
        <v>-8651.0400000000081</v>
      </c>
      <c r="D19" s="10">
        <f t="shared" si="9"/>
        <v>235346.31000000006</v>
      </c>
      <c r="E19" s="10">
        <f t="shared" si="9"/>
        <v>68956.430000000022</v>
      </c>
      <c r="F19" s="10">
        <f t="shared" si="9"/>
        <v>54781.550000000017</v>
      </c>
      <c r="G19" s="10">
        <f t="shared" si="9"/>
        <v>350197.48000000004</v>
      </c>
      <c r="H19" s="10">
        <f t="shared" si="9"/>
        <v>-101489.23999999999</v>
      </c>
      <c r="I19" s="10">
        <f t="shared" si="9"/>
        <v>55025.350000000108</v>
      </c>
      <c r="J19" s="10">
        <f t="shared" si="9"/>
        <v>128544.52000000005</v>
      </c>
      <c r="K19" s="10">
        <f t="shared" si="9"/>
        <v>-12870.760000000009</v>
      </c>
      <c r="L19" s="10">
        <f t="shared" si="9"/>
        <v>7169.6099999999278</v>
      </c>
      <c r="M19" s="10">
        <f t="shared" si="9"/>
        <v>88114.410000000033</v>
      </c>
      <c r="N19" s="10">
        <f>N16-N17+N18</f>
        <v>58116.88</v>
      </c>
      <c r="O19" s="10">
        <f>O16-O17+O18</f>
        <v>-30617.81</v>
      </c>
      <c r="P19" s="10">
        <f>P16-P17+P18</f>
        <v>162862.80999999997</v>
      </c>
      <c r="R19" s="10">
        <f>SUM(E19:P19)</f>
        <v>828791.2300000001</v>
      </c>
    </row>
    <row r="20" spans="1:22" ht="15.75" thickTop="1" x14ac:dyDescent="0.25">
      <c r="A20" s="38"/>
      <c r="B20" s="19"/>
      <c r="C20" s="19"/>
      <c r="D20" s="19"/>
      <c r="E20" s="19"/>
      <c r="F20" s="19"/>
      <c r="G20" s="19"/>
      <c r="H20" s="19"/>
      <c r="I20" s="19"/>
      <c r="J20" s="19"/>
      <c r="K20" s="19"/>
      <c r="L20" s="19"/>
      <c r="M20" s="19"/>
      <c r="N20" s="19"/>
      <c r="O20" s="6"/>
      <c r="Q20" s="8"/>
      <c r="R20" s="7"/>
    </row>
    <row r="21" spans="1:22" x14ac:dyDescent="0.25">
      <c r="A21" s="15"/>
      <c r="B21" s="6"/>
      <c r="C21" s="6"/>
      <c r="D21" s="6"/>
      <c r="E21" s="6"/>
      <c r="F21" s="6"/>
      <c r="G21" s="6"/>
      <c r="H21" s="6"/>
      <c r="I21" s="6"/>
      <c r="J21" s="6"/>
      <c r="K21" s="6"/>
      <c r="L21" s="6"/>
      <c r="M21" s="6"/>
      <c r="O21" s="6"/>
      <c r="Q21" s="3"/>
      <c r="R21" s="7"/>
    </row>
    <row r="22" spans="1:22" ht="15.75" x14ac:dyDescent="0.25">
      <c r="A22" s="11" t="s">
        <v>1064</v>
      </c>
      <c r="B22" s="5">
        <v>45292</v>
      </c>
      <c r="C22" s="5">
        <v>45323</v>
      </c>
      <c r="D22" s="5">
        <v>45352</v>
      </c>
      <c r="E22" s="5">
        <v>45383</v>
      </c>
      <c r="F22" s="5">
        <v>45413</v>
      </c>
      <c r="G22" s="5">
        <v>45444</v>
      </c>
      <c r="H22" s="5">
        <v>45474</v>
      </c>
      <c r="I22" s="5">
        <v>45505</v>
      </c>
      <c r="J22" s="5">
        <v>45536</v>
      </c>
      <c r="K22" s="5">
        <v>45566</v>
      </c>
      <c r="L22" s="5">
        <v>45597</v>
      </c>
      <c r="M22" s="5">
        <v>45627</v>
      </c>
      <c r="N22" s="5">
        <v>45658</v>
      </c>
      <c r="O22" s="5">
        <v>45689</v>
      </c>
      <c r="P22" s="5">
        <v>45717</v>
      </c>
      <c r="R22" s="5" t="s">
        <v>955</v>
      </c>
    </row>
    <row r="23" spans="1:22" x14ac:dyDescent="0.25">
      <c r="A23" s="4"/>
      <c r="B23" s="5" t="s">
        <v>958</v>
      </c>
      <c r="C23" s="5" t="s">
        <v>959</v>
      </c>
      <c r="D23" s="5" t="s">
        <v>959</v>
      </c>
      <c r="E23" s="5" t="s">
        <v>959</v>
      </c>
      <c r="F23" s="5" t="s">
        <v>959</v>
      </c>
      <c r="G23" s="5" t="s">
        <v>959</v>
      </c>
      <c r="H23" s="5" t="s">
        <v>959</v>
      </c>
      <c r="I23" s="5" t="s">
        <v>959</v>
      </c>
      <c r="J23" s="5" t="s">
        <v>959</v>
      </c>
      <c r="K23" s="5" t="s">
        <v>959</v>
      </c>
      <c r="L23" s="5" t="s">
        <v>959</v>
      </c>
      <c r="M23" s="5" t="s">
        <v>959</v>
      </c>
      <c r="N23" s="5" t="s">
        <v>959</v>
      </c>
      <c r="O23" s="5" t="s">
        <v>959</v>
      </c>
      <c r="P23" s="5" t="s">
        <v>959</v>
      </c>
      <c r="R23" s="5" t="s">
        <v>961</v>
      </c>
    </row>
    <row r="24" spans="1:22" x14ac:dyDescent="0.25">
      <c r="A24" s="38"/>
      <c r="B24" s="19"/>
      <c r="C24" s="19"/>
      <c r="D24" s="19"/>
      <c r="E24" s="19"/>
      <c r="F24" s="19"/>
      <c r="G24" s="19"/>
      <c r="H24" s="19"/>
      <c r="I24" s="19"/>
      <c r="J24" s="19"/>
      <c r="K24" s="19"/>
      <c r="L24" s="19"/>
      <c r="M24" s="19"/>
      <c r="O24" s="6"/>
    </row>
    <row r="25" spans="1:22" x14ac:dyDescent="0.25">
      <c r="A25" t="s">
        <v>1065</v>
      </c>
      <c r="B25" s="2">
        <f>'New Vehicles - NS'!B25+'New Vehicles - NW'!B25</f>
        <v>124</v>
      </c>
      <c r="C25" s="2">
        <f>'New Vehicles - NS'!C25+'New Vehicles - NW'!C25</f>
        <v>125</v>
      </c>
      <c r="D25" s="2">
        <f>'New Vehicles - NS'!D25+'New Vehicles - NW'!D25</f>
        <v>125</v>
      </c>
      <c r="E25" s="2">
        <f>ROUND(341/3,0)+3</f>
        <v>117</v>
      </c>
      <c r="F25" s="39">
        <f>E25</f>
        <v>117</v>
      </c>
      <c r="G25" s="2">
        <f>F25</f>
        <v>117</v>
      </c>
      <c r="H25" s="43">
        <f>ROUND(332/3,0)+3</f>
        <v>114</v>
      </c>
      <c r="I25" s="99">
        <f>H25</f>
        <v>114</v>
      </c>
      <c r="J25" s="2">
        <f>I25</f>
        <v>114</v>
      </c>
      <c r="K25" s="2">
        <f>114+3</f>
        <v>117</v>
      </c>
      <c r="L25" s="2">
        <f>110+3</f>
        <v>113</v>
      </c>
      <c r="M25" s="2">
        <f>95+5+3+1</f>
        <v>104</v>
      </c>
      <c r="N25" s="2">
        <f>M25</f>
        <v>104</v>
      </c>
      <c r="O25" s="2">
        <f>N25</f>
        <v>104</v>
      </c>
      <c r="P25" s="2">
        <f>110+8+3+1</f>
        <v>122</v>
      </c>
      <c r="R25" s="2">
        <f>SUM(E25:P25)</f>
        <v>1357</v>
      </c>
      <c r="S25" s="161" t="s">
        <v>1079</v>
      </c>
    </row>
    <row r="26" spans="1:22" x14ac:dyDescent="0.25">
      <c r="A26" t="s">
        <v>1066</v>
      </c>
      <c r="B26" s="2">
        <f>'New Vehicles - NS'!B26+'New Vehicles - NW'!B26</f>
        <v>7</v>
      </c>
      <c r="C26" s="2">
        <f>'New Vehicles - NS'!C26+'New Vehicles - NW'!C26</f>
        <v>7</v>
      </c>
      <c r="D26" s="2">
        <f>'New Vehicles - NS'!D26+'New Vehicles - NW'!D26</f>
        <v>7</v>
      </c>
      <c r="E26" s="242">
        <f>'New Vehicles - NS'!E26+'New Vehicles - NW'!E26</f>
        <v>7</v>
      </c>
      <c r="F26" s="242">
        <f>'New Vehicles - NS'!F26+'New Vehicles - NW'!F26</f>
        <v>7</v>
      </c>
      <c r="G26" s="242">
        <f>'New Vehicles - NS'!G26+'New Vehicles - NW'!G26</f>
        <v>7</v>
      </c>
      <c r="H26" s="242">
        <f>'New Vehicles - NS'!H26+'New Vehicles - NW'!H26</f>
        <v>7.5</v>
      </c>
      <c r="I26" s="242">
        <f>'New Vehicles - NS'!I26+'New Vehicles - NW'!I26</f>
        <v>7.5</v>
      </c>
      <c r="J26" s="242">
        <f>'New Vehicles - NS'!J26+'New Vehicles - NW'!J26</f>
        <v>7.5</v>
      </c>
      <c r="K26" s="242">
        <f>'New Vehicles - NS'!K26+'New Vehicles - NW'!K26</f>
        <v>7.5</v>
      </c>
      <c r="L26" s="242">
        <f>'New Vehicles - NS'!L26+'New Vehicles - NW'!L26</f>
        <v>7.5</v>
      </c>
      <c r="M26" s="242">
        <f>'New Vehicles - NS'!M26+'New Vehicles - NW'!M26</f>
        <v>7.5</v>
      </c>
      <c r="N26" s="242">
        <f>'New Vehicles - NS'!N26+'New Vehicles - NW'!N26</f>
        <v>7.5</v>
      </c>
      <c r="O26" s="242">
        <f>'New Vehicles - NS'!O26+'New Vehicles - NW'!O26</f>
        <v>7.5</v>
      </c>
      <c r="P26" s="242">
        <f>'New Vehicles - NS'!P26+'New Vehicles - NW'!P26</f>
        <v>7.5</v>
      </c>
      <c r="Q26" s="243"/>
      <c r="R26" s="242">
        <f>AVERAGE(E26,P26)</f>
        <v>7.25</v>
      </c>
      <c r="S26" s="161"/>
    </row>
    <row r="27" spans="1:22" x14ac:dyDescent="0.25">
      <c r="A27" s="39" t="s">
        <v>1067</v>
      </c>
      <c r="B27" s="2">
        <f>B25/B26</f>
        <v>17.714285714285715</v>
      </c>
      <c r="C27" s="2">
        <f>C25/C26</f>
        <v>17.857142857142858</v>
      </c>
      <c r="D27" s="2">
        <f>D25/D26</f>
        <v>17.857142857142858</v>
      </c>
      <c r="E27" s="2">
        <f>E25/E26</f>
        <v>16.714285714285715</v>
      </c>
      <c r="F27" s="2">
        <f t="shared" ref="F27:M27" si="10">F25/F26</f>
        <v>16.714285714285715</v>
      </c>
      <c r="G27" s="2">
        <f t="shared" si="10"/>
        <v>16.714285714285715</v>
      </c>
      <c r="H27" s="2">
        <f t="shared" si="10"/>
        <v>15.2</v>
      </c>
      <c r="I27" s="2">
        <f t="shared" si="10"/>
        <v>15.2</v>
      </c>
      <c r="J27" s="2">
        <f t="shared" si="10"/>
        <v>15.2</v>
      </c>
      <c r="K27" s="2">
        <f t="shared" si="10"/>
        <v>15.6</v>
      </c>
      <c r="L27" s="2">
        <f t="shared" si="10"/>
        <v>15.066666666666666</v>
      </c>
      <c r="M27" s="2">
        <f t="shared" si="10"/>
        <v>13.866666666666667</v>
      </c>
      <c r="N27" s="2">
        <f>N25/N26</f>
        <v>13.866666666666667</v>
      </c>
      <c r="O27" s="2">
        <f>O25/O26</f>
        <v>13.866666666666667</v>
      </c>
      <c r="P27" s="2">
        <f>P25/P26</f>
        <v>16.266666666666666</v>
      </c>
      <c r="R27" s="2">
        <f>AVERAGE(E27:P27)</f>
        <v>15.356349206349208</v>
      </c>
      <c r="S27" s="161"/>
      <c r="T27" s="39"/>
    </row>
    <row r="28" spans="1:22" x14ac:dyDescent="0.25">
      <c r="B28" s="2"/>
      <c r="C28" s="2"/>
      <c r="D28" s="2"/>
      <c r="E28" s="2"/>
      <c r="F28" s="2"/>
      <c r="G28" s="2"/>
      <c r="H28" s="2"/>
      <c r="I28" s="2"/>
      <c r="J28" s="2"/>
      <c r="K28" s="2"/>
      <c r="L28" s="2"/>
      <c r="M28" s="2"/>
      <c r="N28" s="2"/>
      <c r="O28" s="2"/>
      <c r="P28" s="2"/>
      <c r="R28" s="2"/>
      <c r="S28" s="120"/>
      <c r="T28" s="121"/>
    </row>
    <row r="29" spans="1:22" x14ac:dyDescent="0.25">
      <c r="A29" s="7" t="s">
        <v>1068</v>
      </c>
      <c r="B29" s="6">
        <f>(('New Vehicles - NS'!B30+'New Vehicles - NS'!B31)*'New Vehicles - NS'!B25+('New Vehicles - NW'!B30+'New Vehicles - NW'!B31)*'New Vehicles - NW'!B25)/('New Vehicles - NW'!B25+'New Vehicles - NS'!B25)</f>
        <v>1988.508387096774</v>
      </c>
      <c r="C29" s="6">
        <f>(('New Vehicles - NS'!C30+'New Vehicles - NS'!C31)*'New Vehicles - NS'!C25+('New Vehicles - NW'!C30+'New Vehicles - NW'!C31)*'New Vehicles - NW'!C25)/('New Vehicles - NW'!C25+'New Vehicles - NS'!C25)</f>
        <v>1950</v>
      </c>
      <c r="D29" s="6">
        <f>(('New Vehicles - NS'!D30+'New Vehicles - NS'!D31)*'New Vehicles - NS'!D25+('New Vehicles - NW'!D30+'New Vehicles - NW'!D31)*'New Vehicles - NW'!D25)/('New Vehicles - NW'!D25+'New Vehicles - NS'!D25)</f>
        <v>2700</v>
      </c>
      <c r="E29" s="6">
        <f t="shared" ref="E29:P29" si="11">E30+E31</f>
        <v>2050</v>
      </c>
      <c r="F29" s="6">
        <f t="shared" si="11"/>
        <v>2050</v>
      </c>
      <c r="G29" s="6">
        <f t="shared" si="11"/>
        <v>2456.25</v>
      </c>
      <c r="H29" s="6">
        <f t="shared" si="11"/>
        <v>2050</v>
      </c>
      <c r="I29" s="6">
        <f t="shared" si="11"/>
        <v>2050</v>
      </c>
      <c r="J29" s="6">
        <f t="shared" si="11"/>
        <v>2456.25</v>
      </c>
      <c r="K29" s="6">
        <f t="shared" si="11"/>
        <v>2050</v>
      </c>
      <c r="L29" s="6">
        <f t="shared" si="11"/>
        <v>2050</v>
      </c>
      <c r="M29" s="6">
        <f t="shared" si="11"/>
        <v>2456.25</v>
      </c>
      <c r="N29" s="6">
        <f t="shared" si="11"/>
        <v>2050</v>
      </c>
      <c r="O29" s="6">
        <f t="shared" si="11"/>
        <v>2050</v>
      </c>
      <c r="P29" s="6">
        <f t="shared" si="11"/>
        <v>2456.25</v>
      </c>
      <c r="R29" s="6">
        <f t="shared" ref="R29:R35" si="12">AVERAGE(E29:P29)</f>
        <v>2185.4166666666665</v>
      </c>
    </row>
    <row r="30" spans="1:22" s="7" customFormat="1" x14ac:dyDescent="0.25">
      <c r="A30" s="7" t="s">
        <v>1069</v>
      </c>
      <c r="B30" s="6">
        <f>B29-B31</f>
        <v>1988.508387096774</v>
      </c>
      <c r="C30" s="6">
        <f>C29-C31</f>
        <v>1950</v>
      </c>
      <c r="D30" s="6">
        <f>D29-D31</f>
        <v>1950</v>
      </c>
      <c r="E30" s="6">
        <f>('New Vehicles - NS'!E30*'New Vehicles - NS'!E$25+'New Vehicles - NW'!E30*'New Vehicles - NW'!E$25)/E$25</f>
        <v>2050</v>
      </c>
      <c r="F30" s="6">
        <f>('New Vehicles - NS'!F30*'New Vehicles - NS'!F$25+'New Vehicles - NW'!F30*'New Vehicles - NW'!F$25)/F$25</f>
        <v>2050</v>
      </c>
      <c r="G30" s="6">
        <f>('New Vehicles - NS'!G30*'New Vehicles - NS'!G$25+'New Vehicles - NW'!G30*'New Vehicles - NW'!G$25)/G$25</f>
        <v>2050</v>
      </c>
      <c r="H30" s="6">
        <f>('New Vehicles - NS'!H30*'New Vehicles - NS'!H$25+'New Vehicles - NW'!H30*'New Vehicles - NW'!H$25)/H$25</f>
        <v>2050</v>
      </c>
      <c r="I30" s="6">
        <f>('New Vehicles - NS'!I30*'New Vehicles - NS'!I$25+'New Vehicles - NW'!I30*'New Vehicles - NW'!I$25)/I$25</f>
        <v>2050</v>
      </c>
      <c r="J30" s="6">
        <f>('New Vehicles - NS'!J30*'New Vehicles - NS'!J$25+'New Vehicles - NW'!J30*'New Vehicles - NW'!J$25)/J$25</f>
        <v>2050</v>
      </c>
      <c r="K30" s="6">
        <f>('New Vehicles - NS'!K30*'New Vehicles - NS'!K$25+'New Vehicles - NW'!K30*'New Vehicles - NW'!K$25)/K$25</f>
        <v>2050</v>
      </c>
      <c r="L30" s="6">
        <f>('New Vehicles - NS'!L30*'New Vehicles - NS'!L$25+'New Vehicles - NW'!L30*'New Vehicles - NW'!L$25)/L$25</f>
        <v>2050</v>
      </c>
      <c r="M30" s="6">
        <f>('New Vehicles - NS'!M30*'New Vehicles - NS'!M$25+'New Vehicles - NW'!M30*'New Vehicles - NW'!M$25)/M$25</f>
        <v>2050</v>
      </c>
      <c r="N30" s="6">
        <f>('New Vehicles - NS'!N30*'New Vehicles - NS'!N$25+'New Vehicles - NW'!N30*'New Vehicles - NW'!N$25)/N$25</f>
        <v>2050</v>
      </c>
      <c r="O30" s="6">
        <f>('New Vehicles - NS'!O30*'New Vehicles - NS'!O$25+'New Vehicles - NW'!O30*'New Vehicles - NW'!O$25)/O$25</f>
        <v>2050</v>
      </c>
      <c r="P30" s="6">
        <f>('New Vehicles - NS'!P30*'New Vehicles - NS'!P$25+'New Vehicles - NW'!P30*'New Vehicles - NW'!P$25)/P$25</f>
        <v>2050</v>
      </c>
      <c r="Q30" s="6"/>
      <c r="R30" s="6">
        <f t="shared" si="12"/>
        <v>2050</v>
      </c>
      <c r="S30" s="116" t="s">
        <v>1080</v>
      </c>
      <c r="T30" s="1"/>
      <c r="U30" s="6"/>
      <c r="V30" s="6"/>
    </row>
    <row r="31" spans="1:22" x14ac:dyDescent="0.25">
      <c r="A31" s="7" t="s">
        <v>1070</v>
      </c>
      <c r="B31" s="6">
        <f>'[15]NEW VEHICLE GROUP'!$C$9</f>
        <v>0</v>
      </c>
      <c r="C31" s="6">
        <f>'[16]NEW VEHICLE GROUP'!$C$9</f>
        <v>0</v>
      </c>
      <c r="D31" s="6">
        <f>'[17]NEW VEHICLE GROUP'!$C$9</f>
        <v>750</v>
      </c>
      <c r="E31" s="6">
        <f>('New Vehicles - NS'!E31*'New Vehicles - NS'!E$25+'New Vehicles - NW'!E31*'New Vehicles - NW'!E$25)/E$25</f>
        <v>0</v>
      </c>
      <c r="F31" s="6">
        <f>('New Vehicles - NS'!F31*'New Vehicles - NS'!F$25+'New Vehicles - NW'!F31*'New Vehicles - NW'!F$25)/F$25</f>
        <v>0</v>
      </c>
      <c r="G31" s="6">
        <f>('New Vehicles - NS'!G31*'New Vehicles - NS'!G$25+'New Vehicles - NW'!G31*'New Vehicles - NW'!G$25)/G$25</f>
        <v>406.25</v>
      </c>
      <c r="H31" s="6">
        <f>('New Vehicles - NS'!H31*'New Vehicles - NS'!H$25+'New Vehicles - NW'!H31*'New Vehicles - NW'!H$25)/H$25</f>
        <v>0</v>
      </c>
      <c r="I31" s="6">
        <f>('New Vehicles - NS'!I31*'New Vehicles - NS'!I$25+'New Vehicles - NW'!I31*'New Vehicles - NW'!I$25)/I$25</f>
        <v>0</v>
      </c>
      <c r="J31" s="6">
        <f>('New Vehicles - NS'!J31*'New Vehicles - NS'!J$25+'New Vehicles - NW'!J31*'New Vehicles - NW'!J$25)/J$25</f>
        <v>406.25</v>
      </c>
      <c r="K31" s="6">
        <f>('New Vehicles - NS'!K31*'New Vehicles - NS'!K$25+'New Vehicles - NW'!K31*'New Vehicles - NW'!K$25)/K$25</f>
        <v>0</v>
      </c>
      <c r="L31" s="6">
        <f>('New Vehicles - NS'!L31*'New Vehicles - NS'!L$25+'New Vehicles - NW'!L31*'New Vehicles - NW'!L$25)/L$25</f>
        <v>0</v>
      </c>
      <c r="M31" s="6">
        <f>('New Vehicles - NS'!M31*'New Vehicles - NS'!M$25+'New Vehicles - NW'!M31*'New Vehicles - NW'!M$25)/M$25</f>
        <v>406.25</v>
      </c>
      <c r="N31" s="6">
        <f>('New Vehicles - NS'!N31*'New Vehicles - NS'!N$25+'New Vehicles - NW'!N31*'New Vehicles - NW'!N$25)/N$25</f>
        <v>0</v>
      </c>
      <c r="O31" s="6">
        <f>('New Vehicles - NS'!O31*'New Vehicles - NS'!O$25+'New Vehicles - NW'!O31*'New Vehicles - NW'!O$25)/O$25</f>
        <v>0</v>
      </c>
      <c r="P31" s="6">
        <f>('New Vehicles - NS'!P31*'New Vehicles - NS'!P$25+'New Vehicles - NW'!P31*'New Vehicles - NW'!P$25)/P$25</f>
        <v>406.25</v>
      </c>
      <c r="R31" s="6">
        <f t="shared" si="12"/>
        <v>135.41666666666666</v>
      </c>
    </row>
    <row r="32" spans="1:22" x14ac:dyDescent="0.25">
      <c r="A32" s="7" t="s">
        <v>1071</v>
      </c>
      <c r="B32" s="6">
        <f>('New Vehicles - NS'!B32*'New Vehicles - NS'!B25+'New Vehicles - NW'!B32*'New Vehicles - NW'!B25)/('New Vehicles - NW'!B25+'New Vehicles - NS'!B25)</f>
        <v>445.79032258064518</v>
      </c>
      <c r="C32" s="6">
        <f>('New Vehicles - NS'!C32*'New Vehicles - NS'!C25+'New Vehicles - NW'!C32*'New Vehicles - NW'!C25)/('New Vehicles - NW'!C25+'New Vehicles - NS'!C25)</f>
        <v>600</v>
      </c>
      <c r="D32" s="6">
        <f>('New Vehicles - NS'!D32*'New Vehicles - NS'!D25+'New Vehicles - NW'!D32*'New Vehicles - NW'!D25)/('New Vehicles - NW'!D25+'New Vehicles - NS'!D25)</f>
        <v>600</v>
      </c>
      <c r="E32" s="6">
        <f>('New Vehicles - NS'!E32*'New Vehicles - NS'!E$25+'New Vehicles - NW'!E32*'New Vehicles - NW'!E$25)/E$25</f>
        <v>643.36689563947868</v>
      </c>
      <c r="F32" s="6">
        <f>('New Vehicles - NS'!F32*'New Vehicles - NS'!F$25+'New Vehicles - NW'!F32*'New Vehicles - NW'!F$25)/F$25</f>
        <v>643.36689563947868</v>
      </c>
      <c r="G32" s="6">
        <f>('New Vehicles - NS'!G32*'New Vehicles - NS'!G$25+'New Vehicles - NW'!G32*'New Vehicles - NW'!G$25)/G$25</f>
        <v>644.43564563947871</v>
      </c>
      <c r="H32" s="6">
        <f>('New Vehicles - NS'!H32*'New Vehicles - NS'!H$25+'New Vehicles - NW'!H32*'New Vehicles - NW'!H$25)/H$25</f>
        <v>646.97786657735969</v>
      </c>
      <c r="I32" s="6">
        <f>('New Vehicles - NS'!I32*'New Vehicles - NS'!I$25+'New Vehicles - NW'!I32*'New Vehicles - NW'!I$25)/I$25</f>
        <v>646.97786657735969</v>
      </c>
      <c r="J32" s="6">
        <f>('New Vehicles - NS'!J32*'New Vehicles - NS'!J$25+'New Vehicles - NW'!J32*'New Vehicles - NW'!J$25)/J$25</f>
        <v>648.04587644578078</v>
      </c>
      <c r="K32" s="6">
        <f>('New Vehicles - NS'!K32*'New Vehicles - NS'!K$25+'New Vehicles - NW'!K32*'New Vehicles - NW'!K$25)/K$25</f>
        <v>643.36689563947868</v>
      </c>
      <c r="L32" s="6">
        <f>('New Vehicles - NS'!L32*'New Vehicles - NS'!L$25+'New Vehicles - NW'!L32*'New Vehicles - NW'!L$25)/L$25</f>
        <v>648.22413088335406</v>
      </c>
      <c r="M32" s="6">
        <f>('New Vehicles - NS'!M32*'New Vehicles - NS'!M$25+'New Vehicles - NW'!M32*'New Vehicles - NW'!M$25)/M$25</f>
        <v>632.06744509441353</v>
      </c>
      <c r="N32" s="6">
        <f>('New Vehicles - NS'!N32*'New Vehicles - NS'!N$25+'New Vehicles - NW'!N32*'New Vehicles - NW'!N$25)/N$25</f>
        <v>631.01275759441353</v>
      </c>
      <c r="O32" s="6">
        <f>('New Vehicles - NS'!O32*'New Vehicles - NS'!O$25+'New Vehicles - NW'!O32*'New Vehicles - NW'!O$25)/O$25</f>
        <v>631.01275759441353</v>
      </c>
      <c r="P32" s="6">
        <f>('New Vehicles - NS'!P32*'New Vehicles - NS'!P$25+'New Vehicles - NW'!P32*'New Vehicles - NW'!P$25)/P$25</f>
        <v>634.65539376900824</v>
      </c>
      <c r="R32" s="6">
        <f t="shared" si="12"/>
        <v>641.12586892450145</v>
      </c>
    </row>
    <row r="33" spans="1:19" x14ac:dyDescent="0.25">
      <c r="A33" s="7" t="s">
        <v>1072</v>
      </c>
      <c r="B33" s="6">
        <f>('New Vehicles - NS'!B33*'New Vehicles - NS'!B25+'New Vehicles - NW'!B33*'New Vehicles - NW'!B25)/('New Vehicles - NW'!B25+'New Vehicles - NS'!B25)</f>
        <v>1083.6604032258065</v>
      </c>
      <c r="C33" s="6">
        <f>('New Vehicles - NS'!C33*'New Vehicles - NS'!C25+'New Vehicles - NW'!C33*'New Vehicles - NW'!C25)/('New Vehicles - NW'!C25+'New Vehicles - NS'!C25)</f>
        <v>1100</v>
      </c>
      <c r="D33" s="6">
        <f>('New Vehicles - NS'!D33*'New Vehicles - NS'!D25+'New Vehicles - NW'!D33*'New Vehicles - NW'!D25)/('New Vehicles - NW'!D25+'New Vehicles - NS'!D25)</f>
        <v>1100</v>
      </c>
      <c r="E33" s="6">
        <f>('New Vehicles - NS'!E33*'New Vehicles - NS'!E$25+'New Vehicles - NW'!E33*'New Vehicles - NW'!E$25)/E$25</f>
        <v>731.70199978306698</v>
      </c>
      <c r="F33" s="6">
        <f>('New Vehicles - NS'!F33*'New Vehicles - NS'!F$25+'New Vehicles - NW'!F33*'New Vehicles - NW'!F$25)/F$25</f>
        <v>731.70199978306698</v>
      </c>
      <c r="G33" s="6">
        <f>('New Vehicles - NS'!G33*'New Vehicles - NS'!G$25+'New Vehicles - NW'!G33*'New Vehicles - NW'!G$25)/G$25</f>
        <v>731.70199978306698</v>
      </c>
      <c r="H33" s="6">
        <f>('New Vehicles - NS'!H33*'New Vehicles - NS'!H$25+'New Vehicles - NW'!H33*'New Vehicles - NW'!H$25)/H$25</f>
        <v>750.95731556683188</v>
      </c>
      <c r="I33" s="6">
        <f>('New Vehicles - NS'!I33*'New Vehicles - NS'!I$25+'New Vehicles - NW'!I33*'New Vehicles - NW'!I$25)/I$25</f>
        <v>750.95731556683188</v>
      </c>
      <c r="J33" s="6">
        <f>('New Vehicles - NS'!J33*'New Vehicles - NS'!J$25+'New Vehicles - NW'!J33*'New Vehicles - NW'!J$25)/J$25</f>
        <v>750.95731556683188</v>
      </c>
      <c r="K33" s="6">
        <f>('New Vehicles - NS'!K33*'New Vehicles - NS'!K$25+'New Vehicles - NW'!K33*'New Vehicles - NW'!K$25)/K$25</f>
        <v>731.70199978306698</v>
      </c>
      <c r="L33" s="6">
        <f>('New Vehicles - NS'!L33*'New Vehicles - NS'!L$25+'New Vehicles - NW'!L33*'New Vehicles - NW'!L$25)/L$25</f>
        <v>757.60295552760033</v>
      </c>
      <c r="M33" s="6">
        <f>('New Vehicles - NS'!M33*'New Vehicles - NS'!M$25+'New Vehicles - NW'!M33*'New Vehicles - NW'!M$25)/M$25</f>
        <v>823.16474975595031</v>
      </c>
      <c r="N33" s="6">
        <f>('New Vehicles - NS'!N33*'New Vehicles - NS'!N$25+'New Vehicles - NW'!N33*'New Vehicles - NW'!N$25)/N$25</f>
        <v>823.16474975595031</v>
      </c>
      <c r="O33" s="6">
        <f>('New Vehicles - NS'!O33*'New Vehicles - NS'!O$25+'New Vehicles - NW'!O33*'New Vehicles - NW'!O$25)/O$25</f>
        <v>823.16474975595031</v>
      </c>
      <c r="P33" s="6">
        <f>('New Vehicles - NS'!P33*'New Vehicles - NS'!P$25+'New Vehicles - NW'!P33*'New Vehicles - NW'!P$25)/P$25</f>
        <v>701.71421290671174</v>
      </c>
      <c r="R33" s="6">
        <f t="shared" si="12"/>
        <v>759.040946961244</v>
      </c>
    </row>
    <row r="34" spans="1:19" x14ac:dyDescent="0.25">
      <c r="A34" s="7" t="s">
        <v>1073</v>
      </c>
      <c r="B34" s="6">
        <f>('New Vehicles - NS'!B34*'New Vehicles - NS'!B25+'New Vehicles - NW'!B34*'New Vehicles - NW'!B25)/('New Vehicles - NW'!B25+'New Vehicles - NS'!B25)</f>
        <v>1529.4507258064516</v>
      </c>
      <c r="C34" s="6">
        <f>('New Vehicles - NS'!C34*'New Vehicles - NS'!C25+'New Vehicles - NW'!C34*'New Vehicles - NW'!C25)/('New Vehicles - NW'!C25+'New Vehicles - NS'!C25)</f>
        <v>1700.0000000000002</v>
      </c>
      <c r="D34" s="6">
        <f>('New Vehicles - NS'!D34*'New Vehicles - NS'!D25+'New Vehicles - NW'!D34*'New Vehicles - NW'!D25)/('New Vehicles - NW'!D25+'New Vehicles - NS'!D25)</f>
        <v>1700.0000000000002</v>
      </c>
      <c r="E34" s="6">
        <f t="shared" ref="E34:P34" si="13">E32+E33</f>
        <v>1375.0688954225457</v>
      </c>
      <c r="F34" s="6">
        <f t="shared" si="13"/>
        <v>1375.0688954225457</v>
      </c>
      <c r="G34" s="6">
        <f t="shared" si="13"/>
        <v>1376.1376454225456</v>
      </c>
      <c r="H34" s="6">
        <f t="shared" si="13"/>
        <v>1397.9351821441915</v>
      </c>
      <c r="I34" s="6">
        <f t="shared" si="13"/>
        <v>1397.9351821441915</v>
      </c>
      <c r="J34" s="6">
        <f t="shared" si="13"/>
        <v>1399.0031920126125</v>
      </c>
      <c r="K34" s="6">
        <f t="shared" si="13"/>
        <v>1375.0688954225457</v>
      </c>
      <c r="L34" s="6">
        <f t="shared" si="13"/>
        <v>1405.8270864109545</v>
      </c>
      <c r="M34" s="6">
        <f t="shared" si="13"/>
        <v>1455.2321948503638</v>
      </c>
      <c r="N34" s="6">
        <f t="shared" si="13"/>
        <v>1454.1775073503638</v>
      </c>
      <c r="O34" s="6">
        <f t="shared" si="13"/>
        <v>1454.1775073503638</v>
      </c>
      <c r="P34" s="6">
        <f t="shared" si="13"/>
        <v>1336.36960667572</v>
      </c>
      <c r="R34" s="6">
        <f t="shared" si="12"/>
        <v>1400.1668158857453</v>
      </c>
    </row>
    <row r="35" spans="1:19" x14ac:dyDescent="0.25">
      <c r="A35" s="7" t="s">
        <v>1074</v>
      </c>
      <c r="B35" s="6">
        <f t="shared" ref="B35:P35" si="14">B29-B34</f>
        <v>459.05766129032236</v>
      </c>
      <c r="C35" s="6">
        <f t="shared" si="14"/>
        <v>249.99999999999977</v>
      </c>
      <c r="D35" s="6">
        <f t="shared" si="14"/>
        <v>999.99999999999977</v>
      </c>
      <c r="E35" s="6">
        <f t="shared" si="14"/>
        <v>674.93110457745433</v>
      </c>
      <c r="F35" s="6">
        <f t="shared" si="14"/>
        <v>674.93110457745433</v>
      </c>
      <c r="G35" s="6">
        <f t="shared" si="14"/>
        <v>1080.1123545774544</v>
      </c>
      <c r="H35" s="6">
        <f t="shared" si="14"/>
        <v>652.06481785580854</v>
      </c>
      <c r="I35" s="6">
        <f t="shared" si="14"/>
        <v>652.06481785580854</v>
      </c>
      <c r="J35" s="6">
        <f t="shared" si="14"/>
        <v>1057.2468079873875</v>
      </c>
      <c r="K35" s="6">
        <f t="shared" si="14"/>
        <v>674.93110457745433</v>
      </c>
      <c r="L35" s="6">
        <f t="shared" si="14"/>
        <v>644.17291358904549</v>
      </c>
      <c r="M35" s="6">
        <f t="shared" si="14"/>
        <v>1001.0178051496362</v>
      </c>
      <c r="N35" s="6">
        <f t="shared" si="14"/>
        <v>595.82249264963616</v>
      </c>
      <c r="O35" s="6">
        <f t="shared" si="14"/>
        <v>595.82249264963616</v>
      </c>
      <c r="P35" s="6">
        <f t="shared" si="14"/>
        <v>1119.88039332428</v>
      </c>
      <c r="R35" s="6">
        <f t="shared" si="12"/>
        <v>785.24985078092129</v>
      </c>
    </row>
    <row r="36" spans="1:19" x14ac:dyDescent="0.25">
      <c r="A36" s="7"/>
      <c r="B36" s="6"/>
      <c r="C36" s="6"/>
      <c r="D36" s="6"/>
      <c r="E36" s="6"/>
      <c r="F36" s="6"/>
      <c r="G36" s="6"/>
      <c r="H36" s="6"/>
      <c r="I36" s="6"/>
      <c r="J36" s="6"/>
      <c r="K36" s="6"/>
      <c r="L36" s="6"/>
      <c r="M36" s="6"/>
      <c r="N36" s="6"/>
      <c r="O36" s="6"/>
      <c r="P36" s="6"/>
      <c r="R36" s="6"/>
    </row>
    <row r="37" spans="1:19" x14ac:dyDescent="0.25">
      <c r="A37" s="7" t="s">
        <v>1075</v>
      </c>
      <c r="B37" s="6">
        <f t="shared" ref="B37:G37" si="15">B25*B29</f>
        <v>246575.03999999998</v>
      </c>
      <c r="C37" s="6">
        <f t="shared" si="15"/>
        <v>243750</v>
      </c>
      <c r="D37" s="6">
        <f t="shared" si="15"/>
        <v>337500</v>
      </c>
      <c r="E37" s="6">
        <f>E25*E29</f>
        <v>239850</v>
      </c>
      <c r="F37" s="6">
        <f t="shared" si="15"/>
        <v>239850</v>
      </c>
      <c r="G37" s="6">
        <f t="shared" si="15"/>
        <v>287381.25</v>
      </c>
      <c r="H37" s="6">
        <f t="shared" ref="H37:M37" si="16">H25*H29</f>
        <v>233700</v>
      </c>
      <c r="I37" s="6">
        <f t="shared" si="16"/>
        <v>233700</v>
      </c>
      <c r="J37" s="6">
        <f t="shared" si="16"/>
        <v>280012.5</v>
      </c>
      <c r="K37" s="6">
        <f t="shared" si="16"/>
        <v>239850</v>
      </c>
      <c r="L37" s="6">
        <f t="shared" si="16"/>
        <v>231650</v>
      </c>
      <c r="M37" s="6">
        <f t="shared" si="16"/>
        <v>255450</v>
      </c>
      <c r="N37" s="6">
        <f>N25*N29</f>
        <v>213200</v>
      </c>
      <c r="O37" s="6">
        <f>O25*O29</f>
        <v>213200</v>
      </c>
      <c r="P37" s="6">
        <f>P25*P29</f>
        <v>299662.5</v>
      </c>
      <c r="R37" s="2">
        <f>SUM(E37:P37)</f>
        <v>2967506.25</v>
      </c>
      <c r="S37" s="161"/>
    </row>
    <row r="38" spans="1:19" x14ac:dyDescent="0.25">
      <c r="A38" s="7" t="s">
        <v>1076</v>
      </c>
      <c r="B38" s="6">
        <f t="shared" ref="B38:D38" si="17">B25*B34</f>
        <v>189651.88999999998</v>
      </c>
      <c r="C38" s="6">
        <f t="shared" si="17"/>
        <v>212500.00000000003</v>
      </c>
      <c r="D38" s="6">
        <f t="shared" si="17"/>
        <v>212500.00000000003</v>
      </c>
      <c r="E38" s="6">
        <f>'New Vehicles - NS'!E38+'New Vehicles - NW'!E38</f>
        <v>160883.06076443783</v>
      </c>
      <c r="F38" s="6">
        <f>'New Vehicles - NS'!F38+'New Vehicles - NW'!F38</f>
        <v>160883.06076443783</v>
      </c>
      <c r="G38" s="6">
        <f>'New Vehicles - NS'!G38+'New Vehicles - NW'!G38</f>
        <v>161008.10451443784</v>
      </c>
      <c r="H38" s="6">
        <f>'New Vehicles - NS'!H38+'New Vehicles - NW'!H38</f>
        <v>159364.61076443782</v>
      </c>
      <c r="I38" s="6">
        <f>'New Vehicles - NS'!I38+'New Vehicles - NW'!I38</f>
        <v>159364.61076443782</v>
      </c>
      <c r="J38" s="6">
        <f>'New Vehicles - NS'!J38+'New Vehicles - NW'!J38</f>
        <v>159486.36388943784</v>
      </c>
      <c r="K38" s="6">
        <f>'New Vehicles - NS'!K38+'New Vehicles - NW'!K38</f>
        <v>160883.06076443783</v>
      </c>
      <c r="L38" s="6">
        <f>'New Vehicles - NS'!L38+'New Vehicles - NW'!L38</f>
        <v>158858.46076443786</v>
      </c>
      <c r="M38" s="6">
        <f>'New Vehicles - NS'!M38+'New Vehicles - NW'!M38</f>
        <v>151344.14826443786</v>
      </c>
      <c r="N38" s="6">
        <f>'New Vehicles - NS'!N38+'New Vehicles - NW'!N38</f>
        <v>151234.46076443786</v>
      </c>
      <c r="O38" s="6">
        <f>'New Vehicles - NS'!O38+'New Vehicles - NW'!O38</f>
        <v>151234.46076443786</v>
      </c>
      <c r="P38" s="6">
        <f>'New Vehicles - NS'!P38+'New Vehicles - NW'!P38</f>
        <v>163037.09201443783</v>
      </c>
      <c r="R38" s="2">
        <f>SUM(E38:P38)</f>
        <v>1897581.4947982542</v>
      </c>
    </row>
    <row r="39" spans="1:19" x14ac:dyDescent="0.25">
      <c r="A39" s="42" t="s">
        <v>1077</v>
      </c>
      <c r="B39" s="6">
        <f>'New Vehicles - NS'!B39+'New Vehicles - NW'!B39</f>
        <v>1193.7300000000005</v>
      </c>
      <c r="C39" s="6">
        <f>'New Vehicles - NS'!C39+'New Vehicles - NW'!C39</f>
        <v>4000</v>
      </c>
      <c r="D39" s="6">
        <f>'New Vehicles - NS'!D39+'New Vehicles - NW'!D39</f>
        <v>4000</v>
      </c>
      <c r="E39" s="6">
        <f>'New Vehicles - NS'!E39+'New Vehicles - NW'!E39</f>
        <v>3426.9388888888898</v>
      </c>
      <c r="F39" s="6">
        <f>'New Vehicles - NS'!F39+'New Vehicles - NW'!F39</f>
        <v>3426.9388888888898</v>
      </c>
      <c r="G39" s="6">
        <f>'New Vehicles - NS'!G39+'New Vehicles - NW'!G39</f>
        <v>3426.9388888888898</v>
      </c>
      <c r="H39" s="6">
        <f>'New Vehicles - NS'!H39+'New Vehicles - NW'!H39</f>
        <v>3426.9388888888898</v>
      </c>
      <c r="I39" s="6">
        <f>'New Vehicles - NS'!I39+'New Vehicles - NW'!I39</f>
        <v>3426.9388888888898</v>
      </c>
      <c r="J39" s="6">
        <f>'New Vehicles - NS'!J39+'New Vehicles - NW'!J39</f>
        <v>3426.9388888888898</v>
      </c>
      <c r="K39" s="6">
        <f>'New Vehicles - NS'!K39+'New Vehicles - NW'!K39</f>
        <v>3426.9388888888898</v>
      </c>
      <c r="L39" s="6">
        <f>'New Vehicles - NS'!L39+'New Vehicles - NW'!L39</f>
        <v>3426.9388888888898</v>
      </c>
      <c r="M39" s="6">
        <f>'New Vehicles - NS'!M39+'New Vehicles - NW'!M39</f>
        <v>3426.9388888888898</v>
      </c>
      <c r="N39" s="6">
        <f>'New Vehicles - NS'!N39+'New Vehicles - NW'!N39</f>
        <v>3426.9388888888898</v>
      </c>
      <c r="O39" s="6">
        <f>'New Vehicles - NS'!O39+'New Vehicles - NW'!O39</f>
        <v>3426.9388888888898</v>
      </c>
      <c r="P39" s="6">
        <f>'New Vehicles - NS'!P39+'New Vehicles - NW'!P39</f>
        <v>3426.9388888888898</v>
      </c>
      <c r="R39" s="6">
        <f>SUM(E39:P39)</f>
        <v>41123.266666666677</v>
      </c>
    </row>
    <row r="40" spans="1:19" ht="15.75" thickBot="1" x14ac:dyDescent="0.3">
      <c r="A40" s="9" t="s">
        <v>1078</v>
      </c>
      <c r="B40" s="10">
        <f t="shared" ref="B40:P40" si="18">B37-B38+B39</f>
        <v>58116.88</v>
      </c>
      <c r="C40" s="10">
        <f t="shared" si="18"/>
        <v>35249.999999999971</v>
      </c>
      <c r="D40" s="10">
        <f t="shared" si="18"/>
        <v>128999.99999999997</v>
      </c>
      <c r="E40" s="10">
        <f t="shared" si="18"/>
        <v>82393.878124451061</v>
      </c>
      <c r="F40" s="10">
        <f t="shared" si="18"/>
        <v>82393.878124451061</v>
      </c>
      <c r="G40" s="10">
        <f t="shared" si="18"/>
        <v>129800.08437445105</v>
      </c>
      <c r="H40" s="10">
        <f t="shared" si="18"/>
        <v>77762.328124451073</v>
      </c>
      <c r="I40" s="10">
        <f t="shared" si="18"/>
        <v>77762.328124451073</v>
      </c>
      <c r="J40" s="10">
        <f t="shared" si="18"/>
        <v>123953.07499945106</v>
      </c>
      <c r="K40" s="10">
        <f t="shared" si="18"/>
        <v>82393.878124451061</v>
      </c>
      <c r="L40" s="10">
        <f t="shared" si="18"/>
        <v>76218.478124451038</v>
      </c>
      <c r="M40" s="10">
        <f t="shared" si="18"/>
        <v>107532.79062445104</v>
      </c>
      <c r="N40" s="10">
        <f t="shared" si="18"/>
        <v>65392.478124451038</v>
      </c>
      <c r="O40" s="10">
        <f t="shared" si="18"/>
        <v>65392.478124451038</v>
      </c>
      <c r="P40" s="10">
        <f t="shared" si="18"/>
        <v>140052.34687445106</v>
      </c>
      <c r="R40" s="10">
        <f>SUM(E40:P40)</f>
        <v>1111048.0218684126</v>
      </c>
    </row>
    <row r="41" spans="1:19" ht="15.75" thickTop="1" x14ac:dyDescent="0.25">
      <c r="A41" s="21"/>
      <c r="B41" s="19"/>
      <c r="C41" s="19"/>
      <c r="D41" s="19"/>
      <c r="E41" s="19"/>
      <c r="F41" s="19"/>
      <c r="G41" s="19"/>
      <c r="H41" s="19"/>
      <c r="I41" s="19"/>
      <c r="J41" s="19"/>
      <c r="K41" s="19"/>
      <c r="L41" s="19"/>
      <c r="M41" s="19"/>
      <c r="O41" s="6"/>
    </row>
    <row r="42" spans="1:19" x14ac:dyDescent="0.25">
      <c r="A42" s="21" t="s">
        <v>1081</v>
      </c>
      <c r="B42" s="19"/>
      <c r="C42" s="19"/>
      <c r="D42" s="19"/>
      <c r="E42" s="19">
        <f>E25*E32</f>
        <v>75273.926789819001</v>
      </c>
      <c r="F42" s="19">
        <f t="shared" ref="F42:P42" si="19">F25*F32</f>
        <v>75273.926789819001</v>
      </c>
      <c r="G42" s="19">
        <f t="shared" si="19"/>
        <v>75398.970539819013</v>
      </c>
      <c r="H42" s="19">
        <f t="shared" si="19"/>
        <v>73755.476789819004</v>
      </c>
      <c r="I42" s="19">
        <f t="shared" si="19"/>
        <v>73755.476789819004</v>
      </c>
      <c r="J42" s="19">
        <f t="shared" si="19"/>
        <v>73877.229914819007</v>
      </c>
      <c r="K42" s="19">
        <f t="shared" si="19"/>
        <v>75273.926789819001</v>
      </c>
      <c r="L42" s="19">
        <f t="shared" si="19"/>
        <v>73249.32678981901</v>
      </c>
      <c r="M42" s="19">
        <f t="shared" si="19"/>
        <v>65735.01428981901</v>
      </c>
      <c r="N42" s="19">
        <f t="shared" si="19"/>
        <v>65625.32678981901</v>
      </c>
      <c r="O42" s="19">
        <f t="shared" si="19"/>
        <v>65625.32678981901</v>
      </c>
      <c r="P42" s="19">
        <f t="shared" si="19"/>
        <v>77427.958039819001</v>
      </c>
      <c r="R42" s="2">
        <f>SUM(E42:P42)</f>
        <v>870271.88710282824</v>
      </c>
      <c r="S42" s="34" t="s">
        <v>1082</v>
      </c>
    </row>
    <row r="43" spans="1:19" x14ac:dyDescent="0.25">
      <c r="A43" s="21" t="s">
        <v>1083</v>
      </c>
      <c r="B43" s="19"/>
      <c r="C43" s="19"/>
      <c r="D43" s="19"/>
      <c r="E43" s="19">
        <f>E25*E33</f>
        <v>85609.133974618831</v>
      </c>
      <c r="F43" s="19">
        <f t="shared" ref="F43:P43" si="20">F25*F33</f>
        <v>85609.133974618831</v>
      </c>
      <c r="G43" s="19">
        <f t="shared" si="20"/>
        <v>85609.133974618831</v>
      </c>
      <c r="H43" s="19">
        <f t="shared" si="20"/>
        <v>85609.133974618831</v>
      </c>
      <c r="I43" s="19">
        <f t="shared" si="20"/>
        <v>85609.133974618831</v>
      </c>
      <c r="J43" s="19">
        <f t="shared" si="20"/>
        <v>85609.133974618831</v>
      </c>
      <c r="K43" s="19">
        <f t="shared" si="20"/>
        <v>85609.133974618831</v>
      </c>
      <c r="L43" s="19">
        <f t="shared" si="20"/>
        <v>85609.133974618831</v>
      </c>
      <c r="M43" s="19">
        <f t="shared" si="20"/>
        <v>85609.133974618831</v>
      </c>
      <c r="N43" s="19">
        <f t="shared" si="20"/>
        <v>85609.133974618831</v>
      </c>
      <c r="O43" s="19">
        <f t="shared" si="20"/>
        <v>85609.133974618831</v>
      </c>
      <c r="P43" s="19">
        <f t="shared" si="20"/>
        <v>85609.133974618831</v>
      </c>
      <c r="Q43" s="19"/>
      <c r="R43" s="2">
        <f>SUM(E43:P43)</f>
        <v>1027309.6076954262</v>
      </c>
      <c r="S43" s="34" t="s">
        <v>1084</v>
      </c>
    </row>
    <row r="44" spans="1:19" x14ac:dyDescent="0.25">
      <c r="A44" s="21"/>
    </row>
    <row r="45" spans="1:19" x14ac:dyDescent="0.25">
      <c r="A45" s="144" t="s">
        <v>1085</v>
      </c>
      <c r="B45" s="144"/>
      <c r="C45" s="144"/>
      <c r="D45" s="146"/>
      <c r="E45" s="149">
        <v>35000</v>
      </c>
      <c r="F45" s="149">
        <v>35000</v>
      </c>
      <c r="G45" s="149">
        <v>35000</v>
      </c>
      <c r="H45" s="149">
        <v>35000</v>
      </c>
      <c r="I45" s="149">
        <v>35000</v>
      </c>
      <c r="J45" s="149">
        <v>35000</v>
      </c>
      <c r="K45" s="149">
        <v>35000</v>
      </c>
      <c r="L45" s="149">
        <v>35000</v>
      </c>
      <c r="M45" s="149">
        <v>35000</v>
      </c>
      <c r="N45" s="149">
        <v>35000</v>
      </c>
      <c r="O45" s="149">
        <v>35000</v>
      </c>
      <c r="P45" s="149">
        <v>35000</v>
      </c>
      <c r="Q45" s="144"/>
    </row>
    <row r="46" spans="1:19" x14ac:dyDescent="0.25">
      <c r="A46" s="144"/>
      <c r="B46" s="144"/>
      <c r="C46" s="144"/>
      <c r="D46" s="144"/>
      <c r="E46" s="139"/>
      <c r="F46" s="139"/>
      <c r="G46" s="144"/>
      <c r="H46" s="144"/>
      <c r="I46" s="144"/>
      <c r="J46" s="144"/>
      <c r="K46" s="144"/>
      <c r="L46" s="144"/>
      <c r="M46" s="144"/>
      <c r="N46" s="144"/>
      <c r="O46" s="144"/>
      <c r="P46" s="144"/>
      <c r="Q46" s="144"/>
    </row>
    <row r="47" spans="1:19" x14ac:dyDescent="0.25">
      <c r="A47" s="144" t="s">
        <v>1086</v>
      </c>
      <c r="B47" s="144"/>
      <c r="C47" s="144"/>
      <c r="D47" s="144"/>
      <c r="E47" s="150">
        <f>E25*E45</f>
        <v>4095000</v>
      </c>
      <c r="F47" s="150">
        <f t="shared" ref="F47:P47" si="21">F25*F45</f>
        <v>4095000</v>
      </c>
      <c r="G47" s="150">
        <f t="shared" si="21"/>
        <v>4095000</v>
      </c>
      <c r="H47" s="150">
        <f t="shared" si="21"/>
        <v>3990000</v>
      </c>
      <c r="I47" s="150">
        <f t="shared" si="21"/>
        <v>3990000</v>
      </c>
      <c r="J47" s="150">
        <f t="shared" si="21"/>
        <v>3990000</v>
      </c>
      <c r="K47" s="150">
        <f t="shared" si="21"/>
        <v>4095000</v>
      </c>
      <c r="L47" s="150">
        <f t="shared" si="21"/>
        <v>3955000</v>
      </c>
      <c r="M47" s="150">
        <f t="shared" si="21"/>
        <v>3640000</v>
      </c>
      <c r="N47" s="150">
        <f t="shared" si="21"/>
        <v>3640000</v>
      </c>
      <c r="O47" s="150">
        <f t="shared" si="21"/>
        <v>3640000</v>
      </c>
      <c r="P47" s="150">
        <f t="shared" si="21"/>
        <v>4270000</v>
      </c>
      <c r="R47" s="150">
        <f>SUM(E47:P47)</f>
        <v>47495000</v>
      </c>
    </row>
    <row r="48" spans="1:19" x14ac:dyDescent="0.25">
      <c r="B48" s="19"/>
      <c r="C48" s="19"/>
      <c r="D48" s="19"/>
      <c r="E48" s="19"/>
      <c r="F48" s="19"/>
      <c r="G48" s="19"/>
      <c r="H48" s="19"/>
      <c r="I48" s="19"/>
      <c r="J48" s="19"/>
      <c r="K48" s="19"/>
      <c r="L48" s="19"/>
      <c r="M48" s="19"/>
      <c r="O48" s="6"/>
      <c r="P48" s="17"/>
    </row>
    <row r="49" spans="1:19" s="34" customFormat="1" x14ac:dyDescent="0.25">
      <c r="A49" s="34" t="s">
        <v>1087</v>
      </c>
      <c r="B49" s="120"/>
      <c r="C49" s="120"/>
      <c r="D49" s="120"/>
      <c r="E49" s="120" t="s">
        <v>1088</v>
      </c>
      <c r="F49" s="120"/>
      <c r="G49" s="120"/>
      <c r="H49" s="120"/>
      <c r="I49" s="120"/>
      <c r="J49" s="120"/>
      <c r="K49" s="120"/>
      <c r="L49" s="120"/>
      <c r="M49" s="120"/>
      <c r="O49" s="116"/>
      <c r="R49" s="120"/>
    </row>
    <row r="50" spans="1:19" x14ac:dyDescent="0.25">
      <c r="B50" s="7"/>
      <c r="C50" s="7"/>
      <c r="D50" s="7"/>
      <c r="E50" s="120" t="s">
        <v>1089</v>
      </c>
      <c r="F50" s="7"/>
      <c r="G50" s="7"/>
      <c r="H50" s="7"/>
      <c r="I50" s="7"/>
      <c r="J50" s="7"/>
      <c r="K50" s="7"/>
      <c r="L50" s="7"/>
      <c r="M50" s="7"/>
      <c r="O50" s="6"/>
      <c r="R50" s="7"/>
    </row>
    <row r="51" spans="1:19" x14ac:dyDescent="0.25">
      <c r="B51" s="7"/>
      <c r="C51" s="7"/>
      <c r="D51" s="7"/>
      <c r="E51" s="120" t="s">
        <v>1329</v>
      </c>
      <c r="F51" s="7"/>
      <c r="G51" s="7"/>
      <c r="H51" s="7"/>
      <c r="I51" s="7"/>
      <c r="J51" s="7"/>
      <c r="K51" s="7"/>
      <c r="L51" s="7"/>
      <c r="M51" s="7"/>
      <c r="O51" s="6"/>
      <c r="R51" s="7"/>
    </row>
    <row r="52" spans="1:19" hidden="1" x14ac:dyDescent="0.25">
      <c r="A52" s="245" t="s">
        <v>1090</v>
      </c>
      <c r="B52" s="246"/>
      <c r="C52" s="246"/>
      <c r="D52" s="246"/>
      <c r="E52" s="247">
        <f>'New Vehicles - NS'!E45+'New Vehicles - NW'!E51</f>
        <v>75273.926789819001</v>
      </c>
      <c r="F52" s="247">
        <f>'New Vehicles - NS'!F45+'New Vehicles - NW'!F51</f>
        <v>75273.926789819001</v>
      </c>
      <c r="G52" s="247">
        <f>'New Vehicles - NS'!G45+'New Vehicles - NW'!G51</f>
        <v>75398.970539819013</v>
      </c>
      <c r="H52" s="247">
        <f>'New Vehicles - NS'!H45+'New Vehicles - NW'!H51</f>
        <v>73755.476789819004</v>
      </c>
      <c r="I52" s="247">
        <f>'New Vehicles - NS'!I45+'New Vehicles - NW'!I51</f>
        <v>73755.476789819004</v>
      </c>
      <c r="J52" s="247">
        <f>'New Vehicles - NS'!J45+'New Vehicles - NW'!J51</f>
        <v>73877.229914819007</v>
      </c>
      <c r="K52" s="247">
        <f>'New Vehicles - NS'!K45+'New Vehicles - NW'!K51</f>
        <v>75273.926789819001</v>
      </c>
      <c r="L52" s="247">
        <f>'New Vehicles - NS'!L45+'New Vehicles - NW'!L51</f>
        <v>73249.32678981901</v>
      </c>
      <c r="M52" s="247">
        <f>'New Vehicles - NS'!M45+'New Vehicles - NW'!M51</f>
        <v>65735.01428981901</v>
      </c>
      <c r="N52" s="247">
        <f>'New Vehicles - NS'!N45+'New Vehicles - NW'!N51</f>
        <v>65625.32678981901</v>
      </c>
      <c r="O52" s="247">
        <f>'New Vehicles - NS'!O45+'New Vehicles - NW'!O51</f>
        <v>65625.32678981901</v>
      </c>
      <c r="P52" s="247">
        <f>'New Vehicles - NS'!P45+'New Vehicles - NW'!P51</f>
        <v>77427.958039819001</v>
      </c>
      <c r="Q52" s="246"/>
      <c r="R52" s="253"/>
    </row>
    <row r="53" spans="1:19" hidden="1" x14ac:dyDescent="0.25">
      <c r="A53" s="106" t="s">
        <v>1091</v>
      </c>
      <c r="E53" s="249">
        <f>'New Vehicles - NS'!E46+'New Vehicles - NW'!E52</f>
        <v>85609.133974618831</v>
      </c>
      <c r="F53" s="249">
        <f>'New Vehicles - NS'!F46+'New Vehicles - NW'!F52</f>
        <v>85609.133974618831</v>
      </c>
      <c r="G53" s="249">
        <f>'New Vehicles - NS'!G46+'New Vehicles - NW'!G52</f>
        <v>85609.133974618831</v>
      </c>
      <c r="H53" s="249">
        <f>'New Vehicles - NS'!H46+'New Vehicles - NW'!H52</f>
        <v>85609.133974618831</v>
      </c>
      <c r="I53" s="249">
        <f>'New Vehicles - NS'!I46+'New Vehicles - NW'!I52</f>
        <v>85609.133974618831</v>
      </c>
      <c r="J53" s="249">
        <f>'New Vehicles - NS'!J46+'New Vehicles - NW'!J52</f>
        <v>85609.133974618831</v>
      </c>
      <c r="K53" s="249">
        <f>'New Vehicles - NS'!K46+'New Vehicles - NW'!K52</f>
        <v>85609.133974618831</v>
      </c>
      <c r="L53" s="249">
        <f>'New Vehicles - NS'!L46+'New Vehicles - NW'!L52</f>
        <v>85609.133974618831</v>
      </c>
      <c r="M53" s="249">
        <f>'New Vehicles - NS'!M46+'New Vehicles - NW'!M52</f>
        <v>85609.133974618831</v>
      </c>
      <c r="N53" s="249">
        <f>'New Vehicles - NS'!N46+'New Vehicles - NW'!N52</f>
        <v>85609.133974618831</v>
      </c>
      <c r="O53" s="249">
        <f>'New Vehicles - NS'!O46+'New Vehicles - NW'!O52</f>
        <v>85609.133974618831</v>
      </c>
      <c r="P53" s="249">
        <f>'New Vehicles - NS'!P46+'New Vehicles - NW'!P52</f>
        <v>85609.133974618831</v>
      </c>
      <c r="R53" s="254"/>
    </row>
    <row r="54" spans="1:19" hidden="1" x14ac:dyDescent="0.25">
      <c r="A54" s="106" t="s">
        <v>1092</v>
      </c>
      <c r="E54" s="7">
        <f>E53+E52</f>
        <v>160883.06076443783</v>
      </c>
      <c r="F54" s="7">
        <f t="shared" ref="F54:P54" si="22">F53+F52</f>
        <v>160883.06076443783</v>
      </c>
      <c r="G54" s="7">
        <f t="shared" si="22"/>
        <v>161008.10451443784</v>
      </c>
      <c r="H54" s="7">
        <f t="shared" si="22"/>
        <v>159364.61076443782</v>
      </c>
      <c r="I54" s="7">
        <f t="shared" si="22"/>
        <v>159364.61076443782</v>
      </c>
      <c r="J54" s="7">
        <f t="shared" si="22"/>
        <v>159486.36388943784</v>
      </c>
      <c r="K54" s="7">
        <f t="shared" si="22"/>
        <v>160883.06076443783</v>
      </c>
      <c r="L54" s="7">
        <f t="shared" si="22"/>
        <v>158858.46076443786</v>
      </c>
      <c r="M54" s="7">
        <f t="shared" si="22"/>
        <v>151344.14826443786</v>
      </c>
      <c r="N54" s="7">
        <f t="shared" si="22"/>
        <v>151234.46076443786</v>
      </c>
      <c r="O54" s="7">
        <f t="shared" si="22"/>
        <v>151234.46076443786</v>
      </c>
      <c r="P54" s="7">
        <f t="shared" si="22"/>
        <v>163037.09201443783</v>
      </c>
      <c r="R54" s="254"/>
    </row>
    <row r="55" spans="1:19" ht="15.75" hidden="1" thickBot="1" x14ac:dyDescent="0.3">
      <c r="A55" s="250"/>
      <c r="B55" s="251"/>
      <c r="C55" s="251"/>
      <c r="D55" s="251"/>
      <c r="E55" s="251"/>
      <c r="F55" s="251"/>
      <c r="G55" s="251"/>
      <c r="H55" s="251"/>
      <c r="I55" s="251"/>
      <c r="J55" s="251"/>
      <c r="K55" s="251"/>
      <c r="L55" s="251"/>
      <c r="M55" s="251"/>
      <c r="N55" s="251"/>
      <c r="O55" s="251"/>
      <c r="P55" s="251"/>
      <c r="Q55" s="251"/>
      <c r="R55" s="255"/>
      <c r="S55" s="34" t="s">
        <v>1093</v>
      </c>
    </row>
    <row r="58" spans="1:19" x14ac:dyDescent="0.25">
      <c r="R58" s="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E085-484E-4B90-A0FA-6929A3E3A1AB}">
  <sheetPr codeName="Sheet6">
    <tabColor theme="9" tint="0.79998168889431442"/>
  </sheetPr>
  <dimension ref="A1:V64"/>
  <sheetViews>
    <sheetView topLeftCell="A18" workbookViewId="0">
      <selection activeCell="E48" sqref="E48"/>
    </sheetView>
  </sheetViews>
  <sheetFormatPr defaultRowHeight="15" customHeight="1" x14ac:dyDescent="0.25"/>
  <cols>
    <col min="1" max="1" width="24.5703125" bestFit="1" customWidth="1"/>
    <col min="2" max="4" width="10.7109375" hidden="1" customWidth="1"/>
    <col min="5" max="16" width="10.7109375" customWidth="1"/>
    <col min="17" max="17" width="2.85546875" customWidth="1"/>
    <col min="18" max="18" width="10.7109375" customWidth="1"/>
    <col min="19" max="19" width="9.140625" style="34" bestFit="1" customWidth="1"/>
    <col min="20" max="20" width="16.5703125" customWidth="1"/>
  </cols>
  <sheetData>
    <row r="1" spans="1:22" ht="15.75" x14ac:dyDescent="0.25">
      <c r="A1" s="11" t="s">
        <v>1064</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2" x14ac:dyDescent="0.25">
      <c r="D3" s="34"/>
      <c r="G3" s="34"/>
    </row>
    <row r="4" spans="1:22" x14ac:dyDescent="0.25">
      <c r="A4" t="s">
        <v>1065</v>
      </c>
      <c r="B4" s="2">
        <f>'[3]NS NEW VEHICLE'!$B$6</f>
        <v>61</v>
      </c>
      <c r="C4" s="2">
        <f>'[4]NS NEW VEHICLE'!$B$6</f>
        <v>34</v>
      </c>
      <c r="D4" s="2">
        <f>'[5]NS NEW VEHICLE'!$B$6</f>
        <v>72</v>
      </c>
      <c r="E4" s="2">
        <f>'[6]NS NEW VEHICLE'!$B$6</f>
        <v>71</v>
      </c>
      <c r="F4" s="2">
        <f>'[7]NS NEW VEHICLE'!$B$6</f>
        <v>71</v>
      </c>
      <c r="G4" s="2">
        <f>'[8]NS NEW VEHICLE'!$B$6</f>
        <v>148</v>
      </c>
      <c r="H4" s="2">
        <f>'[9]NS NEW VEHICLE'!$B$6</f>
        <v>13</v>
      </c>
      <c r="I4" s="2">
        <f>'[10]NS NEW VEHICLE'!$B$6</f>
        <v>62</v>
      </c>
      <c r="J4" s="2">
        <f>'[11]NS NEW VEHICLE'!$B$6</f>
        <v>62</v>
      </c>
      <c r="K4" s="2">
        <f>'[12]NS NEW VEHICLE'!$B$6</f>
        <v>43</v>
      </c>
      <c r="L4" s="2">
        <f>'[13]NS NEW VEHICLE'!$B$6</f>
        <v>65</v>
      </c>
      <c r="M4" s="2">
        <f>'[14]NS NEW VEHICLE'!$B$6</f>
        <v>58</v>
      </c>
      <c r="N4" s="2">
        <f>'[15]NS NEW VEHICLE'!$B$6</f>
        <v>64</v>
      </c>
      <c r="O4" s="2">
        <f>'[16]NS NEW VEHICLE'!$B$6</f>
        <v>51</v>
      </c>
      <c r="P4" s="2">
        <f>'[17]NS NEW VEHICLE'!$B$6</f>
        <v>59</v>
      </c>
      <c r="Q4" s="8"/>
      <c r="R4" s="2">
        <f>SUM(E4:P4)</f>
        <v>767</v>
      </c>
    </row>
    <row r="5" spans="1:22" x14ac:dyDescent="0.25">
      <c r="A5" t="s">
        <v>1066</v>
      </c>
      <c r="B5" s="2">
        <f>'[3]NS NEW VEHICLE'!$B$27</f>
        <v>4</v>
      </c>
      <c r="C5" s="2">
        <f>'[4]NS NEW VEHICLE'!$B$27</f>
        <v>4</v>
      </c>
      <c r="D5" s="2">
        <f>'[5]NS NEW VEHICLE'!$B$27</f>
        <v>4</v>
      </c>
      <c r="E5" s="2">
        <f>'[6]NS NEW VEHICLE'!$B$27</f>
        <v>4</v>
      </c>
      <c r="F5" s="2">
        <f>'[7]NS NEW VEHICLE'!$B$27</f>
        <v>4</v>
      </c>
      <c r="G5" s="2">
        <f>'[8]NS NEW VEHICLE'!$B$27</f>
        <v>4</v>
      </c>
      <c r="H5" s="2">
        <f>'[9]NS NEW VEHICLE'!$B$27</f>
        <v>4</v>
      </c>
      <c r="I5" s="2">
        <f>'[10]NS NEW VEHICLE'!$B$27</f>
        <v>5</v>
      </c>
      <c r="J5" s="2">
        <f>'[11]NS NEW VEHICLE'!$B$27</f>
        <v>5</v>
      </c>
      <c r="K5" s="2">
        <f>'[12]NS NEW VEHICLE'!$B$27</f>
        <v>5</v>
      </c>
      <c r="L5" s="2">
        <f>'[13]NS NEW VEHICLE'!$B$27</f>
        <v>5</v>
      </c>
      <c r="M5" s="2">
        <f>'[14]NS NEW VEHICLE'!$B$27</f>
        <v>5</v>
      </c>
      <c r="N5" s="2">
        <v>5</v>
      </c>
      <c r="O5" s="2">
        <v>5</v>
      </c>
      <c r="P5" s="2">
        <v>5</v>
      </c>
      <c r="Q5" s="3"/>
      <c r="R5" s="2">
        <f>AVERAGE(E5:P5)</f>
        <v>4.666666666666667</v>
      </c>
    </row>
    <row r="6" spans="1:22" x14ac:dyDescent="0.25">
      <c r="A6" s="39" t="s">
        <v>1067</v>
      </c>
      <c r="B6" s="2">
        <f t="shared" ref="B6:M6" si="0">B4/B5</f>
        <v>15.25</v>
      </c>
      <c r="C6" s="2">
        <f t="shared" si="0"/>
        <v>8.5</v>
      </c>
      <c r="D6" s="2">
        <f t="shared" si="0"/>
        <v>18</v>
      </c>
      <c r="E6" s="2">
        <f t="shared" si="0"/>
        <v>17.75</v>
      </c>
      <c r="F6" s="2">
        <f t="shared" si="0"/>
        <v>17.75</v>
      </c>
      <c r="G6" s="2">
        <f t="shared" si="0"/>
        <v>37</v>
      </c>
      <c r="H6" s="2">
        <f t="shared" si="0"/>
        <v>3.25</v>
      </c>
      <c r="I6" s="2">
        <f t="shared" si="0"/>
        <v>12.4</v>
      </c>
      <c r="J6" s="2">
        <f t="shared" si="0"/>
        <v>12.4</v>
      </c>
      <c r="K6" s="2">
        <f t="shared" si="0"/>
        <v>8.6</v>
      </c>
      <c r="L6" s="2">
        <f t="shared" si="0"/>
        <v>13</v>
      </c>
      <c r="M6" s="2">
        <f t="shared" si="0"/>
        <v>11.6</v>
      </c>
      <c r="N6" s="2">
        <f>N4/N5</f>
        <v>12.8</v>
      </c>
      <c r="O6" s="2">
        <f>O4/O5</f>
        <v>10.199999999999999</v>
      </c>
      <c r="P6" s="2">
        <f>P4/P5</f>
        <v>11.8</v>
      </c>
      <c r="Q6" s="3"/>
      <c r="R6" s="2">
        <f>AVERAGE(E6:P6)</f>
        <v>14.045833333333334</v>
      </c>
    </row>
    <row r="7" spans="1:22" x14ac:dyDescent="0.25">
      <c r="B7" s="2"/>
      <c r="C7" s="2"/>
      <c r="D7" s="2"/>
      <c r="E7" s="2"/>
      <c r="F7" s="2"/>
      <c r="G7" s="2"/>
      <c r="H7" s="2"/>
      <c r="I7" s="2"/>
      <c r="J7" s="2"/>
      <c r="K7" s="2"/>
      <c r="L7" s="2"/>
      <c r="M7" s="2"/>
      <c r="N7" s="2"/>
      <c r="O7" s="2"/>
      <c r="P7" s="2"/>
      <c r="Q7" s="3"/>
      <c r="R7" s="2"/>
    </row>
    <row r="8" spans="1:22" x14ac:dyDescent="0.25">
      <c r="A8" t="s">
        <v>1068</v>
      </c>
      <c r="B8" s="6">
        <f t="shared" ref="B8:P8" si="1">B9+B10</f>
        <v>1768.7106557377056</v>
      </c>
      <c r="C8" s="6">
        <f t="shared" si="1"/>
        <v>1759.3564705882354</v>
      </c>
      <c r="D8" s="6">
        <f t="shared" si="1"/>
        <v>1943.8713888888892</v>
      </c>
      <c r="E8" s="6">
        <f t="shared" si="1"/>
        <v>1993.7357746478872</v>
      </c>
      <c r="F8" s="6">
        <f t="shared" si="1"/>
        <v>1949.4477464788736</v>
      </c>
      <c r="G8" s="6">
        <f t="shared" si="1"/>
        <v>2355.9760135135139</v>
      </c>
      <c r="H8" s="6">
        <f t="shared" si="1"/>
        <v>2579.482307692308</v>
      </c>
      <c r="I8" s="6">
        <f t="shared" si="1"/>
        <v>1938.9129032258068</v>
      </c>
      <c r="J8" s="6">
        <f t="shared" si="1"/>
        <v>2439.3298387096779</v>
      </c>
      <c r="K8" s="6">
        <f t="shared" si="1"/>
        <v>2044.4658139534881</v>
      </c>
      <c r="L8" s="6">
        <f t="shared" si="1"/>
        <v>1633.6336923076919</v>
      </c>
      <c r="M8" s="6">
        <f t="shared" si="1"/>
        <v>2589.1501724137929</v>
      </c>
      <c r="N8" s="6">
        <f t="shared" si="1"/>
        <v>1949.9318749999998</v>
      </c>
      <c r="O8" s="6">
        <f t="shared" si="1"/>
        <v>1881.8317647058821</v>
      </c>
      <c r="P8" s="6">
        <f t="shared" si="1"/>
        <v>2819.6615254237286</v>
      </c>
      <c r="Q8" s="3"/>
      <c r="R8" s="6">
        <f t="shared" ref="R8:R14" si="2">AVERAGE(E8:P8)</f>
        <v>2181.2966190060542</v>
      </c>
    </row>
    <row r="9" spans="1:22" x14ac:dyDescent="0.25">
      <c r="A9" s="7" t="s">
        <v>1069</v>
      </c>
      <c r="B9" s="6">
        <f>'[3]NS NEW VEHICLE'!$B$11-'[3]NS NEW VEHICLE'!$B$9</f>
        <v>1712.7280327868859</v>
      </c>
      <c r="C9" s="6">
        <f>'[4]NS NEW VEHICLE'!$B$11-'[4]NS NEW VEHICLE'!$B$9</f>
        <v>1759.3564705882354</v>
      </c>
      <c r="D9" s="6">
        <f>'[5]NS NEW VEHICLE'!$B$11-'[5]NS NEW VEHICLE'!$B$9</f>
        <v>1617.6995833333337</v>
      </c>
      <c r="E9" s="6">
        <f>'[6]NS NEW VEHICLE'!$B$11-'[6]NS NEW VEHICLE'!$B$9</f>
        <v>1993.7357746478872</v>
      </c>
      <c r="F9" s="6">
        <f>'[7]NS NEW VEHICLE'!$B$11-'[7]NS NEW VEHICLE'!$B$9</f>
        <v>1949.4477464788736</v>
      </c>
      <c r="G9" s="6">
        <f>'[8]NS NEW VEHICLE'!$B$11-'[8]NS NEW VEHICLE'!$B$9</f>
        <v>1772.9058783783787</v>
      </c>
      <c r="H9" s="6">
        <f>'[9]NS NEW VEHICLE'!$B$11-'[9]NS NEW VEHICLE'!$B$9</f>
        <v>2579.482307692308</v>
      </c>
      <c r="I9" s="6">
        <f>'[10]NS NEW VEHICLE'!$B$11-'[10]NS NEW VEHICLE'!$B$9</f>
        <v>1938.9129032258068</v>
      </c>
      <c r="J9" s="6">
        <f>'[11]NS NEW VEHICLE'!$B$11-'[11]NS NEW VEHICLE'!$B$9</f>
        <v>1874.3080645161294</v>
      </c>
      <c r="K9" s="6">
        <f>'[12]NS NEW VEHICLE'!$B$11-'[12]NS NEW VEHICLE'!$B$9</f>
        <v>2044.4658139534881</v>
      </c>
      <c r="L9" s="6">
        <f>'[13]NS NEW VEHICLE'!$B$11-'[13]NS NEW VEHICLE'!$B$9</f>
        <v>1633.6336923076919</v>
      </c>
      <c r="M9" s="6">
        <f>'[14]NS NEW VEHICLE'!$B$11-'[14]NS NEW VEHICLE'!$B$9</f>
        <v>1873.6329310344827</v>
      </c>
      <c r="N9" s="6">
        <f>'[15]NS NEW VEHICLE'!$B$11-'[15]NS NEW VEHICLE'!$B$9</f>
        <v>1949.9318749999998</v>
      </c>
      <c r="O9" s="6">
        <f>'[16]NS NEW VEHICLE'!$B$11-'[16]NS NEW VEHICLE'!$B$9</f>
        <v>1881.8317647058821</v>
      </c>
      <c r="P9" s="6">
        <f>'[17]NS NEW VEHICLE'!$B$11-'[17]NS NEW VEHICLE'!$B$9</f>
        <v>2077.8362711864402</v>
      </c>
      <c r="Q9" s="3"/>
      <c r="R9" s="6">
        <f t="shared" si="2"/>
        <v>1964.1770852606139</v>
      </c>
    </row>
    <row r="10" spans="1:22" s="7" customFormat="1" x14ac:dyDescent="0.25">
      <c r="A10" s="7" t="s">
        <v>1070</v>
      </c>
      <c r="B10" s="6">
        <f>'[3]NS NEW VEHICLE'!$B$9</f>
        <v>55.982622950819675</v>
      </c>
      <c r="C10" s="6">
        <f>'[4]NS NEW VEHICLE'!$B$9</f>
        <v>0</v>
      </c>
      <c r="D10" s="6">
        <f>'[5]NS NEW VEHICLE'!$B$9</f>
        <v>326.17180555555552</v>
      </c>
      <c r="E10" s="6">
        <f>'[6]NS NEW VEHICLE'!$B$9</f>
        <v>0</v>
      </c>
      <c r="F10" s="6">
        <f>'[7]NS NEW VEHICLE'!$B$9</f>
        <v>0</v>
      </c>
      <c r="G10" s="6">
        <f>'[8]NS NEW VEHICLE'!$B$9</f>
        <v>583.07013513513516</v>
      </c>
      <c r="H10" s="6">
        <f>'[9]NS NEW VEHICLE'!$B$9</f>
        <v>0</v>
      </c>
      <c r="I10" s="6">
        <f>'[10]NS NEW VEHICLE'!$B$9</f>
        <v>0</v>
      </c>
      <c r="J10" s="6">
        <f>'[11]NS NEW VEHICLE'!$B$9</f>
        <v>565.02177419354837</v>
      </c>
      <c r="K10" s="6">
        <f>'[12]NS NEW VEHICLE'!$B$9</f>
        <v>0</v>
      </c>
      <c r="L10" s="6">
        <f>'[13]NS NEW VEHICLE'!$B$9</f>
        <v>0</v>
      </c>
      <c r="M10" s="6">
        <f>'[14]NS NEW VEHICLE'!$B$9</f>
        <v>715.51724137931035</v>
      </c>
      <c r="N10" s="6">
        <f>'[15]NS NEW VEHICLE'!$B$9</f>
        <v>0</v>
      </c>
      <c r="O10" s="6">
        <f>'[16]NS NEW VEHICLE'!$B$9</f>
        <v>0</v>
      </c>
      <c r="P10" s="6">
        <f>'[17]NS NEW VEHICLE'!$B$9</f>
        <v>741.82525423728816</v>
      </c>
      <c r="Q10" s="6"/>
      <c r="R10" s="6">
        <f t="shared" si="2"/>
        <v>217.11953374544018</v>
      </c>
      <c r="S10" s="116"/>
      <c r="T10" s="1"/>
      <c r="U10" s="6"/>
      <c r="V10" s="6"/>
    </row>
    <row r="11" spans="1:22" x14ac:dyDescent="0.25">
      <c r="A11" s="7" t="s">
        <v>1071</v>
      </c>
      <c r="B11" s="6">
        <f>'[3]NS NEW VEHICLE'!$B$15</f>
        <v>539.39032786885252</v>
      </c>
      <c r="C11" s="6">
        <f>'[4]NS NEW VEHICLE'!$B$15</f>
        <v>808.82647058823522</v>
      </c>
      <c r="D11" s="6">
        <f>'[5]NS NEW VEHICLE'!$B$15</f>
        <v>896.19277777777779</v>
      </c>
      <c r="E11" s="6">
        <f>'[6]NS NEW VEHICLE'!$B$15</f>
        <v>525.69591549295774</v>
      </c>
      <c r="F11" s="6">
        <f>'[7]NS NEW VEHICLE'!$B$15</f>
        <v>648.59450704225355</v>
      </c>
      <c r="G11" s="6">
        <f>'[8]NS NEW VEHICLE'!$B$15</f>
        <v>433.05013513513512</v>
      </c>
      <c r="H11" s="6">
        <f>'[9]NS NEW VEHICLE'!$B$15</f>
        <v>2324.3807692307691</v>
      </c>
      <c r="I11" s="6">
        <f>'[10]NS NEW VEHICLE'!$B$15</f>
        <v>641.49758064516118</v>
      </c>
      <c r="J11" s="6">
        <f>'[11]NS NEW VEHICLE'!$B$15</f>
        <v>415.93290322580651</v>
      </c>
      <c r="K11" s="6">
        <f>'[12]NS NEW VEHICLE'!$B$21</f>
        <v>2496.5776744186046</v>
      </c>
      <c r="L11" s="6">
        <f>'[13]NS NEW VEHICLE'!$B$15</f>
        <v>628.39846153846167</v>
      </c>
      <c r="M11" s="6">
        <f>'[14]NS NEW VEHICLE'!$B$15</f>
        <v>345.13758620689657</v>
      </c>
      <c r="N11" s="6">
        <f>'[15]NS NEW VEHICLE'!$B$15</f>
        <v>397.92265625000005</v>
      </c>
      <c r="O11" s="6">
        <f>'[16]NS NEW VEHICLE'!$B$15</f>
        <v>699.22431372549022</v>
      </c>
      <c r="P11" s="6">
        <f>'[17]NS NEW VEHICLE'!$B$15</f>
        <v>410.44627118644064</v>
      </c>
      <c r="Q11" s="3"/>
      <c r="R11" s="6">
        <f t="shared" si="2"/>
        <v>830.57156450816467</v>
      </c>
    </row>
    <row r="12" spans="1:22" x14ac:dyDescent="0.25">
      <c r="A12" s="7" t="s">
        <v>1072</v>
      </c>
      <c r="B12" s="6">
        <f>'[3]NS NEW VEHICLE'!$B$20</f>
        <v>1733.3983606557379</v>
      </c>
      <c r="C12" s="6">
        <f>'[4]NS NEW VEHICLE'!$B$20</f>
        <v>2121.4932352941178</v>
      </c>
      <c r="D12" s="6">
        <f>'[5]NS NEW VEHICLE'!$B$20</f>
        <v>-836.51763888888877</v>
      </c>
      <c r="E12" s="6">
        <f>'[6]NS NEW VEHICLE'!$B$20</f>
        <v>1361.5491549295775</v>
      </c>
      <c r="F12" s="6">
        <f>'[7]NS NEW VEHICLE'!$B$20</f>
        <v>1276.3342253521125</v>
      </c>
      <c r="G12" s="6">
        <f>'[8]NS NEW VEHICLE'!$B$20</f>
        <v>476.04290540540546</v>
      </c>
      <c r="H12" s="6">
        <f>'[9]NS NEW VEHICLE'!$B$20</f>
        <v>7116.5315384615387</v>
      </c>
      <c r="I12" s="6">
        <f>'[10]NS NEW VEHICLE'!$B$20</f>
        <v>1422.03</v>
      </c>
      <c r="J12" s="6">
        <f>'[11]NS NEW VEHICLE'!$B$20</f>
        <v>1402.2893548387096</v>
      </c>
      <c r="K12" s="6">
        <f>'[12]NS NEW VEHICLE'!$B$20</f>
        <v>1953.2862790697673</v>
      </c>
      <c r="L12" s="6">
        <f>'[13]NS NEW VEHICLE'!$B$20</f>
        <v>1402.5763076923079</v>
      </c>
      <c r="M12" s="6">
        <f>'[14]NS NEW VEHICLE'!$B$20</f>
        <v>1521.5193103448275</v>
      </c>
      <c r="N12" s="6">
        <f>'[15]NS NEW VEHICLE'!$B$20</f>
        <v>1427.3578124999999</v>
      </c>
      <c r="O12" s="6">
        <f>'[16]NS NEW VEHICLE'!$B$20</f>
        <v>2053.3690196078433</v>
      </c>
      <c r="P12" s="6">
        <f>'[17]NS NEW VEHICLE'!$B$20</f>
        <v>1114.8825423728813</v>
      </c>
      <c r="R12" s="6">
        <f>AVERAGE(E12:P12)</f>
        <v>1877.3140375479143</v>
      </c>
    </row>
    <row r="13" spans="1:22" x14ac:dyDescent="0.25">
      <c r="A13" s="7" t="s">
        <v>1073</v>
      </c>
      <c r="B13" s="6">
        <f>'[3]NS NEW VEHICLE'!$B$21</f>
        <v>2272.7886885245903</v>
      </c>
      <c r="C13" s="6">
        <f>'[4]NS NEW VEHICLE'!$B$21</f>
        <v>2930.319705882353</v>
      </c>
      <c r="D13" s="6">
        <f>'[5]NS NEW VEHICLE'!$B$21</f>
        <v>59.675138888889023</v>
      </c>
      <c r="E13" s="6">
        <f>'[6]NS NEW VEHICLE'!$B$21</f>
        <v>1887.2450704225353</v>
      </c>
      <c r="F13" s="6">
        <f>'[7]NS NEW VEHICLE'!$B$21</f>
        <v>1924.9287323943661</v>
      </c>
      <c r="G13" s="6">
        <f>'[8]NS NEW VEHICLE'!$B$21</f>
        <v>909.09304054054064</v>
      </c>
      <c r="H13" s="6">
        <f>'[9]NS NEW VEHICLE'!$B$21</f>
        <v>9440.9123076923079</v>
      </c>
      <c r="I13" s="6">
        <f>'[10]NS NEW VEHICLE'!$B$21</f>
        <v>2063.5275806451609</v>
      </c>
      <c r="J13" s="6">
        <f>'[11]NS NEW VEHICLE'!$B$21</f>
        <v>1818.2222580645162</v>
      </c>
      <c r="K13" s="6">
        <f>'[12]NS NEW VEHICLE'!$B$21</f>
        <v>2496.5776744186046</v>
      </c>
      <c r="L13" s="6">
        <f>'[13]NS NEW VEHICLE'!$B$21</f>
        <v>2030.9747692307697</v>
      </c>
      <c r="M13" s="6">
        <f>'[14]NS NEW VEHICLE'!$B$21</f>
        <v>1866.656896551724</v>
      </c>
      <c r="N13" s="6">
        <f>'[15]NS NEW VEHICLE'!$B$21</f>
        <v>1825.28046875</v>
      </c>
      <c r="O13" s="6">
        <f>'[16]NS NEW VEHICLE'!$B$21</f>
        <v>2752.5933333333332</v>
      </c>
      <c r="P13" s="6">
        <f>'[17]NS NEW VEHICLE'!$B$21</f>
        <v>1525.328813559322</v>
      </c>
      <c r="R13" s="6">
        <f t="shared" si="2"/>
        <v>2545.1117454669316</v>
      </c>
    </row>
    <row r="14" spans="1:22" x14ac:dyDescent="0.25">
      <c r="A14" s="7" t="s">
        <v>1074</v>
      </c>
      <c r="B14" s="6">
        <f>'[3]NS NEW VEHICLE'!$B$22</f>
        <v>-504.07803278688471</v>
      </c>
      <c r="C14" s="6">
        <f>'[4]NS NEW VEHICLE'!$B$22</f>
        <v>-1170.9632352941176</v>
      </c>
      <c r="D14" s="6">
        <f>'[5]NS NEW VEHICLE'!$B$22</f>
        <v>1884.1962500000002</v>
      </c>
      <c r="E14" s="6">
        <f>'[6]NS NEW VEHICLE'!$B$22</f>
        <v>106.49070422535192</v>
      </c>
      <c r="F14" s="6">
        <f>'[7]NS NEW VEHICLE'!$B$22</f>
        <v>24.519014084507489</v>
      </c>
      <c r="G14" s="6">
        <f>'[8]NS NEW VEHICLE'!$B$22</f>
        <v>1446.8829729729732</v>
      </c>
      <c r="H14" s="6">
        <f>'[9]NS NEW VEHICLE'!$B$22</f>
        <v>-6861.43</v>
      </c>
      <c r="I14" s="6">
        <f>'[10]NS NEW VEHICLE'!$B$22</f>
        <v>-124.61467741935417</v>
      </c>
      <c r="J14" s="6">
        <f>'[11]NS NEW VEHICLE'!$B$22</f>
        <v>621.10758064516176</v>
      </c>
      <c r="K14" s="6">
        <f>'[12]NS NEW VEHICLE'!$B$22</f>
        <v>-452.11186046511648</v>
      </c>
      <c r="L14" s="6">
        <f>'[13]NS NEW VEHICLE'!$B$22</f>
        <v>-397.34107692307771</v>
      </c>
      <c r="M14" s="6">
        <f>'[14]NS NEW VEHICLE'!$B$22</f>
        <v>722.49327586206891</v>
      </c>
      <c r="N14" s="6">
        <f>'[15]NS NEW VEHICLE'!$B$22</f>
        <v>124.65140624999981</v>
      </c>
      <c r="O14" s="6">
        <f>'[16]NS NEW VEHICLE'!$B$22</f>
        <v>-870.7615686274512</v>
      </c>
      <c r="P14" s="6">
        <f>'[17]NS NEW VEHICLE'!$B$22</f>
        <v>1294.3327118644065</v>
      </c>
      <c r="R14" s="6">
        <f t="shared" si="2"/>
        <v>-363.81512646087748</v>
      </c>
    </row>
    <row r="15" spans="1:22" x14ac:dyDescent="0.25">
      <c r="A15" s="7"/>
      <c r="B15" s="6"/>
      <c r="C15" s="6"/>
      <c r="D15" s="6"/>
      <c r="E15" s="6"/>
      <c r="F15" s="6"/>
      <c r="G15" s="6"/>
      <c r="H15" s="6"/>
      <c r="I15" s="6"/>
      <c r="J15" s="6"/>
      <c r="K15" s="6"/>
      <c r="L15" s="6"/>
      <c r="M15" s="6"/>
      <c r="N15" s="6"/>
      <c r="O15" s="6"/>
      <c r="P15" s="6"/>
      <c r="R15" s="6"/>
    </row>
    <row r="16" spans="1:22" x14ac:dyDescent="0.25">
      <c r="A16" s="7" t="s">
        <v>1075</v>
      </c>
      <c r="B16" s="6">
        <f>'[3]NS NEW VEHICLE'!$B$12</f>
        <v>107891.35000000003</v>
      </c>
      <c r="C16" s="6">
        <f>'[4]NS NEW VEHICLE'!$B$12</f>
        <v>59818.12</v>
      </c>
      <c r="D16" s="6">
        <f>'[5]NS NEW VEHICLE'!$B$12</f>
        <v>139958.74000000002</v>
      </c>
      <c r="E16" s="6">
        <f>'[6]NS NEW VEHICLE'!$B$12</f>
        <v>141555.24</v>
      </c>
      <c r="F16" s="6">
        <f>'[7]NS NEW VEHICLE'!$B$12</f>
        <v>138410.79000000004</v>
      </c>
      <c r="G16" s="6">
        <f>'[8]NS NEW VEHICLE'!$B$12</f>
        <v>348684.45000000007</v>
      </c>
      <c r="H16" s="6">
        <f>'[9]NS NEW VEHICLE'!$B$12</f>
        <v>33533.270000000004</v>
      </c>
      <c r="I16" s="6">
        <f>'[10]NS NEW VEHICLE'!$B$12</f>
        <v>120212.60000000002</v>
      </c>
      <c r="J16" s="6">
        <f>'[11]NS NEW VEHICLE'!$B$12</f>
        <v>151238.45000000004</v>
      </c>
      <c r="K16" s="6">
        <f>'[12]NS NEW VEHICLE'!$B$12</f>
        <v>87912.029999999984</v>
      </c>
      <c r="L16" s="6">
        <f>'[13]NS NEW VEHICLE'!$B$12</f>
        <v>106186.18999999997</v>
      </c>
      <c r="M16" s="6">
        <f>'[14]NS NEW VEHICLE'!$B$12</f>
        <v>150170.71</v>
      </c>
      <c r="N16" s="6">
        <f>'[15]NS NEW VEHICLE'!$B$12</f>
        <v>124795.63999999998</v>
      </c>
      <c r="O16" s="6">
        <f>'[16]NS NEW VEHICLE'!$B$12</f>
        <v>95973.419999999984</v>
      </c>
      <c r="P16" s="6">
        <f>'[17]NS NEW VEHICLE'!$B$12</f>
        <v>166360.03</v>
      </c>
      <c r="R16" s="6">
        <f>SUM(E16:P16)</f>
        <v>1665032.82</v>
      </c>
    </row>
    <row r="17" spans="1:22" x14ac:dyDescent="0.25">
      <c r="A17" s="7" t="s">
        <v>1076</v>
      </c>
      <c r="B17" s="6">
        <f t="shared" ref="B17:P17" si="3">B13*B4</f>
        <v>138640.11000000002</v>
      </c>
      <c r="C17" s="6">
        <f t="shared" si="3"/>
        <v>99630.87</v>
      </c>
      <c r="D17" s="6">
        <f t="shared" si="3"/>
        <v>4296.6100000000097</v>
      </c>
      <c r="E17" s="6">
        <f t="shared" si="3"/>
        <v>133994.4</v>
      </c>
      <c r="F17" s="6">
        <f t="shared" si="3"/>
        <v>136669.94</v>
      </c>
      <c r="G17" s="6">
        <f t="shared" si="3"/>
        <v>134545.77000000002</v>
      </c>
      <c r="H17" s="6">
        <f t="shared" si="3"/>
        <v>122731.86</v>
      </c>
      <c r="I17" s="6">
        <f t="shared" si="3"/>
        <v>127938.70999999998</v>
      </c>
      <c r="J17" s="6">
        <f t="shared" si="3"/>
        <v>112729.78</v>
      </c>
      <c r="K17" s="6">
        <f t="shared" si="3"/>
        <v>107352.84</v>
      </c>
      <c r="L17" s="6">
        <f t="shared" si="3"/>
        <v>132013.36000000002</v>
      </c>
      <c r="M17" s="6">
        <f t="shared" si="3"/>
        <v>108266.09999999999</v>
      </c>
      <c r="N17" s="6">
        <f t="shared" si="3"/>
        <v>116817.95</v>
      </c>
      <c r="O17" s="6">
        <f t="shared" si="3"/>
        <v>140382.26</v>
      </c>
      <c r="P17" s="6">
        <f t="shared" si="3"/>
        <v>89994.4</v>
      </c>
      <c r="Q17" s="5"/>
      <c r="R17" s="6">
        <f>SUM(E17:P17)</f>
        <v>1463437.3699999999</v>
      </c>
    </row>
    <row r="18" spans="1:22" x14ac:dyDescent="0.25">
      <c r="A18" s="42" t="s">
        <v>1077</v>
      </c>
      <c r="B18" s="6">
        <f>'[3]NS NEW VEHICLE'!$B$24</f>
        <v>1586.1099999999969</v>
      </c>
      <c r="C18" s="6">
        <f>'[4]NS NEW VEHICLE'!$B$24</f>
        <v>2702.9500000000007</v>
      </c>
      <c r="D18" s="6">
        <f>'[5]NS NEW VEHICLE'!$B$24</f>
        <v>4647.2900000000009</v>
      </c>
      <c r="E18" s="6">
        <f>'[6]NS NEW VEHICLE'!$B$24</f>
        <v>2872.6999999999989</v>
      </c>
      <c r="F18" s="6">
        <f>'[7]NS NEW VEHICLE'!$B$24</f>
        <v>1625.3300000000008</v>
      </c>
      <c r="G18" s="6">
        <f>'[8]NS NEW VEHICLE'!$B$24</f>
        <v>2335.0200000000004</v>
      </c>
      <c r="H18" s="6">
        <f>'[9]NS NEW VEHICLE'!$B$24</f>
        <v>481.09000000000015</v>
      </c>
      <c r="I18" s="6">
        <f>'[10]NS NEW VEHICLE'!$B$24</f>
        <v>395.4899999999999</v>
      </c>
      <c r="J18" s="6">
        <f>'[11]NS NEW VEHICLE'!$B$24</f>
        <v>1202.54</v>
      </c>
      <c r="K18" s="6">
        <f>'[12]NS NEW VEHICLE'!$B$24</f>
        <v>4846.32</v>
      </c>
      <c r="L18" s="6">
        <f>'[13]NS NEW VEHICLE'!$B$24</f>
        <v>4332.0500000000029</v>
      </c>
      <c r="M18" s="6">
        <f>'[14]NS NEW VEHICLE'!$B$24</f>
        <v>1224.1900000000023</v>
      </c>
      <c r="N18" s="6">
        <f>'[15]NS NEW VEHICLE'!$B$24</f>
        <v>804.40999999999985</v>
      </c>
      <c r="O18" s="6">
        <f>'[16]NS NEW VEHICLE'!$B$24</f>
        <v>352.16000000000031</v>
      </c>
      <c r="P18" s="6">
        <f>'[17]NS NEW VEHICLE'!$B$24</f>
        <v>1297.42</v>
      </c>
      <c r="Q18" s="5"/>
      <c r="R18" s="6">
        <f>SUM(E18:P18)</f>
        <v>21768.720000000001</v>
      </c>
    </row>
    <row r="19" spans="1:22" ht="15.75" thickBot="1" x14ac:dyDescent="0.3">
      <c r="A19" s="9" t="s">
        <v>1078</v>
      </c>
      <c r="B19" s="10">
        <f>B16-B17+B18</f>
        <v>-29162.649999999983</v>
      </c>
      <c r="C19" s="10">
        <f>C16-C17+C18</f>
        <v>-37109.799999999988</v>
      </c>
      <c r="D19" s="10">
        <f>D16-D17+D18</f>
        <v>140309.42000000001</v>
      </c>
      <c r="E19" s="10">
        <f t="shared" ref="E19:O19" si="4">E16-E17+E18</f>
        <v>10433.539999999995</v>
      </c>
      <c r="F19" s="10">
        <f t="shared" si="4"/>
        <v>3366.1800000000358</v>
      </c>
      <c r="G19" s="10">
        <f t="shared" si="4"/>
        <v>216473.70000000004</v>
      </c>
      <c r="H19" s="10">
        <f t="shared" si="4"/>
        <v>-88717.5</v>
      </c>
      <c r="I19" s="10">
        <f t="shared" si="4"/>
        <v>-7330.6199999999571</v>
      </c>
      <c r="J19" s="10">
        <f t="shared" si="4"/>
        <v>39711.210000000043</v>
      </c>
      <c r="K19" s="10">
        <f t="shared" si="4"/>
        <v>-14594.490000000013</v>
      </c>
      <c r="L19" s="10">
        <f t="shared" si="4"/>
        <v>-21495.120000000039</v>
      </c>
      <c r="M19" s="10">
        <f t="shared" si="4"/>
        <v>43128.800000000003</v>
      </c>
      <c r="N19" s="10">
        <f t="shared" si="4"/>
        <v>8782.0999999999876</v>
      </c>
      <c r="O19" s="10">
        <f t="shared" si="4"/>
        <v>-44056.680000000022</v>
      </c>
      <c r="P19" s="10">
        <f>P16-P17+P18</f>
        <v>77663.05</v>
      </c>
      <c r="R19" s="10">
        <f>SUM(E19:P19)</f>
        <v>223364.17000000004</v>
      </c>
    </row>
    <row r="20" spans="1:22" ht="15.75" thickTop="1" x14ac:dyDescent="0.25">
      <c r="A20" s="38"/>
      <c r="B20" s="19"/>
      <c r="C20" s="19"/>
      <c r="D20" s="19"/>
      <c r="E20" s="19"/>
      <c r="F20" s="19"/>
      <c r="G20" s="19"/>
      <c r="H20" s="19"/>
      <c r="I20" s="19"/>
      <c r="J20" s="19"/>
      <c r="K20" s="19"/>
      <c r="L20" s="19"/>
      <c r="M20" s="19"/>
      <c r="N20" s="19"/>
      <c r="O20" s="19"/>
      <c r="P20" s="19"/>
      <c r="Q20" s="8"/>
    </row>
    <row r="21" spans="1:22" x14ac:dyDescent="0.25">
      <c r="A21" s="15"/>
      <c r="B21" s="6"/>
      <c r="C21" s="6"/>
      <c r="D21" s="6"/>
      <c r="E21" s="19"/>
      <c r="F21" s="19"/>
      <c r="G21" s="19"/>
      <c r="H21" s="19"/>
      <c r="I21" s="19"/>
      <c r="J21" s="19"/>
      <c r="K21" s="19"/>
      <c r="L21" s="19"/>
      <c r="M21" s="19"/>
      <c r="N21" s="19"/>
      <c r="O21" s="6"/>
      <c r="Q21" s="3"/>
    </row>
    <row r="22" spans="1:22" ht="15.75" x14ac:dyDescent="0.25">
      <c r="A22" s="11" t="s">
        <v>1064</v>
      </c>
      <c r="B22" s="5">
        <v>45292</v>
      </c>
      <c r="C22" s="5">
        <v>45323</v>
      </c>
      <c r="D22" s="5">
        <v>45352</v>
      </c>
      <c r="E22" s="5">
        <v>45383</v>
      </c>
      <c r="F22" s="5">
        <v>45413</v>
      </c>
      <c r="G22" s="5">
        <v>45444</v>
      </c>
      <c r="H22" s="5">
        <v>45474</v>
      </c>
      <c r="I22" s="5">
        <v>45505</v>
      </c>
      <c r="J22" s="5">
        <v>45536</v>
      </c>
      <c r="K22" s="5">
        <v>45566</v>
      </c>
      <c r="L22" s="5">
        <v>45597</v>
      </c>
      <c r="M22" s="5">
        <v>45627</v>
      </c>
      <c r="N22" s="5">
        <v>45658</v>
      </c>
      <c r="O22" s="5">
        <v>45689</v>
      </c>
      <c r="P22" s="5">
        <v>45717</v>
      </c>
      <c r="R22" s="5" t="s">
        <v>955</v>
      </c>
    </row>
    <row r="23" spans="1:22" x14ac:dyDescent="0.25">
      <c r="A23" s="4"/>
      <c r="B23" s="5" t="s">
        <v>958</v>
      </c>
      <c r="C23" s="5" t="s">
        <v>959</v>
      </c>
      <c r="D23" s="5" t="s">
        <v>959</v>
      </c>
      <c r="E23" s="5" t="s">
        <v>959</v>
      </c>
      <c r="F23" s="5" t="s">
        <v>959</v>
      </c>
      <c r="G23" s="5" t="s">
        <v>959</v>
      </c>
      <c r="H23" s="5" t="s">
        <v>959</v>
      </c>
      <c r="I23" s="5" t="s">
        <v>959</v>
      </c>
      <c r="J23" s="5" t="s">
        <v>959</v>
      </c>
      <c r="K23" s="5" t="s">
        <v>959</v>
      </c>
      <c r="L23" s="5" t="s">
        <v>959</v>
      </c>
      <c r="M23" s="5" t="s">
        <v>959</v>
      </c>
      <c r="N23" s="5" t="s">
        <v>959</v>
      </c>
      <c r="O23" s="5" t="s">
        <v>959</v>
      </c>
      <c r="P23" s="5" t="s">
        <v>959</v>
      </c>
      <c r="R23" s="5" t="s">
        <v>961</v>
      </c>
    </row>
    <row r="24" spans="1:22" x14ac:dyDescent="0.25">
      <c r="A24" s="38"/>
      <c r="C24" s="19"/>
      <c r="D24" s="19"/>
      <c r="E24" s="19"/>
      <c r="F24" s="19"/>
      <c r="G24" s="19"/>
      <c r="H24" s="19"/>
      <c r="I24" s="19"/>
      <c r="J24" s="19"/>
      <c r="K24" s="19"/>
      <c r="L24" s="19"/>
      <c r="M24" s="19"/>
      <c r="O24" s="6"/>
    </row>
    <row r="25" spans="1:22" x14ac:dyDescent="0.25">
      <c r="A25" t="s">
        <v>1065</v>
      </c>
      <c r="B25" s="2">
        <f>'[15]NS NEW VEHICLE'!$B$6</f>
        <v>64</v>
      </c>
      <c r="C25" s="2">
        <f>'[16]NS NEW VEHICLE'!$C$6</f>
        <v>62.5</v>
      </c>
      <c r="D25" s="2">
        <f>'[17]NS NEW VEHICLE'!$C$6</f>
        <v>62.5</v>
      </c>
      <c r="E25" s="2">
        <f>'New Vehicles - Group'!E25-'New Vehicles - NW'!E25</f>
        <v>70</v>
      </c>
      <c r="F25" s="2">
        <f>'New Vehicles - Group'!F25-'New Vehicles - NW'!F25</f>
        <v>70</v>
      </c>
      <c r="G25" s="2">
        <f>'New Vehicles - Group'!G25-'New Vehicles - NW'!G25</f>
        <v>70</v>
      </c>
      <c r="H25" s="2">
        <f>'New Vehicles - Group'!H25-'New Vehicles - NW'!H25</f>
        <v>66.75</v>
      </c>
      <c r="I25" s="2">
        <f>'New Vehicles - Group'!I25-'New Vehicles - NW'!I25</f>
        <v>66.75</v>
      </c>
      <c r="J25" s="2">
        <f>'New Vehicles - Group'!J25-'New Vehicles - NW'!J25</f>
        <v>66.75</v>
      </c>
      <c r="K25" s="2">
        <f>'New Vehicles - Group'!K25-'New Vehicles - NW'!K25</f>
        <v>69.75</v>
      </c>
      <c r="L25" s="2">
        <f>'New Vehicles - Group'!L25-'New Vehicles - NW'!L25</f>
        <v>65.75</v>
      </c>
      <c r="M25" s="2">
        <f>'New Vehicles - Group'!M25-'New Vehicles - NW'!M25</f>
        <v>54.25</v>
      </c>
      <c r="N25" s="2">
        <f>'New Vehicles - Group'!N25-'New Vehicles - NW'!N25</f>
        <v>54.25</v>
      </c>
      <c r="O25" s="2">
        <f>'New Vehicles - Group'!O25-'New Vehicles - NW'!O25</f>
        <v>54.25</v>
      </c>
      <c r="P25" s="2">
        <f>'New Vehicles - Group'!P25-'New Vehicles - NW'!P25</f>
        <v>69.75</v>
      </c>
      <c r="R25" s="2">
        <f>SUM(E25:P25)</f>
        <v>778.25</v>
      </c>
      <c r="S25" s="34" t="s">
        <v>1094</v>
      </c>
    </row>
    <row r="26" spans="1:22" x14ac:dyDescent="0.25">
      <c r="A26" t="s">
        <v>1066</v>
      </c>
      <c r="B26" s="2">
        <v>5</v>
      </c>
      <c r="C26" s="2">
        <v>5</v>
      </c>
      <c r="D26" s="2">
        <v>5</v>
      </c>
      <c r="E26" s="2">
        <v>5</v>
      </c>
      <c r="F26" s="2">
        <v>5</v>
      </c>
      <c r="G26" s="2">
        <v>5</v>
      </c>
      <c r="H26" s="2">
        <v>5</v>
      </c>
      <c r="I26" s="2">
        <v>5</v>
      </c>
      <c r="J26" s="2">
        <v>5</v>
      </c>
      <c r="K26" s="2">
        <v>5</v>
      </c>
      <c r="L26" s="2">
        <v>5</v>
      </c>
      <c r="M26" s="2">
        <v>5</v>
      </c>
      <c r="N26" s="2">
        <v>5</v>
      </c>
      <c r="O26" s="2">
        <v>5</v>
      </c>
      <c r="P26" s="2">
        <v>5</v>
      </c>
      <c r="R26" s="2">
        <f>P26</f>
        <v>5</v>
      </c>
    </row>
    <row r="27" spans="1:22" x14ac:dyDescent="0.25">
      <c r="A27" s="39" t="s">
        <v>1067</v>
      </c>
      <c r="B27" s="2">
        <f t="shared" ref="B27:G27" si="5">B25/B26</f>
        <v>12.8</v>
      </c>
      <c r="C27" s="2">
        <f t="shared" si="5"/>
        <v>12.5</v>
      </c>
      <c r="D27" s="2">
        <f t="shared" si="5"/>
        <v>12.5</v>
      </c>
      <c r="E27" s="2">
        <f t="shared" si="5"/>
        <v>14</v>
      </c>
      <c r="F27" s="2">
        <f t="shared" si="5"/>
        <v>14</v>
      </c>
      <c r="G27" s="2">
        <f t="shared" si="5"/>
        <v>14</v>
      </c>
      <c r="H27" s="2">
        <f t="shared" ref="H27:P27" si="6">H25/H26</f>
        <v>13.35</v>
      </c>
      <c r="I27" s="2">
        <f t="shared" si="6"/>
        <v>13.35</v>
      </c>
      <c r="J27" s="2">
        <f t="shared" si="6"/>
        <v>13.35</v>
      </c>
      <c r="K27" s="2">
        <f t="shared" si="6"/>
        <v>13.95</v>
      </c>
      <c r="L27" s="2">
        <f t="shared" si="6"/>
        <v>13.15</v>
      </c>
      <c r="M27" s="2">
        <f t="shared" si="6"/>
        <v>10.85</v>
      </c>
      <c r="N27" s="2">
        <f t="shared" si="6"/>
        <v>10.85</v>
      </c>
      <c r="O27" s="2">
        <f t="shared" si="6"/>
        <v>10.85</v>
      </c>
      <c r="P27" s="2">
        <f t="shared" si="6"/>
        <v>13.95</v>
      </c>
      <c r="R27" s="2">
        <f>AVERAGE(E27:P27)</f>
        <v>12.970833333333331</v>
      </c>
    </row>
    <row r="28" spans="1:22" x14ac:dyDescent="0.25">
      <c r="B28" s="2"/>
      <c r="C28" s="2"/>
      <c r="D28" s="2"/>
      <c r="E28" s="2"/>
      <c r="F28" s="2"/>
      <c r="G28" s="2"/>
      <c r="H28" s="2"/>
      <c r="I28" s="2"/>
      <c r="J28" s="2"/>
      <c r="K28" s="2"/>
      <c r="L28" s="2"/>
      <c r="M28" s="2"/>
      <c r="N28" s="2"/>
      <c r="O28" s="2"/>
      <c r="P28" s="2"/>
      <c r="R28" s="2"/>
    </row>
    <row r="29" spans="1:22" x14ac:dyDescent="0.25">
      <c r="A29" t="s">
        <v>1068</v>
      </c>
      <c r="B29" s="6">
        <f t="shared" ref="B29:G29" si="7">B30+B31</f>
        <v>1949.9318749999998</v>
      </c>
      <c r="C29" s="6">
        <f t="shared" si="7"/>
        <v>1950</v>
      </c>
      <c r="D29" s="6">
        <f t="shared" si="7"/>
        <v>2767.6691729323311</v>
      </c>
      <c r="E29" s="6">
        <f>E30+E31</f>
        <v>2050</v>
      </c>
      <c r="F29" s="6">
        <f t="shared" si="7"/>
        <v>2050</v>
      </c>
      <c r="G29" s="6">
        <f t="shared" si="7"/>
        <v>2456.25</v>
      </c>
      <c r="H29" s="6">
        <f t="shared" ref="H29:P29" si="8">H30+H31</f>
        <v>2050</v>
      </c>
      <c r="I29" s="6">
        <f t="shared" si="8"/>
        <v>2050</v>
      </c>
      <c r="J29" s="6">
        <f t="shared" si="8"/>
        <v>2456.25</v>
      </c>
      <c r="K29" s="6">
        <f t="shared" si="8"/>
        <v>2050</v>
      </c>
      <c r="L29" s="6">
        <f t="shared" si="8"/>
        <v>2050</v>
      </c>
      <c r="M29" s="6">
        <f t="shared" si="8"/>
        <v>2456.25</v>
      </c>
      <c r="N29" s="6">
        <f t="shared" si="8"/>
        <v>2050</v>
      </c>
      <c r="O29" s="6">
        <f t="shared" si="8"/>
        <v>2050</v>
      </c>
      <c r="P29" s="6">
        <f t="shared" si="8"/>
        <v>2456.25</v>
      </c>
      <c r="R29" s="6">
        <f t="shared" ref="R29:R35" si="9">AVERAGE(E29:P29)</f>
        <v>2185.4166666666665</v>
      </c>
    </row>
    <row r="30" spans="1:22" s="7" customFormat="1" x14ac:dyDescent="0.25">
      <c r="A30" s="7" t="s">
        <v>1069</v>
      </c>
      <c r="B30" s="6">
        <f>'[15]NS NEW VEHICLE'!$B$11-'[15]NS NEW VEHICLE'!$B$9</f>
        <v>1949.9318749999998</v>
      </c>
      <c r="C30" s="6">
        <f>'[16]NS NEW VEHICLE'!$C$11-'[16]NS NEW VEHICLE'!$C$9</f>
        <v>1950</v>
      </c>
      <c r="D30" s="6">
        <f>'[17]NS NEW VEHICLE'!$C$11-'[17]NS NEW VEHICLE'!$C$9</f>
        <v>1950.0000000000002</v>
      </c>
      <c r="E30" s="6">
        <f>1500-400+MEDIAN(450,500,600,650,800,850,900,1000,1050,1150,1200,1300,1400,2200)</f>
        <v>2050</v>
      </c>
      <c r="F30" s="6">
        <f t="shared" ref="F30:M30" si="10">1500-400+MEDIAN(450,500,600,650,800,850,900,1000,1050,1150,1200,1300,1400,2200)</f>
        <v>2050</v>
      </c>
      <c r="G30" s="6">
        <f t="shared" si="10"/>
        <v>2050</v>
      </c>
      <c r="H30" s="6">
        <f t="shared" si="10"/>
        <v>2050</v>
      </c>
      <c r="I30" s="6">
        <f t="shared" si="10"/>
        <v>2050</v>
      </c>
      <c r="J30" s="6">
        <f t="shared" si="10"/>
        <v>2050</v>
      </c>
      <c r="K30" s="6">
        <f t="shared" si="10"/>
        <v>2050</v>
      </c>
      <c r="L30" s="6">
        <f t="shared" si="10"/>
        <v>2050</v>
      </c>
      <c r="M30" s="6">
        <f t="shared" si="10"/>
        <v>2050</v>
      </c>
      <c r="N30" s="6">
        <f>K30</f>
        <v>2050</v>
      </c>
      <c r="O30" s="6">
        <f>L30</f>
        <v>2050</v>
      </c>
      <c r="P30" s="6">
        <f>M30</f>
        <v>2050</v>
      </c>
      <c r="Q30" s="6"/>
      <c r="R30" s="6">
        <f t="shared" si="9"/>
        <v>2050</v>
      </c>
      <c r="S30" s="116" t="s">
        <v>1095</v>
      </c>
      <c r="T30" s="1"/>
      <c r="U30" s="6"/>
      <c r="V30" s="6"/>
    </row>
    <row r="31" spans="1:22" x14ac:dyDescent="0.25">
      <c r="A31" s="7" t="s">
        <v>1070</v>
      </c>
      <c r="B31" s="6">
        <f>'[15]NS NEW VEHICLE'!$B$9</f>
        <v>0</v>
      </c>
      <c r="C31" s="6">
        <f>'[16]NS NEW VEHICLE'!$C$9</f>
        <v>0</v>
      </c>
      <c r="D31" s="6">
        <f>'[17]NS NEW VEHICLE'!$C$9</f>
        <v>817.66917293233087</v>
      </c>
      <c r="E31" s="6">
        <v>0</v>
      </c>
      <c r="F31" s="6">
        <v>0</v>
      </c>
      <c r="G31" s="6">
        <f>'FEF Incentive Forecast FY2025'!D19/'FEF Incentive Forecast FY2025'!D2</f>
        <v>406.25</v>
      </c>
      <c r="H31" s="6">
        <v>0</v>
      </c>
      <c r="I31" s="6">
        <v>0</v>
      </c>
      <c r="J31" s="6">
        <f>'FEF Incentive Forecast FY2025'!H19/'FEF Incentive Forecast FY2025'!H2</f>
        <v>406.25</v>
      </c>
      <c r="K31" s="6">
        <v>0</v>
      </c>
      <c r="L31" s="6">
        <v>0</v>
      </c>
      <c r="M31" s="6">
        <f>'FEF Incentive Forecast FY2025'!L19/'FEF Incentive Forecast FY2025'!L2</f>
        <v>406.25</v>
      </c>
      <c r="N31" s="6">
        <f>K31</f>
        <v>0</v>
      </c>
      <c r="O31" s="6">
        <f>L31</f>
        <v>0</v>
      </c>
      <c r="P31" s="6">
        <f>'FEF Incentive Forecast FY2025'!P19/'FEF Incentive Forecast FY2025'!P2</f>
        <v>406.25</v>
      </c>
      <c r="R31" s="6">
        <f t="shared" si="9"/>
        <v>135.41666666666666</v>
      </c>
      <c r="S31" s="34" t="s">
        <v>1096</v>
      </c>
    </row>
    <row r="32" spans="1:22" x14ac:dyDescent="0.25">
      <c r="A32" s="7" t="s">
        <v>1071</v>
      </c>
      <c r="B32" s="6">
        <f>'[15]NS NEW VEHICLE'!$B$15</f>
        <v>397.92265625000005</v>
      </c>
      <c r="C32" s="6">
        <f>'[16]NS NEW VEHICLE'!$C$15</f>
        <v>800</v>
      </c>
      <c r="D32" s="6">
        <f>'[17]NS NEW VEHICLE'!$C$15</f>
        <v>800</v>
      </c>
      <c r="E32" s="6">
        <f>E45/E25</f>
        <v>646.37824489272373</v>
      </c>
      <c r="F32" s="6">
        <f t="shared" ref="F32:P32" si="11">F45/F25</f>
        <v>646.37824489272373</v>
      </c>
      <c r="G32" s="6">
        <f t="shared" si="11"/>
        <v>647.44378060700956</v>
      </c>
      <c r="H32" s="6">
        <f t="shared" si="11"/>
        <v>653.20583734068418</v>
      </c>
      <c r="I32" s="6">
        <f t="shared" si="11"/>
        <v>653.20583734068418</v>
      </c>
      <c r="J32" s="6">
        <f t="shared" si="11"/>
        <v>654.26984717214475</v>
      </c>
      <c r="K32" s="6">
        <f t="shared" si="11"/>
        <v>646.88085508947188</v>
      </c>
      <c r="L32" s="6">
        <f t="shared" si="11"/>
        <v>655.44242802267172</v>
      </c>
      <c r="M32" s="6">
        <f t="shared" si="11"/>
        <v>631.56091218876816</v>
      </c>
      <c r="N32" s="6">
        <f t="shared" si="11"/>
        <v>630.52469387079589</v>
      </c>
      <c r="O32" s="6">
        <f t="shared" si="11"/>
        <v>630.52469387079589</v>
      </c>
      <c r="P32" s="6">
        <f t="shared" si="11"/>
        <v>640.6739218457443</v>
      </c>
      <c r="R32" s="6">
        <f>AVERAGE(E32:P32)</f>
        <v>644.70744142785145</v>
      </c>
    </row>
    <row r="33" spans="1:21" x14ac:dyDescent="0.25">
      <c r="A33" s="7" t="s">
        <v>1072</v>
      </c>
      <c r="B33" s="6">
        <f>'[15]NS NEW VEHICLE'!$B$20</f>
        <v>1427.3578124999999</v>
      </c>
      <c r="C33" s="6">
        <f>'[16]NS NEW VEHICLE'!$C$20</f>
        <v>1466.6666666666667</v>
      </c>
      <c r="D33" s="6">
        <f>'[17]NS NEW VEHICLE'!$C$20</f>
        <v>1466.6666666666667</v>
      </c>
      <c r="E33" s="6">
        <f>E46/E25</f>
        <v>794.36259551155626</v>
      </c>
      <c r="F33" s="6">
        <f t="shared" ref="F33:P33" si="12">F46/F25</f>
        <v>794.36259551155626</v>
      </c>
      <c r="G33" s="6">
        <f t="shared" si="12"/>
        <v>794.36259551155626</v>
      </c>
      <c r="H33" s="6">
        <f t="shared" si="12"/>
        <v>833.03942600462835</v>
      </c>
      <c r="I33" s="6">
        <f t="shared" si="12"/>
        <v>833.03942600462835</v>
      </c>
      <c r="J33" s="6">
        <f t="shared" si="12"/>
        <v>833.03942600462835</v>
      </c>
      <c r="K33" s="6">
        <f t="shared" si="12"/>
        <v>797.20977327324647</v>
      </c>
      <c r="L33" s="6">
        <f t="shared" si="12"/>
        <v>845.70922716059226</v>
      </c>
      <c r="M33" s="6">
        <f t="shared" si="12"/>
        <v>1024.9839942084598</v>
      </c>
      <c r="N33" s="6">
        <f t="shared" si="12"/>
        <v>1024.9839942084598</v>
      </c>
      <c r="O33" s="6">
        <f t="shared" si="12"/>
        <v>1024.9839942084598</v>
      </c>
      <c r="P33" s="6">
        <f t="shared" si="12"/>
        <v>797.20977327324647</v>
      </c>
      <c r="R33" s="6">
        <f t="shared" si="9"/>
        <v>866.44056840675159</v>
      </c>
    </row>
    <row r="34" spans="1:21" x14ac:dyDescent="0.25">
      <c r="A34" s="7" t="s">
        <v>1073</v>
      </c>
      <c r="B34" s="6">
        <f>'[15]NS NEW VEHICLE'!$B$21</f>
        <v>1825.28046875</v>
      </c>
      <c r="C34" s="6">
        <f>'[16]NS NEW VEHICLE'!$C$21</f>
        <v>2266.666666666667</v>
      </c>
      <c r="D34" s="6">
        <f>'[17]NS NEW VEHICLE'!$C$21</f>
        <v>2266.666666666667</v>
      </c>
      <c r="E34" s="6">
        <f>E32+E33</f>
        <v>1440.7408404042799</v>
      </c>
      <c r="F34" s="6">
        <f t="shared" ref="F34:P34" si="13">F32+F33</f>
        <v>1440.7408404042799</v>
      </c>
      <c r="G34" s="6">
        <f t="shared" si="13"/>
        <v>1441.8063761185658</v>
      </c>
      <c r="H34" s="6">
        <f t="shared" si="13"/>
        <v>1486.2452633453127</v>
      </c>
      <c r="I34" s="6">
        <f t="shared" si="13"/>
        <v>1486.2452633453127</v>
      </c>
      <c r="J34" s="6">
        <f t="shared" si="13"/>
        <v>1487.3092731767731</v>
      </c>
      <c r="K34" s="6">
        <f t="shared" si="13"/>
        <v>1444.0906283627182</v>
      </c>
      <c r="L34" s="6">
        <f t="shared" si="13"/>
        <v>1501.151655183264</v>
      </c>
      <c r="M34" s="6">
        <f t="shared" si="13"/>
        <v>1656.5449063972278</v>
      </c>
      <c r="N34" s="6">
        <f t="shared" si="13"/>
        <v>1655.5086880792555</v>
      </c>
      <c r="O34" s="6">
        <f t="shared" si="13"/>
        <v>1655.5086880792555</v>
      </c>
      <c r="P34" s="6">
        <f t="shared" si="13"/>
        <v>1437.8836951189908</v>
      </c>
      <c r="R34" s="6">
        <f t="shared" si="9"/>
        <v>1511.148009834603</v>
      </c>
    </row>
    <row r="35" spans="1:21" x14ac:dyDescent="0.25">
      <c r="A35" s="7" t="s">
        <v>1074</v>
      </c>
      <c r="B35" s="6">
        <f>'[15]NS NEW VEHICLE'!$B$22</f>
        <v>124.65140624999981</v>
      </c>
      <c r="C35" s="6">
        <f>'[16]NS NEW VEHICLE'!$C$22</f>
        <v>-316.66666666666697</v>
      </c>
      <c r="D35" s="6">
        <f>'[17]NS NEW VEHICLE'!$C$22</f>
        <v>501.00250626566412</v>
      </c>
      <c r="E35" s="6">
        <f t="shared" ref="E35:P35" si="14">E29-E34</f>
        <v>609.25915959572012</v>
      </c>
      <c r="F35" s="6">
        <f t="shared" si="14"/>
        <v>609.25915959572012</v>
      </c>
      <c r="G35" s="6">
        <f t="shared" si="14"/>
        <v>1014.4436238814342</v>
      </c>
      <c r="H35" s="6">
        <f t="shared" si="14"/>
        <v>563.75473665468735</v>
      </c>
      <c r="I35" s="6">
        <f t="shared" si="14"/>
        <v>563.75473665468735</v>
      </c>
      <c r="J35" s="6">
        <f t="shared" si="14"/>
        <v>968.9407268232269</v>
      </c>
      <c r="K35" s="6">
        <f t="shared" si="14"/>
        <v>605.90937163728177</v>
      </c>
      <c r="L35" s="6">
        <f t="shared" si="14"/>
        <v>548.84834481673602</v>
      </c>
      <c r="M35" s="6">
        <f t="shared" si="14"/>
        <v>799.70509360277219</v>
      </c>
      <c r="N35" s="6">
        <f t="shared" si="14"/>
        <v>394.49131192074447</v>
      </c>
      <c r="O35" s="6">
        <f t="shared" si="14"/>
        <v>394.49131192074447</v>
      </c>
      <c r="P35" s="6">
        <f t="shared" si="14"/>
        <v>1018.3663048810092</v>
      </c>
      <c r="R35" s="6">
        <f t="shared" si="9"/>
        <v>674.26865683206381</v>
      </c>
    </row>
    <row r="36" spans="1:21" x14ac:dyDescent="0.25">
      <c r="A36" s="7"/>
      <c r="B36" s="6"/>
      <c r="C36" s="6"/>
      <c r="D36" s="6"/>
      <c r="E36" s="6"/>
      <c r="F36" s="6"/>
      <c r="G36" s="6"/>
      <c r="H36" s="6"/>
      <c r="I36" s="6"/>
      <c r="J36" s="6"/>
      <c r="K36" s="6"/>
      <c r="L36" s="6"/>
      <c r="M36" s="6"/>
      <c r="N36" s="6"/>
      <c r="O36" s="6"/>
      <c r="P36" s="6"/>
      <c r="R36" s="6"/>
    </row>
    <row r="37" spans="1:21" x14ac:dyDescent="0.25">
      <c r="A37" s="7" t="s">
        <v>1075</v>
      </c>
      <c r="B37" s="6">
        <f>'[15]NS NEW VEHICLE'!$B$12</f>
        <v>124795.63999999998</v>
      </c>
      <c r="C37" s="6">
        <f>'[16]NS NEW VEHICLE'!$C$12</f>
        <v>121875</v>
      </c>
      <c r="D37" s="6">
        <f>'[17]NS NEW VEHICLE'!$C$12</f>
        <v>172979.32330827069</v>
      </c>
      <c r="E37" s="6">
        <f t="shared" ref="E37:M37" si="15">E25*E29</f>
        <v>143500</v>
      </c>
      <c r="F37" s="6">
        <f t="shared" si="15"/>
        <v>143500</v>
      </c>
      <c r="G37" s="6">
        <f t="shared" si="15"/>
        <v>171937.5</v>
      </c>
      <c r="H37" s="6">
        <f t="shared" si="15"/>
        <v>136837.5</v>
      </c>
      <c r="I37" s="6">
        <f t="shared" si="15"/>
        <v>136837.5</v>
      </c>
      <c r="J37" s="6">
        <f t="shared" si="15"/>
        <v>163954.6875</v>
      </c>
      <c r="K37" s="6">
        <f t="shared" si="15"/>
        <v>142987.5</v>
      </c>
      <c r="L37" s="6">
        <f t="shared" si="15"/>
        <v>134787.5</v>
      </c>
      <c r="M37" s="6">
        <f t="shared" si="15"/>
        <v>133251.5625</v>
      </c>
      <c r="N37" s="6">
        <f>N25*N29</f>
        <v>111212.5</v>
      </c>
      <c r="O37" s="6">
        <f>O25*O29</f>
        <v>111212.5</v>
      </c>
      <c r="P37" s="6">
        <f>P25*P29</f>
        <v>171323.4375</v>
      </c>
      <c r="R37" s="6">
        <f>SUM(E37:P37)</f>
        <v>1701342.1875</v>
      </c>
    </row>
    <row r="38" spans="1:21" x14ac:dyDescent="0.25">
      <c r="A38" s="7" t="s">
        <v>1076</v>
      </c>
      <c r="B38" s="6">
        <f>B34*B25</f>
        <v>116817.95</v>
      </c>
      <c r="C38" s="6">
        <f>C34*C25</f>
        <v>141666.66666666669</v>
      </c>
      <c r="D38" s="6">
        <f>D34*D25</f>
        <v>141666.66666666669</v>
      </c>
      <c r="E38" s="6">
        <f>E47</f>
        <v>100851.85882829961</v>
      </c>
      <c r="F38" s="6">
        <f t="shared" ref="F38:P38" si="16">F47</f>
        <v>100851.85882829961</v>
      </c>
      <c r="G38" s="6">
        <f t="shared" si="16"/>
        <v>100926.44632829961</v>
      </c>
      <c r="H38" s="6">
        <f t="shared" si="16"/>
        <v>99206.871328299603</v>
      </c>
      <c r="I38" s="6">
        <f t="shared" si="16"/>
        <v>99206.871328299603</v>
      </c>
      <c r="J38" s="6">
        <f t="shared" si="16"/>
        <v>99277.893984549606</v>
      </c>
      <c r="K38" s="6">
        <f t="shared" si="16"/>
        <v>100725.32132829961</v>
      </c>
      <c r="L38" s="6">
        <f t="shared" si="16"/>
        <v>98700.721328299609</v>
      </c>
      <c r="M38" s="6">
        <f t="shared" si="16"/>
        <v>89867.561172049609</v>
      </c>
      <c r="N38" s="6">
        <f t="shared" si="16"/>
        <v>89811.346328299609</v>
      </c>
      <c r="O38" s="6">
        <f t="shared" si="16"/>
        <v>89811.346328299609</v>
      </c>
      <c r="P38" s="6">
        <f t="shared" si="16"/>
        <v>100292.38773454961</v>
      </c>
      <c r="R38" s="6">
        <f>SUM(E38:P38)</f>
        <v>1169530.4848458453</v>
      </c>
    </row>
    <row r="39" spans="1:21" x14ac:dyDescent="0.25">
      <c r="A39" s="42" t="s">
        <v>1077</v>
      </c>
      <c r="B39" s="6">
        <f>'[15]NS NEW VEHICLE'!$B$24</f>
        <v>804.40999999999985</v>
      </c>
      <c r="C39" s="6">
        <f>'[16]NS NEW VEHICLE'!$C$24</f>
        <v>2666.6666666666665</v>
      </c>
      <c r="D39" s="6">
        <f>'[17]NS NEW VEHICLE'!$C$24</f>
        <v>2666.6666666666665</v>
      </c>
      <c r="E39" s="6">
        <f>AVERAGE($E$18:$M$18)</f>
        <v>2146.0811111111116</v>
      </c>
      <c r="F39" s="6">
        <f t="shared" ref="F39:P39" si="17">AVERAGE($E$18:$M$18)</f>
        <v>2146.0811111111116</v>
      </c>
      <c r="G39" s="6">
        <f t="shared" si="17"/>
        <v>2146.0811111111116</v>
      </c>
      <c r="H39" s="6">
        <f t="shared" si="17"/>
        <v>2146.0811111111116</v>
      </c>
      <c r="I39" s="6">
        <f t="shared" si="17"/>
        <v>2146.0811111111116</v>
      </c>
      <c r="J39" s="6">
        <f t="shared" si="17"/>
        <v>2146.0811111111116</v>
      </c>
      <c r="K39" s="6">
        <f t="shared" si="17"/>
        <v>2146.0811111111116</v>
      </c>
      <c r="L39" s="6">
        <f t="shared" si="17"/>
        <v>2146.0811111111116</v>
      </c>
      <c r="M39" s="6">
        <f t="shared" si="17"/>
        <v>2146.0811111111116</v>
      </c>
      <c r="N39" s="6">
        <f t="shared" si="17"/>
        <v>2146.0811111111116</v>
      </c>
      <c r="O39" s="6">
        <f t="shared" si="17"/>
        <v>2146.0811111111116</v>
      </c>
      <c r="P39" s="6">
        <f t="shared" si="17"/>
        <v>2146.0811111111116</v>
      </c>
      <c r="R39" s="6">
        <f>SUM(E39:P39)</f>
        <v>25752.973333333332</v>
      </c>
      <c r="S39" s="34" t="s">
        <v>1318</v>
      </c>
    </row>
    <row r="40" spans="1:21" ht="15.75" thickBot="1" x14ac:dyDescent="0.3">
      <c r="A40" s="9" t="s">
        <v>1078</v>
      </c>
      <c r="B40" s="10">
        <f t="shared" ref="B40:P40" si="18">B37-B38+B39</f>
        <v>8782.0999999999876</v>
      </c>
      <c r="C40" s="10">
        <f t="shared" si="18"/>
        <v>-17125.000000000018</v>
      </c>
      <c r="D40" s="10">
        <f t="shared" si="18"/>
        <v>33979.323308270665</v>
      </c>
      <c r="E40" s="10">
        <f t="shared" si="18"/>
        <v>44794.222282811505</v>
      </c>
      <c r="F40" s="10">
        <f t="shared" si="18"/>
        <v>44794.222282811505</v>
      </c>
      <c r="G40" s="10">
        <f t="shared" si="18"/>
        <v>73157.134782811496</v>
      </c>
      <c r="H40" s="10">
        <f t="shared" si="18"/>
        <v>39776.709782811507</v>
      </c>
      <c r="I40" s="10">
        <f t="shared" si="18"/>
        <v>39776.709782811507</v>
      </c>
      <c r="J40" s="10">
        <f t="shared" si="18"/>
        <v>66822.874626561505</v>
      </c>
      <c r="K40" s="10">
        <f t="shared" si="18"/>
        <v>44408.259782811496</v>
      </c>
      <c r="L40" s="10">
        <f t="shared" si="18"/>
        <v>38232.859782811502</v>
      </c>
      <c r="M40" s="10">
        <f t="shared" si="18"/>
        <v>45530.082439061502</v>
      </c>
      <c r="N40" s="10">
        <f t="shared" si="18"/>
        <v>23547.234782811502</v>
      </c>
      <c r="O40" s="10">
        <f t="shared" si="18"/>
        <v>23547.234782811502</v>
      </c>
      <c r="P40" s="10">
        <f t="shared" si="18"/>
        <v>73177.130876561496</v>
      </c>
      <c r="R40" s="10">
        <f>SUM(E40:P40)</f>
        <v>557564.67598748801</v>
      </c>
    </row>
    <row r="41" spans="1:21" ht="15.75" thickTop="1" x14ac:dyDescent="0.25">
      <c r="A41" s="21"/>
      <c r="B41" s="19"/>
      <c r="C41" s="19"/>
      <c r="D41" s="19"/>
      <c r="E41" s="19"/>
      <c r="F41" s="19"/>
      <c r="G41" s="19"/>
      <c r="H41" s="19"/>
      <c r="I41" s="19"/>
      <c r="J41" s="19"/>
      <c r="K41" s="19"/>
      <c r="L41" s="19"/>
      <c r="M41" s="19"/>
      <c r="O41" s="6"/>
    </row>
    <row r="42" spans="1:21" x14ac:dyDescent="0.25">
      <c r="A42" s="21"/>
      <c r="B42" s="19"/>
      <c r="C42" s="19"/>
      <c r="D42" s="19"/>
      <c r="E42" s="19"/>
      <c r="G42" s="19"/>
      <c r="H42" s="19"/>
      <c r="I42" s="19"/>
      <c r="J42" s="19"/>
      <c r="K42" s="19"/>
      <c r="L42" s="19"/>
      <c r="M42" s="19"/>
      <c r="O42" s="6"/>
      <c r="R42" s="3"/>
    </row>
    <row r="43" spans="1:21" s="34" customFormat="1" x14ac:dyDescent="0.25">
      <c r="A43" s="117" t="s">
        <v>1097</v>
      </c>
      <c r="B43" s="234"/>
      <c r="C43" s="234"/>
      <c r="D43" s="234"/>
      <c r="E43" s="235" t="s">
        <v>1098</v>
      </c>
      <c r="F43" s="234"/>
      <c r="G43" s="234"/>
      <c r="H43" s="234"/>
      <c r="I43" s="234"/>
      <c r="J43" s="234"/>
      <c r="K43" s="234"/>
      <c r="L43" s="234"/>
      <c r="M43" s="234"/>
      <c r="N43" s="234"/>
      <c r="O43" s="234"/>
      <c r="P43" s="234"/>
    </row>
    <row r="44" spans="1:21" s="34" customFormat="1" ht="15.75" thickBot="1" x14ac:dyDescent="0.3">
      <c r="E44" s="120"/>
      <c r="F44" s="120"/>
      <c r="G44" s="120"/>
      <c r="H44" s="120"/>
      <c r="I44" s="120"/>
      <c r="J44" s="120"/>
      <c r="K44" s="120"/>
      <c r="L44" s="120"/>
      <c r="M44" s="120"/>
      <c r="N44" s="120"/>
      <c r="O44" s="120"/>
      <c r="P44" s="120"/>
    </row>
    <row r="45" spans="1:21" s="34" customFormat="1" x14ac:dyDescent="0.25">
      <c r="A45" s="245" t="s">
        <v>1090</v>
      </c>
      <c r="B45" s="256"/>
      <c r="C45" s="256"/>
      <c r="D45" s="256"/>
      <c r="E45" s="257">
        <f>'[18]Summary - Selling Expenses'!Z$5+'[18]Summary - Selling Expenses'!Z$28+'[18]Summary - Selling Expenses'!Z$43+'[18]Summary - Selling Expenses'!Z$44+'[18]Summary - Selling Expenses'!Z$327</f>
        <v>45246.477142490665</v>
      </c>
      <c r="F45" s="257">
        <f>'[18]Summary - Selling Expenses'!AA$5+'[18]Summary - Selling Expenses'!AA$28+'[18]Summary - Selling Expenses'!AA$43+'[18]Summary - Selling Expenses'!AA$44+'[18]Summary - Selling Expenses'!AA$327</f>
        <v>45246.477142490665</v>
      </c>
      <c r="G45" s="257">
        <f>'[18]Summary - Selling Expenses'!AB$5+'[18]Summary - Selling Expenses'!AB$28+'[18]Summary - Selling Expenses'!AB$43+'[18]Summary - Selling Expenses'!AB$44+'[18]Summary - Selling Expenses'!AB$327</f>
        <v>45321.064642490666</v>
      </c>
      <c r="H45" s="257">
        <f>'[18]Summary - Selling Expenses'!AC$5+'[18]Summary - Selling Expenses'!AC$28+'[18]Summary - Selling Expenses'!AC$43+'[18]Summary - Selling Expenses'!AC$44+'[18]Summary - Selling Expenses'!AC$327</f>
        <v>43601.489642490669</v>
      </c>
      <c r="I45" s="257">
        <f>'[18]Summary - Selling Expenses'!AD$5+'[18]Summary - Selling Expenses'!AD$28+'[18]Summary - Selling Expenses'!AD$43+'[18]Summary - Selling Expenses'!AD$44+'[18]Summary - Selling Expenses'!AD$327</f>
        <v>43601.489642490669</v>
      </c>
      <c r="J45" s="257">
        <f>'[18]Summary - Selling Expenses'!AE$5+'[18]Summary - Selling Expenses'!AE$28+'[18]Summary - Selling Expenses'!AE$43+'[18]Summary - Selling Expenses'!AE$44+'[18]Summary - Selling Expenses'!AE$327</f>
        <v>43672.512298740665</v>
      </c>
      <c r="K45" s="257">
        <f>'[18]Summary - Selling Expenses'!AF$5+'[18]Summary - Selling Expenses'!AF$28+'[18]Summary - Selling Expenses'!AF$43+'[18]Summary - Selling Expenses'!AF$44+'[18]Summary - Selling Expenses'!AF$327</f>
        <v>45119.939642490666</v>
      </c>
      <c r="L45" s="257">
        <f>'[18]Summary - Selling Expenses'!AG$5+'[18]Summary - Selling Expenses'!AG$28+'[18]Summary - Selling Expenses'!AG$43+'[18]Summary - Selling Expenses'!AG$44+'[18]Summary - Selling Expenses'!AG$327</f>
        <v>43095.339642490668</v>
      </c>
      <c r="M45" s="257">
        <f>'[18]Summary - Selling Expenses'!AH$5+'[18]Summary - Selling Expenses'!AH$28+'[18]Summary - Selling Expenses'!AH$43+'[18]Summary - Selling Expenses'!AH$44+'[18]Summary - Selling Expenses'!AH$327</f>
        <v>34262.179486240675</v>
      </c>
      <c r="N45" s="257">
        <f>'[18]Summary - Selling Expenses'!AI$5+'[18]Summary - Selling Expenses'!AI$28+'[18]Summary - Selling Expenses'!AI$43+'[18]Summary - Selling Expenses'!AI$44+'[18]Summary - Selling Expenses'!AI$327</f>
        <v>34205.964642490675</v>
      </c>
      <c r="O45" s="257">
        <f>'[18]Summary - Selling Expenses'!AJ$5+'[18]Summary - Selling Expenses'!AJ$28+'[18]Summary - Selling Expenses'!AJ$43+'[18]Summary - Selling Expenses'!AJ$44+'[18]Summary - Selling Expenses'!AJ$327</f>
        <v>34205.964642490675</v>
      </c>
      <c r="P45" s="257">
        <f>'[18]Summary - Selling Expenses'!AK$5+'[18]Summary - Selling Expenses'!AK$28+'[18]Summary - Selling Expenses'!AK$43+'[18]Summary - Selling Expenses'!AK$44+'[18]Summary - Selling Expenses'!AK$327</f>
        <v>44687.006048740666</v>
      </c>
      <c r="Q45" s="256"/>
      <c r="R45" s="258">
        <f>SUM(E45:P45)</f>
        <v>502265.90461613797</v>
      </c>
    </row>
    <row r="46" spans="1:21" s="34" customFormat="1" x14ac:dyDescent="0.25">
      <c r="A46" s="106" t="s">
        <v>1091</v>
      </c>
      <c r="B46" s="120"/>
      <c r="C46" s="120"/>
      <c r="D46" s="120"/>
      <c r="E46" s="259">
        <f>'[18]Summary - Selling Expenses'!Z$63+'[18]Summary - Selling Expenses'!Z$79+'[18]Summary - Selling Expenses'!Z$90+'[18]Summary - Selling Expenses'!Z$115+'[18]Summary - Selling Expenses'!Z$137+'[18]Summary - Selling Expenses'!Z$171+'[18]Summary - Selling Expenses'!Z$193+'[18]Summary - Selling Expenses'!Z$233+'[18]Summary - Selling Expenses'!Z$279+'[18]Summary - Selling Expenses'!Z$303+'[18]Summary - Selling Expenses'!Z$348</f>
        <v>55605.381685808941</v>
      </c>
      <c r="F46" s="259">
        <f>'[18]Summary - Selling Expenses'!AA$63+'[18]Summary - Selling Expenses'!AA$79+'[18]Summary - Selling Expenses'!AA$90+'[18]Summary - Selling Expenses'!AA$115+'[18]Summary - Selling Expenses'!AA$137+'[18]Summary - Selling Expenses'!AA$171+'[18]Summary - Selling Expenses'!AA$193+'[18]Summary - Selling Expenses'!AA$233+'[18]Summary - Selling Expenses'!AA$279+'[18]Summary - Selling Expenses'!AA$303+'[18]Summary - Selling Expenses'!AA$348</f>
        <v>55605.381685808941</v>
      </c>
      <c r="G46" s="259">
        <f>'[18]Summary - Selling Expenses'!AB$63+'[18]Summary - Selling Expenses'!AB$79+'[18]Summary - Selling Expenses'!AB$90+'[18]Summary - Selling Expenses'!AB$115+'[18]Summary - Selling Expenses'!AB$137+'[18]Summary - Selling Expenses'!AB$171+'[18]Summary - Selling Expenses'!AB$193+'[18]Summary - Selling Expenses'!AB$233+'[18]Summary - Selling Expenses'!AB$279+'[18]Summary - Selling Expenses'!AB$303+'[18]Summary - Selling Expenses'!AB$348</f>
        <v>55605.381685808941</v>
      </c>
      <c r="H46" s="259">
        <f>'[18]Summary - Selling Expenses'!AC$63+'[18]Summary - Selling Expenses'!AC$79+'[18]Summary - Selling Expenses'!AC$90+'[18]Summary - Selling Expenses'!AC$115+'[18]Summary - Selling Expenses'!AC$137+'[18]Summary - Selling Expenses'!AC$171+'[18]Summary - Selling Expenses'!AC$193+'[18]Summary - Selling Expenses'!AC$233+'[18]Summary - Selling Expenses'!AC$279+'[18]Summary - Selling Expenses'!AC$303+'[18]Summary - Selling Expenses'!AC$348</f>
        <v>55605.381685808941</v>
      </c>
      <c r="I46" s="259">
        <f>'[18]Summary - Selling Expenses'!AD$63+'[18]Summary - Selling Expenses'!AD$79+'[18]Summary - Selling Expenses'!AD$90+'[18]Summary - Selling Expenses'!AD$115+'[18]Summary - Selling Expenses'!AD$137+'[18]Summary - Selling Expenses'!AD$171+'[18]Summary - Selling Expenses'!AD$193+'[18]Summary - Selling Expenses'!AD$233+'[18]Summary - Selling Expenses'!AD$279+'[18]Summary - Selling Expenses'!AD$303+'[18]Summary - Selling Expenses'!AD$348</f>
        <v>55605.381685808941</v>
      </c>
      <c r="J46" s="259">
        <f>'[18]Summary - Selling Expenses'!AE$63+'[18]Summary - Selling Expenses'!AE$79+'[18]Summary - Selling Expenses'!AE$90+'[18]Summary - Selling Expenses'!AE$115+'[18]Summary - Selling Expenses'!AE$137+'[18]Summary - Selling Expenses'!AE$171+'[18]Summary - Selling Expenses'!AE$193+'[18]Summary - Selling Expenses'!AE$233+'[18]Summary - Selling Expenses'!AE$279+'[18]Summary - Selling Expenses'!AE$303+'[18]Summary - Selling Expenses'!AE$348</f>
        <v>55605.381685808941</v>
      </c>
      <c r="K46" s="259">
        <f>'[18]Summary - Selling Expenses'!AF$63+'[18]Summary - Selling Expenses'!AF$79+'[18]Summary - Selling Expenses'!AF$90+'[18]Summary - Selling Expenses'!AF$115+'[18]Summary - Selling Expenses'!AF$137+'[18]Summary - Selling Expenses'!AF$171+'[18]Summary - Selling Expenses'!AF$193+'[18]Summary - Selling Expenses'!AF$233+'[18]Summary - Selling Expenses'!AF$279+'[18]Summary - Selling Expenses'!AF$303+'[18]Summary - Selling Expenses'!AF$348</f>
        <v>55605.381685808941</v>
      </c>
      <c r="L46" s="259">
        <f>'[18]Summary - Selling Expenses'!AG$63+'[18]Summary - Selling Expenses'!AG$79+'[18]Summary - Selling Expenses'!AG$90+'[18]Summary - Selling Expenses'!AG$115+'[18]Summary - Selling Expenses'!AG$137+'[18]Summary - Selling Expenses'!AG$171+'[18]Summary - Selling Expenses'!AG$193+'[18]Summary - Selling Expenses'!AG$233+'[18]Summary - Selling Expenses'!AG$279+'[18]Summary - Selling Expenses'!AG$303+'[18]Summary - Selling Expenses'!AG$348</f>
        <v>55605.381685808941</v>
      </c>
      <c r="M46" s="259">
        <f>'[18]Summary - Selling Expenses'!AH$63+'[18]Summary - Selling Expenses'!AH$79+'[18]Summary - Selling Expenses'!AH$90+'[18]Summary - Selling Expenses'!AH$115+'[18]Summary - Selling Expenses'!AH$137+'[18]Summary - Selling Expenses'!AH$171+'[18]Summary - Selling Expenses'!AH$193+'[18]Summary - Selling Expenses'!AH$233+'[18]Summary - Selling Expenses'!AH$279+'[18]Summary - Selling Expenses'!AH$303+'[18]Summary - Selling Expenses'!AH$348</f>
        <v>55605.381685808941</v>
      </c>
      <c r="N46" s="259">
        <f>'[18]Summary - Selling Expenses'!AI$63+'[18]Summary - Selling Expenses'!AI$79+'[18]Summary - Selling Expenses'!AI$90+'[18]Summary - Selling Expenses'!AI$115+'[18]Summary - Selling Expenses'!AI$137+'[18]Summary - Selling Expenses'!AI$171+'[18]Summary - Selling Expenses'!AI$193+'[18]Summary - Selling Expenses'!AI$233+'[18]Summary - Selling Expenses'!AI$279+'[18]Summary - Selling Expenses'!AI$303+'[18]Summary - Selling Expenses'!AI$348</f>
        <v>55605.381685808941</v>
      </c>
      <c r="O46" s="259">
        <f>'[18]Summary - Selling Expenses'!AJ$63+'[18]Summary - Selling Expenses'!AJ$79+'[18]Summary - Selling Expenses'!AJ$90+'[18]Summary - Selling Expenses'!AJ$115+'[18]Summary - Selling Expenses'!AJ$137+'[18]Summary - Selling Expenses'!AJ$171+'[18]Summary - Selling Expenses'!AJ$193+'[18]Summary - Selling Expenses'!AJ$233+'[18]Summary - Selling Expenses'!AJ$279+'[18]Summary - Selling Expenses'!AJ$303+'[18]Summary - Selling Expenses'!AJ$348</f>
        <v>55605.381685808941</v>
      </c>
      <c r="P46" s="259">
        <f>'[18]Summary - Selling Expenses'!AK$63+'[18]Summary - Selling Expenses'!AK$79+'[18]Summary - Selling Expenses'!AK$90+'[18]Summary - Selling Expenses'!AK$115+'[18]Summary - Selling Expenses'!AK$137+'[18]Summary - Selling Expenses'!AK$171+'[18]Summary - Selling Expenses'!AK$193+'[18]Summary - Selling Expenses'!AK$233+'[18]Summary - Selling Expenses'!AK$279+'[18]Summary - Selling Expenses'!AK$303+'[18]Summary - Selling Expenses'!AK$348</f>
        <v>55605.381685808941</v>
      </c>
      <c r="R46" s="260">
        <f>SUM(E46:P46)</f>
        <v>667264.5802297073</v>
      </c>
      <c r="T46" s="259"/>
    </row>
    <row r="47" spans="1:21" s="34" customFormat="1" x14ac:dyDescent="0.25">
      <c r="A47" s="106" t="s">
        <v>1092</v>
      </c>
      <c r="B47" s="120"/>
      <c r="C47" s="120"/>
      <c r="D47" s="120"/>
      <c r="E47" s="259">
        <f>E45+E46</f>
        <v>100851.85882829961</v>
      </c>
      <c r="F47" s="259">
        <f t="shared" ref="F47:P47" si="19">F45+F46</f>
        <v>100851.85882829961</v>
      </c>
      <c r="G47" s="259">
        <f t="shared" si="19"/>
        <v>100926.44632829961</v>
      </c>
      <c r="H47" s="259">
        <f t="shared" si="19"/>
        <v>99206.871328299603</v>
      </c>
      <c r="I47" s="259">
        <f t="shared" si="19"/>
        <v>99206.871328299603</v>
      </c>
      <c r="J47" s="259">
        <f t="shared" si="19"/>
        <v>99277.893984549606</v>
      </c>
      <c r="K47" s="259">
        <f t="shared" si="19"/>
        <v>100725.32132829961</v>
      </c>
      <c r="L47" s="259">
        <f t="shared" si="19"/>
        <v>98700.721328299609</v>
      </c>
      <c r="M47" s="259">
        <f t="shared" si="19"/>
        <v>89867.561172049609</v>
      </c>
      <c r="N47" s="259">
        <f t="shared" si="19"/>
        <v>89811.346328299609</v>
      </c>
      <c r="O47" s="259">
        <f t="shared" si="19"/>
        <v>89811.346328299609</v>
      </c>
      <c r="P47" s="259">
        <f t="shared" si="19"/>
        <v>100292.38773454961</v>
      </c>
      <c r="R47" s="260">
        <f>SUM(E47:P47)</f>
        <v>1169530.4848458453</v>
      </c>
      <c r="T47" s="259"/>
      <c r="U47" s="120"/>
    </row>
    <row r="48" spans="1:21" s="34" customFormat="1" ht="15.75" thickBot="1" x14ac:dyDescent="0.3">
      <c r="A48" s="261"/>
      <c r="B48" s="262"/>
      <c r="C48" s="262"/>
      <c r="D48" s="262"/>
      <c r="E48" s="262"/>
      <c r="F48" s="262"/>
      <c r="G48" s="262"/>
      <c r="H48" s="262"/>
      <c r="I48" s="262"/>
      <c r="J48" s="262"/>
      <c r="K48" s="262"/>
      <c r="L48" s="262"/>
      <c r="M48" s="262"/>
      <c r="N48" s="263"/>
      <c r="O48" s="264"/>
      <c r="P48" s="263"/>
      <c r="Q48" s="263"/>
      <c r="R48" s="265">
        <f>SUMIFS('[18]Summary - Selling Expenses'!$AL:$AL,'[18]Summary - Selling Expenses'!$C:$C,110,'[18]Summary - Selling Expenses'!$D:$D,'[18]Summary - Selling Expenses'!$D$5)+SUMIFS('[18]Summary - Selling Expenses'!$AL:$AL,'[18]Summary - Selling Expenses'!$C:$C,100,'[18]Summary - Selling Expenses'!$D:$D,'[18]Summary - Selling Expenses'!$D$5)-R47</f>
        <v>0</v>
      </c>
      <c r="S48" s="34" t="s">
        <v>1093</v>
      </c>
    </row>
    <row r="49" spans="2:19" s="34" customFormat="1" x14ac:dyDescent="0.25">
      <c r="B49" s="120"/>
      <c r="C49" s="120"/>
      <c r="D49" s="120"/>
      <c r="E49" s="120"/>
      <c r="F49" s="120"/>
      <c r="G49" s="120"/>
      <c r="H49" s="120"/>
      <c r="I49" s="120"/>
      <c r="J49" s="120"/>
      <c r="K49" s="120"/>
      <c r="L49" s="120"/>
      <c r="M49" s="120"/>
      <c r="O49" s="116"/>
    </row>
    <row r="50" spans="2:19" x14ac:dyDescent="0.25">
      <c r="B50" s="7"/>
      <c r="C50" s="7"/>
      <c r="D50" s="7"/>
      <c r="E50" s="7"/>
      <c r="F50" s="7"/>
      <c r="G50" s="7"/>
      <c r="H50" s="7"/>
      <c r="I50" s="7"/>
      <c r="J50" s="7"/>
      <c r="K50" s="7"/>
      <c r="L50" s="7"/>
      <c r="M50" s="7"/>
      <c r="O50" s="6"/>
    </row>
    <row r="51" spans="2:19" x14ac:dyDescent="0.25">
      <c r="B51" s="7"/>
      <c r="C51" s="7"/>
      <c r="D51" s="7"/>
      <c r="E51" s="7"/>
      <c r="F51" s="7"/>
      <c r="G51" s="7"/>
      <c r="H51" s="7"/>
      <c r="I51" s="7"/>
      <c r="J51" s="7"/>
      <c r="K51" s="7"/>
      <c r="L51" s="7"/>
      <c r="M51" s="7"/>
      <c r="O51" s="6"/>
    </row>
    <row r="52" spans="2:19" x14ac:dyDescent="0.25"/>
    <row r="53" spans="2:19" x14ac:dyDescent="0.25">
      <c r="O53" s="3"/>
    </row>
    <row r="54" spans="2:19" x14ac:dyDescent="0.25">
      <c r="O54" s="7"/>
      <c r="S54"/>
    </row>
    <row r="56" spans="2:19" x14ac:dyDescent="0.25"/>
    <row r="57" spans="2:19" x14ac:dyDescent="0.25"/>
    <row r="58" spans="2:19" x14ac:dyDescent="0.25"/>
    <row r="59" spans="2:19" x14ac:dyDescent="0.25"/>
    <row r="60" spans="2:19" x14ac:dyDescent="0.25"/>
    <row r="61" spans="2:19" x14ac:dyDescent="0.25"/>
    <row r="63" spans="2:19" x14ac:dyDescent="0.25"/>
    <row r="64" spans="2:19" x14ac:dyDescent="0.25"/>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1355D-E8CD-4D00-A025-C2BD25A9D906}">
  <sheetPr codeName="Sheet7">
    <tabColor theme="9" tint="0.79998168889431442"/>
  </sheetPr>
  <dimension ref="A1:V66"/>
  <sheetViews>
    <sheetView topLeftCell="A24" workbookViewId="0">
      <selection activeCell="O2" sqref="O2:P2"/>
    </sheetView>
  </sheetViews>
  <sheetFormatPr defaultRowHeight="15" customHeight="1" x14ac:dyDescent="0.25"/>
  <cols>
    <col min="1" max="1" width="24.5703125" bestFit="1" customWidth="1"/>
    <col min="2" max="4" width="10.7109375" hidden="1" customWidth="1"/>
    <col min="5" max="16" width="10.7109375" customWidth="1"/>
    <col min="17" max="17" width="2.85546875" customWidth="1"/>
    <col min="18" max="18" width="10.7109375" customWidth="1"/>
    <col min="19" max="19" width="9.140625" style="34" bestFit="1" customWidth="1"/>
    <col min="20" max="20" width="9.140625" bestFit="1" customWidth="1"/>
  </cols>
  <sheetData>
    <row r="1" spans="1:22" ht="15.75" x14ac:dyDescent="0.25">
      <c r="A1" s="11" t="s">
        <v>1064</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2" x14ac:dyDescent="0.25">
      <c r="D3" s="34"/>
      <c r="G3" s="34"/>
    </row>
    <row r="4" spans="1:22" x14ac:dyDescent="0.25">
      <c r="A4" t="s">
        <v>1065</v>
      </c>
      <c r="B4" s="2">
        <f>'[3]NW NEW VEHICLE'!$B$6</f>
        <v>74</v>
      </c>
      <c r="C4" s="2">
        <f>'[4]NW NEW VEHICLE'!$B$6</f>
        <v>37</v>
      </c>
      <c r="D4" s="2">
        <f>'[5]NW NEW VEHICLE'!$B$6</f>
        <v>81</v>
      </c>
      <c r="E4" s="2">
        <f>'[6]NW NEW VEHICLE'!$B$6</f>
        <v>69</v>
      </c>
      <c r="F4" s="2">
        <f>'[7]NW NEW VEHICLE'!$B$6</f>
        <v>75</v>
      </c>
      <c r="G4" s="2">
        <f>'[8]NW NEW VEHICLE'!$B$6</f>
        <v>98</v>
      </c>
      <c r="H4" s="2">
        <f>'[9]NW NEW VEHICLE'!$B$6</f>
        <v>33</v>
      </c>
      <c r="I4" s="2">
        <f>'[10]NW NEW VEHICLE'!$B$6</f>
        <v>67</v>
      </c>
      <c r="J4" s="2">
        <f>'[11]NW NEW VEHICLE'!$B$6</f>
        <v>64</v>
      </c>
      <c r="K4" s="2">
        <f>'[12]NW NEW VEHICLE'!$B$6</f>
        <v>38</v>
      </c>
      <c r="L4" s="2">
        <f>'[13]NW NEW VEHICLE'!$B$6</f>
        <v>54</v>
      </c>
      <c r="M4" s="2">
        <f>'[14]NW NEW VEHICLE'!$B$6</f>
        <v>31</v>
      </c>
      <c r="N4" s="2">
        <f>'[15]NW NEW VEHICLE'!$B$6</f>
        <v>60</v>
      </c>
      <c r="O4" s="2">
        <f>'[16]NW NEW VEHICLE'!$B$6</f>
        <v>36</v>
      </c>
      <c r="P4" s="2">
        <f>'[17]NW NEW VEHICLE'!$B$6</f>
        <v>55</v>
      </c>
      <c r="Q4" s="8"/>
      <c r="R4" s="2">
        <f>SUM(E4:P4)</f>
        <v>680</v>
      </c>
    </row>
    <row r="5" spans="1:22" x14ac:dyDescent="0.25">
      <c r="A5" t="s">
        <v>1066</v>
      </c>
      <c r="B5" s="2">
        <f>'[3]NW NEW VEHICLE'!$B$27</f>
        <v>2</v>
      </c>
      <c r="C5" s="2">
        <f>'[4]NW NEW VEHICLE'!$B$27</f>
        <v>2</v>
      </c>
      <c r="D5" s="2">
        <f>'[5]NW NEW VEHICLE'!$B$27</f>
        <v>2</v>
      </c>
      <c r="E5" s="2">
        <f>'[6]NW NEW VEHICLE'!$B$27</f>
        <v>2</v>
      </c>
      <c r="F5" s="2">
        <f>'[7]NW NEW VEHICLE'!$B$27</f>
        <v>2</v>
      </c>
      <c r="G5" s="2">
        <f>'[8]NW NEW VEHICLE'!$B$27</f>
        <v>2</v>
      </c>
      <c r="H5" s="2">
        <f>'[9]NW NEW VEHICLE'!$B$27</f>
        <v>2</v>
      </c>
      <c r="I5" s="2">
        <f>'[10]NW NEW VEHICLE'!$B$27</f>
        <v>2</v>
      </c>
      <c r="J5" s="2">
        <f>'[11]NW NEW VEHICLE'!$B$27</f>
        <v>2</v>
      </c>
      <c r="K5" s="2">
        <f>'[12]NW NEW VEHICLE'!$B$27</f>
        <v>2</v>
      </c>
      <c r="L5" s="2">
        <f>'[13]NW NEW VEHICLE'!$B$27</f>
        <v>2</v>
      </c>
      <c r="M5" s="2">
        <f>'[14]NW NEW VEHICLE'!$B$27</f>
        <v>2</v>
      </c>
      <c r="N5" s="2">
        <f>'[15]NW NEW VEHICLE'!$B$27</f>
        <v>2</v>
      </c>
      <c r="O5" s="2">
        <f>'[16]NW NEW VEHICLE'!$B$27</f>
        <v>2</v>
      </c>
      <c r="P5" s="2">
        <v>2</v>
      </c>
      <c r="Q5" s="3"/>
      <c r="R5" s="2">
        <f>AVERAGE(E5,P5)</f>
        <v>2</v>
      </c>
    </row>
    <row r="6" spans="1:22" x14ac:dyDescent="0.25">
      <c r="A6" s="39" t="s">
        <v>1067</v>
      </c>
      <c r="B6" s="2">
        <f t="shared" ref="B6:P6" si="0">B4/B5</f>
        <v>37</v>
      </c>
      <c r="C6" s="2">
        <f t="shared" si="0"/>
        <v>18.5</v>
      </c>
      <c r="D6" s="2">
        <f t="shared" si="0"/>
        <v>40.5</v>
      </c>
      <c r="E6" s="2">
        <f t="shared" si="0"/>
        <v>34.5</v>
      </c>
      <c r="F6" s="2">
        <f t="shared" si="0"/>
        <v>37.5</v>
      </c>
      <c r="G6" s="2">
        <f t="shared" si="0"/>
        <v>49</v>
      </c>
      <c r="H6" s="2">
        <f t="shared" si="0"/>
        <v>16.5</v>
      </c>
      <c r="I6" s="2">
        <f t="shared" si="0"/>
        <v>33.5</v>
      </c>
      <c r="J6" s="2">
        <f t="shared" si="0"/>
        <v>32</v>
      </c>
      <c r="K6" s="2">
        <f t="shared" si="0"/>
        <v>19</v>
      </c>
      <c r="L6" s="2">
        <f t="shared" si="0"/>
        <v>27</v>
      </c>
      <c r="M6" s="2">
        <f t="shared" si="0"/>
        <v>15.5</v>
      </c>
      <c r="N6" s="2">
        <f t="shared" si="0"/>
        <v>30</v>
      </c>
      <c r="O6" s="2">
        <f t="shared" si="0"/>
        <v>18</v>
      </c>
      <c r="P6" s="2">
        <f t="shared" si="0"/>
        <v>27.5</v>
      </c>
      <c r="Q6" s="3"/>
      <c r="R6" s="2">
        <f>AVERAGE(E6,P6)</f>
        <v>31</v>
      </c>
    </row>
    <row r="7" spans="1:22" x14ac:dyDescent="0.25">
      <c r="B7" s="2"/>
      <c r="C7" s="2"/>
      <c r="D7" s="2"/>
      <c r="E7" s="2"/>
      <c r="F7" s="2"/>
      <c r="G7" s="2"/>
      <c r="H7" s="2"/>
      <c r="I7" s="2"/>
      <c r="J7" s="2"/>
      <c r="K7" s="2"/>
      <c r="L7" s="2"/>
      <c r="M7" s="2"/>
      <c r="N7" s="2"/>
      <c r="O7" s="2"/>
      <c r="P7" s="2"/>
      <c r="Q7" s="3"/>
      <c r="R7" s="2"/>
    </row>
    <row r="8" spans="1:22" x14ac:dyDescent="0.25">
      <c r="A8" t="s">
        <v>1068</v>
      </c>
      <c r="B8" s="6">
        <f t="shared" ref="B8:P8" si="1">B9+B10</f>
        <v>1700.6482432432431</v>
      </c>
      <c r="C8" s="6">
        <f t="shared" si="1"/>
        <v>2351.0421621621617</v>
      </c>
      <c r="D8" s="6">
        <f t="shared" si="1"/>
        <v>2135.4591358024691</v>
      </c>
      <c r="E8" s="6">
        <f t="shared" si="1"/>
        <v>2002.0384057971014</v>
      </c>
      <c r="F8" s="6">
        <f t="shared" si="1"/>
        <v>1838.7627999999997</v>
      </c>
      <c r="G8" s="6">
        <f t="shared" si="1"/>
        <v>2397.679489795918</v>
      </c>
      <c r="H8" s="6">
        <f t="shared" si="1"/>
        <v>2196.2948484848484</v>
      </c>
      <c r="I8" s="6">
        <f t="shared" si="1"/>
        <v>2043.2825373134335</v>
      </c>
      <c r="J8" s="6">
        <f t="shared" si="1"/>
        <v>2464.5249999999996</v>
      </c>
      <c r="K8" s="6">
        <f t="shared" si="1"/>
        <v>1654.0555263157896</v>
      </c>
      <c r="L8" s="6">
        <f t="shared" si="1"/>
        <v>1894.1081481481476</v>
      </c>
      <c r="M8" s="6">
        <f t="shared" si="1"/>
        <v>3290.4187096774203</v>
      </c>
      <c r="N8" s="6">
        <f t="shared" si="1"/>
        <v>2029.6566666666665</v>
      </c>
      <c r="O8" s="6">
        <f t="shared" si="1"/>
        <v>2169.5486111111109</v>
      </c>
      <c r="P8" s="6">
        <f t="shared" si="1"/>
        <v>2648.4436363636355</v>
      </c>
      <c r="Q8" s="3"/>
      <c r="R8" s="6">
        <f t="shared" ref="R8:R14" si="2">AVERAGE(E8:P8)</f>
        <v>2219.0678649728388</v>
      </c>
    </row>
    <row r="9" spans="1:22" x14ac:dyDescent="0.25">
      <c r="A9" s="7" t="s">
        <v>1069</v>
      </c>
      <c r="B9" s="6">
        <f>'[3]NW NEW VEHICLE'!$B$11-'[3]NW NEW VEHICLE'!$B$9</f>
        <v>1665.4506756756755</v>
      </c>
      <c r="C9" s="6">
        <f>'[4]NW NEW VEHICLE'!$B$11-'[4]NW NEW VEHICLE'!$B$9</f>
        <v>2351.0421621621617</v>
      </c>
      <c r="D9" s="6">
        <f>'[5]NW NEW VEHICLE'!$B$11-'[5]NW NEW VEHICLE'!$B$9</f>
        <v>1802.1258024691358</v>
      </c>
      <c r="E9" s="6">
        <f>'[6]NW NEW VEHICLE'!$B$11-'[6]NW NEW VEHICLE'!$B$9</f>
        <v>2002.0384057971014</v>
      </c>
      <c r="F9" s="6">
        <f>'[7]NW NEW VEHICLE'!$B$11-'[7]NW NEW VEHICLE'!$B$9</f>
        <v>1838.7627999999997</v>
      </c>
      <c r="G9" s="6">
        <f>'[8]NW NEW VEHICLE'!$B$11-'[8]NW NEW VEHICLE'!$B$9</f>
        <v>1662.8716326530609</v>
      </c>
      <c r="H9" s="6">
        <f>'[9]NW NEW VEHICLE'!$B$11-'[9]NW NEW VEHICLE'!$B$9</f>
        <v>2196.2948484848484</v>
      </c>
      <c r="I9" s="6">
        <f>'[10]NW NEW VEHICLE'!$B$11-'[10]NW NEW VEHICLE'!$B$9</f>
        <v>2043.2825373134335</v>
      </c>
      <c r="J9" s="6">
        <f>'[11]NW NEW VEHICLE'!$B$11-'[11]NW NEW VEHICLE'!$B$9</f>
        <v>1843.9210937499997</v>
      </c>
      <c r="K9" s="6">
        <f>'[12]NW NEW VEHICLE'!$B$11-'[12]NW NEW VEHICLE'!$B$9</f>
        <v>1654.0555263157896</v>
      </c>
      <c r="L9" s="6">
        <f>'[13]NW NEW VEHICLE'!$B$11-'[13]NW NEW VEHICLE'!$B$9</f>
        <v>1894.1081481481476</v>
      </c>
      <c r="M9" s="6">
        <f>'[14]NW NEW VEHICLE'!$B$11-'[14]NW NEW VEHICLE'!$B$9</f>
        <v>2306.5477419354847</v>
      </c>
      <c r="N9" s="6">
        <f>'[15]NW NEW VEHICLE'!$B$11-'[15]NW NEW VEHICLE'!$B$9</f>
        <v>2029.6566666666665</v>
      </c>
      <c r="O9" s="6">
        <f>'[16]NW NEW VEHICLE'!$B$11-'[16]NW NEW VEHICLE'!$B$9</f>
        <v>2169.5486111111109</v>
      </c>
      <c r="P9" s="6">
        <f>'[17]NW NEW VEHICLE'!$B$11-'[17]NW NEW VEHICLE'!$B$9</f>
        <v>1957.8561818181811</v>
      </c>
      <c r="Q9" s="3"/>
      <c r="R9" s="6">
        <f t="shared" si="2"/>
        <v>1966.5786828328182</v>
      </c>
    </row>
    <row r="10" spans="1:22" s="7" customFormat="1" x14ac:dyDescent="0.25">
      <c r="A10" s="7" t="s">
        <v>1070</v>
      </c>
      <c r="B10" s="6">
        <f>'[3]NW NEW VEHICLE'!$B$9</f>
        <v>35.197567567567567</v>
      </c>
      <c r="C10" s="6">
        <f>'[4]NW NEW VEHICLE'!$B$9</f>
        <v>0</v>
      </c>
      <c r="D10" s="6">
        <f>'[5]NW NEW VEHICLE'!$B$9</f>
        <v>333.33333333333331</v>
      </c>
      <c r="E10" s="6">
        <f>'[6]NW NEW VEHICLE'!$B$9</f>
        <v>0</v>
      </c>
      <c r="F10" s="6">
        <f>'[7]NW NEW VEHICLE'!$B$9</f>
        <v>0</v>
      </c>
      <c r="G10" s="6">
        <f>'[8]NW NEW VEHICLE'!$B$9</f>
        <v>734.80785714285707</v>
      </c>
      <c r="H10" s="6">
        <f>'[9]NW NEW VEHICLE'!$B$9</f>
        <v>0</v>
      </c>
      <c r="I10" s="6">
        <f>'[10]NW NEW VEHICLE'!$B$9</f>
        <v>0</v>
      </c>
      <c r="J10" s="6">
        <f>'[11]NW NEW VEHICLE'!$B$9</f>
        <v>620.60390625000002</v>
      </c>
      <c r="K10" s="6">
        <f>'[12]NW NEW VEHICLE'!$B$9</f>
        <v>0</v>
      </c>
      <c r="L10" s="6">
        <f>'[13]NW NEW VEHICLE'!$B$9</f>
        <v>0</v>
      </c>
      <c r="M10" s="6">
        <f>'[14]NW NEW VEHICLE'!$B$9</f>
        <v>983.87096774193549</v>
      </c>
      <c r="N10" s="6">
        <f>'[15]NW NEW VEHICLE'!$B$9</f>
        <v>0</v>
      </c>
      <c r="O10" s="6">
        <f>'[16]NW NEW VEHICLE'!$B$9</f>
        <v>0</v>
      </c>
      <c r="P10" s="6">
        <f>'[17]NW NEW VEHICLE'!$B$9</f>
        <v>690.58745454545453</v>
      </c>
      <c r="Q10" s="6"/>
      <c r="R10" s="6">
        <f t="shared" si="2"/>
        <v>252.4891821400206</v>
      </c>
      <c r="S10" s="116"/>
      <c r="T10" s="1"/>
      <c r="U10" s="6"/>
      <c r="V10" s="6"/>
    </row>
    <row r="11" spans="1:22" x14ac:dyDescent="0.25">
      <c r="A11" s="7" t="s">
        <v>1071</v>
      </c>
      <c r="B11" s="6">
        <f>'[3]NW NEW VEHICLE'!$B$15</f>
        <v>529.7348648648649</v>
      </c>
      <c r="C11" s="6">
        <f>'[4]NW NEW VEHICLE'!$B$15</f>
        <v>622.99054054054056</v>
      </c>
      <c r="D11" s="6">
        <f>'[5]NW NEW VEHICLE'!$B$15</f>
        <v>443.95049382716053</v>
      </c>
      <c r="E11" s="6">
        <f>'[6]NW NEW VEHICLE'!$B$15</f>
        <v>387.37304347826085</v>
      </c>
      <c r="F11" s="6">
        <f>'[7]NW NEW VEHICLE'!$B$15</f>
        <v>537.24480000000005</v>
      </c>
      <c r="G11" s="6">
        <f>'[8]NW NEW VEHICLE'!$B$15</f>
        <v>572.15755102040816</v>
      </c>
      <c r="H11" s="6">
        <f>'[9]NW NEW VEHICLE'!$B$15</f>
        <v>935.51969696969695</v>
      </c>
      <c r="I11" s="6">
        <f>'[10]NW NEW VEHICLE'!$B$15</f>
        <v>496.47746268656715</v>
      </c>
      <c r="J11" s="6">
        <f>'[11]NW NEW VEHICLE'!$B$15</f>
        <v>505.25296874999998</v>
      </c>
      <c r="K11" s="6">
        <f>'[12]NW NEW VEHICLE'!$B$15</f>
        <v>461.14631578947365</v>
      </c>
      <c r="L11" s="6">
        <f>'[13]NW NEW VEHICLE'!$B$15</f>
        <v>521.73814814814818</v>
      </c>
      <c r="M11" s="6">
        <f>'[14]NW NEW VEHICLE'!$B$15</f>
        <v>494.26129032258063</v>
      </c>
      <c r="N11" s="6">
        <f>'[15]NW NEW VEHICLE'!$B$15</f>
        <v>496.84916666666663</v>
      </c>
      <c r="O11" s="6">
        <f>'[16]NW NEW VEHICLE'!$B$15</f>
        <v>639.75138888888887</v>
      </c>
      <c r="P11" s="6">
        <f>'[17]NW NEW VEHICLE'!$B$15</f>
        <v>477.58199999999999</v>
      </c>
      <c r="Q11" s="3"/>
      <c r="R11" s="6">
        <f t="shared" si="2"/>
        <v>543.77948606005771</v>
      </c>
    </row>
    <row r="12" spans="1:22" x14ac:dyDescent="0.25">
      <c r="A12" s="7" t="s">
        <v>1072</v>
      </c>
      <c r="B12" s="6">
        <f>'[3]NW NEW VEHICLE'!$B$20</f>
        <v>648.91608108108107</v>
      </c>
      <c r="C12" s="6">
        <f>'[4]NW NEW VEHICLE'!$B$20</f>
        <v>952.47675675675691</v>
      </c>
      <c r="D12" s="6">
        <f>'[5]NW NEW VEHICLE'!$B$20</f>
        <v>565.16061728395061</v>
      </c>
      <c r="E12" s="6">
        <f>'[6]NW NEW VEHICLE'!$B$20</f>
        <v>785.98159420289858</v>
      </c>
      <c r="F12" s="6">
        <f>'[7]NW NEW VEHICLE'!$B$20</f>
        <v>654.38866666666672</v>
      </c>
      <c r="G12" s="6">
        <f>'[8]NW NEW VEHICLE'!$B$20</f>
        <v>476.005</v>
      </c>
      <c r="H12" s="6">
        <f>'[9]NW NEW VEHICLE'!$B$20</f>
        <v>1708.4518181818182</v>
      </c>
      <c r="I12" s="6">
        <f>'[10]NW NEW VEHICLE'!$B$20</f>
        <v>638.31895522388061</v>
      </c>
      <c r="J12" s="6">
        <f>'[11]NW NEW VEHICLE'!$B$20</f>
        <v>569.58843750000005</v>
      </c>
      <c r="K12" s="6">
        <f>'[12]NW NEW VEHICLE'!$B$20</f>
        <v>1184.5863157894739</v>
      </c>
      <c r="L12" s="6">
        <f>'[13]NW NEW VEHICLE'!$B$20</f>
        <v>839.03962962962976</v>
      </c>
      <c r="M12" s="6">
        <f>'[14]NW NEW VEHICLE'!$B$20</f>
        <v>1382.9867741935484</v>
      </c>
      <c r="N12" s="6">
        <f>'[15]NW NEW VEHICLE'!$B$20</f>
        <v>717.04983333333337</v>
      </c>
      <c r="O12" s="6">
        <f>'[16]NW NEW VEHICLE'!$B$20</f>
        <v>1217.6047222222221</v>
      </c>
      <c r="P12" s="6">
        <f>'[17]NW NEW VEHICLE'!$B$20</f>
        <v>652.00236363636361</v>
      </c>
      <c r="R12" s="6">
        <f t="shared" si="2"/>
        <v>902.16700921498614</v>
      </c>
    </row>
    <row r="13" spans="1:22" x14ac:dyDescent="0.25">
      <c r="A13" s="7" t="s">
        <v>1073</v>
      </c>
      <c r="B13" s="6">
        <f>'[3]NW NEW VEHICLE'!$B$21</f>
        <v>1178.650945945946</v>
      </c>
      <c r="C13" s="6">
        <f>'[4]NW NEW VEHICLE'!$B$21</f>
        <v>1575.4672972972976</v>
      </c>
      <c r="D13" s="6">
        <f>'[5]NW NEW VEHICLE'!$B$21</f>
        <v>1009.1111111111111</v>
      </c>
      <c r="E13" s="6">
        <f>'[6]NW NEW VEHICLE'!$B$21</f>
        <v>1173.3546376811594</v>
      </c>
      <c r="F13" s="6">
        <f>'[7]NW NEW VEHICLE'!$B$21</f>
        <v>1191.6334666666667</v>
      </c>
      <c r="G13" s="6">
        <f>'[8]NW NEW VEHICLE'!$B$21</f>
        <v>1048.162551020408</v>
      </c>
      <c r="H13" s="6">
        <f>'[9]NW NEW VEHICLE'!$B$21</f>
        <v>2643.9715151515152</v>
      </c>
      <c r="I13" s="6">
        <f>'[10]NW NEW VEHICLE'!$B$21</f>
        <v>1134.7964179104479</v>
      </c>
      <c r="J13" s="6">
        <f>'[11]NW NEW VEHICLE'!$B$21</f>
        <v>1074.8414062500001</v>
      </c>
      <c r="K13" s="6">
        <f>'[12]NW NEW VEHICLE'!$B$21</f>
        <v>1645.7326315789476</v>
      </c>
      <c r="L13" s="6">
        <f>'[13]NW NEW VEHICLE'!$B$21</f>
        <v>1360.7777777777778</v>
      </c>
      <c r="M13" s="6">
        <f>'[14]NW NEW VEHICLE'!$B$21</f>
        <v>1877.248064516129</v>
      </c>
      <c r="N13" s="6">
        <f>'[15]NW NEW VEHICLE'!$B$21</f>
        <v>1213.8989999999999</v>
      </c>
      <c r="O13" s="6">
        <f>'[16]NW NEW VEHICLE'!$B$21</f>
        <v>1857.356111111111</v>
      </c>
      <c r="P13" s="6">
        <f>'[17]NW NEW VEHICLE'!$B$21</f>
        <v>1129.5843636363636</v>
      </c>
      <c r="R13" s="6">
        <f t="shared" si="2"/>
        <v>1445.9464952750434</v>
      </c>
    </row>
    <row r="14" spans="1:22" x14ac:dyDescent="0.25">
      <c r="A14" s="7" t="s">
        <v>1074</v>
      </c>
      <c r="B14" s="6">
        <f t="shared" ref="B14:P14" si="3">B9-B13</f>
        <v>486.79972972972951</v>
      </c>
      <c r="C14" s="6">
        <f t="shared" si="3"/>
        <v>775.57486486486414</v>
      </c>
      <c r="D14" s="6">
        <f t="shared" si="3"/>
        <v>793.01469135802472</v>
      </c>
      <c r="E14" s="6">
        <f t="shared" si="3"/>
        <v>828.68376811594203</v>
      </c>
      <c r="F14" s="6">
        <f t="shared" si="3"/>
        <v>647.12933333333308</v>
      </c>
      <c r="G14" s="6">
        <f t="shared" si="3"/>
        <v>614.7090816326529</v>
      </c>
      <c r="H14" s="6">
        <f t="shared" si="3"/>
        <v>-447.67666666666673</v>
      </c>
      <c r="I14" s="6">
        <f t="shared" si="3"/>
        <v>908.48611940298565</v>
      </c>
      <c r="J14" s="6">
        <f t="shared" si="3"/>
        <v>769.07968749999964</v>
      </c>
      <c r="K14" s="6">
        <f t="shared" si="3"/>
        <v>8.3228947368420449</v>
      </c>
      <c r="L14" s="6">
        <f t="shared" si="3"/>
        <v>533.33037037036979</v>
      </c>
      <c r="M14" s="6">
        <f t="shared" si="3"/>
        <v>429.2996774193557</v>
      </c>
      <c r="N14" s="6">
        <f t="shared" si="3"/>
        <v>815.75766666666664</v>
      </c>
      <c r="O14" s="6">
        <f t="shared" si="3"/>
        <v>312.19249999999988</v>
      </c>
      <c r="P14" s="6">
        <f t="shared" si="3"/>
        <v>828.27181818181748</v>
      </c>
      <c r="R14" s="6">
        <f t="shared" si="2"/>
        <v>520.63218755777496</v>
      </c>
    </row>
    <row r="15" spans="1:22" x14ac:dyDescent="0.25">
      <c r="A15" s="7"/>
      <c r="B15" s="6"/>
      <c r="C15" s="6"/>
      <c r="D15" s="6"/>
      <c r="E15" s="6"/>
      <c r="F15" s="6"/>
      <c r="G15" s="6"/>
      <c r="H15" s="6"/>
      <c r="I15" s="6"/>
      <c r="J15" s="6"/>
      <c r="K15" s="6"/>
      <c r="L15" s="6"/>
      <c r="M15" s="6"/>
      <c r="N15" s="6"/>
      <c r="O15" s="6"/>
      <c r="P15" s="6"/>
      <c r="R15" s="6"/>
    </row>
    <row r="16" spans="1:22" x14ac:dyDescent="0.25">
      <c r="A16" s="7" t="s">
        <v>1075</v>
      </c>
      <c r="B16" s="6">
        <f t="shared" ref="B16:P16" si="4">B4*B8</f>
        <v>125847.96999999999</v>
      </c>
      <c r="C16" s="6">
        <f t="shared" si="4"/>
        <v>86988.559999999983</v>
      </c>
      <c r="D16" s="6">
        <f t="shared" si="4"/>
        <v>172972.19</v>
      </c>
      <c r="E16" s="6">
        <f t="shared" si="4"/>
        <v>138140.65</v>
      </c>
      <c r="F16" s="6">
        <f t="shared" si="4"/>
        <v>137907.21</v>
      </c>
      <c r="G16" s="6">
        <f t="shared" si="4"/>
        <v>234972.58999999997</v>
      </c>
      <c r="H16" s="6">
        <f t="shared" si="4"/>
        <v>72477.73</v>
      </c>
      <c r="I16" s="6">
        <f t="shared" si="4"/>
        <v>136899.93000000005</v>
      </c>
      <c r="J16" s="6">
        <f t="shared" si="4"/>
        <v>157729.59999999998</v>
      </c>
      <c r="K16" s="6">
        <f t="shared" si="4"/>
        <v>62854.110000000008</v>
      </c>
      <c r="L16" s="6">
        <f t="shared" si="4"/>
        <v>102281.83999999997</v>
      </c>
      <c r="M16" s="6">
        <f t="shared" si="4"/>
        <v>102002.98000000003</v>
      </c>
      <c r="N16" s="6">
        <f t="shared" si="4"/>
        <v>121779.4</v>
      </c>
      <c r="O16" s="6">
        <f t="shared" si="4"/>
        <v>78103.749999999985</v>
      </c>
      <c r="P16" s="6">
        <f t="shared" si="4"/>
        <v>145664.39999999997</v>
      </c>
      <c r="R16" s="6">
        <f>SUM(E16:P16)</f>
        <v>1490814.1899999997</v>
      </c>
    </row>
    <row r="17" spans="1:22" x14ac:dyDescent="0.25">
      <c r="A17" s="7" t="s">
        <v>1076</v>
      </c>
      <c r="B17" s="6">
        <f t="shared" ref="B17:P17" si="5">B4*B13</f>
        <v>87220.17</v>
      </c>
      <c r="C17" s="6">
        <f t="shared" si="5"/>
        <v>58292.290000000008</v>
      </c>
      <c r="D17" s="6">
        <f t="shared" si="5"/>
        <v>81738</v>
      </c>
      <c r="E17" s="6">
        <f t="shared" si="5"/>
        <v>80961.47</v>
      </c>
      <c r="F17" s="6">
        <f t="shared" si="5"/>
        <v>89372.51</v>
      </c>
      <c r="G17" s="6">
        <f t="shared" si="5"/>
        <v>102719.93</v>
      </c>
      <c r="H17" s="6">
        <f t="shared" si="5"/>
        <v>87251.06</v>
      </c>
      <c r="I17" s="6">
        <f t="shared" si="5"/>
        <v>76031.360000000001</v>
      </c>
      <c r="J17" s="6">
        <f t="shared" si="5"/>
        <v>68789.850000000006</v>
      </c>
      <c r="K17" s="6">
        <f t="shared" si="5"/>
        <v>62537.840000000011</v>
      </c>
      <c r="L17" s="6">
        <f t="shared" si="5"/>
        <v>73482</v>
      </c>
      <c r="M17" s="6">
        <f t="shared" si="5"/>
        <v>58194.69</v>
      </c>
      <c r="N17" s="6">
        <f t="shared" si="5"/>
        <v>72833.939999999988</v>
      </c>
      <c r="O17" s="6">
        <f t="shared" si="5"/>
        <v>66864.819999999992</v>
      </c>
      <c r="P17" s="6">
        <f t="shared" si="5"/>
        <v>62127.14</v>
      </c>
      <c r="Q17" s="5"/>
      <c r="R17" s="6">
        <f>SUM(E17:P17)</f>
        <v>901166.60999999987</v>
      </c>
    </row>
    <row r="18" spans="1:22" x14ac:dyDescent="0.25">
      <c r="A18" s="42" t="s">
        <v>1077</v>
      </c>
      <c r="B18" s="6">
        <f>'[3]NW NEW VEHICLE'!$B$24</f>
        <v>620.96999999999753</v>
      </c>
      <c r="C18" s="6">
        <f>'[4]NW NEW VEHICLE'!$B$24</f>
        <v>-237.5099999999984</v>
      </c>
      <c r="D18" s="6">
        <f>'[5]NW NEW VEHICLE'!$B$24</f>
        <v>3802.7000000000044</v>
      </c>
      <c r="E18" s="6">
        <f>'[6]NW NEW VEHICLE'!$B$24</f>
        <v>1343.7099999999998</v>
      </c>
      <c r="F18" s="6">
        <f>'[7]NW NEW VEHICLE'!$B$24</f>
        <v>2880.67</v>
      </c>
      <c r="G18" s="6">
        <f>'[8]NW NEW VEHICLE'!$B$24</f>
        <v>1471.119999999999</v>
      </c>
      <c r="H18" s="6">
        <f>'[9]NW NEW VEHICLE'!$B$24</f>
        <v>2001.5900000000001</v>
      </c>
      <c r="I18" s="6">
        <f>'[10]NW NEW VEHICLE'!$B$24</f>
        <v>1487.4000000000015</v>
      </c>
      <c r="J18" s="6">
        <f>'[11]NW NEW VEHICLE'!$B$24</f>
        <v>-106.43999999999869</v>
      </c>
      <c r="K18" s="6">
        <f>'[12]NW NEW VEHICLE'!$B$24</f>
        <v>1407.4599999999991</v>
      </c>
      <c r="L18" s="6">
        <f>'[13]NW NEW VEHICLE'!$B$24</f>
        <v>-135.11000000000058</v>
      </c>
      <c r="M18" s="6">
        <f>'[14]NW NEW VEHICLE'!$B$24</f>
        <v>1177.3199999999997</v>
      </c>
      <c r="N18" s="6">
        <f>'[15]NW NEW VEHICLE'!$B$24</f>
        <v>389.32000000000062</v>
      </c>
      <c r="O18" s="6">
        <f>'[16]NW NEW VEHICLE'!$B$24</f>
        <v>2199.9400000000023</v>
      </c>
      <c r="P18" s="6">
        <f>'[17]NW NEW VEHICLE'!$B$24</f>
        <v>1662.5</v>
      </c>
      <c r="Q18" s="5"/>
      <c r="R18" s="6">
        <f>SUM(E18:P18)</f>
        <v>15779.480000000003</v>
      </c>
    </row>
    <row r="19" spans="1:22" ht="15.75" thickBot="1" x14ac:dyDescent="0.3">
      <c r="A19" s="9" t="s">
        <v>1078</v>
      </c>
      <c r="B19" s="10">
        <f t="shared" ref="B19:P19" si="6">B16-B17+B18</f>
        <v>39248.76999999999</v>
      </c>
      <c r="C19" s="10">
        <f t="shared" si="6"/>
        <v>28458.759999999977</v>
      </c>
      <c r="D19" s="10">
        <f t="shared" si="6"/>
        <v>95036.890000000014</v>
      </c>
      <c r="E19" s="10">
        <f t="shared" si="6"/>
        <v>58522.889999999992</v>
      </c>
      <c r="F19" s="10">
        <f t="shared" si="6"/>
        <v>51415.369999999995</v>
      </c>
      <c r="G19" s="10">
        <f t="shared" si="6"/>
        <v>133723.77999999997</v>
      </c>
      <c r="H19" s="10">
        <f t="shared" si="6"/>
        <v>-12771.740000000002</v>
      </c>
      <c r="I19" s="10">
        <f t="shared" si="6"/>
        <v>62355.970000000052</v>
      </c>
      <c r="J19" s="10">
        <f t="shared" si="6"/>
        <v>88833.309999999969</v>
      </c>
      <c r="K19" s="10">
        <f t="shared" si="6"/>
        <v>1723.7299999999959</v>
      </c>
      <c r="L19" s="10">
        <f t="shared" si="6"/>
        <v>28664.729999999967</v>
      </c>
      <c r="M19" s="10">
        <f t="shared" si="6"/>
        <v>44985.610000000022</v>
      </c>
      <c r="N19" s="10">
        <f t="shared" si="6"/>
        <v>49334.780000000006</v>
      </c>
      <c r="O19" s="10">
        <f t="shared" si="6"/>
        <v>13438.869999999995</v>
      </c>
      <c r="P19" s="10">
        <f t="shared" si="6"/>
        <v>85199.759999999966</v>
      </c>
      <c r="R19" s="10">
        <f>SUM(E19:P19)</f>
        <v>605427.05999999994</v>
      </c>
    </row>
    <row r="20" spans="1:22" ht="15.75" thickTop="1" x14ac:dyDescent="0.25">
      <c r="A20" s="38"/>
      <c r="B20" s="19"/>
      <c r="C20" s="19"/>
      <c r="D20" s="19"/>
      <c r="E20" s="19"/>
      <c r="F20" s="19"/>
      <c r="G20" s="19"/>
      <c r="H20" s="19"/>
      <c r="I20" s="19"/>
      <c r="J20" s="19"/>
      <c r="K20" s="19"/>
      <c r="L20" s="19"/>
      <c r="M20" s="19"/>
      <c r="N20" s="19"/>
      <c r="O20" s="6"/>
      <c r="Q20" s="8"/>
    </row>
    <row r="21" spans="1:22" x14ac:dyDescent="0.25">
      <c r="A21" s="15"/>
      <c r="B21" s="6"/>
      <c r="C21" s="6"/>
      <c r="D21" s="6"/>
      <c r="E21" s="6"/>
      <c r="F21" s="6"/>
      <c r="G21" s="6"/>
      <c r="H21" s="6"/>
      <c r="I21" s="6"/>
      <c r="J21" s="6"/>
      <c r="K21" s="6"/>
      <c r="L21" s="6"/>
      <c r="M21" s="6"/>
      <c r="O21" s="6"/>
      <c r="Q21" s="3"/>
    </row>
    <row r="22" spans="1:22" ht="15.75" x14ac:dyDescent="0.25">
      <c r="A22" s="11" t="s">
        <v>1064</v>
      </c>
      <c r="B22" s="5">
        <v>45292</v>
      </c>
      <c r="C22" s="5">
        <v>45323</v>
      </c>
      <c r="D22" s="5">
        <v>45352</v>
      </c>
      <c r="E22" s="5">
        <v>45383</v>
      </c>
      <c r="F22" s="5">
        <v>45413</v>
      </c>
      <c r="G22" s="5">
        <v>45444</v>
      </c>
      <c r="H22" s="5">
        <v>45474</v>
      </c>
      <c r="I22" s="5">
        <v>45505</v>
      </c>
      <c r="J22" s="5">
        <v>45536</v>
      </c>
      <c r="K22" s="5">
        <v>45566</v>
      </c>
      <c r="L22" s="5">
        <v>45597</v>
      </c>
      <c r="M22" s="5">
        <v>45627</v>
      </c>
      <c r="N22" s="5">
        <v>45658</v>
      </c>
      <c r="O22" s="5">
        <v>45689</v>
      </c>
      <c r="P22" s="5">
        <v>45717</v>
      </c>
      <c r="R22" s="5" t="s">
        <v>955</v>
      </c>
    </row>
    <row r="23" spans="1:22" x14ac:dyDescent="0.25">
      <c r="A23" s="4"/>
      <c r="B23" s="5" t="s">
        <v>958</v>
      </c>
      <c r="C23" s="5" t="s">
        <v>959</v>
      </c>
      <c r="D23" s="5" t="s">
        <v>959</v>
      </c>
      <c r="E23" s="5" t="s">
        <v>959</v>
      </c>
      <c r="F23" s="5" t="s">
        <v>959</v>
      </c>
      <c r="G23" s="5" t="s">
        <v>959</v>
      </c>
      <c r="H23" s="5" t="s">
        <v>959</v>
      </c>
      <c r="I23" s="5" t="s">
        <v>959</v>
      </c>
      <c r="J23" s="5" t="s">
        <v>959</v>
      </c>
      <c r="K23" s="5" t="s">
        <v>959</v>
      </c>
      <c r="L23" s="5" t="s">
        <v>959</v>
      </c>
      <c r="M23" s="5" t="s">
        <v>959</v>
      </c>
      <c r="N23" s="5" t="s">
        <v>959</v>
      </c>
      <c r="O23" s="5" t="s">
        <v>959</v>
      </c>
      <c r="P23" s="5" t="s">
        <v>959</v>
      </c>
      <c r="R23" s="5" t="s">
        <v>961</v>
      </c>
    </row>
    <row r="24" spans="1:22" x14ac:dyDescent="0.25">
      <c r="A24" s="38"/>
      <c r="C24" s="19"/>
      <c r="D24" s="19"/>
      <c r="E24" s="19"/>
      <c r="F24" s="19"/>
      <c r="G24" s="19"/>
      <c r="H24" s="19"/>
      <c r="I24" s="19"/>
      <c r="J24" s="19"/>
      <c r="K24" s="19"/>
      <c r="L24" s="19"/>
      <c r="M24" s="19"/>
      <c r="O24" s="6"/>
    </row>
    <row r="25" spans="1:22" x14ac:dyDescent="0.25">
      <c r="A25" t="s">
        <v>1065</v>
      </c>
      <c r="B25" s="2">
        <f>'[15]NW NEW VEHICLE'!$B$6</f>
        <v>60</v>
      </c>
      <c r="C25" s="2">
        <f>'[15]NW NEW VEHICLE'!$C$6</f>
        <v>62.5</v>
      </c>
      <c r="D25" s="2">
        <f>'[17]NW NEW VEHICLE'!$C$6</f>
        <v>62.5</v>
      </c>
      <c r="E25" s="2">
        <f>E27*E26+1</f>
        <v>47</v>
      </c>
      <c r="F25" s="2">
        <f t="shared" ref="F25:P25" si="7">F27*F26+1</f>
        <v>47</v>
      </c>
      <c r="G25" s="2">
        <f t="shared" si="7"/>
        <v>47</v>
      </c>
      <c r="H25" s="2">
        <f t="shared" si="7"/>
        <v>47.25</v>
      </c>
      <c r="I25" s="2">
        <f t="shared" si="7"/>
        <v>47.25</v>
      </c>
      <c r="J25" s="2">
        <f t="shared" si="7"/>
        <v>47.25</v>
      </c>
      <c r="K25" s="2">
        <f t="shared" si="7"/>
        <v>47.25</v>
      </c>
      <c r="L25" s="2">
        <f t="shared" si="7"/>
        <v>47.25</v>
      </c>
      <c r="M25" s="2">
        <f t="shared" si="7"/>
        <v>49.75</v>
      </c>
      <c r="N25" s="2">
        <f t="shared" si="7"/>
        <v>49.75</v>
      </c>
      <c r="O25" s="2">
        <f t="shared" si="7"/>
        <v>49.75</v>
      </c>
      <c r="P25" s="2">
        <f t="shared" si="7"/>
        <v>52.25</v>
      </c>
      <c r="R25" s="2">
        <f>SUM(E25:P25)</f>
        <v>578.75</v>
      </c>
      <c r="S25" s="34" t="str">
        <f>'New Vehicles - NS'!S25</f>
        <v>Based on Q1 TNZ Targets and Q125 expected to align with Q424 subject to change, Remaining portion from NW</v>
      </c>
    </row>
    <row r="26" spans="1:22" x14ac:dyDescent="0.25">
      <c r="A26" t="s">
        <v>1066</v>
      </c>
      <c r="B26" s="2">
        <f>'[15]NW NEW VEHICLE'!$B$27</f>
        <v>2</v>
      </c>
      <c r="C26" s="2">
        <f>'[16]NW NEW VEHICLE'!$C$27</f>
        <v>2</v>
      </c>
      <c r="D26" s="2">
        <f>'[16]NW NEW VEHICLE'!$C$27</f>
        <v>2</v>
      </c>
      <c r="E26" s="2">
        <v>2</v>
      </c>
      <c r="F26" s="2">
        <v>2</v>
      </c>
      <c r="G26" s="2">
        <v>2</v>
      </c>
      <c r="H26" s="242">
        <v>2.5</v>
      </c>
      <c r="I26" s="242">
        <v>2.5</v>
      </c>
      <c r="J26" s="242">
        <v>2.5</v>
      </c>
      <c r="K26" s="242">
        <v>2.5</v>
      </c>
      <c r="L26" s="242">
        <v>2.5</v>
      </c>
      <c r="M26" s="242">
        <v>2.5</v>
      </c>
      <c r="N26" s="242">
        <v>2.5</v>
      </c>
      <c r="O26" s="242">
        <v>2.5</v>
      </c>
      <c r="P26" s="242">
        <v>2.5</v>
      </c>
      <c r="Q26" s="243"/>
      <c r="R26" s="2">
        <f>P26</f>
        <v>2.5</v>
      </c>
    </row>
    <row r="27" spans="1:22" x14ac:dyDescent="0.25">
      <c r="A27" s="39" t="s">
        <v>1067</v>
      </c>
      <c r="B27" s="2">
        <f>B25/B26</f>
        <v>30</v>
      </c>
      <c r="C27" s="2">
        <f>C25/C26</f>
        <v>31.25</v>
      </c>
      <c r="D27" s="2">
        <f>D25/D26</f>
        <v>31.25</v>
      </c>
      <c r="E27" s="2">
        <v>23</v>
      </c>
      <c r="F27" s="2">
        <v>23</v>
      </c>
      <c r="G27" s="2">
        <v>23</v>
      </c>
      <c r="H27" s="2">
        <v>18.5</v>
      </c>
      <c r="I27" s="2">
        <v>18.5</v>
      </c>
      <c r="J27" s="2">
        <v>18.5</v>
      </c>
      <c r="K27" s="2">
        <v>18.5</v>
      </c>
      <c r="L27" s="2">
        <v>18.5</v>
      </c>
      <c r="M27" s="2">
        <v>19.5</v>
      </c>
      <c r="N27" s="2">
        <v>19.5</v>
      </c>
      <c r="O27" s="2">
        <v>19.5</v>
      </c>
      <c r="P27" s="2">
        <v>20.5</v>
      </c>
      <c r="R27" s="2">
        <f>AVERAGE(E27:P27)</f>
        <v>20.041666666666668</v>
      </c>
      <c r="S27" s="34" t="s">
        <v>1099</v>
      </c>
    </row>
    <row r="28" spans="1:22" x14ac:dyDescent="0.25">
      <c r="B28" s="2"/>
      <c r="C28" s="2"/>
      <c r="D28" s="2"/>
      <c r="E28" s="2"/>
      <c r="F28" s="2"/>
      <c r="G28" s="2"/>
      <c r="H28" s="2"/>
      <c r="I28" s="2"/>
      <c r="J28" s="2"/>
      <c r="K28" s="2"/>
      <c r="L28" s="2"/>
      <c r="M28" s="2"/>
      <c r="N28" s="2"/>
      <c r="O28" s="2"/>
      <c r="P28" s="2"/>
      <c r="R28" s="2"/>
    </row>
    <row r="29" spans="1:22" x14ac:dyDescent="0.25">
      <c r="A29" t="s">
        <v>1068</v>
      </c>
      <c r="B29" s="6">
        <f>B30+B31</f>
        <v>2029.6566666666665</v>
      </c>
      <c r="C29" s="6">
        <f t="shared" ref="C29:P29" si="8">C30+C31</f>
        <v>1950</v>
      </c>
      <c r="D29" s="6">
        <f t="shared" si="8"/>
        <v>2632.3308270676689</v>
      </c>
      <c r="E29" s="6">
        <f t="shared" si="8"/>
        <v>2050</v>
      </c>
      <c r="F29" s="6">
        <f t="shared" si="8"/>
        <v>2050</v>
      </c>
      <c r="G29" s="6">
        <f t="shared" si="8"/>
        <v>2456.25</v>
      </c>
      <c r="H29" s="6">
        <f t="shared" si="8"/>
        <v>2050</v>
      </c>
      <c r="I29" s="6">
        <f t="shared" si="8"/>
        <v>2050</v>
      </c>
      <c r="J29" s="6">
        <f t="shared" si="8"/>
        <v>2456.25</v>
      </c>
      <c r="K29" s="6">
        <f t="shared" si="8"/>
        <v>2050</v>
      </c>
      <c r="L29" s="6">
        <f t="shared" si="8"/>
        <v>2050</v>
      </c>
      <c r="M29" s="6">
        <f t="shared" si="8"/>
        <v>2456.25</v>
      </c>
      <c r="N29" s="6">
        <f t="shared" si="8"/>
        <v>2050</v>
      </c>
      <c r="O29" s="6">
        <f t="shared" si="8"/>
        <v>2050</v>
      </c>
      <c r="P29" s="6">
        <f t="shared" si="8"/>
        <v>2456.25</v>
      </c>
      <c r="R29" s="6">
        <f t="shared" ref="R29:R35" si="9">AVERAGE(E29:P29)</f>
        <v>2185.4166666666665</v>
      </c>
    </row>
    <row r="30" spans="1:22" s="7" customFormat="1" x14ac:dyDescent="0.25">
      <c r="A30" s="7" t="s">
        <v>1069</v>
      </c>
      <c r="B30" s="6">
        <f>'[15]NW NEW VEHICLE'!$B$11-'[15]NW NEW VEHICLE'!$B$9</f>
        <v>2029.6566666666665</v>
      </c>
      <c r="C30" s="6">
        <f>'[16]NW NEW VEHICLE'!$C$11-'[16]NW NEW VEHICLE'!$C$9</f>
        <v>1950</v>
      </c>
      <c r="D30" s="6">
        <f>'[17]NW NEW VEHICLE'!$C$11-'[17]NW NEW VEHICLE'!$C$9</f>
        <v>1949.9999999999998</v>
      </c>
      <c r="E30" s="6">
        <f>1500-400+MEDIAN(450,500,600,650,800,850,900,1000,1050,1150,1200,1300,1400,2200)</f>
        <v>2050</v>
      </c>
      <c r="F30" s="6">
        <f t="shared" ref="F30:M30" si="10">1500-400+MEDIAN(450,500,600,650,800,850,900,1000,1050,1150,1200,1300,1400,2200)</f>
        <v>2050</v>
      </c>
      <c r="G30" s="6">
        <f t="shared" si="10"/>
        <v>2050</v>
      </c>
      <c r="H30" s="6">
        <f t="shared" si="10"/>
        <v>2050</v>
      </c>
      <c r="I30" s="6">
        <f t="shared" si="10"/>
        <v>2050</v>
      </c>
      <c r="J30" s="6">
        <f t="shared" si="10"/>
        <v>2050</v>
      </c>
      <c r="K30" s="6">
        <f t="shared" si="10"/>
        <v>2050</v>
      </c>
      <c r="L30" s="6">
        <f t="shared" si="10"/>
        <v>2050</v>
      </c>
      <c r="M30" s="6">
        <f t="shared" si="10"/>
        <v>2050</v>
      </c>
      <c r="N30" s="2">
        <f>K30</f>
        <v>2050</v>
      </c>
      <c r="O30" s="2">
        <f>L30</f>
        <v>2050</v>
      </c>
      <c r="P30" s="2">
        <f>M30</f>
        <v>2050</v>
      </c>
      <c r="Q30" s="6"/>
      <c r="R30" s="6">
        <f t="shared" si="9"/>
        <v>2050</v>
      </c>
      <c r="S30" s="34" t="str">
        <f>'New Vehicles - NS'!S30</f>
        <v>$1,500 Base Fees + $950 Median of all Model Fee - $400 Funds Holdback</v>
      </c>
      <c r="T30" s="1"/>
      <c r="U30" s="6"/>
      <c r="V30" s="6"/>
    </row>
    <row r="31" spans="1:22" x14ac:dyDescent="0.25">
      <c r="A31" s="7" t="s">
        <v>1070</v>
      </c>
      <c r="B31" s="6">
        <f>'[15]NW NEW VEHICLE'!$B$9</f>
        <v>0</v>
      </c>
      <c r="C31" s="6">
        <f>'[16]NW NEW VEHICLE'!$C$9</f>
        <v>0</v>
      </c>
      <c r="D31" s="6">
        <f>'[17]NW NEW VEHICLE'!$C$9</f>
        <v>682.33082706766913</v>
      </c>
      <c r="E31" s="6">
        <v>0</v>
      </c>
      <c r="F31" s="6">
        <v>0</v>
      </c>
      <c r="G31" s="6">
        <f>'FEF Incentive Forecast FY2025'!D19/'FEF Incentive Forecast FY2025'!D2</f>
        <v>406.25</v>
      </c>
      <c r="H31" s="6">
        <v>0</v>
      </c>
      <c r="I31" s="6">
        <v>0</v>
      </c>
      <c r="J31" s="6">
        <f>'FEF Incentive Forecast FY2025'!H19/'FEF Incentive Forecast FY2025'!H2</f>
        <v>406.25</v>
      </c>
      <c r="K31" s="6">
        <v>0</v>
      </c>
      <c r="L31" s="6">
        <v>0</v>
      </c>
      <c r="M31" s="6">
        <f>'FEF Incentive Forecast FY2025'!L19/'FEF Incentive Forecast FY2025'!L2</f>
        <v>406.25</v>
      </c>
      <c r="N31" s="6">
        <f>K31</f>
        <v>0</v>
      </c>
      <c r="O31" s="6">
        <f>L31</f>
        <v>0</v>
      </c>
      <c r="P31" s="6">
        <f>'FEF Incentive Forecast FY2025'!P19/'FEF Incentive Forecast FY2025'!P2</f>
        <v>406.25</v>
      </c>
      <c r="R31" s="6">
        <f t="shared" si="9"/>
        <v>135.41666666666666</v>
      </c>
      <c r="S31" s="34" t="str">
        <f>'New Vehicles - NS'!S31</f>
        <v>See Incentive Forecast Tab</v>
      </c>
    </row>
    <row r="32" spans="1:22" x14ac:dyDescent="0.25">
      <c r="A32" s="7" t="s">
        <v>1071</v>
      </c>
      <c r="B32" s="6">
        <f>'[15]NW NEW VEHICLE'!$B$15</f>
        <v>496.84916666666663</v>
      </c>
      <c r="C32" s="6">
        <f>'[16]NW NEW VEHICLE'!$C$15</f>
        <v>400</v>
      </c>
      <c r="D32" s="6">
        <f>'[17]NW NEW VEHICLE'!$C$15</f>
        <v>400</v>
      </c>
      <c r="E32" s="6">
        <f>E51/E25</f>
        <v>638.88190738996468</v>
      </c>
      <c r="F32" s="6">
        <f t="shared" ref="F32:P32" si="11">F51/F25</f>
        <v>638.88190738996468</v>
      </c>
      <c r="G32" s="6">
        <f t="shared" si="11"/>
        <v>639.95544462400721</v>
      </c>
      <c r="H32" s="6">
        <f t="shared" si="11"/>
        <v>638.17962216567912</v>
      </c>
      <c r="I32" s="6">
        <f t="shared" si="11"/>
        <v>638.17962216567912</v>
      </c>
      <c r="J32" s="6">
        <f t="shared" si="11"/>
        <v>639.25328287996479</v>
      </c>
      <c r="K32" s="6">
        <f t="shared" si="11"/>
        <v>638.17962216567912</v>
      </c>
      <c r="L32" s="6">
        <f t="shared" si="11"/>
        <v>638.17962216567912</v>
      </c>
      <c r="M32" s="6">
        <f t="shared" si="11"/>
        <v>632.61979504680073</v>
      </c>
      <c r="N32" s="6">
        <f t="shared" si="11"/>
        <v>631.54496778549424</v>
      </c>
      <c r="O32" s="6">
        <f t="shared" si="11"/>
        <v>631.54496778549424</v>
      </c>
      <c r="P32" s="6">
        <f t="shared" si="11"/>
        <v>626.62109073834142</v>
      </c>
      <c r="R32" s="6">
        <f t="shared" si="9"/>
        <v>636.00182102522899</v>
      </c>
    </row>
    <row r="33" spans="1:19" x14ac:dyDescent="0.25">
      <c r="A33" s="7" t="s">
        <v>1072</v>
      </c>
      <c r="B33" s="6">
        <f>'[15]NW NEW VEHICLE'!$B$20</f>
        <v>717.04983333333337</v>
      </c>
      <c r="C33" s="6">
        <f>'[16]NW NEW VEHICLE'!$C$20</f>
        <v>733.33333333333337</v>
      </c>
      <c r="D33" s="6">
        <f>'[17]NW NEW VEHICLE'!$C$20</f>
        <v>733.33333333333337</v>
      </c>
      <c r="E33" s="6">
        <f>E52/E25</f>
        <v>638.37770827255099</v>
      </c>
      <c r="F33" s="6">
        <f t="shared" ref="F33:P33" si="12">F52/F25</f>
        <v>638.37770827255099</v>
      </c>
      <c r="G33" s="6">
        <f t="shared" si="12"/>
        <v>638.37770827255099</v>
      </c>
      <c r="H33" s="6">
        <f t="shared" si="12"/>
        <v>635.0000484404211</v>
      </c>
      <c r="I33" s="6">
        <f t="shared" si="12"/>
        <v>635.0000484404211</v>
      </c>
      <c r="J33" s="6">
        <f t="shared" si="12"/>
        <v>635.0000484404211</v>
      </c>
      <c r="K33" s="6">
        <f t="shared" si="12"/>
        <v>635.0000484404211</v>
      </c>
      <c r="L33" s="6">
        <f t="shared" si="12"/>
        <v>635.0000484404211</v>
      </c>
      <c r="M33" s="6">
        <f t="shared" si="12"/>
        <v>603.09049826753562</v>
      </c>
      <c r="N33" s="6">
        <f t="shared" si="12"/>
        <v>603.09049826753562</v>
      </c>
      <c r="O33" s="6">
        <f t="shared" si="12"/>
        <v>603.09049826753562</v>
      </c>
      <c r="P33" s="6">
        <f t="shared" si="12"/>
        <v>574.23449356573963</v>
      </c>
      <c r="R33" s="6">
        <f t="shared" si="9"/>
        <v>622.80327961567525</v>
      </c>
    </row>
    <row r="34" spans="1:19" x14ac:dyDescent="0.25">
      <c r="A34" s="7" t="s">
        <v>1073</v>
      </c>
      <c r="B34" s="6">
        <f>'[15]NW NEW VEHICLE'!$B$21</f>
        <v>1213.8989999999999</v>
      </c>
      <c r="C34" s="6">
        <f>'[16]NW NEW VEHICLE'!$C$21</f>
        <v>1133.3333333333335</v>
      </c>
      <c r="D34" s="6">
        <f>'[17]NW NEW VEHICLE'!$C$21</f>
        <v>1133.3333333333335</v>
      </c>
      <c r="E34" s="6">
        <f>E32+E33</f>
        <v>1277.2596156625157</v>
      </c>
      <c r="F34" s="6">
        <f t="shared" ref="F34:P34" si="13">F32+F33</f>
        <v>1277.2596156625157</v>
      </c>
      <c r="G34" s="6">
        <f t="shared" si="13"/>
        <v>1278.3331528965582</v>
      </c>
      <c r="H34" s="6">
        <f t="shared" si="13"/>
        <v>1273.1796706061002</v>
      </c>
      <c r="I34" s="6">
        <f t="shared" si="13"/>
        <v>1273.1796706061002</v>
      </c>
      <c r="J34" s="6">
        <f t="shared" si="13"/>
        <v>1274.2533313203858</v>
      </c>
      <c r="K34" s="6">
        <f t="shared" si="13"/>
        <v>1273.1796706061002</v>
      </c>
      <c r="L34" s="6">
        <f t="shared" si="13"/>
        <v>1273.1796706061002</v>
      </c>
      <c r="M34" s="6">
        <f t="shared" si="13"/>
        <v>1235.7102933143365</v>
      </c>
      <c r="N34" s="6">
        <f t="shared" si="13"/>
        <v>1234.6354660530299</v>
      </c>
      <c r="O34" s="6">
        <f t="shared" si="13"/>
        <v>1234.6354660530299</v>
      </c>
      <c r="P34" s="6">
        <f t="shared" si="13"/>
        <v>1200.855584304081</v>
      </c>
      <c r="R34" s="6">
        <f t="shared" si="9"/>
        <v>1258.8051006409044</v>
      </c>
    </row>
    <row r="35" spans="1:19" x14ac:dyDescent="0.25">
      <c r="A35" s="7" t="s">
        <v>1074</v>
      </c>
      <c r="B35" s="6">
        <f>B30-B34</f>
        <v>815.75766666666664</v>
      </c>
      <c r="C35" s="6">
        <f>C30-C34</f>
        <v>816.66666666666652</v>
      </c>
      <c r="D35" s="6">
        <f>D30-D34</f>
        <v>816.66666666666629</v>
      </c>
      <c r="E35" s="6">
        <f>E29-E34</f>
        <v>772.74038433748433</v>
      </c>
      <c r="F35" s="6">
        <f t="shared" ref="F35:P35" si="14">F29-F34</f>
        <v>772.74038433748433</v>
      </c>
      <c r="G35" s="6">
        <f t="shared" si="14"/>
        <v>1177.9168471034418</v>
      </c>
      <c r="H35" s="6">
        <f t="shared" si="14"/>
        <v>776.82032939389978</v>
      </c>
      <c r="I35" s="6">
        <f t="shared" si="14"/>
        <v>776.82032939389978</v>
      </c>
      <c r="J35" s="6">
        <f t="shared" si="14"/>
        <v>1181.9966686796142</v>
      </c>
      <c r="K35" s="6">
        <f t="shared" si="14"/>
        <v>776.82032939389978</v>
      </c>
      <c r="L35" s="6">
        <f t="shared" si="14"/>
        <v>776.82032939389978</v>
      </c>
      <c r="M35" s="6">
        <f t="shared" si="14"/>
        <v>1220.5397066856635</v>
      </c>
      <c r="N35" s="6">
        <f t="shared" si="14"/>
        <v>815.36453394697014</v>
      </c>
      <c r="O35" s="6">
        <f t="shared" si="14"/>
        <v>815.36453394697014</v>
      </c>
      <c r="P35" s="6">
        <f t="shared" si="14"/>
        <v>1255.394415695919</v>
      </c>
      <c r="R35" s="6">
        <f t="shared" si="9"/>
        <v>926.61156602576204</v>
      </c>
    </row>
    <row r="36" spans="1:19" x14ac:dyDescent="0.25">
      <c r="A36" s="7"/>
      <c r="B36" s="6"/>
      <c r="C36" s="6"/>
      <c r="D36" s="6"/>
      <c r="E36" s="6"/>
      <c r="F36" s="6"/>
      <c r="G36" s="6"/>
      <c r="H36" s="6"/>
      <c r="I36" s="6"/>
      <c r="J36" s="6"/>
      <c r="K36" s="6"/>
      <c r="L36" s="6"/>
      <c r="M36" s="6"/>
      <c r="N36" s="6"/>
      <c r="O36" s="6"/>
      <c r="P36" s="6"/>
      <c r="R36" s="6"/>
    </row>
    <row r="37" spans="1:19" x14ac:dyDescent="0.25">
      <c r="A37" s="7" t="s">
        <v>1075</v>
      </c>
      <c r="B37" s="6">
        <f>B25*B29</f>
        <v>121779.4</v>
      </c>
      <c r="C37" s="6">
        <f>C25*C29</f>
        <v>121875</v>
      </c>
      <c r="D37" s="6">
        <f>D25*D29</f>
        <v>164520.67669172931</v>
      </c>
      <c r="E37" s="6">
        <f t="shared" ref="E37:P37" si="15">E25*E29</f>
        <v>96350</v>
      </c>
      <c r="F37" s="6">
        <f t="shared" si="15"/>
        <v>96350</v>
      </c>
      <c r="G37" s="6">
        <f t="shared" si="15"/>
        <v>115443.75</v>
      </c>
      <c r="H37" s="6">
        <f t="shared" si="15"/>
        <v>96862.5</v>
      </c>
      <c r="I37" s="6">
        <f t="shared" si="15"/>
        <v>96862.5</v>
      </c>
      <c r="J37" s="6">
        <f t="shared" si="15"/>
        <v>116057.8125</v>
      </c>
      <c r="K37" s="6">
        <f t="shared" si="15"/>
        <v>96862.5</v>
      </c>
      <c r="L37" s="6">
        <f t="shared" si="15"/>
        <v>96862.5</v>
      </c>
      <c r="M37" s="6">
        <f t="shared" si="15"/>
        <v>122198.4375</v>
      </c>
      <c r="N37" s="6">
        <f t="shared" si="15"/>
        <v>101987.5</v>
      </c>
      <c r="O37" s="6">
        <f t="shared" si="15"/>
        <v>101987.5</v>
      </c>
      <c r="P37" s="6">
        <f t="shared" si="15"/>
        <v>128339.0625</v>
      </c>
      <c r="R37" s="6">
        <f>SUM(E37:P37)</f>
        <v>1266164.0625</v>
      </c>
    </row>
    <row r="38" spans="1:19" x14ac:dyDescent="0.25">
      <c r="A38" s="7" t="s">
        <v>1076</v>
      </c>
      <c r="B38" s="6">
        <f>B25*B34</f>
        <v>72833.939999999988</v>
      </c>
      <c r="C38" s="6">
        <f>C25*C34</f>
        <v>70833.333333333343</v>
      </c>
      <c r="D38" s="6">
        <f>D25*D34</f>
        <v>70833.333333333343</v>
      </c>
      <c r="E38" s="6">
        <f>E53</f>
        <v>60031.201936138241</v>
      </c>
      <c r="F38" s="6">
        <f t="shared" ref="F38:P38" si="16">F53</f>
        <v>60031.201936138241</v>
      </c>
      <c r="G38" s="6">
        <f t="shared" si="16"/>
        <v>60081.658186138236</v>
      </c>
      <c r="H38" s="6">
        <f t="shared" si="16"/>
        <v>60157.739436138232</v>
      </c>
      <c r="I38" s="6">
        <f t="shared" si="16"/>
        <v>60157.739436138232</v>
      </c>
      <c r="J38" s="6">
        <f t="shared" si="16"/>
        <v>60208.469904888232</v>
      </c>
      <c r="K38" s="6">
        <f t="shared" si="16"/>
        <v>60157.739436138232</v>
      </c>
      <c r="L38" s="6">
        <f t="shared" si="16"/>
        <v>60157.739436138232</v>
      </c>
      <c r="M38" s="6">
        <f t="shared" si="16"/>
        <v>61476.587092388232</v>
      </c>
      <c r="N38" s="6">
        <f t="shared" si="16"/>
        <v>61423.114436138232</v>
      </c>
      <c r="O38" s="6">
        <f t="shared" si="16"/>
        <v>61423.114436138232</v>
      </c>
      <c r="P38" s="6">
        <f t="shared" si="16"/>
        <v>62744.704279888232</v>
      </c>
      <c r="R38" s="6">
        <f>SUM(E38:P38)</f>
        <v>728051.00995240873</v>
      </c>
    </row>
    <row r="39" spans="1:19" x14ac:dyDescent="0.25">
      <c r="A39" s="42" t="s">
        <v>1077</v>
      </c>
      <c r="B39" s="6">
        <f>'[15]NW NEW VEHICLE'!$B$24</f>
        <v>389.32000000000062</v>
      </c>
      <c r="C39" s="6">
        <f>'[16]NW NEW VEHICLE'!$C$24</f>
        <v>1333.3333333333333</v>
      </c>
      <c r="D39" s="6">
        <f>'[17]NW NEW VEHICLE'!$C$24</f>
        <v>1333.3333333333333</v>
      </c>
      <c r="E39" s="6">
        <f>AVERAGE($E$18:$M$18)</f>
        <v>1280.857777777778</v>
      </c>
      <c r="F39" s="6">
        <f t="shared" ref="F39:P39" si="17">AVERAGE($E$18:$M$18)</f>
        <v>1280.857777777778</v>
      </c>
      <c r="G39" s="6">
        <f t="shared" si="17"/>
        <v>1280.857777777778</v>
      </c>
      <c r="H39" s="6">
        <f t="shared" si="17"/>
        <v>1280.857777777778</v>
      </c>
      <c r="I39" s="6">
        <f t="shared" si="17"/>
        <v>1280.857777777778</v>
      </c>
      <c r="J39" s="6">
        <f t="shared" si="17"/>
        <v>1280.857777777778</v>
      </c>
      <c r="K39" s="6">
        <f t="shared" si="17"/>
        <v>1280.857777777778</v>
      </c>
      <c r="L39" s="6">
        <f t="shared" si="17"/>
        <v>1280.857777777778</v>
      </c>
      <c r="M39" s="6">
        <f t="shared" si="17"/>
        <v>1280.857777777778</v>
      </c>
      <c r="N39" s="6">
        <f t="shared" si="17"/>
        <v>1280.857777777778</v>
      </c>
      <c r="O39" s="6">
        <f t="shared" si="17"/>
        <v>1280.857777777778</v>
      </c>
      <c r="P39" s="6">
        <f t="shared" si="17"/>
        <v>1280.857777777778</v>
      </c>
      <c r="R39" s="6">
        <f>SUM(E39:P39)</f>
        <v>15370.293333333333</v>
      </c>
      <c r="S39" s="34" t="str">
        <f>'New Vehicles - NS'!S39</f>
        <v>Q223 + Q323 + Q423 Calander Year Average</v>
      </c>
    </row>
    <row r="40" spans="1:19" ht="15.75" thickBot="1" x14ac:dyDescent="0.3">
      <c r="A40" s="9" t="s">
        <v>1078</v>
      </c>
      <c r="B40" s="10">
        <f>B37-B38+B39</f>
        <v>49334.780000000006</v>
      </c>
      <c r="C40" s="10">
        <f>C37-C38+C39</f>
        <v>52374.999999999993</v>
      </c>
      <c r="D40" s="10">
        <f>D37-D38+D39</f>
        <v>95020.676691729299</v>
      </c>
      <c r="E40" s="10">
        <f>E37-E38+E39</f>
        <v>37599.655841639535</v>
      </c>
      <c r="F40" s="10">
        <f t="shared" ref="F40:P40" si="18">F37-F38+F39</f>
        <v>37599.655841639535</v>
      </c>
      <c r="G40" s="10">
        <f t="shared" si="18"/>
        <v>56642.949591639539</v>
      </c>
      <c r="H40" s="10">
        <f t="shared" si="18"/>
        <v>37985.618341639543</v>
      </c>
      <c r="I40" s="10">
        <f t="shared" si="18"/>
        <v>37985.618341639543</v>
      </c>
      <c r="J40" s="10">
        <f t="shared" si="18"/>
        <v>57130.200372889543</v>
      </c>
      <c r="K40" s="10">
        <f t="shared" si="18"/>
        <v>37985.618341639543</v>
      </c>
      <c r="L40" s="10">
        <f t="shared" si="18"/>
        <v>37985.618341639543</v>
      </c>
      <c r="M40" s="10">
        <f t="shared" si="18"/>
        <v>62002.708185389543</v>
      </c>
      <c r="N40" s="10">
        <f t="shared" si="18"/>
        <v>41845.243341639543</v>
      </c>
      <c r="O40" s="10">
        <f t="shared" si="18"/>
        <v>41845.243341639543</v>
      </c>
      <c r="P40" s="10">
        <f t="shared" si="18"/>
        <v>66875.215997889551</v>
      </c>
      <c r="R40" s="10">
        <f>SUM(E40:P40)</f>
        <v>553483.34588092437</v>
      </c>
    </row>
    <row r="41" spans="1:19" ht="15.75" thickTop="1" x14ac:dyDescent="0.25">
      <c r="A41" s="21"/>
      <c r="B41" s="19"/>
      <c r="C41" s="19"/>
      <c r="D41" s="19"/>
      <c r="E41" s="19"/>
      <c r="F41" s="19"/>
      <c r="G41" s="19"/>
      <c r="H41" s="19"/>
      <c r="I41" s="19"/>
      <c r="J41" s="19"/>
      <c r="K41" s="19"/>
      <c r="L41" s="19"/>
      <c r="M41" s="19"/>
      <c r="O41" s="6"/>
    </row>
    <row r="42" spans="1:19" x14ac:dyDescent="0.25">
      <c r="A42" s="21"/>
      <c r="B42" s="19"/>
      <c r="C42" s="19"/>
      <c r="D42" s="19"/>
      <c r="E42" s="19"/>
      <c r="F42" s="19"/>
      <c r="G42" s="19"/>
      <c r="H42" s="19"/>
      <c r="I42" s="19"/>
      <c r="J42" s="19"/>
      <c r="K42" s="19"/>
      <c r="L42" s="19"/>
      <c r="M42" s="19"/>
      <c r="O42" s="6"/>
    </row>
    <row r="43" spans="1:19" x14ac:dyDescent="0.25">
      <c r="A43" t="s">
        <v>1100</v>
      </c>
      <c r="E43" s="52"/>
      <c r="F43" s="52"/>
      <c r="G43" s="52"/>
      <c r="H43" s="52">
        <f>$R$43*50%/12/H25</f>
        <v>52.910052910052912</v>
      </c>
      <c r="I43" s="52">
        <f t="shared" ref="I43:P43" si="19">$R$43*50%/12/I25</f>
        <v>52.910052910052912</v>
      </c>
      <c r="J43" s="52">
        <f t="shared" si="19"/>
        <v>52.910052910052912</v>
      </c>
      <c r="K43" s="52">
        <f t="shared" si="19"/>
        <v>52.910052910052912</v>
      </c>
      <c r="L43" s="52">
        <f t="shared" si="19"/>
        <v>52.910052910052912</v>
      </c>
      <c r="M43" s="52">
        <f t="shared" si="19"/>
        <v>50.251256281407038</v>
      </c>
      <c r="N43" s="52">
        <f t="shared" si="19"/>
        <v>50.251256281407038</v>
      </c>
      <c r="O43" s="52">
        <f t="shared" si="19"/>
        <v>50.251256281407038</v>
      </c>
      <c r="P43" s="52">
        <f t="shared" si="19"/>
        <v>47.846889952153113</v>
      </c>
      <c r="Q43" s="52"/>
      <c r="R43" s="52">
        <f>60000</f>
        <v>60000</v>
      </c>
      <c r="S43" s="34" t="s">
        <v>1101</v>
      </c>
    </row>
    <row r="44" spans="1:19" x14ac:dyDescent="0.25">
      <c r="A44" s="21"/>
      <c r="B44" s="19"/>
      <c r="C44" s="19"/>
      <c r="D44" s="19"/>
      <c r="E44" s="19"/>
      <c r="F44" s="19"/>
      <c r="G44" s="19"/>
      <c r="H44" s="19"/>
      <c r="I44" s="19"/>
      <c r="J44" s="19"/>
      <c r="K44" s="19"/>
      <c r="L44" s="19"/>
      <c r="M44" s="19"/>
      <c r="O44" s="6"/>
      <c r="R44" s="3"/>
      <c r="S44" s="34" t="s">
        <v>1102</v>
      </c>
    </row>
    <row r="45" spans="1:19" x14ac:dyDescent="0.25">
      <c r="A45" s="21"/>
      <c r="B45" s="19"/>
      <c r="C45" s="19"/>
      <c r="D45" s="19"/>
      <c r="E45" s="19">
        <v>5000</v>
      </c>
      <c r="F45" s="19">
        <v>5000</v>
      </c>
      <c r="G45" s="19">
        <v>5000</v>
      </c>
      <c r="H45" s="19">
        <v>5000</v>
      </c>
      <c r="I45" s="19">
        <v>5000</v>
      </c>
      <c r="J45" s="19">
        <v>5000</v>
      </c>
      <c r="K45" s="19">
        <v>5000</v>
      </c>
      <c r="L45" s="19">
        <v>5000</v>
      </c>
      <c r="M45" s="19">
        <v>5000</v>
      </c>
      <c r="N45" s="19">
        <v>5000</v>
      </c>
      <c r="O45" s="19">
        <v>5000</v>
      </c>
      <c r="P45" s="19">
        <v>5000</v>
      </c>
    </row>
    <row r="46" spans="1:19" x14ac:dyDescent="0.25">
      <c r="A46" t="s">
        <v>990</v>
      </c>
      <c r="E46">
        <f>2500*10</f>
        <v>25000</v>
      </c>
      <c r="F46">
        <f t="shared" ref="F46:P46" si="20">2500*10</f>
        <v>25000</v>
      </c>
      <c r="G46">
        <f t="shared" si="20"/>
        <v>25000</v>
      </c>
      <c r="H46">
        <f t="shared" si="20"/>
        <v>25000</v>
      </c>
      <c r="I46">
        <f t="shared" si="20"/>
        <v>25000</v>
      </c>
      <c r="J46">
        <f t="shared" si="20"/>
        <v>25000</v>
      </c>
      <c r="K46">
        <f t="shared" si="20"/>
        <v>25000</v>
      </c>
      <c r="L46">
        <f t="shared" si="20"/>
        <v>25000</v>
      </c>
      <c r="M46">
        <f t="shared" si="20"/>
        <v>25000</v>
      </c>
      <c r="N46">
        <f t="shared" si="20"/>
        <v>25000</v>
      </c>
      <c r="O46">
        <f t="shared" si="20"/>
        <v>25000</v>
      </c>
      <c r="P46">
        <f t="shared" si="20"/>
        <v>25000</v>
      </c>
    </row>
    <row r="47" spans="1:19" x14ac:dyDescent="0.25">
      <c r="A47" t="s">
        <v>989</v>
      </c>
      <c r="J47">
        <v>5</v>
      </c>
      <c r="K47">
        <v>6</v>
      </c>
      <c r="L47">
        <v>7</v>
      </c>
      <c r="M47">
        <v>8</v>
      </c>
      <c r="N47">
        <v>9</v>
      </c>
      <c r="O47">
        <v>10</v>
      </c>
      <c r="P47">
        <v>11</v>
      </c>
    </row>
    <row r="48" spans="1:19" x14ac:dyDescent="0.25">
      <c r="B48" s="7"/>
      <c r="C48" s="7"/>
      <c r="D48" s="7"/>
      <c r="E48" s="7"/>
      <c r="F48" s="7"/>
      <c r="G48" s="7"/>
      <c r="H48" s="7"/>
      <c r="I48" s="7"/>
      <c r="J48" s="7">
        <f>2000*J47</f>
        <v>10000</v>
      </c>
      <c r="K48" s="7">
        <f t="shared" ref="K48:P48" si="21">2000*K47</f>
        <v>12000</v>
      </c>
      <c r="L48" s="7">
        <f t="shared" si="21"/>
        <v>14000</v>
      </c>
      <c r="M48" s="7">
        <f t="shared" si="21"/>
        <v>16000</v>
      </c>
      <c r="N48" s="7">
        <f t="shared" si="21"/>
        <v>18000</v>
      </c>
      <c r="O48" s="7">
        <f t="shared" si="21"/>
        <v>20000</v>
      </c>
      <c r="P48" s="7">
        <f t="shared" si="21"/>
        <v>22000</v>
      </c>
    </row>
    <row r="49" spans="1:19" x14ac:dyDescent="0.25">
      <c r="B49" s="7"/>
      <c r="C49" s="7"/>
      <c r="D49" s="7"/>
      <c r="E49" s="7">
        <f>-E45+E46+E48</f>
        <v>20000</v>
      </c>
      <c r="F49" s="7">
        <f t="shared" ref="F49:P49" si="22">-F45+F46+F48</f>
        <v>20000</v>
      </c>
      <c r="G49" s="7">
        <f t="shared" si="22"/>
        <v>20000</v>
      </c>
      <c r="H49" s="7">
        <f t="shared" si="22"/>
        <v>20000</v>
      </c>
      <c r="I49" s="7">
        <f t="shared" si="22"/>
        <v>20000</v>
      </c>
      <c r="J49" s="7">
        <f t="shared" si="22"/>
        <v>30000</v>
      </c>
      <c r="K49" s="7">
        <f t="shared" si="22"/>
        <v>32000</v>
      </c>
      <c r="L49" s="7">
        <f t="shared" si="22"/>
        <v>34000</v>
      </c>
      <c r="M49" s="7">
        <f t="shared" si="22"/>
        <v>36000</v>
      </c>
      <c r="N49" s="7">
        <f t="shared" si="22"/>
        <v>38000</v>
      </c>
      <c r="O49" s="7">
        <f t="shared" si="22"/>
        <v>40000</v>
      </c>
      <c r="P49" s="7">
        <f t="shared" si="22"/>
        <v>42000</v>
      </c>
      <c r="R49" s="7">
        <f>SUM(E49:P49)</f>
        <v>352000</v>
      </c>
    </row>
    <row r="50" spans="1:19" ht="15.75" thickBot="1" x14ac:dyDescent="0.3">
      <c r="B50" s="19"/>
      <c r="C50" s="19"/>
      <c r="D50" s="19"/>
      <c r="E50" s="19"/>
      <c r="F50" s="19"/>
      <c r="G50" s="19"/>
      <c r="H50" s="19"/>
      <c r="I50" s="19"/>
      <c r="J50" s="19"/>
      <c r="K50" s="19"/>
      <c r="L50" s="19"/>
      <c r="M50" s="19"/>
      <c r="O50" s="6"/>
      <c r="P50" s="17"/>
    </row>
    <row r="51" spans="1:19" x14ac:dyDescent="0.25">
      <c r="A51" s="245" t="s">
        <v>1090</v>
      </c>
      <c r="B51" s="248"/>
      <c r="C51" s="248"/>
      <c r="D51" s="248"/>
      <c r="E51" s="248">
        <f>'[18]Summary - Selling Expenses'!Z$17+'[18]Summary - Selling Expenses'!Z$34+'[18]Summary - Selling Expenses'!Z$53+'[18]Summary - Selling Expenses'!Z$337</f>
        <v>30027.44964732834</v>
      </c>
      <c r="F51" s="248">
        <f>'[18]Summary - Selling Expenses'!AA$17+'[18]Summary - Selling Expenses'!AA$34+'[18]Summary - Selling Expenses'!AA$53+'[18]Summary - Selling Expenses'!AA$337</f>
        <v>30027.44964732834</v>
      </c>
      <c r="G51" s="248">
        <f>'[18]Summary - Selling Expenses'!AB$17+'[18]Summary - Selling Expenses'!AB$34+'[18]Summary - Selling Expenses'!AB$53+'[18]Summary - Selling Expenses'!AB$337</f>
        <v>30077.905897328339</v>
      </c>
      <c r="H51" s="248">
        <f>'[18]Summary - Selling Expenses'!AC$17+'[18]Summary - Selling Expenses'!AC$34+'[18]Summary - Selling Expenses'!AC$53+'[18]Summary - Selling Expenses'!AC$337</f>
        <v>30153.987147328338</v>
      </c>
      <c r="I51" s="248">
        <f>'[18]Summary - Selling Expenses'!AD$17+'[18]Summary - Selling Expenses'!AD$34+'[18]Summary - Selling Expenses'!AD$53+'[18]Summary - Selling Expenses'!AD$337</f>
        <v>30153.987147328338</v>
      </c>
      <c r="J51" s="248">
        <f>'[18]Summary - Selling Expenses'!AE$17+'[18]Summary - Selling Expenses'!AE$34+'[18]Summary - Selling Expenses'!AE$53+'[18]Summary - Selling Expenses'!AE$337</f>
        <v>30204.717616078338</v>
      </c>
      <c r="K51" s="248">
        <f>'[18]Summary - Selling Expenses'!AF$17+'[18]Summary - Selling Expenses'!AF$34+'[18]Summary - Selling Expenses'!AF$53+'[18]Summary - Selling Expenses'!AF$337</f>
        <v>30153.987147328338</v>
      </c>
      <c r="L51" s="248">
        <f>'[18]Summary - Selling Expenses'!AG$17+'[18]Summary - Selling Expenses'!AG$34+'[18]Summary - Selling Expenses'!AG$53+'[18]Summary - Selling Expenses'!AG$337</f>
        <v>30153.987147328338</v>
      </c>
      <c r="M51" s="248">
        <f>'[18]Summary - Selling Expenses'!AH$17+'[18]Summary - Selling Expenses'!AH$34+'[18]Summary - Selling Expenses'!AH$53+'[18]Summary - Selling Expenses'!AH$337</f>
        <v>31472.834803578338</v>
      </c>
      <c r="N51" s="248">
        <f>'[18]Summary - Selling Expenses'!AI$17+'[18]Summary - Selling Expenses'!AI$34+'[18]Summary - Selling Expenses'!AI$53+'[18]Summary - Selling Expenses'!AI$337</f>
        <v>31419.362147328338</v>
      </c>
      <c r="O51" s="248">
        <f>'[18]Summary - Selling Expenses'!AJ$17+'[18]Summary - Selling Expenses'!AJ$34+'[18]Summary - Selling Expenses'!AJ$53+'[18]Summary - Selling Expenses'!AJ$337</f>
        <v>31419.362147328338</v>
      </c>
      <c r="P51" s="248">
        <f>'[18]Summary - Selling Expenses'!AK$17+'[18]Summary - Selling Expenses'!AK$34+'[18]Summary - Selling Expenses'!AK$53+'[18]Summary - Selling Expenses'!AK$337</f>
        <v>32740.951991078338</v>
      </c>
      <c r="Q51" s="246"/>
      <c r="R51" s="253">
        <f>SUM(E51:P51)</f>
        <v>368005.98248668999</v>
      </c>
    </row>
    <row r="52" spans="1:19" x14ac:dyDescent="0.25">
      <c r="A52" s="106" t="s">
        <v>1091</v>
      </c>
      <c r="B52" s="7"/>
      <c r="C52" s="7"/>
      <c r="D52" s="7"/>
      <c r="E52" s="7">
        <f>'[18]Summary - Selling Expenses'!Z$71+'[18]Summary - Selling Expenses'!Z$87+'[18]Summary - Selling Expenses'!Z$103+'[18]Summary - Selling Expenses'!Z$126+'[18]Summary - Selling Expenses'!Z$147+'[18]Summary - Selling Expenses'!Z$182+'[18]Summary - Selling Expenses'!Z$220+'[18]Summary - Selling Expenses'!Z$284+'[18]Summary - Selling Expenses'!Z$316+'[18]Summary - Selling Expenses'!Z$355</f>
        <v>30003.752288809897</v>
      </c>
      <c r="F52" s="7">
        <f>'[18]Summary - Selling Expenses'!AA$71+'[18]Summary - Selling Expenses'!AA$87+'[18]Summary - Selling Expenses'!AA$103+'[18]Summary - Selling Expenses'!AA$126+'[18]Summary - Selling Expenses'!AA$147+'[18]Summary - Selling Expenses'!AA$182+'[18]Summary - Selling Expenses'!AA$220+'[18]Summary - Selling Expenses'!AA$284+'[18]Summary - Selling Expenses'!AA$316+'[18]Summary - Selling Expenses'!AA$355</f>
        <v>30003.752288809897</v>
      </c>
      <c r="G52" s="7">
        <f>'[18]Summary - Selling Expenses'!AB$71+'[18]Summary - Selling Expenses'!AB$87+'[18]Summary - Selling Expenses'!AB$103+'[18]Summary - Selling Expenses'!AB$126+'[18]Summary - Selling Expenses'!AB$147+'[18]Summary - Selling Expenses'!AB$182+'[18]Summary - Selling Expenses'!AB$220+'[18]Summary - Selling Expenses'!AB$284+'[18]Summary - Selling Expenses'!AB$316+'[18]Summary - Selling Expenses'!AB$355</f>
        <v>30003.752288809897</v>
      </c>
      <c r="H52" s="7">
        <f>'[18]Summary - Selling Expenses'!AC$71+'[18]Summary - Selling Expenses'!AC$87+'[18]Summary - Selling Expenses'!AC$103+'[18]Summary - Selling Expenses'!AC$126+'[18]Summary - Selling Expenses'!AC$147+'[18]Summary - Selling Expenses'!AC$182+'[18]Summary - Selling Expenses'!AC$220+'[18]Summary - Selling Expenses'!AC$284+'[18]Summary - Selling Expenses'!AC$316+'[18]Summary - Selling Expenses'!AC$355</f>
        <v>30003.752288809897</v>
      </c>
      <c r="I52" s="7">
        <f>'[18]Summary - Selling Expenses'!AD$71+'[18]Summary - Selling Expenses'!AD$87+'[18]Summary - Selling Expenses'!AD$103+'[18]Summary - Selling Expenses'!AD$126+'[18]Summary - Selling Expenses'!AD$147+'[18]Summary - Selling Expenses'!AD$182+'[18]Summary - Selling Expenses'!AD$220+'[18]Summary - Selling Expenses'!AD$284+'[18]Summary - Selling Expenses'!AD$316+'[18]Summary - Selling Expenses'!AD$355</f>
        <v>30003.752288809897</v>
      </c>
      <c r="J52" s="7">
        <f>'[18]Summary - Selling Expenses'!AE$71+'[18]Summary - Selling Expenses'!AE$87+'[18]Summary - Selling Expenses'!AE$103+'[18]Summary - Selling Expenses'!AE$126+'[18]Summary - Selling Expenses'!AE$147+'[18]Summary - Selling Expenses'!AE$182+'[18]Summary - Selling Expenses'!AE$220+'[18]Summary - Selling Expenses'!AE$284+'[18]Summary - Selling Expenses'!AE$316+'[18]Summary - Selling Expenses'!AE$355</f>
        <v>30003.752288809897</v>
      </c>
      <c r="K52" s="7">
        <f>'[18]Summary - Selling Expenses'!AF$71+'[18]Summary - Selling Expenses'!AF$87+'[18]Summary - Selling Expenses'!AF$103+'[18]Summary - Selling Expenses'!AF$126+'[18]Summary - Selling Expenses'!AF$147+'[18]Summary - Selling Expenses'!AF$182+'[18]Summary - Selling Expenses'!AF$220+'[18]Summary - Selling Expenses'!AF$284+'[18]Summary - Selling Expenses'!AF$316+'[18]Summary - Selling Expenses'!AF$355</f>
        <v>30003.752288809897</v>
      </c>
      <c r="L52" s="7">
        <f>'[18]Summary - Selling Expenses'!AG$71+'[18]Summary - Selling Expenses'!AG$87+'[18]Summary - Selling Expenses'!AG$103+'[18]Summary - Selling Expenses'!AG$126+'[18]Summary - Selling Expenses'!AG$147+'[18]Summary - Selling Expenses'!AG$182+'[18]Summary - Selling Expenses'!AG$220+'[18]Summary - Selling Expenses'!AG$284+'[18]Summary - Selling Expenses'!AG$316+'[18]Summary - Selling Expenses'!AG$355</f>
        <v>30003.752288809897</v>
      </c>
      <c r="M52" s="7">
        <f>'[18]Summary - Selling Expenses'!AH$71+'[18]Summary - Selling Expenses'!AH$87+'[18]Summary - Selling Expenses'!AH$103+'[18]Summary - Selling Expenses'!AH$126+'[18]Summary - Selling Expenses'!AH$147+'[18]Summary - Selling Expenses'!AH$182+'[18]Summary - Selling Expenses'!AH$220+'[18]Summary - Selling Expenses'!AH$284+'[18]Summary - Selling Expenses'!AH$316+'[18]Summary - Selling Expenses'!AH$355</f>
        <v>30003.752288809897</v>
      </c>
      <c r="N52" s="7">
        <f>'[18]Summary - Selling Expenses'!AI$71+'[18]Summary - Selling Expenses'!AI$87+'[18]Summary - Selling Expenses'!AI$103+'[18]Summary - Selling Expenses'!AI$126+'[18]Summary - Selling Expenses'!AI$147+'[18]Summary - Selling Expenses'!AI$182+'[18]Summary - Selling Expenses'!AI$220+'[18]Summary - Selling Expenses'!AI$284+'[18]Summary - Selling Expenses'!AI$316+'[18]Summary - Selling Expenses'!AI$355</f>
        <v>30003.752288809897</v>
      </c>
      <c r="O52" s="7">
        <f>'[18]Summary - Selling Expenses'!AJ$71+'[18]Summary - Selling Expenses'!AJ$87+'[18]Summary - Selling Expenses'!AJ$103+'[18]Summary - Selling Expenses'!AJ$126+'[18]Summary - Selling Expenses'!AJ$147+'[18]Summary - Selling Expenses'!AJ$182+'[18]Summary - Selling Expenses'!AJ$220+'[18]Summary - Selling Expenses'!AJ$284+'[18]Summary - Selling Expenses'!AJ$316+'[18]Summary - Selling Expenses'!AJ$355</f>
        <v>30003.752288809897</v>
      </c>
      <c r="P52" s="7">
        <f>'[18]Summary - Selling Expenses'!AK$71+'[18]Summary - Selling Expenses'!AK$87+'[18]Summary - Selling Expenses'!AK$103+'[18]Summary - Selling Expenses'!AK$126+'[18]Summary - Selling Expenses'!AK$147+'[18]Summary - Selling Expenses'!AK$182+'[18]Summary - Selling Expenses'!AK$220+'[18]Summary - Selling Expenses'!AK$284+'[18]Summary - Selling Expenses'!AK$316+'[18]Summary - Selling Expenses'!AK$355</f>
        <v>30003.752288809897</v>
      </c>
      <c r="R52" s="254">
        <f>SUM(E52:P52)</f>
        <v>360045.0274657188</v>
      </c>
    </row>
    <row r="53" spans="1:19" x14ac:dyDescent="0.25">
      <c r="A53" s="106" t="s">
        <v>1092</v>
      </c>
      <c r="B53" s="7"/>
      <c r="C53" s="7"/>
      <c r="D53" s="7"/>
      <c r="E53" s="7">
        <f>E51+E52</f>
        <v>60031.201936138241</v>
      </c>
      <c r="F53" s="7">
        <f t="shared" ref="F53:P53" si="23">F51+F52</f>
        <v>60031.201936138241</v>
      </c>
      <c r="G53" s="7">
        <f t="shared" si="23"/>
        <v>60081.658186138236</v>
      </c>
      <c r="H53" s="7">
        <f t="shared" si="23"/>
        <v>60157.739436138232</v>
      </c>
      <c r="I53" s="7">
        <f t="shared" si="23"/>
        <v>60157.739436138232</v>
      </c>
      <c r="J53" s="7">
        <f t="shared" si="23"/>
        <v>60208.469904888232</v>
      </c>
      <c r="K53" s="7">
        <f t="shared" si="23"/>
        <v>60157.739436138232</v>
      </c>
      <c r="L53" s="7">
        <f t="shared" si="23"/>
        <v>60157.739436138232</v>
      </c>
      <c r="M53" s="7">
        <f t="shared" si="23"/>
        <v>61476.587092388232</v>
      </c>
      <c r="N53" s="7">
        <f t="shared" si="23"/>
        <v>61423.114436138232</v>
      </c>
      <c r="O53" s="7">
        <f t="shared" si="23"/>
        <v>61423.114436138232</v>
      </c>
      <c r="P53" s="7">
        <f t="shared" si="23"/>
        <v>62744.704279888232</v>
      </c>
      <c r="R53" s="254">
        <f>SUM(E53:P53)</f>
        <v>728051.00995240873</v>
      </c>
    </row>
    <row r="54" spans="1:19" ht="15.75" thickBot="1" x14ac:dyDescent="0.3">
      <c r="A54" s="250"/>
      <c r="B54" s="251"/>
      <c r="C54" s="251"/>
      <c r="D54" s="251"/>
      <c r="E54" s="251"/>
      <c r="F54" s="251"/>
      <c r="G54" s="251"/>
      <c r="H54" s="251"/>
      <c r="I54" s="251"/>
      <c r="J54" s="251"/>
      <c r="K54" s="251"/>
      <c r="L54" s="251"/>
      <c r="M54" s="251"/>
      <c r="N54" s="251"/>
      <c r="O54" s="251"/>
      <c r="P54" s="251"/>
      <c r="Q54" s="251"/>
      <c r="R54" s="255">
        <f>SUMIFS('[18]Summary - Selling Expenses'!$AL:$AL,'[18]Summary - Selling Expenses'!$C:$C,210,'[18]Summary - Selling Expenses'!$D:$D,'[18]Summary - Selling Expenses'!$D$17)-R53</f>
        <v>0</v>
      </c>
      <c r="S54" s="34" t="s">
        <v>1093</v>
      </c>
    </row>
    <row r="55" spans="1:19" x14ac:dyDescent="0.25">
      <c r="O55" s="3"/>
    </row>
    <row r="56" spans="1:19" x14ac:dyDescent="0.25">
      <c r="O56" s="7"/>
    </row>
    <row r="57" spans="1:19" x14ac:dyDescent="0.25"/>
    <row r="58" spans="1:19" x14ac:dyDescent="0.25"/>
    <row r="59" spans="1:19" x14ac:dyDescent="0.25"/>
    <row r="60" spans="1:19" x14ac:dyDescent="0.25"/>
    <row r="61" spans="1:19" x14ac:dyDescent="0.25"/>
    <row r="62" spans="1:19" x14ac:dyDescent="0.25"/>
    <row r="63" spans="1:19" x14ac:dyDescent="0.25"/>
    <row r="64" spans="1:19" x14ac:dyDescent="0.25"/>
    <row r="65" x14ac:dyDescent="0.25"/>
    <row r="66" x14ac:dyDescent="0.25"/>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1AB13-5C7C-45B2-9E0E-19055E06FBC4}">
  <sheetPr codeName="Sheet8">
    <tabColor theme="9" tint="0.79998168889431442"/>
  </sheetPr>
  <dimension ref="A1:T95"/>
  <sheetViews>
    <sheetView topLeftCell="A3" zoomScale="85" zoomScaleNormal="85" workbookViewId="0">
      <selection activeCell="S32" sqref="S32"/>
    </sheetView>
  </sheetViews>
  <sheetFormatPr defaultRowHeight="15" customHeight="1" x14ac:dyDescent="0.25"/>
  <cols>
    <col min="1" max="1" width="32.5703125" customWidth="1"/>
    <col min="2" max="4" width="9.5703125" hidden="1" customWidth="1"/>
    <col min="5" max="7" width="12" bestFit="1" customWidth="1"/>
    <col min="8" max="8" width="12" bestFit="1" customWidth="1" collapsed="1"/>
    <col min="9" max="10" width="12" bestFit="1" customWidth="1"/>
    <col min="11" max="11" width="12" bestFit="1" customWidth="1" collapsed="1"/>
    <col min="12" max="13" width="12" bestFit="1" customWidth="1"/>
    <col min="14" max="14" width="12" bestFit="1" customWidth="1" collapsed="1"/>
    <col min="15" max="16" width="12" bestFit="1" customWidth="1"/>
    <col min="17" max="17" width="1.7109375" bestFit="1" customWidth="1"/>
    <col min="18" max="18" width="13.5703125" bestFit="1" customWidth="1"/>
    <col min="19" max="19" width="9.42578125" customWidth="1"/>
  </cols>
  <sheetData>
    <row r="1" spans="1:18" s="21" customFormat="1" ht="15.75" x14ac:dyDescent="0.25">
      <c r="A1" s="55" t="s">
        <v>1103</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76" t="s">
        <v>951</v>
      </c>
    </row>
    <row r="2" spans="1:18" ht="15" customHeight="1" x14ac:dyDescent="0.25">
      <c r="A2" s="49"/>
      <c r="B2" s="76" t="s">
        <v>958</v>
      </c>
      <c r="C2" s="76" t="s">
        <v>958</v>
      </c>
      <c r="D2" s="76" t="s">
        <v>958</v>
      </c>
      <c r="E2" s="76" t="s">
        <v>958</v>
      </c>
      <c r="F2" s="76" t="s">
        <v>958</v>
      </c>
      <c r="G2" s="76" t="s">
        <v>958</v>
      </c>
      <c r="H2" s="76" t="s">
        <v>958</v>
      </c>
      <c r="I2" s="76" t="s">
        <v>958</v>
      </c>
      <c r="J2" s="76" t="s">
        <v>958</v>
      </c>
      <c r="K2" s="76" t="s">
        <v>958</v>
      </c>
      <c r="L2" s="76" t="s">
        <v>958</v>
      </c>
      <c r="M2" s="76" t="s">
        <v>958</v>
      </c>
      <c r="N2" s="76" t="s">
        <v>958</v>
      </c>
      <c r="O2" s="76" t="s">
        <v>958</v>
      </c>
      <c r="P2" s="76" t="s">
        <v>958</v>
      </c>
      <c r="Q2" s="5"/>
      <c r="R2" s="76" t="s">
        <v>961</v>
      </c>
    </row>
    <row r="3" spans="1:18" x14ac:dyDescent="0.25">
      <c r="A3" s="50"/>
      <c r="B3" s="50"/>
      <c r="C3" s="50"/>
      <c r="D3" s="50"/>
      <c r="E3" s="50"/>
      <c r="F3" s="50"/>
      <c r="G3" s="50"/>
      <c r="H3" s="50"/>
      <c r="I3" s="50"/>
      <c r="J3" s="50"/>
      <c r="K3" s="50"/>
      <c r="L3" s="50"/>
      <c r="M3" s="50"/>
      <c r="N3" s="50"/>
      <c r="O3" s="50"/>
      <c r="P3" s="50"/>
      <c r="R3" s="50"/>
    </row>
    <row r="4" spans="1:18" x14ac:dyDescent="0.25">
      <c r="A4" s="50" t="s">
        <v>1104</v>
      </c>
      <c r="B4" s="50">
        <f>'Used Vehicles - NS 5'!B4+'Used Vehicles - NW'!B4</f>
        <v>57</v>
      </c>
      <c r="C4" s="50">
        <f>'Used Vehicles - NS 5'!C4+'Used Vehicles - NW'!C4</f>
        <v>59</v>
      </c>
      <c r="D4" s="50">
        <f>'Used Vehicles - NS 5'!D4+'Used Vehicles - NW'!D4</f>
        <v>64</v>
      </c>
      <c r="E4" s="50">
        <f>'Used Vehicles - NS 5'!E4+'Used Vehicles - NW'!E4</f>
        <v>48</v>
      </c>
      <c r="F4" s="50">
        <f>'Used Vehicles - NS 5'!F4+'Used Vehicles - NW'!F4</f>
        <v>61</v>
      </c>
      <c r="G4" s="50">
        <f>'Used Vehicles - NS 5'!G4+'Used Vehicles - NW'!G4</f>
        <v>39</v>
      </c>
      <c r="H4" s="50">
        <f>'Used Vehicles - NS 5'!H4+'Used Vehicles - NW'!H4</f>
        <v>29</v>
      </c>
      <c r="I4" s="50">
        <f>'Used Vehicles - NS 5'!I4+'Used Vehicles - NW'!I4</f>
        <v>39</v>
      </c>
      <c r="J4" s="50">
        <f>'Used Vehicles - NS 5'!J4+'Used Vehicles - NW'!J4</f>
        <v>61</v>
      </c>
      <c r="K4" s="50">
        <f>'Used Vehicles - NS 5'!K4+'Used Vehicles - NW'!K4</f>
        <v>60</v>
      </c>
      <c r="L4" s="50">
        <f>'Used Vehicles - NS 5'!L4+'Used Vehicles - NW'!L4</f>
        <v>63</v>
      </c>
      <c r="M4" s="50">
        <f>'Used Vehicles - NS 5'!M4+'Used Vehicles - NW'!M4</f>
        <v>68</v>
      </c>
      <c r="N4" s="50">
        <f>'Used Vehicles - NS 5'!N4+'Used Vehicles - NW'!N4</f>
        <v>49</v>
      </c>
      <c r="O4" s="50">
        <f>'Used Vehicles - NS 5'!O4+'Used Vehicles - NW'!O4</f>
        <v>55</v>
      </c>
      <c r="P4" s="50">
        <f>'Used Vehicles - NS 5'!P4+'Used Vehicles - NW'!P4</f>
        <v>61</v>
      </c>
      <c r="Q4" s="8"/>
      <c r="R4" s="162">
        <f>SUM(E4:P4)</f>
        <v>633</v>
      </c>
    </row>
    <row r="5" spans="1:18" ht="15" customHeight="1" x14ac:dyDescent="0.25">
      <c r="A5" s="50" t="s">
        <v>1105</v>
      </c>
      <c r="B5" s="50">
        <f>'Used Vehicles - NS 5'!B5+'Used Vehicles - NW'!B5</f>
        <v>8</v>
      </c>
      <c r="C5" s="50">
        <f>'Used Vehicles - NS 5'!C5+'Used Vehicles - NW'!C5</f>
        <v>15</v>
      </c>
      <c r="D5" s="50">
        <f>'Used Vehicles - NS 5'!D5+'Used Vehicles - NW'!D5</f>
        <v>19</v>
      </c>
      <c r="E5" s="50">
        <f>'Used Vehicles - NS 5'!E5+'Used Vehicles - NW'!E5</f>
        <v>5</v>
      </c>
      <c r="F5" s="50">
        <f>'Used Vehicles - NS 5'!F5+'Used Vehicles - NW'!F5</f>
        <v>11</v>
      </c>
      <c r="G5" s="50">
        <f>'Used Vehicles - NS 5'!G5+'Used Vehicles - NW'!G5</f>
        <v>8</v>
      </c>
      <c r="H5" s="50">
        <f>'Used Vehicles - NS 5'!H5+'Used Vehicles - NW'!H5</f>
        <v>9</v>
      </c>
      <c r="I5" s="50">
        <f>'Used Vehicles - NS 5'!I5+'Used Vehicles - NW'!I5</f>
        <v>11</v>
      </c>
      <c r="J5" s="50">
        <f>'Used Vehicles - NS 5'!J5+'Used Vehicles - NW'!J5</f>
        <v>8</v>
      </c>
      <c r="K5" s="50">
        <f>'Used Vehicles - NS 5'!K5+'Used Vehicles - NW'!K5</f>
        <v>4</v>
      </c>
      <c r="L5" s="50">
        <f>'Used Vehicles - NS 5'!L5+'Used Vehicles - NW'!L5</f>
        <v>17</v>
      </c>
      <c r="M5" s="50">
        <f>'Used Vehicles - NS 5'!M5+'Used Vehicles - NW'!M5</f>
        <v>8</v>
      </c>
      <c r="N5" s="50">
        <f>'Used Vehicles - NS 5'!N5+'Used Vehicles - NW'!N5</f>
        <v>8</v>
      </c>
      <c r="O5" s="50">
        <f>'Used Vehicles - NS 5'!O5+'Used Vehicles - NW'!O5</f>
        <v>7</v>
      </c>
      <c r="P5" s="50">
        <f>'Used Vehicles - NS 5'!P5+'Used Vehicles - NW'!P5</f>
        <v>4</v>
      </c>
      <c r="Q5" s="3"/>
      <c r="R5" s="162">
        <f>SUM(E5:P5)</f>
        <v>100</v>
      </c>
    </row>
    <row r="6" spans="1:18" x14ac:dyDescent="0.25">
      <c r="A6" s="50" t="s">
        <v>1106</v>
      </c>
      <c r="B6" s="50">
        <f>'Used Vehicles - NS 5'!B6+'Used Vehicles - NW'!B6</f>
        <v>31</v>
      </c>
      <c r="C6" s="50">
        <f>'Used Vehicles - NS 5'!C6+'Used Vehicles - NW'!C6</f>
        <v>50</v>
      </c>
      <c r="D6" s="50">
        <f>'Used Vehicles - NS 5'!D6+'Used Vehicles - NW'!D6</f>
        <v>57</v>
      </c>
      <c r="E6" s="50">
        <f>'Used Vehicles - NS 5'!E6+'Used Vehicles - NW'!E6</f>
        <v>55</v>
      </c>
      <c r="F6" s="50">
        <f>'Used Vehicles - NS 5'!F6+'Used Vehicles - NW'!F6</f>
        <v>51</v>
      </c>
      <c r="G6" s="50">
        <f>'Used Vehicles - NS 5'!G6+'Used Vehicles - NW'!G6</f>
        <v>71</v>
      </c>
      <c r="H6" s="50">
        <f>'Used Vehicles - NS 5'!H6+'Used Vehicles - NW'!H6</f>
        <v>56</v>
      </c>
      <c r="I6" s="50">
        <f>'Used Vehicles - NS 5'!I6+'Used Vehicles - NW'!I6</f>
        <v>58</v>
      </c>
      <c r="J6" s="50">
        <f>'Used Vehicles - NS 5'!J6+'Used Vehicles - NW'!J6</f>
        <v>58</v>
      </c>
      <c r="K6" s="50">
        <f>'Used Vehicles - NS 5'!K6+'Used Vehicles - NW'!K6</f>
        <v>59</v>
      </c>
      <c r="L6" s="50">
        <f>'Used Vehicles - NS 5'!L6+'Used Vehicles - NW'!L6</f>
        <v>78</v>
      </c>
      <c r="M6" s="50">
        <f>'Used Vehicles - NS 5'!M6+'Used Vehicles - NW'!M6</f>
        <v>57</v>
      </c>
      <c r="N6" s="50">
        <f>'Used Vehicles - NS 5'!N6+'Used Vehicles - NW'!N6</f>
        <v>62</v>
      </c>
      <c r="O6" s="50">
        <f>'Used Vehicles - NS 5'!O6+'Used Vehicles - NW'!O6</f>
        <v>62</v>
      </c>
      <c r="P6" s="50">
        <f>'Used Vehicles - NS 5'!P6+'Used Vehicles - NW'!P6</f>
        <v>50</v>
      </c>
      <c r="Q6" s="3"/>
      <c r="R6" s="162">
        <f>SUM(E6:P6)</f>
        <v>717</v>
      </c>
    </row>
    <row r="7" spans="1:18" x14ac:dyDescent="0.25">
      <c r="A7" s="50" t="s">
        <v>1107</v>
      </c>
      <c r="B7" s="50">
        <f>'Used Vehicles - NS 5'!B7+'Used Vehicles - NW'!B7</f>
        <v>96</v>
      </c>
      <c r="C7" s="50">
        <f>'Used Vehicles - NS 5'!C7+'Used Vehicles - NW'!C7</f>
        <v>124</v>
      </c>
      <c r="D7" s="50">
        <f>'Used Vehicles - NS 5'!D7+'Used Vehicles - NW'!D7</f>
        <v>140</v>
      </c>
      <c r="E7" s="50">
        <f>'Used Vehicles - NS 5'!E7+'Used Vehicles - NW'!E7</f>
        <v>108</v>
      </c>
      <c r="F7" s="50">
        <f>'Used Vehicles - NS 5'!F7+'Used Vehicles - NW'!F7</f>
        <v>123</v>
      </c>
      <c r="G7" s="50">
        <f>'Used Vehicles - NS 5'!G7+'Used Vehicles - NW'!G7</f>
        <v>118</v>
      </c>
      <c r="H7" s="50">
        <f>'Used Vehicles - NS 5'!H7+'Used Vehicles - NW'!H7</f>
        <v>94</v>
      </c>
      <c r="I7" s="50">
        <f>'Used Vehicles - NS 5'!I7+'Used Vehicles - NW'!I7</f>
        <v>108</v>
      </c>
      <c r="J7" s="50">
        <f>'Used Vehicles - NS 5'!J7+'Used Vehicles - NW'!J7</f>
        <v>127</v>
      </c>
      <c r="K7" s="50">
        <f>'Used Vehicles - NS 5'!K7+'Used Vehicles - NW'!K7</f>
        <v>123</v>
      </c>
      <c r="L7" s="50">
        <f>'Used Vehicles - NS 5'!L7+'Used Vehicles - NW'!L7</f>
        <v>158</v>
      </c>
      <c r="M7" s="50">
        <f>'Used Vehicles - NS 5'!M7+'Used Vehicles - NW'!M7</f>
        <v>133</v>
      </c>
      <c r="N7" s="50">
        <f>'Used Vehicles - NS 5'!N7+'Used Vehicles - NW'!N7</f>
        <v>119</v>
      </c>
      <c r="O7" s="50">
        <f>'Used Vehicles - NS 5'!O7+'Used Vehicles - NW'!O7</f>
        <v>124</v>
      </c>
      <c r="P7" s="50">
        <f>'Used Vehicles - NS 5'!P7+'Used Vehicles - NW'!P7</f>
        <v>115</v>
      </c>
      <c r="Q7" s="3"/>
      <c r="R7" s="162">
        <f>SUM(E7:P7)</f>
        <v>1450</v>
      </c>
    </row>
    <row r="8" spans="1:18" x14ac:dyDescent="0.25">
      <c r="A8" s="50" t="s">
        <v>1066</v>
      </c>
      <c r="B8" s="50">
        <f>'Used Vehicles - NS 5'!B8+'Used Vehicles - NW'!B8</f>
        <v>7</v>
      </c>
      <c r="C8" s="50">
        <f>'Used Vehicles - NS 5'!C8+'Used Vehicles - NW'!C8</f>
        <v>7</v>
      </c>
      <c r="D8" s="50">
        <f>'Used Vehicles - NS 5'!D8+'Used Vehicles - NW'!D8</f>
        <v>7</v>
      </c>
      <c r="E8" s="50">
        <f>'Used Vehicles - NS 5'!E8+'Used Vehicles - NW'!E8</f>
        <v>8</v>
      </c>
      <c r="F8" s="50">
        <f>'Used Vehicles - NS 5'!F8+'Used Vehicles - NW'!F8</f>
        <v>8</v>
      </c>
      <c r="G8" s="50">
        <f>'Used Vehicles - NS 5'!G8+'Used Vehicles - NW'!G8</f>
        <v>8</v>
      </c>
      <c r="H8" s="50">
        <f>'Used Vehicles - NS 5'!H8+'Used Vehicles - NW'!H8</f>
        <v>7</v>
      </c>
      <c r="I8" s="50">
        <f>'Used Vehicles - NS 5'!I8+'Used Vehicles - NW'!I8</f>
        <v>9</v>
      </c>
      <c r="J8" s="50">
        <f>'Used Vehicles - NS 5'!J8+'Used Vehicles - NW'!J8</f>
        <v>9</v>
      </c>
      <c r="K8" s="50">
        <f>'Used Vehicles - NS 5'!K8+'Used Vehicles - NW'!K8</f>
        <v>9</v>
      </c>
      <c r="L8" s="50">
        <f>'Used Vehicles - NS 5'!L8+'Used Vehicles - NW'!L8</f>
        <v>9</v>
      </c>
      <c r="M8" s="50">
        <f>'Used Vehicles - NS 5'!M8+'Used Vehicles - NW'!M8</f>
        <v>9</v>
      </c>
      <c r="N8" s="50">
        <f>'Used Vehicles - NS 5'!N8+'Used Vehicles - NW'!N8</f>
        <v>9</v>
      </c>
      <c r="O8" s="50">
        <f>'Used Vehicles - NS 5'!O8+'Used Vehicles - NW'!O8</f>
        <v>10</v>
      </c>
      <c r="P8" s="50">
        <f>'Used Vehicles - NS 5'!P8+'Used Vehicles - NW'!P8</f>
        <v>10</v>
      </c>
      <c r="Q8" s="3"/>
      <c r="R8" s="162">
        <f>AVERAGE(E8:P8)</f>
        <v>8.75</v>
      </c>
    </row>
    <row r="9" spans="1:18" x14ac:dyDescent="0.25">
      <c r="A9" s="50" t="s">
        <v>1108</v>
      </c>
      <c r="B9" s="50">
        <f t="shared" ref="B9:M9" si="0">B7/B8</f>
        <v>13.714285714285714</v>
      </c>
      <c r="C9" s="50">
        <f t="shared" si="0"/>
        <v>17.714285714285715</v>
      </c>
      <c r="D9" s="50">
        <f t="shared" si="0"/>
        <v>20</v>
      </c>
      <c r="E9" s="50">
        <f t="shared" si="0"/>
        <v>13.5</v>
      </c>
      <c r="F9" s="50">
        <f t="shared" si="0"/>
        <v>15.375</v>
      </c>
      <c r="G9" s="50">
        <f t="shared" si="0"/>
        <v>14.75</v>
      </c>
      <c r="H9" s="50">
        <f t="shared" si="0"/>
        <v>13.428571428571429</v>
      </c>
      <c r="I9" s="50">
        <f t="shared" si="0"/>
        <v>12</v>
      </c>
      <c r="J9" s="50">
        <f t="shared" si="0"/>
        <v>14.111111111111111</v>
      </c>
      <c r="K9" s="50">
        <f t="shared" si="0"/>
        <v>13.666666666666666</v>
      </c>
      <c r="L9" s="50">
        <f t="shared" si="0"/>
        <v>17.555555555555557</v>
      </c>
      <c r="M9" s="50">
        <f t="shared" si="0"/>
        <v>14.777777777777779</v>
      </c>
      <c r="N9" s="50">
        <f>N7/N8</f>
        <v>13.222222222222221</v>
      </c>
      <c r="O9" s="50">
        <f>O7/O8</f>
        <v>12.4</v>
      </c>
      <c r="P9" s="50">
        <f>P7/P8</f>
        <v>11.5</v>
      </c>
      <c r="Q9" s="3"/>
      <c r="R9" s="162">
        <f>AVERAGE(E9:P9)</f>
        <v>13.857242063492066</v>
      </c>
    </row>
    <row r="10" spans="1:18" x14ac:dyDescent="0.25">
      <c r="A10" s="50"/>
      <c r="B10" s="50"/>
      <c r="C10" s="50"/>
      <c r="D10" s="50"/>
      <c r="E10" s="50"/>
      <c r="F10" s="50"/>
      <c r="G10" s="50"/>
      <c r="H10" s="50"/>
      <c r="I10" s="50"/>
      <c r="J10" s="50"/>
      <c r="K10" s="50"/>
      <c r="L10" s="50"/>
      <c r="M10" s="50"/>
      <c r="N10" s="50"/>
      <c r="O10" s="50"/>
      <c r="P10" s="50"/>
      <c r="R10" s="52"/>
    </row>
    <row r="11" spans="1:18" ht="15" customHeight="1" x14ac:dyDescent="0.25">
      <c r="A11" s="50" t="s">
        <v>1109</v>
      </c>
      <c r="B11" s="53">
        <f>('Used Vehicles - NS 5'!B11*'Used Vehicles - NS 5'!B4+'Used Vehicles - NW'!B11*'Used Vehicles - NW'!B4)/('Used Vehicles - NW'!B4+'Used Vehicles - NS 5'!B4)</f>
        <v>1062.2129411764704</v>
      </c>
      <c r="C11" s="53">
        <f>('Used Vehicles - NS 5'!C11*'Used Vehicles - NS 5'!C4+'Used Vehicles - NW'!C11*'Used Vehicles - NW'!C4)/('Used Vehicles - NW'!C4+'Used Vehicles - NS 5'!C4)</f>
        <v>1066.980169491525</v>
      </c>
      <c r="D11" s="53">
        <f>('Used Vehicles - NS 5'!D11*'Used Vehicles - NS 5'!D4+'Used Vehicles - NW'!D11*'Used Vehicles - NW'!D4)/('Used Vehicles - NW'!D4+'Used Vehicles - NS 5'!D4)</f>
        <v>839.94031250000012</v>
      </c>
      <c r="E11" s="53">
        <f>('Used Vehicles - NS 5'!E11*'Used Vehicles - NS 5'!E4+'Used Vehicles - NW'!E11*'Used Vehicles - NW'!E4)/('Used Vehicles - NW'!E4+'Used Vehicles - NS 5'!E4)</f>
        <v>1316.3749999999991</v>
      </c>
      <c r="F11" s="53">
        <f>('Used Vehicles - NS 5'!F11*'Used Vehicles - NS 5'!F4+'Used Vehicles - NW'!F11*'Used Vehicles - NW'!F4)/('Used Vehicles - NW'!F4+'Used Vehicles - NS 5'!F4)</f>
        <v>957.19983606557264</v>
      </c>
      <c r="G11" s="53">
        <f>('Used Vehicles - NS 5'!G11*'Used Vehicles - NS 5'!G4+'Used Vehicles - NW'!G11*'Used Vehicles - NW'!G4)/('Used Vehicles - NW'!G4+'Used Vehicles - NS 5'!G4)</f>
        <v>923.97487179487246</v>
      </c>
      <c r="H11" s="53">
        <f>('Used Vehicles - NS 5'!H11*'Used Vehicles - NS 5'!H4+'Used Vehicles - NW'!H11*'Used Vehicles - NW'!H4)/('Used Vehicles - NW'!H4+'Used Vehicles - NS 5'!H4)</f>
        <v>1342.8537931034475</v>
      </c>
      <c r="I11" s="53">
        <f>('Used Vehicles - NS 5'!I11*'Used Vehicles - NS 5'!I4+'Used Vehicles - NW'!I11*'Used Vehicles - NW'!I4)/('Used Vehicles - NW'!I4+'Used Vehicles - NS 5'!I4)</f>
        <v>1515.1425641025648</v>
      </c>
      <c r="J11" s="53">
        <f>('Used Vehicles - NS 5'!J11*'Used Vehicles - NS 5'!J4+'Used Vehicles - NW'!J11*'Used Vehicles - NW'!J4)/('Used Vehicles - NW'!J4+'Used Vehicles - NS 5'!J4)</f>
        <v>1353.9411475409852</v>
      </c>
      <c r="K11" s="53">
        <f>('Used Vehicles - NS 5'!K11*'Used Vehicles - NS 5'!K4+'Used Vehicles - NW'!K11*'Used Vehicles - NW'!K4)/('Used Vehicles - NW'!K4+'Used Vehicles - NS 5'!K4)</f>
        <v>1310.5448333333341</v>
      </c>
      <c r="L11" s="53">
        <f>('Used Vehicles - NS 5'!L11*'Used Vehicles - NS 5'!L4+'Used Vehicles - NW'!L11*'Used Vehicles - NW'!L4)/('Used Vehicles - NW'!L4+'Used Vehicles - NS 5'!L4)</f>
        <v>1251.9823809523814</v>
      </c>
      <c r="M11" s="53">
        <f>('Used Vehicles - NS 5'!M11*'Used Vehicles - NS 5'!M4+'Used Vehicles - NW'!M11*'Used Vehicles - NW'!M4)/('Used Vehicles - NW'!M4+'Used Vehicles - NS 5'!M4)</f>
        <v>1310.0907352941174</v>
      </c>
      <c r="N11" s="53">
        <f>('Used Vehicles - NS 5'!N11*'Used Vehicles - NS 5'!N4+'Used Vehicles - NW'!N11*'Used Vehicles - NW'!N4)/('Used Vehicles - NW'!N4+'Used Vehicles - NS 5'!N4)</f>
        <v>1351.6324489795916</v>
      </c>
      <c r="O11" s="53">
        <f>('Used Vehicles - NS 5'!O11*'Used Vehicles - NS 5'!O4+'Used Vehicles - NW'!O11*'Used Vehicles - NW'!O4)/('Used Vehicles - NW'!O4+'Used Vehicles - NS 5'!O4)</f>
        <v>1388.656545454543</v>
      </c>
      <c r="P11" s="53">
        <f>('Used Vehicles - NS 5'!P11*'Used Vehicles - NS 5'!P4+'Used Vehicles - NW'!P11*'Used Vehicles - NW'!P4)/('Used Vehicles - NW'!P4+'Used Vehicles - NS 5'!P4)</f>
        <v>1613.4581967213126</v>
      </c>
      <c r="R11" s="52">
        <f t="shared" ref="R11:R19" si="1">AVERAGE(E11:P11)</f>
        <v>1302.9876961118937</v>
      </c>
    </row>
    <row r="12" spans="1:18" ht="15" customHeight="1" x14ac:dyDescent="0.25">
      <c r="A12" s="50" t="s">
        <v>1110</v>
      </c>
      <c r="B12" s="53">
        <f>('Used Vehicles - NS 5'!B12*'Used Vehicles - NS 5'!B5+'Used Vehicles - NW'!B12*'Used Vehicles - NW'!B5)/('Used Vehicles - NW'!B5+'Used Vehicles - NS 5'!B5)</f>
        <v>1332.9250000000079</v>
      </c>
      <c r="C12" s="53">
        <f>('Used Vehicles - NS 5'!C12*'Used Vehicles - NS 5'!C5+'Used Vehicles - NW'!C12*'Used Vehicles - NW'!C5)/('Used Vehicles - NW'!C5+'Used Vehicles - NS 5'!C5)</f>
        <v>2029.1973333333337</v>
      </c>
      <c r="D12" s="53">
        <f>('Used Vehicles - NS 5'!D12*'Used Vehicles - NS 5'!D5+'Used Vehicles - NW'!D12*'Used Vehicles - NW'!D5)/('Used Vehicles - NW'!D5+'Used Vehicles - NS 5'!D5)</f>
        <v>1449.6326315789443</v>
      </c>
      <c r="E12" s="53">
        <f>('Used Vehicles - NS 5'!E12*'Used Vehicles - NS 5'!E5+'Used Vehicles - NW'!E12*'Used Vehicles - NW'!E5)/('Used Vehicles - NW'!E5+'Used Vehicles - NS 5'!E5)</f>
        <v>1682.690000000003</v>
      </c>
      <c r="F12" s="53">
        <f>('Used Vehicles - NS 5'!F12*'Used Vehicles - NS 5'!F5+'Used Vehicles - NW'!F12*'Used Vehicles - NW'!F5)/('Used Vehicles - NW'!F5+'Used Vehicles - NS 5'!F5)</f>
        <v>2203.9645454545398</v>
      </c>
      <c r="G12" s="53">
        <f>('Used Vehicles - NS 5'!G12*'Used Vehicles - NS 5'!G5+'Used Vehicles - NW'!G12*'Used Vehicles - NW'!G5)/('Used Vehicles - NW'!G5+'Used Vehicles - NS 5'!G5)</f>
        <v>423.47250000000133</v>
      </c>
      <c r="H12" s="53">
        <f>('Used Vehicles - NS 5'!H12*'Used Vehicles - NS 5'!H5+'Used Vehicles - NW'!H12*'Used Vehicles - NW'!H5)/('Used Vehicles - NW'!H5+'Used Vehicles - NS 5'!H5)</f>
        <v>785.3800000000075</v>
      </c>
      <c r="I12" s="53">
        <f>('Used Vehicles - NS 5'!I12*'Used Vehicles - NS 5'!I5+'Used Vehicles - NW'!I12*'Used Vehicles - NW'!I5)/('Used Vehicles - NW'!I5+'Used Vehicles - NS 5'!I5)</f>
        <v>2097.6854545454516</v>
      </c>
      <c r="J12" s="53">
        <f>('Used Vehicles - NS 5'!J12*'Used Vehicles - NS 5'!J5+'Used Vehicles - NW'!J12*'Used Vehicles - NW'!J5)/('Used Vehicles - NW'!J5+'Used Vehicles - NS 5'!J5)</f>
        <v>1555.8324999999872</v>
      </c>
      <c r="K12" s="53">
        <f>('Used Vehicles - NS 5'!K12*'Used Vehicles - NS 5'!K5+'Used Vehicles - NW'!K12*'Used Vehicles - NW'!K5)/('Used Vehicles - NW'!K5+'Used Vehicles - NS 5'!K5)</f>
        <v>965.96249999999338</v>
      </c>
      <c r="L12" s="53">
        <f>('Used Vehicles - NS 5'!L12*'Used Vehicles - NS 5'!L5+'Used Vehicles - NW'!L12*'Used Vehicles - NW'!L5)/('Used Vehicles - NW'!L5+'Used Vehicles - NS 5'!L5)</f>
        <v>2138.8564705882368</v>
      </c>
      <c r="M12" s="53">
        <f>('Used Vehicles - NS 5'!M12*'Used Vehicles - NS 5'!M5+'Used Vehicles - NW'!M12*'Used Vehicles - NW'!M5)/('Used Vehicles - NW'!M5+'Used Vehicles - NS 5'!M5)</f>
        <v>2587.4887499999991</v>
      </c>
      <c r="N12" s="53">
        <f>('Used Vehicles - NS 5'!N12*'Used Vehicles - NS 5'!N5+'Used Vehicles - NW'!N12*'Used Vehicles - NW'!N5)/('Used Vehicles - NW'!N5+'Used Vehicles - NS 5'!N5)</f>
        <v>2514.5600000000022</v>
      </c>
      <c r="O12" s="53">
        <f>('Used Vehicles - NS 5'!O12*'Used Vehicles - NS 5'!O5+'Used Vehicles - NW'!O12*'Used Vehicles - NW'!O5)/('Used Vehicles - NW'!O5+'Used Vehicles - NS 5'!O5)</f>
        <v>-1720.2528571428606</v>
      </c>
      <c r="P12" s="53">
        <f>('Used Vehicles - NS 5'!P12*'Used Vehicles - NS 5'!P5+'Used Vehicles - NW'!P12*'Used Vehicles - NW'!P5)/('Used Vehicles - NW'!P5+'Used Vehicles - NS 5'!P5)</f>
        <v>-3002.5925000000052</v>
      </c>
      <c r="R12" s="52">
        <f t="shared" si="1"/>
        <v>1019.4206136204463</v>
      </c>
    </row>
    <row r="13" spans="1:18" ht="15" customHeight="1" x14ac:dyDescent="0.25">
      <c r="A13" s="50" t="s">
        <v>1111</v>
      </c>
      <c r="B13" s="53">
        <f>('Used Vehicles - NS 5'!B13*'Used Vehicles - NS 5'!B6+'Used Vehicles - NW'!B13*'Used Vehicles - NW'!B6)/('Used Vehicles - NW'!B6+'Used Vehicles - NS 5'!B6)</f>
        <v>2662.0835483870987</v>
      </c>
      <c r="C13" s="53">
        <f>('Used Vehicles - NS 5'!C13*'Used Vehicles - NS 5'!C6+'Used Vehicles - NW'!C13*'Used Vehicles - NW'!C6)/('Used Vehicles - NW'!C6+'Used Vehicles - NS 5'!C6)</f>
        <v>3019.2039999999979</v>
      </c>
      <c r="D13" s="53">
        <f>('Used Vehicles - NS 5'!D13*'Used Vehicles - NS 5'!D6+'Used Vehicles - NW'!D13*'Used Vehicles - NW'!D6)/('Used Vehicles - NW'!D6+'Used Vehicles - NS 5'!D6)</f>
        <v>2065.7291197291456</v>
      </c>
      <c r="E13" s="53">
        <f>('Used Vehicles - NS 5'!E13*'Used Vehicles - NS 5'!E6+'Used Vehicles - NW'!E13*'Used Vehicles - NW'!E6)/('Used Vehicles - NW'!E6+'Used Vehicles - NS 5'!E6)</f>
        <v>1921.243272727274</v>
      </c>
      <c r="F13" s="53">
        <f>('Used Vehicles - NS 5'!F13*'Used Vehicles - NS 5'!F6+'Used Vehicles - NW'!F13*'Used Vehicles - NW'!F6)/('Used Vehicles - NW'!F6+'Used Vehicles - NS 5'!F6)</f>
        <v>1890.7215686274485</v>
      </c>
      <c r="G13" s="53">
        <f>('Used Vehicles - NS 5'!G13*'Used Vehicles - NS 5'!G6+'Used Vehicles - NW'!G13*'Used Vehicles - NW'!G6)/('Used Vehicles - NW'!G6+'Used Vehicles - NS 5'!G6)</f>
        <v>1852.3257746478882</v>
      </c>
      <c r="H13" s="53">
        <f>('Used Vehicles - NS 5'!H13*'Used Vehicles - NS 5'!H6+'Used Vehicles - NW'!H13*'Used Vehicles - NW'!H6)/('Used Vehicles - NW'!H6+'Used Vehicles - NS 5'!H6)</f>
        <v>2421.6864285714278</v>
      </c>
      <c r="I13" s="53">
        <f>('Used Vehicles - NS 5'!I13*'Used Vehicles - NS 5'!I6+'Used Vehicles - NW'!I13*'Used Vehicles - NW'!I6)/('Used Vehicles - NW'!I6+'Used Vehicles - NS 5'!I6)</f>
        <v>2419.5006896551731</v>
      </c>
      <c r="J13" s="53">
        <f>('Used Vehicles - NS 5'!J13*'Used Vehicles - NS 5'!J6+'Used Vehicles - NW'!J13*'Used Vehicles - NW'!J6)/('Used Vehicles - NW'!J6+'Used Vehicles - NS 5'!J6)</f>
        <v>2011.6243103448301</v>
      </c>
      <c r="K13" s="53">
        <f>('Used Vehicles - NS 5'!K13*'Used Vehicles - NS 5'!K6+'Used Vehicles - NW'!K13*'Used Vehicles - NW'!K6)/('Used Vehicles - NW'!K6+'Used Vehicles - NS 5'!K6)</f>
        <v>2213.0059322033903</v>
      </c>
      <c r="L13" s="53">
        <f>('Used Vehicles - NS 5'!L13*'Used Vehicles - NS 5'!L6+'Used Vehicles - NW'!L13*'Used Vehicles - NW'!L6)/('Used Vehicles - NW'!L6+'Used Vehicles - NS 5'!L6)</f>
        <v>823.47987179487245</v>
      </c>
      <c r="M13" s="53">
        <f>('Used Vehicles - NS 5'!M13*'Used Vehicles - NS 5'!M6+'Used Vehicles - NW'!M13*'Used Vehicles - NW'!M6)/('Used Vehicles - NW'!M6+'Used Vehicles - NS 5'!M6)</f>
        <v>1520.9987719298244</v>
      </c>
      <c r="N13" s="53">
        <f>('Used Vehicles - NS 5'!N13*'Used Vehicles - NS 5'!N6+'Used Vehicles - NW'!N13*'Used Vehicles - NW'!N6)/('Used Vehicles - NW'!N6+'Used Vehicles - NS 5'!N6)</f>
        <v>2229.3022580645179</v>
      </c>
      <c r="O13" s="53">
        <f>('Used Vehicles - NS 5'!O13*'Used Vehicles - NS 5'!O6+'Used Vehicles - NW'!O13*'Used Vehicles - NW'!O6)/('Used Vehicles - NW'!O6+'Used Vehicles - NS 5'!O6)</f>
        <v>2638.8772580645164</v>
      </c>
      <c r="P13" s="53">
        <f>('Used Vehicles - NS 5'!P13*'Used Vehicles - NS 5'!P6+'Used Vehicles - NW'!P13*'Used Vehicles - NW'!P6)/('Used Vehicles - NW'!P6+'Used Vehicles - NS 5'!P6)</f>
        <v>2759.063999999998</v>
      </c>
      <c r="R13" s="52">
        <f t="shared" si="1"/>
        <v>2058.4858447192637</v>
      </c>
    </row>
    <row r="14" spans="1:18" ht="15" customHeight="1" x14ac:dyDescent="0.25">
      <c r="A14" s="50" t="s">
        <v>1112</v>
      </c>
      <c r="B14" s="53">
        <f>('Used Vehicles - NS 5'!B14*'Used Vehicles - NS 5'!B7+'Used Vehicles - NW'!B14*'Used Vehicles - NW'!B7)/('Used Vehicles - NW'!B7+'Used Vehicles - NS 5'!B7)</f>
        <v>1655.7308333333342</v>
      </c>
      <c r="C14" s="53">
        <f>('Used Vehicles - NS 5'!C14*'Used Vehicles - NS 5'!C7+'Used Vehicles - NW'!C14*'Used Vehicles - NW'!C7)/('Used Vehicles - NW'!C7+'Used Vehicles - NS 5'!C7)</f>
        <v>1970.5644354838698</v>
      </c>
      <c r="D14" s="53">
        <f>('Used Vehicles - NS 5'!D14*'Used Vehicles - NS 5'!D7+'Used Vehicles - NW'!D14*'Used Vehicles - NW'!D7)/('Used Vehicles - NW'!D7+'Used Vehicles - NS 5'!D7)</f>
        <v>2119.6717142857133</v>
      </c>
      <c r="E14" s="53">
        <f>('Used Vehicles - NS 5'!E14*'Used Vehicles - NS 5'!E7+'Used Vehicles - NW'!E14*'Used Vehicles - NW'!E7)/('Used Vehicles - NW'!E7+'Used Vehicles - NS 5'!E7)</f>
        <v>1641.3687962962965</v>
      </c>
      <c r="F14" s="53">
        <f>('Used Vehicles - NS 5'!F14*'Used Vehicles - NS 5'!F7+'Used Vehicles - NW'!F14*'Used Vehicles - NW'!F7)/('Used Vehicles - NW'!F7+'Used Vehicles - NS 5'!F7)</f>
        <v>1455.7691056910548</v>
      </c>
      <c r="G14" s="53">
        <f>('Used Vehicles - NS 5'!G14*'Used Vehicles - NS 5'!G7+'Used Vehicles - NW'!G14*'Used Vehicles - NW'!G7)/('Used Vehicles - NW'!G7+'Used Vehicles - NS 5'!G7)</f>
        <v>2790.199067796611</v>
      </c>
      <c r="H14" s="53">
        <f>('Used Vehicles - NS 5'!H14*'Used Vehicles - NS 5'!H7+'Used Vehicles - NW'!H14*'Used Vehicles - NW'!H7)/('Used Vehicles - NW'!H7+'Used Vehicles - NS 5'!H7)</f>
        <v>1932.1874468085107</v>
      </c>
      <c r="I14" s="53">
        <f>('Used Vehicles - NS 5'!I14*'Used Vehicles - NS 5'!I7+'Used Vehicles - NW'!I14*'Used Vehicles - NW'!I7)/('Used Vehicles - NW'!I7+'Used Vehicles - NS 5'!I7)</f>
        <v>2060.1494444444447</v>
      </c>
      <c r="J14" s="53">
        <f>('Used Vehicles - NS 5'!J14*'Used Vehicles - NS 5'!J7+'Used Vehicles - NW'!J14*'Used Vehicles - NW'!J7)/('Used Vehicles - NW'!J7+'Used Vehicles - NS 5'!J7)</f>
        <v>2255.6006299212604</v>
      </c>
      <c r="K14" s="53">
        <f>('Used Vehicles - NS 5'!K14*'Used Vehicles - NS 5'!K7+'Used Vehicles - NW'!K14*'Used Vehicles - NW'!K7)/('Used Vehicles - NW'!K7+'Used Vehicles - NS 5'!K7)</f>
        <v>1732.2267479674802</v>
      </c>
      <c r="L14" s="53">
        <f>('Used Vehicles - NS 5'!L14*'Used Vehicles - NS 5'!L7+'Used Vehicles - NW'!L14*'Used Vehicles - NW'!L7)/('Used Vehicles - NW'!L7+'Used Vehicles - NS 5'!L7)</f>
        <v>1135.8663291139248</v>
      </c>
      <c r="M14" s="53">
        <f>('Used Vehicles - NS 5'!M14*'Used Vehicles - NS 5'!M7+'Used Vehicles - NW'!M14*'Used Vehicles - NW'!M7)/('Used Vehicles - NW'!M7+'Used Vehicles - NS 5'!M7)</f>
        <v>2018.6692481203004</v>
      </c>
      <c r="N14" s="53">
        <f>('Used Vehicles - NS 5'!N14*'Used Vehicles - NS 5'!N7+'Used Vehicles - NW'!N14*'Used Vehicles - NW'!N7)/('Used Vehicles - NW'!N7+'Used Vehicles - NS 5'!N7)</f>
        <v>1887.0857983193287</v>
      </c>
      <c r="O14" s="53">
        <f>('Used Vehicles - NS 5'!O14*'Used Vehicles - NS 5'!O7+'Used Vehicles - NW'!O14*'Used Vehicles - NW'!O7)/('Used Vehicles - NW'!O7+'Used Vehicles - NS 5'!O7)</f>
        <v>1838.2639516129022</v>
      </c>
      <c r="P14" s="53">
        <f>('Used Vehicles - NS 5'!P14*'Used Vehicles - NS 5'!P7+'Used Vehicles - NW'!P14*'Used Vehicles - NW'!P7)/('Used Vehicles - NW'!P7+'Used Vehicles - NS 5'!P7)</f>
        <v>2661.8589565217389</v>
      </c>
      <c r="R14" s="52">
        <f t="shared" si="1"/>
        <v>1950.7704602178212</v>
      </c>
    </row>
    <row r="15" spans="1:18" ht="15" customHeight="1" x14ac:dyDescent="0.25">
      <c r="A15" s="40" t="s">
        <v>1070</v>
      </c>
      <c r="B15" s="53">
        <f>'[3]USED VEHICLE GROUP'!$B$23-'[3]USED VEHICLE GROUP'!$B$18</f>
        <v>89.016770833333567</v>
      </c>
      <c r="C15" s="53">
        <f>'[4]USED VEHICLE GROUP'!$B$23-'[4]USED VEHICLE GROUP'!$B$18</f>
        <v>30.469677419354412</v>
      </c>
      <c r="D15" s="53">
        <f>'[5]USED VEHICLE GROUP'!$B$23-'[5]USED VEHICLE GROUP'!$B$18</f>
        <v>695.48171428571391</v>
      </c>
      <c r="E15" s="53">
        <f>'[6]USED VEHICLE GROUP'!$B$23-'[6]USED VEHICLE GROUP'!$B$18</f>
        <v>86.956574074074069</v>
      </c>
      <c r="F15" s="53">
        <f>'[7]USED VEHICLE GROUP'!$B$23-'[7]USED VEHICLE GROUP'!$B$18</f>
        <v>113.17008130081285</v>
      </c>
      <c r="G15" s="53">
        <f>'[8]USED VEHICLE GROUP'!$B$23-'[8]USED VEHICLE GROUP'!$B$18</f>
        <v>1280.9297457627119</v>
      </c>
      <c r="H15" s="53">
        <f>'[9]USED VEHICLE GROUP'!$B$23-'[9]USED VEHICLE GROUP'!$B$18</f>
        <v>42.340744680851003</v>
      </c>
      <c r="I15" s="53">
        <f>'[10]USED VEHICLE GROUP'!$B$23-'[10]USED VEHICLE GROUP'!$B$18</f>
        <v>-9.538703703703959</v>
      </c>
      <c r="J15" s="53">
        <f>'[11]USED VEHICLE GROUP'!$B$23-'[11]USED VEHICLE GROUP'!$B$18</f>
        <v>629.62826771653545</v>
      </c>
      <c r="K15" s="53">
        <f>'[12]USED VEHICLE GROUP'!$B$23-'[12]USED VEHICLE GROUP'!$B$18</f>
        <v>79.613759999999729</v>
      </c>
      <c r="L15" s="53">
        <f>'[13]USED VEHICLE GROUP'!$B$23-'[13]USED VEHICLE GROUP'!$B$18</f>
        <v>111.36981132075448</v>
      </c>
      <c r="M15" s="53">
        <f>'[14]USED VEHICLE GROUP'!$B$23-'[14]USED VEHICLE GROUP'!$B$18</f>
        <v>650.23443609022547</v>
      </c>
      <c r="N15" s="53">
        <f>'[15]USED VEHICLE GROUP'!$C$23-'[15]USED VEHICLE GROUP'!$C$18</f>
        <v>0</v>
      </c>
      <c r="O15" s="53">
        <f>'[16]USED VEHICLE GROUP'!$B$23-'[16]USED VEHICLE GROUP'!$B$18</f>
        <v>-8.0258064516131071</v>
      </c>
      <c r="P15" s="53">
        <f>'[17]USED VEHICLE GROUP'!$B$23-'[17]USED VEHICLE GROUP'!$B$18</f>
        <v>770.81163793103474</v>
      </c>
      <c r="R15" s="52">
        <f>AVERAGE(E15:P15)</f>
        <v>312.29087906014024</v>
      </c>
    </row>
    <row r="16" spans="1:18" ht="15" customHeight="1" x14ac:dyDescent="0.25">
      <c r="A16" s="50" t="s">
        <v>1071</v>
      </c>
      <c r="B16" s="53">
        <f>('Used Vehicles - NS 5'!B16*'Used Vehicles - NS 5'!B7+'Used Vehicles - NW'!B16*'Used Vehicles - NW'!B7)/('Used Vehicles - NW'!B7+'Used Vehicles - NS 5'!B7)</f>
        <v>602.68208333333337</v>
      </c>
      <c r="C16" s="53">
        <f>('Used Vehicles - NS 5'!C16*'Used Vehicles - NS 5'!C7+'Used Vehicles - NW'!C16*'Used Vehicles - NW'!C7)/('Used Vehicles - NW'!C7+'Used Vehicles - NS 5'!C7)</f>
        <v>553.19362903225817</v>
      </c>
      <c r="D16" s="53">
        <f>('Used Vehicles - NS 5'!D16*'Used Vehicles - NS 5'!D7+'Used Vehicles - NW'!D16*'Used Vehicles - NW'!D7)/('Used Vehicles - NW'!D7+'Used Vehicles - NS 5'!D7)</f>
        <v>541.71757142857143</v>
      </c>
      <c r="E16" s="53">
        <f>('Used Vehicles - NS 5'!E16*'Used Vehicles - NS 5'!E7+'Used Vehicles - NW'!E16*'Used Vehicles - NW'!E7)/('Used Vehicles - NW'!E7+'Used Vehicles - NS 5'!E7)</f>
        <v>529.85953703703706</v>
      </c>
      <c r="F16" s="53">
        <f>('Used Vehicles - NS 5'!F16*'Used Vehicles - NS 5'!F7+'Used Vehicles - NW'!F16*'Used Vehicles - NW'!F7)/('Used Vehicles - NW'!F7+'Used Vehicles - NS 5'!F7)</f>
        <v>489.83121951219516</v>
      </c>
      <c r="G16" s="53">
        <f>('Used Vehicles - NS 5'!G16*'Used Vehicles - NS 5'!G7+'Used Vehicles - NW'!G16*'Used Vehicles - NW'!G7)/('Used Vehicles - NW'!G7+'Used Vehicles - NS 5'!G7)</f>
        <v>746.77254237288139</v>
      </c>
      <c r="H16" s="53">
        <f>('Used Vehicles - NS 5'!H16*'Used Vehicles - NS 5'!H7+'Used Vehicles - NW'!H16*'Used Vehicles - NW'!H7)/('Used Vehicles - NW'!H7+'Used Vehicles - NS 5'!H7)</f>
        <v>742.97425531914894</v>
      </c>
      <c r="I16" s="53">
        <f>('Used Vehicles - NS 5'!I16*'Used Vehicles - NS 5'!I7+'Used Vehicles - NW'!I16*'Used Vehicles - NW'!I7)/('Used Vehicles - NW'!I7+'Used Vehicles - NS 5'!I7)</f>
        <v>684.36453703703717</v>
      </c>
      <c r="J16" s="53">
        <f>('Used Vehicles - NS 5'!J16*'Used Vehicles - NS 5'!J7+'Used Vehicles - NW'!J16*'Used Vehicles - NW'!J7)/('Used Vehicles - NW'!J7+'Used Vehicles - NS 5'!J7)</f>
        <v>601.77850393700794</v>
      </c>
      <c r="K16" s="53">
        <f>('Used Vehicles - NS 5'!K16*'Used Vehicles - NS 5'!K7+'Used Vehicles - NW'!K16*'Used Vehicles - NW'!K7)/('Used Vehicles - NW'!K7+'Used Vehicles - NS 5'!K7)</f>
        <v>478.71292682926833</v>
      </c>
      <c r="L16" s="53">
        <f>('Used Vehicles - NS 5'!L16*'Used Vehicles - NS 5'!L7+'Used Vehicles - NW'!L16*'Used Vehicles - NW'!L7)/('Used Vehicles - NW'!L7+'Used Vehicles - NS 5'!L7)</f>
        <v>577.5478481012658</v>
      </c>
      <c r="M16" s="53">
        <f>('Used Vehicles - NS 5'!M16*'Used Vehicles - NS 5'!M7+'Used Vehicles - NW'!M16*'Used Vehicles - NW'!M7)/('Used Vehicles - NW'!M7+'Used Vehicles - NS 5'!M7)</f>
        <v>557.14105263157899</v>
      </c>
      <c r="N16" s="53">
        <f>('Used Vehicles - NS 5'!N16*'Used Vehicles - NS 5'!N7+'Used Vehicles - NW'!N16*'Used Vehicles - NW'!N7)/('Used Vehicles - NW'!N7+'Used Vehicles - NS 5'!N7)</f>
        <v>606.64579831932781</v>
      </c>
      <c r="O16" s="53">
        <f>('Used Vehicles - NS 5'!O16*'Used Vehicles - NS 5'!O7+'Used Vehicles - NW'!O16*'Used Vehicles - NW'!O7)/('Used Vehicles - NW'!O7+'Used Vehicles - NS 5'!O7)</f>
        <v>568.99951612903226</v>
      </c>
      <c r="P16" s="53">
        <f>('Used Vehicles - NS 5'!P16*'Used Vehicles - NS 5'!P7+'Used Vehicles - NW'!P16*'Used Vehicles - NW'!P7)/('Used Vehicles - NW'!P7+'Used Vehicles - NS 5'!P7)</f>
        <v>632.42139130434771</v>
      </c>
      <c r="Q16" s="5"/>
      <c r="R16" s="52">
        <f t="shared" si="1"/>
        <v>601.42076071084409</v>
      </c>
    </row>
    <row r="17" spans="1:19" ht="15" customHeight="1" x14ac:dyDescent="0.25">
      <c r="A17" s="50" t="s">
        <v>1072</v>
      </c>
      <c r="B17" s="53">
        <f>('Used Vehicles - NS 5'!B17*'Used Vehicles - NS 5'!B7+'Used Vehicles - NW'!B17*'Used Vehicles - NW'!B7)/('Used Vehicles - NW'!B7+'Used Vehicles - NS 5'!B7)</f>
        <v>1194.3336458333333</v>
      </c>
      <c r="C17" s="53">
        <f>('Used Vehicles - NS 5'!C17*'Used Vehicles - NS 5'!C7+'Used Vehicles - NW'!C17*'Used Vehicles - NW'!C7)/('Used Vehicles - NW'!C7+'Used Vehicles - NS 5'!C7)</f>
        <v>819.68161290322587</v>
      </c>
      <c r="D17" s="53">
        <f>('Used Vehicles - NS 5'!D17*'Used Vehicles - NS 5'!D7+'Used Vehicles - NW'!D17*'Used Vehicles - NW'!D7)/('Used Vehicles - NW'!D7+'Used Vehicles - NS 5'!D7)</f>
        <v>899.5117806377126</v>
      </c>
      <c r="E17" s="53">
        <f>('Used Vehicles - NS 5'!E17*'Used Vehicles - NS 5'!E7+'Used Vehicles - NW'!E17*'Used Vehicles - NW'!E7)/('Used Vehicles - NW'!E7+'Used Vehicles - NS 5'!E7)</f>
        <v>1227.5932407407408</v>
      </c>
      <c r="F17" s="53">
        <f>('Used Vehicles - NS 5'!F17*'Used Vehicles - NS 5'!F7+'Used Vehicles - NW'!F17*'Used Vehicles - NW'!F7)/('Used Vehicles - NW'!F7+'Used Vehicles - NS 5'!F7)</f>
        <v>989.57739837398367</v>
      </c>
      <c r="G17" s="53">
        <f>('Used Vehicles - NS 5'!G17*'Used Vehicles - NS 5'!G7+'Used Vehicles - NW'!G17*'Used Vehicles - NW'!G7)/('Used Vehicles - NW'!G7+'Used Vehicles - NS 5'!G7)</f>
        <v>1117.5627966101692</v>
      </c>
      <c r="H17" s="53">
        <f>('Used Vehicles - NS 5'!H17*'Used Vehicles - NS 5'!H7+'Used Vehicles - NW'!H17*'Used Vehicles - NW'!H7)/('Used Vehicles - NW'!H7+'Used Vehicles - NS 5'!H7)</f>
        <v>1331.0263829787232</v>
      </c>
      <c r="I17" s="53">
        <f>('Used Vehicles - NS 5'!I17*'Used Vehicles - NS 5'!I7+'Used Vehicles - NW'!I17*'Used Vehicles - NW'!I7)/('Used Vehicles - NW'!I7+'Used Vehicles - NS 5'!I7)</f>
        <v>1295.8613888888892</v>
      </c>
      <c r="J17" s="53">
        <f>('Used Vehicles - NS 5'!J17*'Used Vehicles - NS 5'!J7+'Used Vehicles - NW'!J17*'Used Vehicles - NW'!J7)/('Used Vehicles - NW'!J7+'Used Vehicles - NS 5'!J7)</f>
        <v>1010.3781102362206</v>
      </c>
      <c r="K17" s="53">
        <f>('Used Vehicles - NS 5'!K17*'Used Vehicles - NS 5'!K7+'Used Vehicles - NW'!K17*'Used Vehicles - NW'!K7)/('Used Vehicles - NW'!K7+'Used Vehicles - NS 5'!K7)</f>
        <v>1111.1765853658537</v>
      </c>
      <c r="L17" s="53">
        <f>('Used Vehicles - NS 5'!L17*'Used Vehicles - NS 5'!L7+'Used Vehicles - NW'!L17*'Used Vehicles - NW'!L7)/('Used Vehicles - NW'!L7+'Used Vehicles - NS 5'!L7)</f>
        <v>878.9367088607595</v>
      </c>
      <c r="M17" s="53">
        <f>('Used Vehicles - NS 5'!M17*'Used Vehicles - NS 5'!M7+'Used Vehicles - NW'!M17*'Used Vehicles - NW'!M7)/('Used Vehicles - NW'!M7+'Used Vehicles - NS 5'!M7)</f>
        <v>1002.2015789473684</v>
      </c>
      <c r="N17" s="53">
        <f>('Used Vehicles - NS 5'!N17*'Used Vehicles - NS 5'!N7+'Used Vehicles - NW'!N17*'Used Vehicles - NW'!N7)/('Used Vehicles - NW'!N7+'Used Vehicles - NS 5'!N7)</f>
        <v>1170.6298319327732</v>
      </c>
      <c r="O17" s="53">
        <f>('Used Vehicles - NS 5'!O17*'Used Vehicles - NS 5'!O7+'Used Vehicles - NW'!O17*'Used Vehicles - NW'!O7)/('Used Vehicles - NW'!O7+'Used Vehicles - NS 5'!O7)</f>
        <v>1145.0201612903227</v>
      </c>
      <c r="P17" s="53">
        <f>('Used Vehicles - NS 5'!P17*'Used Vehicles - NS 5'!P7+'Used Vehicles - NW'!P17*'Used Vehicles - NW'!P7)/('Used Vehicles - NW'!P7+'Used Vehicles - NS 5'!P7)</f>
        <v>1273.6299130434784</v>
      </c>
      <c r="Q17" s="5"/>
      <c r="R17" s="52">
        <f t="shared" si="1"/>
        <v>1129.4661747724401</v>
      </c>
    </row>
    <row r="18" spans="1:19" ht="15" customHeight="1" x14ac:dyDescent="0.25">
      <c r="A18" s="50" t="s">
        <v>1073</v>
      </c>
      <c r="B18" s="53">
        <f>B16+B17</f>
        <v>1797.0157291666667</v>
      </c>
      <c r="C18" s="53">
        <f t="shared" ref="C18:M18" si="2">C16+C17</f>
        <v>1372.8752419354842</v>
      </c>
      <c r="D18" s="53">
        <f t="shared" si="2"/>
        <v>1441.229352066284</v>
      </c>
      <c r="E18" s="53">
        <f t="shared" si="2"/>
        <v>1757.452777777778</v>
      </c>
      <c r="F18" s="53">
        <f t="shared" si="2"/>
        <v>1479.4086178861789</v>
      </c>
      <c r="G18" s="53">
        <f t="shared" si="2"/>
        <v>1864.3353389830506</v>
      </c>
      <c r="H18" s="53">
        <f t="shared" si="2"/>
        <v>2074.0006382978722</v>
      </c>
      <c r="I18" s="53">
        <f t="shared" si="2"/>
        <v>1980.2259259259263</v>
      </c>
      <c r="J18" s="53">
        <f t="shared" si="2"/>
        <v>1612.1566141732285</v>
      </c>
      <c r="K18" s="53">
        <f t="shared" si="2"/>
        <v>1589.8895121951221</v>
      </c>
      <c r="L18" s="53">
        <f t="shared" si="2"/>
        <v>1456.4845569620252</v>
      </c>
      <c r="M18" s="53">
        <f t="shared" si="2"/>
        <v>1559.3426315789475</v>
      </c>
      <c r="N18" s="53">
        <f>N16+N17</f>
        <v>1777.2756302521011</v>
      </c>
      <c r="O18" s="53">
        <f>O16+O17</f>
        <v>1714.019677419355</v>
      </c>
      <c r="P18" s="53">
        <f>P16+P17</f>
        <v>1906.0513043478261</v>
      </c>
      <c r="R18" s="52">
        <f t="shared" si="1"/>
        <v>1730.8869354832843</v>
      </c>
    </row>
    <row r="19" spans="1:19" ht="15" customHeight="1" x14ac:dyDescent="0.25">
      <c r="A19" s="50" t="s">
        <v>1074</v>
      </c>
      <c r="B19" s="54">
        <f>'[3]USED VEHICLE GROUP'!$B$34</f>
        <v>-114.97177083333213</v>
      </c>
      <c r="C19" s="53">
        <f>'[4]USED VEHICLE GROUP'!$B$34</f>
        <v>628.15887096774077</v>
      </c>
      <c r="D19" s="53">
        <f>'[5]USED VEHICLE GROUP'!$B$34</f>
        <v>538.70721428571301</v>
      </c>
      <c r="E19" s="54">
        <f>'[6]USED VEHICLE GROUP'!$B$34</f>
        <v>-29.127407407407418</v>
      </c>
      <c r="F19" s="57">
        <f>'[7]USED VEHICLE GROUP'!$B$34</f>
        <v>89.530569105688755</v>
      </c>
      <c r="G19" s="53">
        <f>'[8]USED VEHICLE GROUP'!$B$34</f>
        <v>865.22093220339093</v>
      </c>
      <c r="H19" s="53">
        <f>'[9]USED VEHICLE GROUP'!$B$34</f>
        <v>-99.47244680851054</v>
      </c>
      <c r="I19" s="53">
        <f>'[10]USED VEHICLE GROUP'!$B$34</f>
        <v>70.384814814814717</v>
      </c>
      <c r="J19" s="53">
        <f>'[11]USED VEHICLE GROUP'!$B$34</f>
        <v>684.48960629921385</v>
      </c>
      <c r="K19" s="53">
        <f>'[12]USED VEHICLE GROUP'!$B$34</f>
        <v>219.67360000000008</v>
      </c>
      <c r="L19" s="53">
        <f>'[13]USED VEHICLE GROUP'!$B$34</f>
        <v>-207.23194968553389</v>
      </c>
      <c r="M19" s="53">
        <f>'[14]USED VEHICLE GROUP'!$B$34</f>
        <v>568.2076691729319</v>
      </c>
      <c r="N19" s="53">
        <f>'[15]USED VEHICLE GROUP'!$C$34</f>
        <v>714.93230569753223</v>
      </c>
      <c r="O19" s="53">
        <f>'[16]USED VEHICLE GROUP'!$B$34</f>
        <v>116.21846774193409</v>
      </c>
      <c r="P19" s="53">
        <f>'[17]USED VEHICLE GROUP'!$B$34</f>
        <v>815.36232758620667</v>
      </c>
      <c r="Q19" s="8"/>
      <c r="R19" s="52">
        <f t="shared" si="1"/>
        <v>317.34904072668843</v>
      </c>
    </row>
    <row r="20" spans="1:19" x14ac:dyDescent="0.25">
      <c r="A20" s="50"/>
      <c r="B20" s="53"/>
      <c r="C20" s="53"/>
      <c r="D20" s="53"/>
      <c r="E20" s="53"/>
      <c r="F20" s="53"/>
      <c r="G20" s="53"/>
      <c r="H20" s="53"/>
      <c r="I20" s="53"/>
      <c r="J20" s="53"/>
      <c r="K20" s="53"/>
      <c r="L20" s="53"/>
      <c r="M20" s="53"/>
      <c r="N20" s="53"/>
      <c r="O20" s="53"/>
      <c r="P20" s="53"/>
      <c r="Q20" s="3"/>
      <c r="R20" s="52"/>
    </row>
    <row r="21" spans="1:19" x14ac:dyDescent="0.25">
      <c r="A21" s="50" t="s">
        <v>1113</v>
      </c>
      <c r="B21" s="53">
        <f>'Used Vehicles - NS 5'!B21+'Used Vehicles - NW'!B21</f>
        <v>2526.0600000000031</v>
      </c>
      <c r="C21" s="53">
        <f>'Used Vehicles - NS 5'!C21+'Used Vehicles - NW'!C21</f>
        <v>3778.2399999999961</v>
      </c>
      <c r="D21" s="53">
        <f>'Used Vehicles - NS 5'!D21+'Used Vehicles - NW'!D21</f>
        <v>4504.8499999999931</v>
      </c>
      <c r="E21" s="53">
        <f>'Used Vehicles - NS 5'!E21+'Used Vehicles - NW'!E21</f>
        <v>9391.309999999994</v>
      </c>
      <c r="F21" s="53">
        <f>'Used Vehicles - NS 5'!F21+'Used Vehicles - NW'!F21</f>
        <v>13919.920000000006</v>
      </c>
      <c r="G21" s="53">
        <f>'Used Vehicles - NS 5'!G21+'Used Vehicles - NW'!G21</f>
        <v>-7155.8499999999985</v>
      </c>
      <c r="H21" s="53">
        <f>'Used Vehicles - NS 5'!H21+'Used Vehicles - NW'!H21</f>
        <v>3980.0299999999988</v>
      </c>
      <c r="I21" s="53">
        <f>'Used Vehicles - NS 5'!I21+'Used Vehicles - NW'!I21</f>
        <v>-1030.1800000000112</v>
      </c>
      <c r="J21" s="53">
        <f>'Used Vehicles - NS 5'!J21+'Used Vehicles - NW'!J21</f>
        <v>5212.7900000000045</v>
      </c>
      <c r="K21" s="53">
        <f>'Used Vehicles - NS 5'!K21+'Used Vehicles - NW'!K21</f>
        <v>9951.7199999999866</v>
      </c>
      <c r="L21" s="53">
        <f>'Used Vehicles - NS 5'!L21+'Used Vehicles - NW'!L21</f>
        <v>17707.799999999996</v>
      </c>
      <c r="M21" s="53">
        <f>'Used Vehicles - NS 5'!M21+'Used Vehicles - NW'!M21</f>
        <v>14481.179999999989</v>
      </c>
      <c r="N21" s="53">
        <f>'Used Vehicles - NS 5'!N21+'Used Vehicles - NW'!N21</f>
        <v>19517.599999999999</v>
      </c>
      <c r="O21" s="53">
        <f>'Used Vehicles - NS 5'!O21+'Used Vehicles - NW'!O21</f>
        <v>-995.20000000000618</v>
      </c>
      <c r="P21" s="53">
        <f>'Used Vehicles - NS 5'!P21+'Used Vehicles - NW'!P21</f>
        <v>7664.1500000000015</v>
      </c>
      <c r="R21" s="52">
        <f>SUM(E21:P21)</f>
        <v>92645.269999999931</v>
      </c>
    </row>
    <row r="22" spans="1:19" x14ac:dyDescent="0.25">
      <c r="A22" s="50" t="s">
        <v>1114</v>
      </c>
      <c r="B22" s="53">
        <f>'Used Vehicles - NS 5'!B22+'Used Vehicles - NW'!B22</f>
        <v>161476.22000000012</v>
      </c>
      <c r="C22" s="53">
        <f>'Used Vehicles - NS 5'!C22+'Used Vehicles - NW'!C22</f>
        <v>248128.22999999984</v>
      </c>
      <c r="D22" s="53">
        <f>'Used Vehicles - NS 5'!D22+'Used Vehicles - NW'!D22</f>
        <v>293152.72999999981</v>
      </c>
      <c r="E22" s="53">
        <f>'Used Vehicles - NS 5'!E22+'Used Vehicles - NW'!E22</f>
        <v>186659.14</v>
      </c>
      <c r="F22" s="53">
        <f>'Used Vehicles - NS 5'!F22+'Used Vehicles - NW'!F22</f>
        <v>192979.51999999973</v>
      </c>
      <c r="G22" s="53">
        <f>'Used Vehicles - NS 5'!G22+'Used Vehicles - NW'!G22</f>
        <v>322087.64000000013</v>
      </c>
      <c r="H22" s="53">
        <f>'Used Vehicles - NS 5'!H22+'Used Vehicles - NW'!H22</f>
        <v>185605.65</v>
      </c>
      <c r="I22" s="53">
        <f>'Used Vehicles - NS 5'!I22+'Used Vehicles - NW'!I22</f>
        <v>221465.96000000002</v>
      </c>
      <c r="J22" s="53">
        <f>'Used Vehicles - NS 5'!J22+'Used Vehicles - NW'!J22</f>
        <v>291674.07000000012</v>
      </c>
      <c r="K22" s="53">
        <f>'Used Vehicles - NS 5'!K22+'Used Vehicles - NW'!K22</f>
        <v>223015.61000000004</v>
      </c>
      <c r="L22" s="53">
        <f>'Used Vehicles - NS 5'!L22+'Used Vehicles - NW'!L22</f>
        <v>197174.68000000011</v>
      </c>
      <c r="M22" s="53">
        <f>'Used Vehicles - NS 5'!M22+'Used Vehicles - NW'!M22</f>
        <v>282964.18999999994</v>
      </c>
      <c r="N22" s="53">
        <f>'Used Vehicles - NS 5'!N22+'Used Vehicles - NW'!N22</f>
        <v>244080.81000000011</v>
      </c>
      <c r="O22" s="53">
        <f>'Used Vehicles - NS 5'!O22+'Used Vehicles - NW'!O22</f>
        <v>226949.52999999985</v>
      </c>
      <c r="P22" s="53">
        <f>'Used Vehicles - NS 5'!P22+'Used Vehicles - NW'!P22</f>
        <v>313777.93</v>
      </c>
      <c r="R22" s="52">
        <f>SUM(E22:P22)</f>
        <v>2888434.73</v>
      </c>
    </row>
    <row r="23" spans="1:19" x14ac:dyDescent="0.25">
      <c r="A23" s="7" t="s">
        <v>1076</v>
      </c>
      <c r="B23" s="12">
        <f t="shared" ref="B23:P23" si="3">B18*B7</f>
        <v>172513.51</v>
      </c>
      <c r="C23" s="12">
        <f t="shared" si="3"/>
        <v>170236.53000000003</v>
      </c>
      <c r="D23" s="12">
        <f t="shared" si="3"/>
        <v>201772.10928927976</v>
      </c>
      <c r="E23" s="12">
        <f t="shared" si="3"/>
        <v>189804.90000000002</v>
      </c>
      <c r="F23" s="12">
        <f t="shared" si="3"/>
        <v>181967.26</v>
      </c>
      <c r="G23" s="12">
        <f t="shared" si="3"/>
        <v>219991.56999999998</v>
      </c>
      <c r="H23" s="12">
        <f t="shared" si="3"/>
        <v>194956.06</v>
      </c>
      <c r="I23" s="12">
        <f t="shared" si="3"/>
        <v>213864.40000000002</v>
      </c>
      <c r="J23" s="12">
        <f t="shared" si="3"/>
        <v>204743.89</v>
      </c>
      <c r="K23" s="12">
        <f t="shared" si="3"/>
        <v>195556.41</v>
      </c>
      <c r="L23" s="12">
        <f t="shared" si="3"/>
        <v>230124.55999999997</v>
      </c>
      <c r="M23" s="12">
        <f t="shared" si="3"/>
        <v>207392.57</v>
      </c>
      <c r="N23" s="12">
        <f t="shared" si="3"/>
        <v>211495.80000000005</v>
      </c>
      <c r="O23" s="12">
        <f t="shared" si="3"/>
        <v>212538.44000000003</v>
      </c>
      <c r="P23" s="12">
        <f t="shared" si="3"/>
        <v>219195.9</v>
      </c>
      <c r="R23" s="6">
        <f>SUM(E23:P23)</f>
        <v>2481631.7600000002</v>
      </c>
    </row>
    <row r="24" spans="1:19" ht="15.75" thickBot="1" x14ac:dyDescent="0.3">
      <c r="A24" s="51" t="s">
        <v>1115</v>
      </c>
      <c r="B24" s="58">
        <f t="shared" ref="B24:P24" si="4">B7*B19</f>
        <v>-11037.289999999884</v>
      </c>
      <c r="C24" s="58">
        <f t="shared" si="4"/>
        <v>77891.699999999852</v>
      </c>
      <c r="D24" s="58">
        <f t="shared" si="4"/>
        <v>75419.00999999982</v>
      </c>
      <c r="E24" s="58">
        <f t="shared" si="4"/>
        <v>-3145.7600000000011</v>
      </c>
      <c r="F24" s="58">
        <f t="shared" si="4"/>
        <v>11012.259999999716</v>
      </c>
      <c r="G24" s="58">
        <f t="shared" si="4"/>
        <v>102096.07000000012</v>
      </c>
      <c r="H24" s="58">
        <f t="shared" si="4"/>
        <v>-9350.4099999999908</v>
      </c>
      <c r="I24" s="58">
        <f t="shared" si="4"/>
        <v>7601.5599999999895</v>
      </c>
      <c r="J24" s="58">
        <f t="shared" si="4"/>
        <v>86930.180000000153</v>
      </c>
      <c r="K24" s="58">
        <f t="shared" si="4"/>
        <v>27019.852800000008</v>
      </c>
      <c r="L24" s="58">
        <f t="shared" si="4"/>
        <v>-32742.648050314354</v>
      </c>
      <c r="M24" s="58">
        <f t="shared" si="4"/>
        <v>75571.619999999937</v>
      </c>
      <c r="N24" s="58">
        <f t="shared" si="4"/>
        <v>85076.94437800633</v>
      </c>
      <c r="O24" s="58">
        <f t="shared" si="4"/>
        <v>14411.089999999827</v>
      </c>
      <c r="P24" s="58">
        <f t="shared" si="4"/>
        <v>93766.667672413765</v>
      </c>
      <c r="Q24" t="s">
        <v>1116</v>
      </c>
      <c r="R24" s="58">
        <f>SUM(E24:P24)</f>
        <v>458247.42680010549</v>
      </c>
    </row>
    <row r="25" spans="1:19" ht="15.75" thickTop="1" x14ac:dyDescent="0.25">
      <c r="A25" s="40"/>
      <c r="B25" s="53"/>
      <c r="C25" s="53"/>
      <c r="D25" s="53"/>
      <c r="E25" s="186">
        <f>E6/E7</f>
        <v>0.5092592592592593</v>
      </c>
      <c r="F25" s="186">
        <f t="shared" ref="F25:P25" si="5">F6/F7</f>
        <v>0.41463414634146339</v>
      </c>
      <c r="G25" s="186">
        <f t="shared" si="5"/>
        <v>0.60169491525423724</v>
      </c>
      <c r="H25" s="186">
        <f t="shared" si="5"/>
        <v>0.5957446808510638</v>
      </c>
      <c r="I25" s="186">
        <f t="shared" si="5"/>
        <v>0.53703703703703709</v>
      </c>
      <c r="J25" s="186">
        <f t="shared" si="5"/>
        <v>0.45669291338582679</v>
      </c>
      <c r="K25" s="186">
        <f t="shared" si="5"/>
        <v>0.47967479674796748</v>
      </c>
      <c r="L25" s="186">
        <f t="shared" si="5"/>
        <v>0.49367088607594939</v>
      </c>
      <c r="M25" s="186">
        <f t="shared" si="5"/>
        <v>0.42857142857142855</v>
      </c>
      <c r="N25" s="186">
        <f t="shared" si="5"/>
        <v>0.52100840336134457</v>
      </c>
      <c r="O25" s="186">
        <f t="shared" si="5"/>
        <v>0.5</v>
      </c>
      <c r="P25" s="186">
        <f t="shared" si="5"/>
        <v>0.43478260869565216</v>
      </c>
      <c r="R25" s="53"/>
    </row>
    <row r="26" spans="1:19" x14ac:dyDescent="0.25">
      <c r="A26" s="40"/>
      <c r="B26" s="53"/>
      <c r="C26" s="53"/>
      <c r="D26" s="53"/>
      <c r="E26" s="53"/>
      <c r="F26" s="53"/>
      <c r="G26" s="53"/>
      <c r="H26" s="53"/>
      <c r="I26" s="53"/>
      <c r="J26" s="53"/>
      <c r="K26" s="53"/>
      <c r="L26" s="53"/>
      <c r="M26" s="53"/>
      <c r="N26" s="53"/>
      <c r="O26" s="53"/>
      <c r="P26" s="53"/>
      <c r="R26" s="53"/>
    </row>
    <row r="27" spans="1:19" s="21" customFormat="1" ht="15" customHeight="1" x14ac:dyDescent="0.25">
      <c r="A27" s="56" t="s">
        <v>1103</v>
      </c>
      <c r="B27" s="5">
        <v>45292</v>
      </c>
      <c r="C27" s="5">
        <v>45323</v>
      </c>
      <c r="D27" s="5">
        <v>45352</v>
      </c>
      <c r="E27" s="5">
        <v>45383</v>
      </c>
      <c r="F27" s="5">
        <v>45413</v>
      </c>
      <c r="G27" s="5">
        <v>45444</v>
      </c>
      <c r="H27" s="5">
        <v>45474</v>
      </c>
      <c r="I27" s="5">
        <v>45505</v>
      </c>
      <c r="J27" s="5">
        <v>45536</v>
      </c>
      <c r="K27" s="5">
        <v>45566</v>
      </c>
      <c r="L27" s="5">
        <v>45597</v>
      </c>
      <c r="M27" s="5">
        <v>45627</v>
      </c>
      <c r="N27" s="5">
        <v>45658</v>
      </c>
      <c r="O27" s="5">
        <v>45689</v>
      </c>
      <c r="P27" s="5">
        <v>45717</v>
      </c>
      <c r="Q27"/>
      <c r="R27" s="5" t="s">
        <v>955</v>
      </c>
    </row>
    <row r="28" spans="1:19" ht="15" customHeight="1" x14ac:dyDescent="0.25">
      <c r="A28" s="46"/>
      <c r="B28" s="5" t="s">
        <v>959</v>
      </c>
      <c r="C28" s="5" t="s">
        <v>959</v>
      </c>
      <c r="D28" s="5" t="s">
        <v>959</v>
      </c>
      <c r="E28" s="5" t="s">
        <v>959</v>
      </c>
      <c r="F28" s="5" t="s">
        <v>959</v>
      </c>
      <c r="G28" s="5" t="s">
        <v>959</v>
      </c>
      <c r="H28" s="5" t="s">
        <v>959</v>
      </c>
      <c r="I28" s="5" t="s">
        <v>959</v>
      </c>
      <c r="J28" s="5" t="s">
        <v>959</v>
      </c>
      <c r="K28" s="5" t="s">
        <v>959</v>
      </c>
      <c r="L28" s="5" t="s">
        <v>959</v>
      </c>
      <c r="M28" s="5" t="s">
        <v>959</v>
      </c>
      <c r="N28" s="5" t="s">
        <v>959</v>
      </c>
      <c r="O28" s="5" t="s">
        <v>959</v>
      </c>
      <c r="P28" s="5" t="s">
        <v>959</v>
      </c>
      <c r="R28" s="5" t="s">
        <v>961</v>
      </c>
    </row>
    <row r="29" spans="1:19" ht="15" customHeight="1" x14ac:dyDescent="0.25">
      <c r="A29" s="40"/>
      <c r="B29" s="40"/>
      <c r="C29" s="40"/>
      <c r="D29" s="48"/>
      <c r="E29" s="40"/>
      <c r="F29" s="40"/>
      <c r="G29" s="40"/>
      <c r="H29" s="40"/>
      <c r="I29" s="40"/>
      <c r="J29" s="40"/>
      <c r="K29" s="40"/>
      <c r="L29" s="40"/>
      <c r="M29" s="40"/>
      <c r="N29" s="40"/>
      <c r="O29" s="40"/>
      <c r="P29" s="40"/>
      <c r="R29" s="40"/>
    </row>
    <row r="30" spans="1:19" ht="15" customHeight="1" x14ac:dyDescent="0.25">
      <c r="A30" s="50" t="s">
        <v>1104</v>
      </c>
      <c r="B30" s="50">
        <f>'Used Vehicles - NS 5'!B30+'Used Vehicles - NW'!B30</f>
        <v>49</v>
      </c>
      <c r="C30" s="50">
        <f>'Used Vehicles - NS 5'!C30+'Used Vehicles - NW'!C30</f>
        <v>49.2</v>
      </c>
      <c r="D30" s="50">
        <f>'Used Vehicles - NS 5'!D30+'Used Vehicles - NW'!D30</f>
        <v>49.2</v>
      </c>
      <c r="E30" s="50">
        <f>166/3</f>
        <v>55.333333333333336</v>
      </c>
      <c r="F30" s="50">
        <f>E30</f>
        <v>55.333333333333336</v>
      </c>
      <c r="G30" s="50">
        <f>F30</f>
        <v>55.333333333333336</v>
      </c>
      <c r="H30" s="50">
        <f>E30</f>
        <v>55.333333333333336</v>
      </c>
      <c r="I30" s="50">
        <f t="shared" ref="I30:P30" si="6">F30</f>
        <v>55.333333333333336</v>
      </c>
      <c r="J30" s="50">
        <f t="shared" si="6"/>
        <v>55.333333333333336</v>
      </c>
      <c r="K30" s="50">
        <f t="shared" si="6"/>
        <v>55.333333333333336</v>
      </c>
      <c r="L30" s="50">
        <f t="shared" si="6"/>
        <v>55.333333333333336</v>
      </c>
      <c r="M30" s="50">
        <f t="shared" si="6"/>
        <v>55.333333333333336</v>
      </c>
      <c r="N30" s="50">
        <f t="shared" si="6"/>
        <v>55.333333333333336</v>
      </c>
      <c r="O30" s="50">
        <f t="shared" si="6"/>
        <v>55.333333333333336</v>
      </c>
      <c r="P30" s="50">
        <f t="shared" si="6"/>
        <v>55.333333333333336</v>
      </c>
      <c r="Q30" s="8"/>
      <c r="R30" s="162">
        <f>SUM(E30:P30)</f>
        <v>664</v>
      </c>
      <c r="S30" s="14"/>
    </row>
    <row r="31" spans="1:19" ht="15" customHeight="1" x14ac:dyDescent="0.25">
      <c r="A31" s="50" t="s">
        <v>1105</v>
      </c>
      <c r="B31" s="50">
        <f>'Used Vehicles - NS 5'!B31+'Used Vehicles - NW'!B31</f>
        <v>8</v>
      </c>
      <c r="C31" s="50">
        <f>'Used Vehicles - NS 5'!C31+'Used Vehicles - NW'!C31</f>
        <v>5.0888888888888886</v>
      </c>
      <c r="D31" s="50">
        <f>'Used Vehicles - NS 5'!D31+'Used Vehicles - NW'!D31</f>
        <v>5.0888888888888886</v>
      </c>
      <c r="E31" s="50">
        <f>'Used Vehicles - NS 5'!E31+'Used Vehicles - NW'!E31</f>
        <v>10.25</v>
      </c>
      <c r="F31" s="50">
        <f>'Used Vehicles - NS 5'!F31+'Used Vehicles - NW'!F31</f>
        <v>10.25</v>
      </c>
      <c r="G31" s="50">
        <f>'Used Vehicles - NS 5'!G31+'Used Vehicles - NW'!G31</f>
        <v>10.25</v>
      </c>
      <c r="H31" s="50">
        <f>'Used Vehicles - NS 5'!H31+'Used Vehicles - NW'!H31</f>
        <v>10.25</v>
      </c>
      <c r="I31" s="50">
        <f>'Used Vehicles - NS 5'!I31+'Used Vehicles - NW'!I31</f>
        <v>10.25</v>
      </c>
      <c r="J31" s="50">
        <f>'Used Vehicles - NS 5'!J31+'Used Vehicles - NW'!J31</f>
        <v>10.25</v>
      </c>
      <c r="K31" s="50">
        <f>'Used Vehicles - NS 5'!K31+'Used Vehicles - NW'!K31</f>
        <v>10.25</v>
      </c>
      <c r="L31" s="50">
        <f>'Used Vehicles - NS 5'!L31+'Used Vehicles - NW'!L31</f>
        <v>10.25</v>
      </c>
      <c r="M31" s="50">
        <f>'Used Vehicles - NS 5'!M31+'Used Vehicles - NW'!M31</f>
        <v>10.25</v>
      </c>
      <c r="N31" s="50">
        <f>'Used Vehicles - NS 5'!N31+'Used Vehicles - NW'!N31</f>
        <v>10.25</v>
      </c>
      <c r="O31" s="50">
        <f>'Used Vehicles - NS 5'!O31+'Used Vehicles - NW'!O31</f>
        <v>10.25</v>
      </c>
      <c r="P31" s="50">
        <f>'Used Vehicles - NS 5'!P31+'Used Vehicles - NW'!P31</f>
        <v>10.25</v>
      </c>
      <c r="Q31" s="3"/>
      <c r="R31" s="162">
        <f>SUM(E31:P31)</f>
        <v>123</v>
      </c>
      <c r="S31" s="14"/>
    </row>
    <row r="32" spans="1:19" ht="15" customHeight="1" x14ac:dyDescent="0.25">
      <c r="A32" s="50" t="s">
        <v>1106</v>
      </c>
      <c r="B32" s="50">
        <f>'Used Vehicles - NS 5'!B32+'Used Vehicles - NW'!B32</f>
        <v>62</v>
      </c>
      <c r="C32" s="50">
        <f>'Used Vehicles - NS 5'!C32+'Used Vehicles - NW'!C32</f>
        <v>86</v>
      </c>
      <c r="D32" s="50">
        <f>'Used Vehicles - NS 5'!D32+'Used Vehicles - NW'!D32</f>
        <v>92</v>
      </c>
      <c r="E32" s="50">
        <f>'Used Vehicles - NS 5'!E32+'Used Vehicles - NW'!E32</f>
        <v>70.916666666666671</v>
      </c>
      <c r="F32" s="50">
        <f>'Used Vehicles - NS 5'!F32+'Used Vehicles - NW'!F32</f>
        <v>85.916666666666657</v>
      </c>
      <c r="G32" s="50">
        <f>'Used Vehicles - NS 5'!G32+'Used Vehicles - NW'!G32</f>
        <v>98.916666666666657</v>
      </c>
      <c r="H32" s="50">
        <f>'Used Vehicles - NS 5'!H32+'Used Vehicles - NW'!H32</f>
        <v>89.916666666666657</v>
      </c>
      <c r="I32" s="50">
        <f>'Used Vehicles - NS 5'!I32+'Used Vehicles - NW'!I32</f>
        <v>94.416666666666657</v>
      </c>
      <c r="J32" s="50">
        <f>'Used Vehicles - NS 5'!J32+'Used Vehicles - NW'!J32</f>
        <v>98.916666666666657</v>
      </c>
      <c r="K32" s="50">
        <f>'Used Vehicles - NS 5'!K32+'Used Vehicles - NW'!K32</f>
        <v>89.916666666666657</v>
      </c>
      <c r="L32" s="50">
        <f>'Used Vehicles - NS 5'!L32+'Used Vehicles - NW'!L32</f>
        <v>117.91666666666666</v>
      </c>
      <c r="M32" s="50">
        <f>'Used Vehicles - NS 5'!M32+'Used Vehicles - NW'!M32</f>
        <v>84.416666666666657</v>
      </c>
      <c r="N32" s="50">
        <f>'Used Vehicles - NS 5'!N32+'Used Vehicles - NW'!N32</f>
        <v>79.916666666666657</v>
      </c>
      <c r="O32" s="50">
        <f>'Used Vehicles - NS 5'!O32+'Used Vehicles - NW'!O32</f>
        <v>79.916666666666657</v>
      </c>
      <c r="P32" s="50">
        <f>'Used Vehicles - NS 5'!P32+'Used Vehicles - NW'!P32</f>
        <v>97.916666666666657</v>
      </c>
      <c r="Q32" s="3"/>
      <c r="R32" s="162">
        <f>SUM(E32:P32)</f>
        <v>1088.9999999999998</v>
      </c>
      <c r="S32" s="14"/>
    </row>
    <row r="33" spans="1:20" ht="15" customHeight="1" x14ac:dyDescent="0.25">
      <c r="A33" s="50" t="s">
        <v>1107</v>
      </c>
      <c r="B33" s="50">
        <f>'Used Vehicles - NS 5'!B33+'Used Vehicles - NW'!B33</f>
        <v>119</v>
      </c>
      <c r="C33" s="50">
        <f>'Used Vehicles - NS 5'!C33+'Used Vehicles - NW'!C33</f>
        <v>140.28888888888889</v>
      </c>
      <c r="D33" s="50">
        <f>'Used Vehicles - NS 5'!D33+'Used Vehicles - NW'!D33</f>
        <v>146.28888888888889</v>
      </c>
      <c r="E33" s="50">
        <f>SUM(E30:E32)</f>
        <v>136.5</v>
      </c>
      <c r="F33" s="50">
        <f t="shared" ref="F33:P33" si="7">SUM(F30:F32)</f>
        <v>151.5</v>
      </c>
      <c r="G33" s="50">
        <f t="shared" si="7"/>
        <v>164.5</v>
      </c>
      <c r="H33" s="50">
        <f t="shared" si="7"/>
        <v>155.5</v>
      </c>
      <c r="I33" s="50">
        <f t="shared" si="7"/>
        <v>160</v>
      </c>
      <c r="J33" s="50">
        <f t="shared" si="7"/>
        <v>164.5</v>
      </c>
      <c r="K33" s="50">
        <f t="shared" si="7"/>
        <v>155.5</v>
      </c>
      <c r="L33" s="50">
        <f t="shared" si="7"/>
        <v>183.5</v>
      </c>
      <c r="M33" s="50">
        <f t="shared" si="7"/>
        <v>150</v>
      </c>
      <c r="N33" s="50">
        <f t="shared" si="7"/>
        <v>145.5</v>
      </c>
      <c r="O33" s="50">
        <f t="shared" si="7"/>
        <v>145.5</v>
      </c>
      <c r="P33" s="50">
        <f t="shared" si="7"/>
        <v>163.5</v>
      </c>
      <c r="Q33" s="3"/>
      <c r="R33" s="162">
        <f>SUM(E33:P33)</f>
        <v>1876</v>
      </c>
      <c r="S33" s="14"/>
    </row>
    <row r="34" spans="1:20" ht="15" customHeight="1" x14ac:dyDescent="0.25">
      <c r="A34" s="50" t="s">
        <v>1066</v>
      </c>
      <c r="B34" s="50">
        <f>'Used Vehicles - NS 5'!B34+'Used Vehicles - NW'!B34</f>
        <v>10</v>
      </c>
      <c r="C34" s="50">
        <f>'Used Vehicles - NS 5'!C34+'Used Vehicles - NW'!C34</f>
        <v>9</v>
      </c>
      <c r="D34" s="50">
        <f>'Used Vehicles - NS 5'!D34+'Used Vehicles - NW'!D34</f>
        <v>9</v>
      </c>
      <c r="E34" s="50">
        <f>'Used Vehicles - NS 5'!E34+'Used Vehicles - NW'!E34</f>
        <v>8</v>
      </c>
      <c r="F34" s="50">
        <f>'Used Vehicles - NS 5'!F34+'Used Vehicles - NW'!F34</f>
        <v>9</v>
      </c>
      <c r="G34" s="50">
        <f>'Used Vehicles - NS 5'!G34+'Used Vehicles - NW'!G34</f>
        <v>9</v>
      </c>
      <c r="H34" s="50">
        <f>'Used Vehicles - NS 5'!H34+'Used Vehicles - NW'!H34</f>
        <v>9.5</v>
      </c>
      <c r="I34" s="50">
        <f>'Used Vehicles - NS 5'!I34+'Used Vehicles - NW'!I34</f>
        <v>9.5</v>
      </c>
      <c r="J34" s="50">
        <f>'Used Vehicles - NS 5'!J34+'Used Vehicles - NW'!J34</f>
        <v>9.5</v>
      </c>
      <c r="K34" s="50">
        <f>'Used Vehicles - NS 5'!K34+'Used Vehicles - NW'!K34</f>
        <v>9.5</v>
      </c>
      <c r="L34" s="50">
        <f>'Used Vehicles - NS 5'!L34+'Used Vehicles - NW'!L34</f>
        <v>9.5</v>
      </c>
      <c r="M34" s="50">
        <f>'Used Vehicles - NS 5'!M34+'Used Vehicles - NW'!M34</f>
        <v>9.5</v>
      </c>
      <c r="N34" s="50">
        <f>'Used Vehicles - NS 5'!N34+'Used Vehicles - NW'!N34</f>
        <v>9.5</v>
      </c>
      <c r="O34" s="50">
        <f>'Used Vehicles - NS 5'!O34+'Used Vehicles - NW'!O34</f>
        <v>9.5</v>
      </c>
      <c r="P34" s="50">
        <f>'Used Vehicles - NS 5'!P34+'Used Vehicles - NW'!P34</f>
        <v>9.5</v>
      </c>
      <c r="Q34" s="3"/>
      <c r="R34" s="162">
        <f>AVERAGE(E34:P34)</f>
        <v>9.2916666666666661</v>
      </c>
    </row>
    <row r="35" spans="1:20" ht="15" customHeight="1" x14ac:dyDescent="0.25">
      <c r="A35" s="50" t="s">
        <v>1108</v>
      </c>
      <c r="B35" s="50">
        <f>B33/B34</f>
        <v>11.9</v>
      </c>
      <c r="C35" s="50">
        <f>C33/C34</f>
        <v>15.587654320987655</v>
      </c>
      <c r="D35" s="50">
        <f>D33/D34</f>
        <v>16.254320987654321</v>
      </c>
      <c r="E35" s="50">
        <f t="shared" ref="E35:P35" si="8">E33/E34</f>
        <v>17.0625</v>
      </c>
      <c r="F35" s="50">
        <f t="shared" si="8"/>
        <v>16.833333333333332</v>
      </c>
      <c r="G35" s="50">
        <f t="shared" si="8"/>
        <v>18.277777777777779</v>
      </c>
      <c r="H35" s="50">
        <f t="shared" si="8"/>
        <v>16.368421052631579</v>
      </c>
      <c r="I35" s="50">
        <f t="shared" si="8"/>
        <v>16.842105263157894</v>
      </c>
      <c r="J35" s="50">
        <f t="shared" si="8"/>
        <v>17.315789473684209</v>
      </c>
      <c r="K35" s="50">
        <f t="shared" si="8"/>
        <v>16.368421052631579</v>
      </c>
      <c r="L35" s="50">
        <f t="shared" si="8"/>
        <v>19.315789473684209</v>
      </c>
      <c r="M35" s="50">
        <f t="shared" si="8"/>
        <v>15.789473684210526</v>
      </c>
      <c r="N35" s="50">
        <f t="shared" si="8"/>
        <v>15.315789473684211</v>
      </c>
      <c r="O35" s="50">
        <f t="shared" si="8"/>
        <v>15.315789473684211</v>
      </c>
      <c r="P35" s="50">
        <f t="shared" si="8"/>
        <v>17.210526315789473</v>
      </c>
      <c r="Q35" s="3"/>
      <c r="R35" s="162">
        <f>AVERAGE(E35:P35)</f>
        <v>16.834643031189085</v>
      </c>
    </row>
    <row r="36" spans="1:20" ht="15" customHeight="1" x14ac:dyDescent="0.25">
      <c r="A36" s="50"/>
      <c r="B36" s="50"/>
      <c r="C36" s="50"/>
      <c r="D36" s="50"/>
      <c r="E36" s="50"/>
      <c r="F36" s="50"/>
      <c r="G36" s="50"/>
      <c r="H36" s="50"/>
      <c r="I36" s="50"/>
      <c r="J36" s="50"/>
      <c r="K36" s="50"/>
      <c r="L36" s="50"/>
      <c r="M36" s="50"/>
      <c r="N36" s="50"/>
      <c r="O36" s="50"/>
      <c r="P36" s="50"/>
      <c r="R36" s="52"/>
    </row>
    <row r="37" spans="1:20" ht="15" customHeight="1" x14ac:dyDescent="0.25">
      <c r="A37" s="50" t="s">
        <v>1109</v>
      </c>
      <c r="B37" s="53">
        <f>('Used Vehicles - NS 5'!B37*'Used Vehicles - NS 5'!B30+'Used Vehicles - NW'!B37*'Used Vehicles - NW'!B30)/('Used Vehicles - NW'!B30+'Used Vehicles - NS 5'!B30)</f>
        <v>1351.6324489795916</v>
      </c>
      <c r="C37" s="53">
        <f>('Used Vehicles - NS 5'!C37*'Used Vehicles - NS 5'!C30+'Used Vehicles - NW'!C37*'Used Vehicles - NW'!C30)/('Used Vehicles - NW'!C30+'Used Vehicles - NS 5'!C30)</f>
        <v>1095.5284552845528</v>
      </c>
      <c r="D37" s="53">
        <f>('Used Vehicles - NS 5'!D37*'Used Vehicles - NS 5'!D30+'Used Vehicles - NW'!D37*'Used Vehicles - NW'!D30)/('Used Vehicles - NW'!D30+'Used Vehicles - NS 5'!D30)</f>
        <v>1095.5284552845528</v>
      </c>
      <c r="E37" s="53">
        <f>('Used Vehicles - NS 5'!E30*'Used Vehicles - NS 5'!E37+'Used Vehicles - NW'!E30*'Used Vehicles - NW'!E37)/E30</f>
        <v>1111</v>
      </c>
      <c r="F37" s="53">
        <f>('Used Vehicles - NS 5'!F30*'Used Vehicles - NS 5'!F37+'Used Vehicles - NW'!F30*'Used Vehicles - NW'!F37)/F30</f>
        <v>1111</v>
      </c>
      <c r="G37" s="53">
        <f>('Used Vehicles - NS 5'!G30*'Used Vehicles - NS 5'!G37+'Used Vehicles - NW'!G30*'Used Vehicles - NW'!G37)/G30</f>
        <v>1111</v>
      </c>
      <c r="H37" s="53">
        <f>('Used Vehicles - NS 5'!H30*'Used Vehicles - NS 5'!H37+'Used Vehicles - NW'!H30*'Used Vehicles - NW'!H37)/H30</f>
        <v>1111</v>
      </c>
      <c r="I37" s="53">
        <f>('Used Vehicles - NS 5'!I30*'Used Vehicles - NS 5'!I37+'Used Vehicles - NW'!I30*'Used Vehicles - NW'!I37)/I30</f>
        <v>1111</v>
      </c>
      <c r="J37" s="53">
        <f>('Used Vehicles - NS 5'!J30*'Used Vehicles - NS 5'!J37+'Used Vehicles - NW'!J30*'Used Vehicles - NW'!J37)/J30</f>
        <v>1111</v>
      </c>
      <c r="K37" s="53">
        <f>('Used Vehicles - NS 5'!K30*'Used Vehicles - NS 5'!K37+'Used Vehicles - NW'!K30*'Used Vehicles - NW'!K37)/K30</f>
        <v>1111</v>
      </c>
      <c r="L37" s="53">
        <f>('Used Vehicles - NS 5'!L30*'Used Vehicles - NS 5'!L37+'Used Vehicles - NW'!L30*'Used Vehicles - NW'!L37)/L30</f>
        <v>1111</v>
      </c>
      <c r="M37" s="53">
        <f>('Used Vehicles - NS 5'!M30*'Used Vehicles - NS 5'!M37+'Used Vehicles - NW'!M30*'Used Vehicles - NW'!M37)/M30</f>
        <v>1111</v>
      </c>
      <c r="N37" s="53">
        <f>('Used Vehicles - NS 5'!N30*'Used Vehicles - NS 5'!N37+'Used Vehicles - NW'!N30*'Used Vehicles - NW'!N37)/N30</f>
        <v>1111</v>
      </c>
      <c r="O37" s="53">
        <f>('Used Vehicles - NS 5'!O30*'Used Vehicles - NS 5'!O37+'Used Vehicles - NW'!O30*'Used Vehicles - NW'!O37)/O30</f>
        <v>1111</v>
      </c>
      <c r="P37" s="53">
        <f>('Used Vehicles - NS 5'!P30*'Used Vehicles - NS 5'!P37+'Used Vehicles - NW'!P30*'Used Vehicles - NW'!P37)/P30</f>
        <v>1111</v>
      </c>
      <c r="R37" s="52">
        <f t="shared" ref="R37:R45" si="9">AVERAGE(E37:P37)</f>
        <v>1111</v>
      </c>
    </row>
    <row r="38" spans="1:20" ht="15" customHeight="1" x14ac:dyDescent="0.25">
      <c r="A38" s="50" t="s">
        <v>1110</v>
      </c>
      <c r="B38" s="53">
        <f>('Used Vehicles - NS 5'!B38*'Used Vehicles - NS 5'!B31+'Used Vehicles - NW'!B38*'Used Vehicles - NW'!B31)/('Used Vehicles - NW'!B31+'Used Vehicles - NS 5'!B31)</f>
        <v>2514.5600000000022</v>
      </c>
      <c r="C38" s="53">
        <f>('Used Vehicles - NS 5'!C38*'Used Vehicles - NS 5'!C31+'Used Vehicles - NW'!C38*'Used Vehicles - NW'!C31)/('Used Vehicles - NW'!C31+'Used Vehicles - NS 5'!C31)</f>
        <v>3500</v>
      </c>
      <c r="D38" s="53">
        <f>('Used Vehicles - NS 5'!D38*'Used Vehicles - NS 5'!D31+'Used Vehicles - NW'!D38*'Used Vehicles - NW'!D31)/('Used Vehicles - NW'!D31+'Used Vehicles - NS 5'!D31)</f>
        <v>3500</v>
      </c>
      <c r="E38" s="53">
        <f>('Used Vehicles - NS 5'!E31*'Used Vehicles - NS 5'!E38+'Used Vehicles - NW'!E31*'Used Vehicles - NW'!E38)/E31</f>
        <v>2200</v>
      </c>
      <c r="F38" s="53">
        <f>('Used Vehicles - NS 5'!F31*'Used Vehicles - NS 5'!F38+'Used Vehicles - NW'!F31*'Used Vehicles - NW'!F38)/F31</f>
        <v>2200</v>
      </c>
      <c r="G38" s="53">
        <f>('Used Vehicles - NS 5'!G31*'Used Vehicles - NS 5'!G38+'Used Vehicles - NW'!G31*'Used Vehicles - NW'!G38)/G31</f>
        <v>2200</v>
      </c>
      <c r="H38" s="53">
        <f>('Used Vehicles - NS 5'!H31*'Used Vehicles - NS 5'!H38+'Used Vehicles - NW'!H31*'Used Vehicles - NW'!H38)/H31</f>
        <v>2500</v>
      </c>
      <c r="I38" s="53">
        <f>('Used Vehicles - NS 5'!I31*'Used Vehicles - NS 5'!I38+'Used Vehicles - NW'!I31*'Used Vehicles - NW'!I38)/I31</f>
        <v>2500</v>
      </c>
      <c r="J38" s="53">
        <f>('Used Vehicles - NS 5'!J31*'Used Vehicles - NS 5'!J38+'Used Vehicles - NW'!J31*'Used Vehicles - NW'!J38)/J31</f>
        <v>2500</v>
      </c>
      <c r="K38" s="53">
        <f>('Used Vehicles - NS 5'!K31*'Used Vehicles - NS 5'!K38+'Used Vehicles - NW'!K31*'Used Vehicles - NW'!K38)/K31</f>
        <v>2500</v>
      </c>
      <c r="L38" s="53">
        <f>('Used Vehicles - NS 5'!L31*'Used Vehicles - NS 5'!L38+'Used Vehicles - NW'!L31*'Used Vehicles - NW'!L38)/L31</f>
        <v>2500</v>
      </c>
      <c r="M38" s="53">
        <f>('Used Vehicles - NS 5'!M31*'Used Vehicles - NS 5'!M38+'Used Vehicles - NW'!M31*'Used Vehicles - NW'!M38)/M31</f>
        <v>2500</v>
      </c>
      <c r="N38" s="53">
        <f>('Used Vehicles - NS 5'!N31*'Used Vehicles - NS 5'!N38+'Used Vehicles - NW'!N31*'Used Vehicles - NW'!N38)/N31</f>
        <v>2500</v>
      </c>
      <c r="O38" s="53">
        <f>('Used Vehicles - NS 5'!O31*'Used Vehicles - NS 5'!O38+'Used Vehicles - NW'!O31*'Used Vehicles - NW'!O38)/O31</f>
        <v>2500</v>
      </c>
      <c r="P38" s="53">
        <f>('Used Vehicles - NS 5'!P31*'Used Vehicles - NS 5'!P38+'Used Vehicles - NW'!P31*'Used Vehicles - NW'!P38)/P31</f>
        <v>2500</v>
      </c>
      <c r="R38" s="52">
        <f t="shared" si="9"/>
        <v>2425</v>
      </c>
      <c r="S38" s="34"/>
    </row>
    <row r="39" spans="1:20" ht="15" customHeight="1" x14ac:dyDescent="0.25">
      <c r="A39" s="50" t="s">
        <v>1111</v>
      </c>
      <c r="B39" s="53">
        <f>('Used Vehicles - NS 5'!B39*'Used Vehicles - NS 5'!B32+'Used Vehicles - NW'!B39*'Used Vehicles - NW'!B32)/('Used Vehicles - NW'!B32+'Used Vehicles - NS 5'!B32)</f>
        <v>2229.3022580645179</v>
      </c>
      <c r="C39" s="53">
        <f>('Used Vehicles - NS 5'!C39*'Used Vehicles - NS 5'!C32+'Used Vehicles - NW'!C39*'Used Vehicles - NW'!C32)/('Used Vehicles - NW'!C32+'Used Vehicles - NS 5'!C32)</f>
        <v>2579.0697674418607</v>
      </c>
      <c r="D39" s="53">
        <f>('Used Vehicles - NS 5'!D39*'Used Vehicles - NS 5'!D32+'Used Vehicles - NW'!D39*'Used Vehicles - NW'!D32)/('Used Vehicles - NW'!D32+'Used Vehicles - NS 5'!D32)</f>
        <v>2551.086956521739</v>
      </c>
      <c r="E39" s="53">
        <f>('Used Vehicles - NS 5'!E32*'Used Vehicles - NS 5'!E39+'Used Vehicles - NW'!E32*'Used Vehicles - NW'!E39)/E32</f>
        <v>2210.5757931844892</v>
      </c>
      <c r="F39" s="53">
        <f>('Used Vehicles - NS 5'!F32*'Used Vehicles - NS 5'!F39+'Used Vehicles - NW'!F32*'Used Vehicles - NW'!F39)/F32</f>
        <v>2305.8195926285161</v>
      </c>
      <c r="G39" s="53">
        <f>('Used Vehicles - NS 5'!G32*'Used Vehicles - NS 5'!G39+'Used Vehicles - NW'!G32*'Used Vehicles - NW'!G39)/G32</f>
        <v>2402.5273799494521</v>
      </c>
      <c r="H39" s="53">
        <f>('Used Vehicles - NS 5'!H32*'Used Vehicles - NS 5'!H39+'Used Vehicles - NW'!H32*'Used Vehicles - NW'!H39)/H32</f>
        <v>2500.0000000000005</v>
      </c>
      <c r="I39" s="53">
        <f>('Used Vehicles - NS 5'!I32*'Used Vehicles - NS 5'!I39+'Used Vehicles - NW'!I32*'Used Vehicles - NW'!I39)/I32</f>
        <v>2500</v>
      </c>
      <c r="J39" s="53">
        <f>('Used Vehicles - NS 5'!J32*'Used Vehicles - NS 5'!J39+'Used Vehicles - NW'!J32*'Used Vehicles - NW'!J39)/J32</f>
        <v>2500</v>
      </c>
      <c r="K39" s="53">
        <f>('Used Vehicles - NS 5'!K32*'Used Vehicles - NS 5'!K39+'Used Vehicles - NW'!K32*'Used Vehicles - NW'!K39)/K32</f>
        <v>2500.0000000000005</v>
      </c>
      <c r="L39" s="53">
        <f>('Used Vehicles - NS 5'!L32*'Used Vehicles - NS 5'!L39+'Used Vehicles - NW'!L32*'Used Vehicles - NW'!L39)/L32</f>
        <v>2500</v>
      </c>
      <c r="M39" s="53">
        <f>('Used Vehicles - NS 5'!M32*'Used Vehicles - NS 5'!M39+'Used Vehicles - NW'!M32*'Used Vehicles - NW'!M39)/M32</f>
        <v>2500</v>
      </c>
      <c r="N39" s="53">
        <f>('Used Vehicles - NS 5'!N32*'Used Vehicles - NS 5'!N39+'Used Vehicles - NW'!N32*'Used Vehicles - NW'!N39)/N32</f>
        <v>2500.0000000000005</v>
      </c>
      <c r="O39" s="53">
        <f>('Used Vehicles - NS 5'!O32*'Used Vehicles - NS 5'!O39+'Used Vehicles - NW'!O32*'Used Vehicles - NW'!O39)/O32</f>
        <v>2500.0000000000005</v>
      </c>
      <c r="P39" s="53">
        <f>('Used Vehicles - NS 5'!P32*'Used Vehicles - NS 5'!P39+'Used Vehicles - NW'!P32*'Used Vehicles - NW'!P39)/P32</f>
        <v>2500</v>
      </c>
      <c r="R39" s="52">
        <f t="shared" si="9"/>
        <v>2451.5768971468715</v>
      </c>
    </row>
    <row r="40" spans="1:20" ht="15" customHeight="1" x14ac:dyDescent="0.25">
      <c r="A40" s="50" t="s">
        <v>1112</v>
      </c>
      <c r="B40" s="53">
        <f>('Used Vehicles - NS 5'!B40*'Used Vehicles - NS 5'!B33+'Used Vehicles - NW'!B40*'Used Vehicles - NW'!B33)/('Used Vehicles - NW'!B33+'Used Vehicles - NS 5'!B33)</f>
        <v>1887.0857983193287</v>
      </c>
      <c r="C40" s="53">
        <f>('Used Vehicles - NS 5'!C40*'Used Vehicles - NS 5'!C33+'Used Vehicles - NW'!C40*'Used Vehicles - NW'!C33)/('Used Vehicles - NW'!C33+'Used Vehicles - NS 5'!C33)</f>
        <v>2089.1616029216189</v>
      </c>
      <c r="D40" s="53">
        <f>('Used Vehicles - NS 5'!D40*'Used Vehicles - NS 5'!D33+'Used Vehicles - NW'!D40*'Used Vehicles - NW'!D33)/('Used Vehicles - NW'!D33+'Used Vehicles - NS 5'!D33)</f>
        <v>2305.4024985525434</v>
      </c>
      <c r="E40" s="53">
        <f>(E30*E37+E31*E38+E32*E39)/E33</f>
        <v>1764.0439560439563</v>
      </c>
      <c r="F40" s="53">
        <f t="shared" ref="F40:P40" si="10">(F30*F37+F31*F38+F32*F39)/F33</f>
        <v>1862.268426842684</v>
      </c>
      <c r="G40" s="53">
        <f t="shared" si="10"/>
        <v>1955.4731509625121</v>
      </c>
      <c r="H40" s="53">
        <f t="shared" si="10"/>
        <v>2005.7363344051446</v>
      </c>
      <c r="I40" s="53">
        <f t="shared" si="10"/>
        <v>2019.6375</v>
      </c>
      <c r="J40" s="53">
        <f t="shared" si="10"/>
        <v>2032.7781155015198</v>
      </c>
      <c r="K40" s="53">
        <f t="shared" si="10"/>
        <v>2005.7363344051446</v>
      </c>
      <c r="L40" s="53">
        <f t="shared" si="10"/>
        <v>2081.1553133514985</v>
      </c>
      <c r="M40" s="53">
        <f t="shared" si="10"/>
        <v>1987.6133333333332</v>
      </c>
      <c r="N40" s="53">
        <f t="shared" si="10"/>
        <v>1971.7663230240551</v>
      </c>
      <c r="O40" s="53">
        <f t="shared" si="10"/>
        <v>1971.7663230240551</v>
      </c>
      <c r="P40" s="53">
        <f t="shared" si="10"/>
        <v>2029.9204892966361</v>
      </c>
      <c r="R40" s="52">
        <f t="shared" si="9"/>
        <v>1973.9913000158783</v>
      </c>
      <c r="S40" s="280"/>
    </row>
    <row r="41" spans="1:20" ht="15" customHeight="1" x14ac:dyDescent="0.25">
      <c r="A41" s="40" t="s">
        <v>1070</v>
      </c>
      <c r="B41" s="53">
        <f>'[15]USED VEHICLE GROUP'!$C$23-'[15]USED VEHICLE GROUP'!$C$18</f>
        <v>0</v>
      </c>
      <c r="C41" s="53">
        <f>'[16]USED VEHICLE GROUP'!$C$23-'[16]USED VEHICLE GROUP'!$C$18</f>
        <v>0</v>
      </c>
      <c r="D41" s="53">
        <f>'[17]USED VEHICLE GROUP'!$C$23-'[17]USED VEHICLE GROUP'!$C$18</f>
        <v>641.29360796534183</v>
      </c>
      <c r="E41" s="53">
        <f>('Used Vehicles - NS 5'!E41*'Used Vehicles - NS 5'!E$33+'Used Vehicles - NW'!E41*'Used Vehicles - NW'!E$33)/E$33</f>
        <v>0</v>
      </c>
      <c r="F41" s="53">
        <f>('Used Vehicles - NS 5'!F41*'Used Vehicles - NS 5'!F$33+'Used Vehicles - NW'!F41*'Used Vehicles - NW'!F$33)/F$33</f>
        <v>0</v>
      </c>
      <c r="G41" s="53">
        <f>('Used Vehicles - NS 5'!G41*'Used Vehicles - NS 5'!G$33+'Used Vehicles - NW'!G41*'Used Vehicles - NW'!G$33)/G$33</f>
        <v>600.113981762918</v>
      </c>
      <c r="H41" s="53">
        <f>('Used Vehicles - NS 5'!H41*'Used Vehicles - NS 5'!H$33+'Used Vehicles - NW'!H41*'Used Vehicles - NW'!H$33)/H$33</f>
        <v>0</v>
      </c>
      <c r="I41" s="53">
        <f>('Used Vehicles - NS 5'!I41*'Used Vehicles - NS 5'!I$33+'Used Vehicles - NW'!I41*'Used Vehicles - NW'!I$33)/I$33</f>
        <v>0</v>
      </c>
      <c r="J41" s="53">
        <f>('Used Vehicles - NS 5'!J41*'Used Vehicles - NS 5'!J$33+'Used Vehicles - NW'!J41*'Used Vehicles - NW'!J$33)/J$33</f>
        <v>584.726443768997</v>
      </c>
      <c r="K41" s="53">
        <f>('Used Vehicles - NS 5'!K41*'Used Vehicles - NS 5'!K$33+'Used Vehicles - NW'!K41*'Used Vehicles - NW'!K$33)/K$33</f>
        <v>0</v>
      </c>
      <c r="L41" s="53">
        <f>('Used Vehicles - NS 5'!L41*'Used Vehicles - NS 5'!L$33+'Used Vehicles - NW'!L41*'Used Vehicles - NW'!L$33)/L$33</f>
        <v>0</v>
      </c>
      <c r="M41" s="53">
        <f>('Used Vehicles - NS 5'!M41*'Used Vehicles - NS 5'!M$33+'Used Vehicles - NW'!M41*'Used Vehicles - NW'!M$33)/M$33</f>
        <v>626.25</v>
      </c>
      <c r="N41" s="53">
        <f>('Used Vehicles - NS 5'!N41*'Used Vehicles - NS 5'!N$33+'Used Vehicles - NW'!N41*'Used Vehicles - NW'!N$33)/N$33</f>
        <v>0</v>
      </c>
      <c r="O41" s="53">
        <f>('Used Vehicles - NS 5'!O41*'Used Vehicles - NS 5'!O$33+'Used Vehicles - NW'!O41*'Used Vehicles - NW'!O$33)/O$33</f>
        <v>0</v>
      </c>
      <c r="P41" s="53">
        <f>('Used Vehicles - NS 5'!P41*'Used Vehicles - NS 5'!P$33+'Used Vehicles - NW'!P41*'Used Vehicles - NW'!P$33)/P$33</f>
        <v>567.66055045871565</v>
      </c>
      <c r="R41" s="52">
        <f t="shared" si="9"/>
        <v>198.22924799921921</v>
      </c>
      <c r="S41" s="280"/>
    </row>
    <row r="42" spans="1:20" ht="15" customHeight="1" x14ac:dyDescent="0.25">
      <c r="A42" s="50" t="s">
        <v>1071</v>
      </c>
      <c r="B42" s="53">
        <f>('Used Vehicles - NS 5'!B42*'Used Vehicles - NS 5'!B33+'Used Vehicles - NW'!B42*'Used Vehicles - NW'!B33)/('Used Vehicles - NW'!B33+'Used Vehicles - NS 5'!B33)</f>
        <v>606.64579831932781</v>
      </c>
      <c r="C42" s="53">
        <f>('Used Vehicles - NS 5'!C42*'Used Vehicles - NS 5'!C33+'Used Vehicles - NW'!C42*'Used Vehicles - NW'!C33)/('Used Vehicles - NW'!C33+'Used Vehicles - NS 5'!C33)</f>
        <v>471.85675147243057</v>
      </c>
      <c r="D42" s="53">
        <f>('Used Vehicles - NS 5'!D42*'Used Vehicles - NS 5'!D33+'Used Vehicles - NW'!D42*'Used Vehicles - NW'!D33)/('Used Vehicles - NW'!D33+'Used Vehicles - NS 5'!D33)</f>
        <v>458.65588212751851</v>
      </c>
      <c r="E42" s="53">
        <f>('Used Vehicles - NS 5'!E42*'Used Vehicles - NS 5'!E$33+'Used Vehicles - NW'!E42*'Used Vehicles - NW'!E$33)/E$33</f>
        <v>521.89091787017708</v>
      </c>
      <c r="F42" s="53">
        <f>('Used Vehicles - NS 5'!F42*'Used Vehicles - NS 5'!F$33+'Used Vehicles - NW'!F42*'Used Vehicles - NW'!F$33)/F$33</f>
        <v>510.80600851009353</v>
      </c>
      <c r="G42" s="53">
        <f>('Used Vehicles - NS 5'!G42*'Used Vehicles - NS 5'!G$33+'Used Vehicles - NW'!G42*'Used Vehicles - NW'!G$33)/G$33</f>
        <v>519.65116437251777</v>
      </c>
      <c r="H42" s="53">
        <f>('Used Vehicles - NS 5'!H42*'Used Vehicles - NS 5'!H$33+'Used Vehicles - NW'!H42*'Used Vehicles - NW'!H$33)/H$33</f>
        <v>507.76855491497855</v>
      </c>
      <c r="I42" s="53">
        <f>('Used Vehicles - NS 5'!I42*'Used Vehicles - NS 5'!I$33+'Used Vehicles - NW'!I42*'Used Vehicles - NW'!I$33)/I$33</f>
        <v>502.13600180799477</v>
      </c>
      <c r="J42" s="53">
        <f>('Used Vehicles - NS 5'!J42*'Used Vehicles - NS 5'!J$33+'Used Vehicles - NW'!J42*'Used Vehicles - NW'!J$33)/J$33</f>
        <v>498.34882774637794</v>
      </c>
      <c r="K42" s="53">
        <f>('Used Vehicles - NS 5'!K42*'Used Vehicles - NS 5'!K$33+'Used Vehicles - NW'!K42*'Used Vehicles - NW'!K$33)/K$33</f>
        <v>507.76855491497855</v>
      </c>
      <c r="L42" s="53">
        <f>('Used Vehicles - NS 5'!L42*'Used Vehicles - NS 5'!L$33+'Used Vehicles - NW'!L42*'Used Vehicles - NW'!L$33)/L$33</f>
        <v>502.00550566364666</v>
      </c>
      <c r="M42" s="53">
        <f>('Used Vehicles - NS 5'!M42*'Used Vehicles - NS 5'!M$33+'Used Vehicles - NW'!M42*'Used Vehicles - NW'!M$33)/M$33</f>
        <v>486.75198526186114</v>
      </c>
      <c r="N42" s="53">
        <f>('Used Vehicles - NS 5'!N42*'Used Vehicles - NS 5'!N$33+'Used Vehicles - NW'!N42*'Used Vehicles - NW'!N$33)/N$33</f>
        <v>490.60488171325886</v>
      </c>
      <c r="O42" s="53">
        <f>('Used Vehicles - NS 5'!O42*'Used Vehicles - NS 5'!O$33+'Used Vehicles - NW'!O42*'Used Vehicles - NW'!O$33)/O$33</f>
        <v>490.60488171325886</v>
      </c>
      <c r="P42" s="53">
        <f>('Used Vehicles - NS 5'!P42*'Used Vehicles - NS 5'!P$33+'Used Vehicles - NW'!P42*'Used Vehicles - NW'!P$33)/P$33</f>
        <v>496.69413785491849</v>
      </c>
      <c r="Q42" s="5"/>
      <c r="R42" s="52">
        <f t="shared" si="9"/>
        <v>502.91928519533849</v>
      </c>
    </row>
    <row r="43" spans="1:20" ht="15" customHeight="1" x14ac:dyDescent="0.25">
      <c r="A43" s="50" t="s">
        <v>1072</v>
      </c>
      <c r="B43" s="53">
        <f>('Used Vehicles - NS 5'!B43*'Used Vehicles - NS 5'!B33+'Used Vehicles - NW'!B43*'Used Vehicles - NW'!B33)/('Used Vehicles - NW'!B33+'Used Vehicles - NS 5'!B33)</f>
        <v>1170.6298319327732</v>
      </c>
      <c r="C43" s="53">
        <f>('Used Vehicles - NS 5'!C43*'Used Vehicles - NS 5'!C33+'Used Vehicles - NW'!C43*'Used Vehicles - NW'!C33)/('Used Vehicles - NW'!C33+'Used Vehicles - NS 5'!C33)</f>
        <v>850.95035640741321</v>
      </c>
      <c r="D43" s="53">
        <f>('Used Vehicles - NS 5'!D43*'Used Vehicles - NS 5'!D33+'Used Vehicles - NW'!D43*'Used Vehicles - NW'!D33)/('Used Vehicles - NW'!D33+'Used Vehicles - NS 5'!D33)</f>
        <v>816.04885310648638</v>
      </c>
      <c r="E43" s="53">
        <f>('Used Vehicles - NS 5'!E43*'Used Vehicles - NS 5'!E$33+'Used Vehicles - NW'!E43*'Used Vehicles - NW'!E$33)/E$33</f>
        <v>857.1314696532628</v>
      </c>
      <c r="F43" s="53">
        <f>('Used Vehicles - NS 5'!F43*'Used Vehicles - NS 5'!F$33+'Used Vehicles - NW'!F43*'Used Vehicles - NW'!F$33)/F$33</f>
        <v>772.26696770739522</v>
      </c>
      <c r="G43" s="53">
        <f>('Used Vehicles - NS 5'!G43*'Used Vehicles - NS 5'!G$33+'Used Vehicles - NW'!G43*'Used Vehicles - NW'!G$33)/G$33</f>
        <v>711.23675141440958</v>
      </c>
      <c r="H43" s="53">
        <f>('Used Vehicles - NS 5'!H43*'Used Vehicles - NS 5'!H$33+'Used Vehicles - NW'!H43*'Used Vehicles - NW'!H$33)/H$33</f>
        <v>752.40157947054911</v>
      </c>
      <c r="I43" s="53">
        <f>('Used Vehicles - NS 5'!I43*'Used Vehicles - NS 5'!I$33+'Used Vehicles - NW'!I43*'Used Vehicles - NW'!I$33)/I$33</f>
        <v>731.24028504793989</v>
      </c>
      <c r="J43" s="53">
        <f>('Used Vehicles - NS 5'!J43*'Used Vehicles - NS 5'!J$33+'Used Vehicles - NW'!J43*'Used Vehicles - NW'!J$33)/J$33</f>
        <v>711.23675141440958</v>
      </c>
      <c r="K43" s="53">
        <f>('Used Vehicles - NS 5'!K43*'Used Vehicles - NS 5'!K$33+'Used Vehicles - NW'!K43*'Used Vehicles - NW'!K$33)/K$33</f>
        <v>752.40157947054911</v>
      </c>
      <c r="L43" s="53">
        <f>('Used Vehicles - NS 5'!L43*'Used Vehicles - NS 5'!L$33+'Used Vehicles - NW'!L43*'Used Vehicles - NW'!L$33)/L$33</f>
        <v>637.59370903362606</v>
      </c>
      <c r="M43" s="53">
        <f>('Used Vehicles - NS 5'!M43*'Used Vehicles - NS 5'!M$33+'Used Vehicles - NW'!M43*'Used Vehicles - NW'!M$33)/M$33</f>
        <v>779.98963738446923</v>
      </c>
      <c r="N43" s="53">
        <f>('Used Vehicles - NS 5'!N43*'Used Vehicles - NS 5'!N$33+'Used Vehicles - NW'!N43*'Used Vehicles - NW'!N$33)/N$33</f>
        <v>804.11302823141159</v>
      </c>
      <c r="O43" s="53">
        <f>('Used Vehicles - NS 5'!O43*'Used Vehicles - NS 5'!O$33+'Used Vehicles - NW'!O43*'Used Vehicles - NW'!O$33)/O$33</f>
        <v>804.11302823141159</v>
      </c>
      <c r="P43" s="53">
        <f>('Used Vehicles - NS 5'!P43*'Used Vehicles - NS 5'!P$33+'Used Vehicles - NW'!P43*'Used Vehicles - NW'!P$33)/P$33</f>
        <v>715.58682328850387</v>
      </c>
      <c r="Q43" s="5"/>
      <c r="R43" s="52">
        <f t="shared" si="9"/>
        <v>752.44263419566153</v>
      </c>
    </row>
    <row r="44" spans="1:20" ht="15" customHeight="1" x14ac:dyDescent="0.25">
      <c r="A44" s="50" t="s">
        <v>1073</v>
      </c>
      <c r="B44" s="53">
        <f>B42+B43</f>
        <v>1777.2756302521011</v>
      </c>
      <c r="C44" s="53">
        <f>C42+C43</f>
        <v>1322.8071078798439</v>
      </c>
      <c r="D44" s="53">
        <f>D42+D43</f>
        <v>1274.7047352340048</v>
      </c>
      <c r="E44" s="53">
        <f>E42+E43</f>
        <v>1379.0223875234399</v>
      </c>
      <c r="F44" s="53">
        <f t="shared" ref="F44:P44" si="11">F42+F43</f>
        <v>1283.0729762174888</v>
      </c>
      <c r="G44" s="53">
        <f t="shared" si="11"/>
        <v>1230.8879157869274</v>
      </c>
      <c r="H44" s="53">
        <f t="shared" si="11"/>
        <v>1260.1701343855277</v>
      </c>
      <c r="I44" s="53">
        <f t="shared" si="11"/>
        <v>1233.3762868559347</v>
      </c>
      <c r="J44" s="53">
        <f t="shared" si="11"/>
        <v>1209.5855791607876</v>
      </c>
      <c r="K44" s="53">
        <f t="shared" si="11"/>
        <v>1260.1701343855277</v>
      </c>
      <c r="L44" s="53">
        <f t="shared" si="11"/>
        <v>1139.5992146972726</v>
      </c>
      <c r="M44" s="53">
        <f t="shared" si="11"/>
        <v>1266.7416226463304</v>
      </c>
      <c r="N44" s="53">
        <f t="shared" si="11"/>
        <v>1294.7179099446705</v>
      </c>
      <c r="O44" s="53">
        <f t="shared" si="11"/>
        <v>1294.7179099446705</v>
      </c>
      <c r="P44" s="53">
        <f t="shared" si="11"/>
        <v>1212.2809611434222</v>
      </c>
      <c r="R44" s="52">
        <f t="shared" si="9"/>
        <v>1255.3619193910001</v>
      </c>
    </row>
    <row r="45" spans="1:20" ht="15" customHeight="1" x14ac:dyDescent="0.25">
      <c r="A45" s="50" t="s">
        <v>1074</v>
      </c>
      <c r="B45" s="53">
        <f>'[15]USED VEHICLE GROUP'!$C$34</f>
        <v>714.93230569753223</v>
      </c>
      <c r="C45" s="53">
        <f>'[16]USED VEHICLE GROUP'!$C$34</f>
        <v>769.93242893786919</v>
      </c>
      <c r="D45" s="53">
        <f>'[17]USED VEHICLE GROUP'!$C$34</f>
        <v>1461.711443027217</v>
      </c>
      <c r="E45" s="53">
        <f>E40+E41-E44</f>
        <v>385.02156852051644</v>
      </c>
      <c r="F45" s="53">
        <f t="shared" ref="F45:P45" si="12">F40+F41-F44</f>
        <v>579.19545062519524</v>
      </c>
      <c r="G45" s="53">
        <f t="shared" si="12"/>
        <v>1324.6992169385026</v>
      </c>
      <c r="H45" s="53">
        <f t="shared" si="12"/>
        <v>745.56620001961687</v>
      </c>
      <c r="I45" s="53">
        <f t="shared" si="12"/>
        <v>786.26121314406532</v>
      </c>
      <c r="J45" s="53">
        <f t="shared" si="12"/>
        <v>1407.9189801097293</v>
      </c>
      <c r="K45" s="53">
        <f t="shared" si="12"/>
        <v>745.56620001961687</v>
      </c>
      <c r="L45" s="53">
        <f t="shared" si="12"/>
        <v>941.55609865422593</v>
      </c>
      <c r="M45" s="53">
        <f t="shared" si="12"/>
        <v>1347.1217106870029</v>
      </c>
      <c r="N45" s="53">
        <f t="shared" si="12"/>
        <v>677.04841307938455</v>
      </c>
      <c r="O45" s="53">
        <f t="shared" si="12"/>
        <v>677.04841307938455</v>
      </c>
      <c r="P45" s="53">
        <f t="shared" si="12"/>
        <v>1385.3000786119296</v>
      </c>
      <c r="Q45" s="8"/>
      <c r="R45" s="52">
        <f t="shared" si="9"/>
        <v>916.85862862409761</v>
      </c>
    </row>
    <row r="46" spans="1:20" ht="15" customHeight="1" x14ac:dyDescent="0.25">
      <c r="A46" s="50"/>
      <c r="B46" s="53"/>
      <c r="C46" s="53"/>
      <c r="D46" s="53"/>
      <c r="E46" s="53"/>
      <c r="F46" s="40"/>
      <c r="G46" s="40"/>
      <c r="H46" s="40"/>
      <c r="I46" s="40"/>
      <c r="J46" s="40"/>
      <c r="K46" s="40"/>
      <c r="L46" s="40"/>
      <c r="M46" s="40"/>
      <c r="N46" s="40"/>
      <c r="O46" s="40"/>
      <c r="P46" s="40"/>
      <c r="Q46" s="3"/>
      <c r="R46" s="52"/>
    </row>
    <row r="47" spans="1:20" ht="15" customHeight="1" x14ac:dyDescent="0.25">
      <c r="A47" s="50" t="s">
        <v>1113</v>
      </c>
      <c r="B47" s="53">
        <f>'Used Vehicles - NS 5'!B47+'Used Vehicles - NW'!B47</f>
        <v>19517.599999999999</v>
      </c>
      <c r="C47" s="53">
        <f>'Used Vehicles - NS 5'!C47+'Used Vehicles - NW'!C47</f>
        <v>0</v>
      </c>
      <c r="D47" s="53">
        <f>'Used Vehicles - NS 5'!D47+'Used Vehicles - NW'!D47</f>
        <v>0</v>
      </c>
      <c r="E47" s="40">
        <v>0</v>
      </c>
      <c r="F47" s="40">
        <v>0</v>
      </c>
      <c r="G47" s="40">
        <v>0</v>
      </c>
      <c r="H47" s="40">
        <v>0</v>
      </c>
      <c r="I47" s="40">
        <v>0</v>
      </c>
      <c r="J47" s="40">
        <v>0</v>
      </c>
      <c r="K47" s="40">
        <v>0</v>
      </c>
      <c r="L47" s="40">
        <v>0</v>
      </c>
      <c r="M47" s="40">
        <v>0</v>
      </c>
      <c r="N47" s="40">
        <v>0</v>
      </c>
      <c r="O47" s="40">
        <v>0</v>
      </c>
      <c r="P47" s="40">
        <v>0</v>
      </c>
      <c r="R47" s="52">
        <f>SUM(E47:P47)</f>
        <v>0</v>
      </c>
    </row>
    <row r="48" spans="1:20" x14ac:dyDescent="0.25">
      <c r="A48" s="50" t="s">
        <v>1114</v>
      </c>
      <c r="B48" s="53">
        <f>'Used Vehicles - NS 5'!B48+'Used Vehicles - NW'!B48</f>
        <v>244080.81000000011</v>
      </c>
      <c r="C48" s="53">
        <f>'Used Vehicles - NS 5'!C48+'Used Vehicles - NW'!C48</f>
        <v>293511.11111111112</v>
      </c>
      <c r="D48" s="53">
        <f>'Used Vehicles - NS 5'!D48+'Used Vehicles - NW'!D48</f>
        <v>400161.11111111112</v>
      </c>
      <c r="E48" s="7">
        <f>(E40+E41)*E33</f>
        <v>240792.00000000003</v>
      </c>
      <c r="F48" s="7">
        <f t="shared" ref="F48:P48" si="13">(F40+F41)*F33</f>
        <v>282133.66666666663</v>
      </c>
      <c r="G48" s="7">
        <f t="shared" si="13"/>
        <v>420394.0833333332</v>
      </c>
      <c r="H48" s="7">
        <f t="shared" si="13"/>
        <v>311892</v>
      </c>
      <c r="I48" s="7">
        <f t="shared" si="13"/>
        <v>323142</v>
      </c>
      <c r="J48" s="7">
        <f t="shared" si="13"/>
        <v>430579.5</v>
      </c>
      <c r="K48" s="7">
        <f t="shared" si="13"/>
        <v>311892</v>
      </c>
      <c r="L48" s="7">
        <f t="shared" si="13"/>
        <v>381892</v>
      </c>
      <c r="M48" s="7">
        <f t="shared" si="13"/>
        <v>392079.5</v>
      </c>
      <c r="N48" s="7">
        <f t="shared" si="13"/>
        <v>286892</v>
      </c>
      <c r="O48" s="7">
        <f t="shared" si="13"/>
        <v>286892</v>
      </c>
      <c r="P48" s="7">
        <f t="shared" si="13"/>
        <v>424704.50000000006</v>
      </c>
      <c r="R48" s="52">
        <f>SUM(E48:P48)</f>
        <v>4093285.25</v>
      </c>
      <c r="S48" s="167"/>
      <c r="T48" s="167"/>
    </row>
    <row r="49" spans="1:19" ht="15" customHeight="1" x14ac:dyDescent="0.25">
      <c r="A49" s="7" t="s">
        <v>1076</v>
      </c>
      <c r="B49" s="6">
        <f>B44*B33</f>
        <v>211495.80000000005</v>
      </c>
      <c r="C49" s="6">
        <f>C44*C33</f>
        <v>185575.13937878789</v>
      </c>
      <c r="D49" s="6">
        <f>D44*D33</f>
        <v>186475.13937878786</v>
      </c>
      <c r="E49" s="12">
        <f>'Used Vehicles - NS 5'!E49+'Used Vehicles - NW'!E49</f>
        <v>188236.55589694955</v>
      </c>
      <c r="F49" s="12">
        <f>'Used Vehicles - NS 5'!F49+'Used Vehicles - NW'!F49</f>
        <v>194385.55589694958</v>
      </c>
      <c r="G49" s="12">
        <f>'Used Vehicles - NS 5'!G49+'Used Vehicles - NW'!G49</f>
        <v>202481.06214694958</v>
      </c>
      <c r="H49" s="12">
        <f>'Used Vehicles - NS 5'!H49+'Used Vehicles - NW'!H49</f>
        <v>195956.45589694957</v>
      </c>
      <c r="I49" s="12">
        <f>'Used Vehicles - NS 5'!I49+'Used Vehicles - NW'!I49</f>
        <v>197340.20589694957</v>
      </c>
      <c r="J49" s="12">
        <f>'Used Vehicles - NS 5'!J49+'Used Vehicles - NW'!J49</f>
        <v>198976.82777194955</v>
      </c>
      <c r="K49" s="12">
        <f>'Used Vehicles - NS 5'!K49+'Used Vehicles - NW'!K49</f>
        <v>195956.45589694957</v>
      </c>
      <c r="L49" s="12">
        <f>'Used Vehicles - NS 5'!L49+'Used Vehicles - NW'!L49</f>
        <v>209116.45589694957</v>
      </c>
      <c r="M49" s="12">
        <f>'Used Vehicles - NS 5'!M49+'Used Vehicles - NW'!M49</f>
        <v>190011.24339694955</v>
      </c>
      <c r="N49" s="12">
        <f>'Used Vehicles - NS 5'!N49+'Used Vehicles - NW'!N49</f>
        <v>188381.45589694954</v>
      </c>
      <c r="O49" s="12">
        <f>'Used Vehicles - NS 5'!O49+'Used Vehicles - NW'!O49</f>
        <v>188381.45589694954</v>
      </c>
      <c r="P49" s="12">
        <f>'Used Vehicles - NS 5'!P49+'Used Vehicles - NW'!P49</f>
        <v>198207.93714694955</v>
      </c>
      <c r="R49" s="6">
        <f>SUM(E49:P49)</f>
        <v>2347431.667638395</v>
      </c>
    </row>
    <row r="50" spans="1:19" ht="15" customHeight="1" thickBot="1" x14ac:dyDescent="0.3">
      <c r="A50" s="51" t="s">
        <v>1115</v>
      </c>
      <c r="B50" s="58">
        <f>B33*B45</f>
        <v>85076.94437800633</v>
      </c>
      <c r="C50" s="58">
        <f>C33*C45</f>
        <v>108012.96497521707</v>
      </c>
      <c r="D50" s="58">
        <f>D33*D45</f>
        <v>213832.14287662599</v>
      </c>
      <c r="E50" s="58">
        <f>E47+E48-E49</f>
        <v>52555.444103050482</v>
      </c>
      <c r="F50" s="58">
        <f t="shared" ref="F50:P50" si="14">F47+F48-F49</f>
        <v>87748.110769717052</v>
      </c>
      <c r="G50" s="58">
        <f t="shared" si="14"/>
        <v>217913.02118638362</v>
      </c>
      <c r="H50" s="58">
        <f t="shared" si="14"/>
        <v>115935.54410305043</v>
      </c>
      <c r="I50" s="58">
        <f t="shared" si="14"/>
        <v>125801.79410305043</v>
      </c>
      <c r="J50" s="58">
        <f t="shared" si="14"/>
        <v>231602.67222805045</v>
      </c>
      <c r="K50" s="58">
        <f t="shared" si="14"/>
        <v>115935.54410305043</v>
      </c>
      <c r="L50" s="58">
        <f t="shared" si="14"/>
        <v>172775.54410305043</v>
      </c>
      <c r="M50" s="58">
        <f t="shared" si="14"/>
        <v>202068.25660305045</v>
      </c>
      <c r="N50" s="58">
        <f t="shared" si="14"/>
        <v>98510.544103050459</v>
      </c>
      <c r="O50" s="58">
        <f t="shared" si="14"/>
        <v>98510.544103050459</v>
      </c>
      <c r="P50" s="58">
        <f t="shared" si="14"/>
        <v>226496.56285305051</v>
      </c>
      <c r="Q50" t="s">
        <v>1116</v>
      </c>
      <c r="R50" s="58">
        <f>SUM(E50:P50)</f>
        <v>1745853.5823616048</v>
      </c>
      <c r="S50" s="167"/>
    </row>
    <row r="51" spans="1:19" ht="15" customHeight="1" thickTop="1" x14ac:dyDescent="0.25">
      <c r="A51" s="40"/>
      <c r="B51" s="53"/>
      <c r="C51" s="40"/>
      <c r="D51" s="40"/>
      <c r="E51" s="53"/>
      <c r="F51" s="40"/>
      <c r="G51" s="40"/>
      <c r="H51" s="40"/>
      <c r="I51" s="40"/>
      <c r="J51" s="40"/>
      <c r="K51" s="40"/>
      <c r="L51" s="40"/>
      <c r="M51" s="40"/>
      <c r="N51" s="40"/>
      <c r="O51" s="40"/>
      <c r="P51" s="40"/>
      <c r="R51" s="40"/>
    </row>
    <row r="52" spans="1:19" ht="15" customHeight="1" x14ac:dyDescent="0.25">
      <c r="A52" t="s">
        <v>1117</v>
      </c>
      <c r="E52" s="3">
        <f>E32/E33</f>
        <v>0.51953601953601958</v>
      </c>
      <c r="F52" s="3">
        <f t="shared" ref="F52:P52" si="15">F32/F33</f>
        <v>0.56710671067106699</v>
      </c>
      <c r="G52" s="3">
        <f t="shared" si="15"/>
        <v>0.60131712259371828</v>
      </c>
      <c r="H52" s="3">
        <f t="shared" si="15"/>
        <v>0.57824222936763126</v>
      </c>
      <c r="I52" s="3">
        <f t="shared" si="15"/>
        <v>0.59010416666666665</v>
      </c>
      <c r="J52" s="3">
        <f t="shared" si="15"/>
        <v>0.60131712259371828</v>
      </c>
      <c r="K52" s="3">
        <f t="shared" si="15"/>
        <v>0.57824222936763126</v>
      </c>
      <c r="L52" s="3">
        <f t="shared" si="15"/>
        <v>0.64259763851044505</v>
      </c>
      <c r="M52" s="3">
        <f t="shared" si="15"/>
        <v>0.56277777777777771</v>
      </c>
      <c r="N52" s="3">
        <f t="shared" si="15"/>
        <v>0.54925544100801826</v>
      </c>
      <c r="O52" s="3">
        <f t="shared" si="15"/>
        <v>0.54925544100801826</v>
      </c>
      <c r="P52" s="3">
        <f t="shared" si="15"/>
        <v>0.59887869520897041</v>
      </c>
    </row>
    <row r="53" spans="1:19" ht="15" customHeight="1" x14ac:dyDescent="0.25">
      <c r="A53" t="s">
        <v>1081</v>
      </c>
      <c r="E53" s="15">
        <f>'Used Vehicles - NS 5'!E53+'Used Vehicles - NW'!E53</f>
        <v>71238.110289279168</v>
      </c>
      <c r="F53" s="15">
        <f>'Used Vehicles - NS 5'!F53+'Used Vehicles - NW'!F53</f>
        <v>77387.110289279168</v>
      </c>
      <c r="G53" s="15">
        <f>'Used Vehicles - NS 5'!G53+'Used Vehicles - NW'!G53</f>
        <v>85482.616539279174</v>
      </c>
      <c r="H53" s="15">
        <f>'Used Vehicles - NS 5'!H53+'Used Vehicles - NW'!H53</f>
        <v>78958.010289279162</v>
      </c>
      <c r="I53" s="15">
        <f>'Used Vehicles - NS 5'!I53+'Used Vehicles - NW'!I53</f>
        <v>80341.760289279162</v>
      </c>
      <c r="J53" s="15">
        <f>'Used Vehicles - NS 5'!J53+'Used Vehicles - NW'!J53</f>
        <v>81978.382164279174</v>
      </c>
      <c r="K53" s="15">
        <f>'Used Vehicles - NS 5'!K53+'Used Vehicles - NW'!K53</f>
        <v>78958.010289279162</v>
      </c>
      <c r="L53" s="15">
        <f>'Used Vehicles - NS 5'!L53+'Used Vehicles - NW'!L53</f>
        <v>92118.010289279162</v>
      </c>
      <c r="M53" s="15">
        <f>'Used Vehicles - NS 5'!M53+'Used Vehicles - NW'!M53</f>
        <v>73012.797789279168</v>
      </c>
      <c r="N53" s="15">
        <f>'Used Vehicles - NS 5'!N53+'Used Vehicles - NW'!N53</f>
        <v>71383.010289279162</v>
      </c>
      <c r="O53" s="15">
        <f>'Used Vehicles - NS 5'!O53+'Used Vehicles - NW'!O53</f>
        <v>71383.010289279162</v>
      </c>
      <c r="P53" s="15">
        <f>'Used Vehicles - NS 5'!P53+'Used Vehicles - NW'!P53</f>
        <v>81209.491539279174</v>
      </c>
      <c r="R53" s="15">
        <f>'Used Vehicles - NS 5'!R53+'Used Vehicles - NW'!R53</f>
        <v>943450.32034634997</v>
      </c>
      <c r="S53" s="34" t="s">
        <v>1118</v>
      </c>
    </row>
    <row r="54" spans="1:19" ht="15" customHeight="1" x14ac:dyDescent="0.25">
      <c r="A54" t="s">
        <v>1119</v>
      </c>
      <c r="E54" s="15">
        <f>'Used Vehicles - NS 5'!E54+'Used Vehicles - NW'!E54</f>
        <v>116998.44560767038</v>
      </c>
      <c r="F54" s="15">
        <f>'Used Vehicles - NS 5'!F54+'Used Vehicles - NW'!F54</f>
        <v>116998.44560767038</v>
      </c>
      <c r="G54" s="15">
        <f>'Used Vehicles - NS 5'!G54+'Used Vehicles - NW'!G54</f>
        <v>116998.44560767038</v>
      </c>
      <c r="H54" s="15">
        <f>'Used Vehicles - NS 5'!H54+'Used Vehicles - NW'!H54</f>
        <v>116998.44560767038</v>
      </c>
      <c r="I54" s="15">
        <f>'Used Vehicles - NS 5'!I54+'Used Vehicles - NW'!I54</f>
        <v>116998.44560767038</v>
      </c>
      <c r="J54" s="15">
        <f>'Used Vehicles - NS 5'!J54+'Used Vehicles - NW'!J54</f>
        <v>116998.44560767038</v>
      </c>
      <c r="K54" s="15">
        <f>'Used Vehicles - NS 5'!K54+'Used Vehicles - NW'!K54</f>
        <v>116998.44560767038</v>
      </c>
      <c r="L54" s="15">
        <f>'Used Vehicles - NS 5'!L54+'Used Vehicles - NW'!L54</f>
        <v>116998.44560767038</v>
      </c>
      <c r="M54" s="15">
        <f>'Used Vehicles - NS 5'!M54+'Used Vehicles - NW'!M54</f>
        <v>116998.44560767038</v>
      </c>
      <c r="N54" s="15">
        <f>'Used Vehicles - NS 5'!N54+'Used Vehicles - NW'!N54</f>
        <v>116998.44560767038</v>
      </c>
      <c r="O54" s="15">
        <f>'Used Vehicles - NS 5'!O54+'Used Vehicles - NW'!O54</f>
        <v>116998.44560767038</v>
      </c>
      <c r="P54" s="15">
        <f>'Used Vehicles - NS 5'!P54+'Used Vehicles - NW'!P54</f>
        <v>116998.44560767038</v>
      </c>
      <c r="R54" s="15">
        <f>'Used Vehicles - NS 5'!R54+'Used Vehicles - NW'!R54</f>
        <v>1403981.3472920444</v>
      </c>
      <c r="S54" s="34" t="s">
        <v>1120</v>
      </c>
    </row>
    <row r="56" spans="1:19" ht="15" customHeight="1" x14ac:dyDescent="0.25">
      <c r="A56" s="144" t="s">
        <v>1121</v>
      </c>
      <c r="B56" s="144"/>
      <c r="C56" s="144"/>
      <c r="D56" s="146"/>
      <c r="E56" s="149">
        <v>26500</v>
      </c>
      <c r="F56" s="149">
        <v>26500</v>
      </c>
      <c r="G56" s="149">
        <v>26500</v>
      </c>
      <c r="H56" s="149">
        <v>26500</v>
      </c>
      <c r="I56" s="149">
        <v>26500</v>
      </c>
      <c r="J56" s="149">
        <v>26500</v>
      </c>
      <c r="K56" s="149">
        <v>26500</v>
      </c>
      <c r="L56" s="149">
        <v>26500</v>
      </c>
      <c r="M56" s="149">
        <v>26500</v>
      </c>
      <c r="N56" s="149">
        <v>26500</v>
      </c>
      <c r="O56" s="149">
        <v>26500</v>
      </c>
      <c r="P56" s="149">
        <v>26500</v>
      </c>
      <c r="Q56" s="144"/>
    </row>
    <row r="57" spans="1:19" ht="15" customHeight="1" x14ac:dyDescent="0.25">
      <c r="A57" s="144" t="s">
        <v>1122</v>
      </c>
      <c r="B57" s="144"/>
      <c r="C57" s="144"/>
      <c r="D57" s="146"/>
      <c r="E57" s="149">
        <v>32000</v>
      </c>
      <c r="F57" s="149">
        <v>32000</v>
      </c>
      <c r="G57" s="149">
        <v>32000</v>
      </c>
      <c r="H57" s="149">
        <v>32000</v>
      </c>
      <c r="I57" s="149">
        <v>32000</v>
      </c>
      <c r="J57" s="149">
        <v>32000</v>
      </c>
      <c r="K57" s="149">
        <v>32000</v>
      </c>
      <c r="L57" s="149">
        <v>32000</v>
      </c>
      <c r="M57" s="149">
        <v>32000</v>
      </c>
      <c r="N57" s="149">
        <v>32000</v>
      </c>
      <c r="O57" s="149">
        <v>32000</v>
      </c>
      <c r="P57" s="149">
        <v>32000</v>
      </c>
      <c r="Q57" s="144"/>
    </row>
    <row r="58" spans="1:19" ht="15" customHeight="1" x14ac:dyDescent="0.25">
      <c r="A58" s="144" t="s">
        <v>1123</v>
      </c>
      <c r="B58" s="144"/>
      <c r="C58" s="144"/>
      <c r="D58" s="146"/>
      <c r="E58" s="149">
        <v>25000</v>
      </c>
      <c r="F58" s="149">
        <v>25000</v>
      </c>
      <c r="G58" s="149">
        <v>25000</v>
      </c>
      <c r="H58" s="149">
        <v>25000</v>
      </c>
      <c r="I58" s="149">
        <v>25000</v>
      </c>
      <c r="J58" s="149">
        <v>25000</v>
      </c>
      <c r="K58" s="149">
        <v>25000</v>
      </c>
      <c r="L58" s="149">
        <v>25000</v>
      </c>
      <c r="M58" s="149">
        <v>25000</v>
      </c>
      <c r="N58" s="149">
        <v>25000</v>
      </c>
      <c r="O58" s="149">
        <v>25000</v>
      </c>
      <c r="P58" s="149">
        <v>25000</v>
      </c>
      <c r="Q58" s="144"/>
    </row>
    <row r="59" spans="1:19" ht="15" customHeight="1" x14ac:dyDescent="0.25">
      <c r="A59" s="144" t="s">
        <v>1124</v>
      </c>
      <c r="B59" s="144"/>
      <c r="C59" s="144"/>
      <c r="D59" s="146"/>
      <c r="E59" s="152">
        <v>8000</v>
      </c>
      <c r="F59" s="152">
        <v>8000</v>
      </c>
      <c r="G59" s="152">
        <v>8000</v>
      </c>
      <c r="H59" s="152">
        <v>8000</v>
      </c>
      <c r="I59" s="152">
        <v>8000</v>
      </c>
      <c r="J59" s="152">
        <v>8000</v>
      </c>
      <c r="K59" s="152">
        <v>8000</v>
      </c>
      <c r="L59" s="152">
        <v>8000</v>
      </c>
      <c r="M59" s="152">
        <v>8000</v>
      </c>
      <c r="N59" s="152">
        <v>8000</v>
      </c>
      <c r="O59" s="152">
        <v>8000</v>
      </c>
      <c r="P59" s="152">
        <v>8000</v>
      </c>
      <c r="Q59" s="144"/>
    </row>
    <row r="60" spans="1:19" ht="15" customHeight="1" x14ac:dyDescent="0.25">
      <c r="A60" s="144" t="s">
        <v>1541</v>
      </c>
      <c r="B60" s="144"/>
      <c r="C60" s="144"/>
      <c r="D60" s="144"/>
      <c r="E60" s="139">
        <v>8</v>
      </c>
      <c r="F60" s="139">
        <v>8</v>
      </c>
      <c r="G60" s="151">
        <v>8</v>
      </c>
      <c r="H60" s="139">
        <v>8</v>
      </c>
      <c r="I60" s="139">
        <v>8</v>
      </c>
      <c r="J60" s="151">
        <v>8</v>
      </c>
      <c r="K60" s="139">
        <v>8</v>
      </c>
      <c r="L60" s="139">
        <v>8</v>
      </c>
      <c r="M60" s="151">
        <v>7</v>
      </c>
      <c r="N60" s="139">
        <v>4</v>
      </c>
      <c r="O60" s="139">
        <v>5</v>
      </c>
      <c r="P60" s="151">
        <v>8</v>
      </c>
      <c r="Q60" s="144"/>
    </row>
    <row r="61" spans="1:19" ht="15" customHeight="1" x14ac:dyDescent="0.25">
      <c r="A61" s="144"/>
      <c r="B61" s="144"/>
      <c r="C61" s="144"/>
      <c r="D61" s="144"/>
      <c r="E61" s="139"/>
      <c r="F61" s="139"/>
      <c r="G61" s="144"/>
      <c r="H61" s="139"/>
      <c r="I61" s="139"/>
      <c r="J61" s="144"/>
      <c r="K61" s="139"/>
      <c r="L61" s="139"/>
      <c r="M61" s="144"/>
      <c r="N61" s="139"/>
      <c r="O61" s="139"/>
      <c r="P61" s="144"/>
      <c r="Q61" s="144"/>
    </row>
    <row r="62" spans="1:19" ht="15" customHeight="1" x14ac:dyDescent="0.25">
      <c r="A62" s="144" t="s">
        <v>1125</v>
      </c>
      <c r="B62" s="144"/>
      <c r="C62" s="144"/>
      <c r="D62" s="144"/>
      <c r="E62" s="150">
        <f>E30*E56+E31*E57+E32*E58+E59*E60</f>
        <v>3631250</v>
      </c>
      <c r="F62" s="150">
        <f t="shared" ref="F62:P62" si="16">F30*F56+F31*F57+F32*F58+F59*F60</f>
        <v>4006250</v>
      </c>
      <c r="G62" s="150">
        <f t="shared" si="16"/>
        <v>4331250</v>
      </c>
      <c r="H62" s="150">
        <f t="shared" si="16"/>
        <v>4106250</v>
      </c>
      <c r="I62" s="150">
        <f t="shared" si="16"/>
        <v>4218750</v>
      </c>
      <c r="J62" s="150">
        <f t="shared" si="16"/>
        <v>4331250</v>
      </c>
      <c r="K62" s="150">
        <f t="shared" si="16"/>
        <v>4106250</v>
      </c>
      <c r="L62" s="150">
        <f t="shared" si="16"/>
        <v>4806250</v>
      </c>
      <c r="M62" s="150">
        <f t="shared" si="16"/>
        <v>3960750</v>
      </c>
      <c r="N62" s="150">
        <f t="shared" si="16"/>
        <v>3824250</v>
      </c>
      <c r="O62" s="150">
        <f t="shared" si="16"/>
        <v>3832250</v>
      </c>
      <c r="P62" s="150">
        <f t="shared" si="16"/>
        <v>4306250</v>
      </c>
      <c r="R62" s="151">
        <f>SUM(E62:P62)</f>
        <v>49461000</v>
      </c>
    </row>
    <row r="64" spans="1:19" ht="15" customHeight="1" x14ac:dyDescent="0.25">
      <c r="R64" s="167"/>
    </row>
    <row r="65" spans="1:18" ht="15" customHeight="1" x14ac:dyDescent="0.25">
      <c r="A65" t="s">
        <v>1126</v>
      </c>
    </row>
    <row r="66" spans="1:18" ht="15" customHeight="1" x14ac:dyDescent="0.25">
      <c r="R66" s="167"/>
    </row>
    <row r="67" spans="1:18" ht="15" customHeight="1" x14ac:dyDescent="0.25">
      <c r="A67" t="s">
        <v>1127</v>
      </c>
      <c r="E67" s="50">
        <f>'Used Vehicles - NS 5'!E62+'Used Vehicles - NW'!E61</f>
        <v>61.688598987974402</v>
      </c>
      <c r="F67" s="50">
        <f>'Used Vehicles - NS 5'!F62+'Used Vehicles - NW'!F61</f>
        <v>61.688598987974402</v>
      </c>
      <c r="G67" s="50">
        <f>'Used Vehicles - NS 5'!G62+'Used Vehicles - NW'!G61</f>
        <v>61.688598987974402</v>
      </c>
      <c r="H67" s="50">
        <f>'Used Vehicles - NS 5'!H62+'Used Vehicles - NW'!H61</f>
        <v>61.688598987974402</v>
      </c>
      <c r="I67" s="50">
        <f>'Used Vehicles - NS 5'!I62+'Used Vehicles - NW'!I61</f>
        <v>61.688598987974402</v>
      </c>
      <c r="J67" s="50">
        <f>'Used Vehicles - NS 5'!J62+'Used Vehicles - NW'!J61</f>
        <v>61.688598987974402</v>
      </c>
      <c r="K67" s="50">
        <f>'Used Vehicles - NS 5'!K62+'Used Vehicles - NW'!K61</f>
        <v>61.688598987974402</v>
      </c>
      <c r="L67" s="50">
        <f>'Used Vehicles - NS 5'!L62+'Used Vehicles - NW'!L61</f>
        <v>61.688598987974402</v>
      </c>
      <c r="M67" s="50">
        <f>'Used Vehicles - NS 5'!M62+'Used Vehicles - NW'!M61</f>
        <v>61.688598987974402</v>
      </c>
      <c r="N67" s="50">
        <f>'Used Vehicles - NS 5'!N62+'Used Vehicles - NW'!N61</f>
        <v>61.688598987974402</v>
      </c>
      <c r="O67" s="50">
        <f>'Used Vehicles - NS 5'!O62+'Used Vehicles - NW'!O61</f>
        <v>61.688598987974402</v>
      </c>
      <c r="P67" s="50">
        <f>'Used Vehicles - NS 5'!P62+'Used Vehicles - NW'!P61</f>
        <v>61.688598987974402</v>
      </c>
    </row>
    <row r="68" spans="1:18" ht="15" customHeight="1" x14ac:dyDescent="0.25">
      <c r="A68" t="s">
        <v>1128</v>
      </c>
      <c r="E68" s="50">
        <f>'Used Vehicles - NS 5'!E63+'Used Vehicles - NW'!E62</f>
        <v>83.776699485841959</v>
      </c>
      <c r="F68" s="50">
        <f>'Used Vehicles - NS 5'!F63+'Used Vehicles - NW'!F62</f>
        <v>98.776699485841931</v>
      </c>
      <c r="G68" s="50">
        <f>'Used Vehicles - NS 5'!G63+'Used Vehicles - NW'!G62</f>
        <v>111.77669948584193</v>
      </c>
      <c r="H68" s="50">
        <f>'Used Vehicles - NS 5'!H63+'Used Vehicles - NW'!H62</f>
        <v>102.77669948584195</v>
      </c>
      <c r="I68" s="50">
        <f>'Used Vehicles - NS 5'!I63+'Used Vehicles - NW'!I62</f>
        <v>107.27669948584195</v>
      </c>
      <c r="J68" s="50">
        <f>'Used Vehicles - NS 5'!J63+'Used Vehicles - NW'!J62</f>
        <v>111.77669948584195</v>
      </c>
      <c r="K68" s="50">
        <f>'Used Vehicles - NS 5'!K63+'Used Vehicles - NW'!K62</f>
        <v>102.77669948584195</v>
      </c>
      <c r="L68" s="50">
        <f>'Used Vehicles - NS 5'!L63+'Used Vehicles - NW'!L62</f>
        <v>130.77669948584196</v>
      </c>
      <c r="M68" s="50">
        <f>'Used Vehicles - NS 5'!M63+'Used Vehicles - NW'!M62</f>
        <v>97.276699485841945</v>
      </c>
      <c r="N68" s="50">
        <f>'Used Vehicles - NS 5'!N63+'Used Vehicles - NW'!N62</f>
        <v>92.776699485841945</v>
      </c>
      <c r="O68" s="50">
        <f>'Used Vehicles - NS 5'!O63+'Used Vehicles - NW'!O62</f>
        <v>92.776699485841945</v>
      </c>
      <c r="P68" s="50">
        <f>'Used Vehicles - NS 5'!P63+'Used Vehicles - NW'!P62</f>
        <v>110.77669948584195</v>
      </c>
    </row>
    <row r="69" spans="1:18" ht="15" customHeight="1" x14ac:dyDescent="0.25">
      <c r="A69" t="s">
        <v>1055</v>
      </c>
      <c r="E69" s="118">
        <f t="shared" ref="E69:P69" si="17">E67+E68</f>
        <v>145.46529847381635</v>
      </c>
      <c r="F69" s="118">
        <f t="shared" si="17"/>
        <v>160.46529847381635</v>
      </c>
      <c r="G69" s="118">
        <f t="shared" si="17"/>
        <v>173.46529847381635</v>
      </c>
      <c r="H69" s="118">
        <f t="shared" si="17"/>
        <v>164.46529847381635</v>
      </c>
      <c r="I69" s="118">
        <f t="shared" si="17"/>
        <v>168.96529847381635</v>
      </c>
      <c r="J69" s="118">
        <f t="shared" si="17"/>
        <v>173.46529847381635</v>
      </c>
      <c r="K69" s="118">
        <f t="shared" si="17"/>
        <v>164.46529847381635</v>
      </c>
      <c r="L69" s="118">
        <f t="shared" si="17"/>
        <v>192.46529847381635</v>
      </c>
      <c r="M69" s="118">
        <f t="shared" si="17"/>
        <v>158.96529847381635</v>
      </c>
      <c r="N69" s="118">
        <f t="shared" si="17"/>
        <v>154.46529847381635</v>
      </c>
      <c r="O69" s="118">
        <f t="shared" si="17"/>
        <v>154.46529847381635</v>
      </c>
      <c r="P69" s="118">
        <f t="shared" si="17"/>
        <v>172.46529847381635</v>
      </c>
    </row>
    <row r="72" spans="1:18" ht="15" customHeight="1" x14ac:dyDescent="0.25">
      <c r="A72" t="s">
        <v>1129</v>
      </c>
    </row>
    <row r="74" spans="1:18" ht="15" customHeight="1" x14ac:dyDescent="0.25">
      <c r="A74" t="s">
        <v>1127</v>
      </c>
      <c r="E74" s="50">
        <f>'Used Vehicles - NS 6'!E62+'Used Vehicles - NW'!E61</f>
        <v>68.285491131322857</v>
      </c>
      <c r="F74" s="50">
        <f>'Used Vehicles - NS 6'!F62+'Used Vehicles - NW'!F61</f>
        <v>67.516972612804338</v>
      </c>
      <c r="G74" s="50">
        <f>'Used Vehicles - NS 6'!G62+'Used Vehicles - NW'!G61</f>
        <v>67.516972612804338</v>
      </c>
      <c r="H74" s="50">
        <f>'Used Vehicles - NS 6'!H62+'Used Vehicles - NW'!H61</f>
        <v>67.193385868164953</v>
      </c>
      <c r="I74" s="50">
        <f>'Used Vehicles - NS 6'!I62+'Used Vehicles - NW'!I61</f>
        <v>67.193385868164953</v>
      </c>
      <c r="J74" s="50">
        <f>'Used Vehicles - NS 6'!J62+'Used Vehicles - NW'!J61</f>
        <v>67.193385868164953</v>
      </c>
      <c r="K74" s="50">
        <f>'Used Vehicles - NS 6'!K62+'Used Vehicles - NW'!K61</f>
        <v>67.193385868164953</v>
      </c>
      <c r="L74" s="50">
        <f>'Used Vehicles - NS 6'!L62+'Used Vehicles - NW'!L61</f>
        <v>67.193385868164953</v>
      </c>
      <c r="M74" s="50">
        <f>'Used Vehicles - NS 6'!M62+'Used Vehicles - NW'!M61</f>
        <v>67.193385868164953</v>
      </c>
      <c r="N74" s="50">
        <f>'Used Vehicles - NS 6'!N62+'Used Vehicles - NW'!N61</f>
        <v>67.193385868164953</v>
      </c>
      <c r="O74" s="50">
        <f>'Used Vehicles - NS 6'!O62+'Used Vehicles - NW'!O61</f>
        <v>67.193385868164953</v>
      </c>
      <c r="P74" s="50">
        <f>'Used Vehicles - NS 6'!P62+'Used Vehicles - NW'!P61</f>
        <v>67.193385868164953</v>
      </c>
    </row>
    <row r="75" spans="1:18" ht="15" customHeight="1" x14ac:dyDescent="0.25">
      <c r="A75" t="s">
        <v>1128</v>
      </c>
      <c r="E75" s="50">
        <f>'Used Vehicles - NS 6'!E63+'Used Vehicles - NW'!E62</f>
        <v>92.752011678641111</v>
      </c>
      <c r="F75" s="50">
        <f>'Used Vehicles - NS 6'!F63+'Used Vehicles - NW'!F62</f>
        <v>109.52053019715962</v>
      </c>
      <c r="G75" s="50">
        <f>'Used Vehicles - NS 6'!G63+'Used Vehicles - NW'!G62</f>
        <v>123.52053019715962</v>
      </c>
      <c r="H75" s="50">
        <f>'Used Vehicles - NS 6'!H63+'Used Vehicles - NW'!H62</f>
        <v>114.84411694179899</v>
      </c>
      <c r="I75" s="50">
        <f>'Used Vehicles - NS 6'!I63+'Used Vehicles - NW'!I62</f>
        <v>119.34411694179899</v>
      </c>
      <c r="J75" s="50">
        <f>'Used Vehicles - NS 6'!J63+'Used Vehicles - NW'!J62</f>
        <v>123.84411694179899</v>
      </c>
      <c r="K75" s="50">
        <f>'Used Vehicles - NS 6'!K63+'Used Vehicles - NW'!K62</f>
        <v>114.84411694179899</v>
      </c>
      <c r="L75" s="50">
        <f>'Used Vehicles - NS 6'!L63+'Used Vehicles - NW'!L62</f>
        <v>144.84411694179897</v>
      </c>
      <c r="M75" s="50">
        <f>'Used Vehicles - NS 6'!M63+'Used Vehicles - NW'!M62</f>
        <v>119.34411694179899</v>
      </c>
      <c r="N75" s="50">
        <f>'Used Vehicles - NS 6'!N63+'Used Vehicles - NW'!N62</f>
        <v>102.844116941799</v>
      </c>
      <c r="O75" s="50">
        <f>'Used Vehicles - NS 6'!O63+'Used Vehicles - NW'!O62</f>
        <v>102.844116941799</v>
      </c>
      <c r="P75" s="50">
        <f>'Used Vehicles - NS 6'!P63+'Used Vehicles - NW'!P62</f>
        <v>120.844116941799</v>
      </c>
    </row>
    <row r="76" spans="1:18" ht="15" customHeight="1" x14ac:dyDescent="0.25">
      <c r="A76" t="s">
        <v>1055</v>
      </c>
      <c r="E76" s="118">
        <f t="shared" ref="E76:P76" si="18">E74+E75</f>
        <v>161.03750280996397</v>
      </c>
      <c r="F76" s="118">
        <f t="shared" si="18"/>
        <v>177.03750280996394</v>
      </c>
      <c r="G76" s="118">
        <f t="shared" si="18"/>
        <v>191.03750280996394</v>
      </c>
      <c r="H76" s="118">
        <f t="shared" si="18"/>
        <v>182.03750280996394</v>
      </c>
      <c r="I76" s="118">
        <f t="shared" si="18"/>
        <v>186.53750280996394</v>
      </c>
      <c r="J76" s="118">
        <f t="shared" si="18"/>
        <v>191.03750280996394</v>
      </c>
      <c r="K76" s="118">
        <f t="shared" si="18"/>
        <v>182.03750280996394</v>
      </c>
      <c r="L76" s="118">
        <f t="shared" si="18"/>
        <v>212.03750280996394</v>
      </c>
      <c r="M76" s="118">
        <f t="shared" si="18"/>
        <v>186.53750280996394</v>
      </c>
      <c r="N76" s="118">
        <f t="shared" si="18"/>
        <v>170.03750280996394</v>
      </c>
      <c r="O76" s="118">
        <f t="shared" si="18"/>
        <v>170.03750280996394</v>
      </c>
      <c r="P76" s="118">
        <f t="shared" si="18"/>
        <v>188.03750280996394</v>
      </c>
    </row>
    <row r="78" spans="1:18" ht="15" customHeight="1" x14ac:dyDescent="0.25">
      <c r="E78" s="118"/>
      <c r="F78" s="118"/>
      <c r="G78" s="118"/>
      <c r="H78" s="118"/>
      <c r="I78" s="118"/>
      <c r="J78" s="118"/>
      <c r="K78" s="118"/>
      <c r="L78" s="118"/>
      <c r="M78" s="118"/>
      <c r="N78" s="118"/>
      <c r="O78" s="118"/>
      <c r="P78" s="118"/>
    </row>
    <row r="79" spans="1:18" ht="15" customHeight="1" x14ac:dyDescent="0.25">
      <c r="A79" s="144" t="s">
        <v>1130</v>
      </c>
      <c r="E79" s="149">
        <f t="shared" ref="E79:P79" si="19">E67*E56+E68*E58</f>
        <v>3729165.3603273705</v>
      </c>
      <c r="F79" s="149">
        <f t="shared" si="19"/>
        <v>4104165.36032737</v>
      </c>
      <c r="G79" s="149">
        <f t="shared" si="19"/>
        <v>4429165.3603273705</v>
      </c>
      <c r="H79" s="149">
        <f t="shared" si="19"/>
        <v>4204165.3603273705</v>
      </c>
      <c r="I79" s="149">
        <f t="shared" si="19"/>
        <v>4316665.3603273705</v>
      </c>
      <c r="J79" s="149">
        <f t="shared" si="19"/>
        <v>4429165.3603273705</v>
      </c>
      <c r="K79" s="149">
        <f t="shared" si="19"/>
        <v>4204165.3603273705</v>
      </c>
      <c r="L79" s="149">
        <f t="shared" si="19"/>
        <v>4904165.3603273705</v>
      </c>
      <c r="M79" s="149">
        <f t="shared" si="19"/>
        <v>4066665.3603273705</v>
      </c>
      <c r="N79" s="149">
        <f t="shared" si="19"/>
        <v>3954165.3603273705</v>
      </c>
      <c r="O79" s="149">
        <f t="shared" si="19"/>
        <v>3954165.3603273705</v>
      </c>
      <c r="P79" s="149">
        <f t="shared" si="19"/>
        <v>4404165.3603273705</v>
      </c>
    </row>
    <row r="82" spans="1:19" ht="15" customHeight="1" x14ac:dyDescent="0.25">
      <c r="A82" t="s">
        <v>1131</v>
      </c>
      <c r="E82" s="33">
        <f t="shared" ref="E82:P82" si="20">E6/E7</f>
        <v>0.5092592592592593</v>
      </c>
      <c r="F82" s="33">
        <f t="shared" si="20"/>
        <v>0.41463414634146339</v>
      </c>
      <c r="G82" s="33">
        <f t="shared" si="20"/>
        <v>0.60169491525423724</v>
      </c>
      <c r="H82" s="33">
        <f t="shared" si="20"/>
        <v>0.5957446808510638</v>
      </c>
      <c r="I82" s="33">
        <f t="shared" si="20"/>
        <v>0.53703703703703709</v>
      </c>
      <c r="J82" s="33">
        <f t="shared" si="20"/>
        <v>0.45669291338582679</v>
      </c>
      <c r="K82" s="33">
        <f t="shared" si="20"/>
        <v>0.47967479674796748</v>
      </c>
      <c r="L82" s="33">
        <f t="shared" si="20"/>
        <v>0.49367088607594939</v>
      </c>
      <c r="M82" s="33">
        <f t="shared" si="20"/>
        <v>0.42857142857142855</v>
      </c>
      <c r="N82" s="33">
        <f t="shared" si="20"/>
        <v>0.52100840336134457</v>
      </c>
      <c r="O82" s="33">
        <f t="shared" si="20"/>
        <v>0.5</v>
      </c>
      <c r="P82" s="33">
        <f t="shared" si="20"/>
        <v>0.43478260869565216</v>
      </c>
    </row>
    <row r="83" spans="1:19" ht="15" customHeight="1" x14ac:dyDescent="0.25">
      <c r="A83" t="s">
        <v>1132</v>
      </c>
      <c r="E83" s="33">
        <f t="shared" ref="E83:P83" si="21">E32/E33</f>
        <v>0.51953601953601958</v>
      </c>
      <c r="F83" s="33">
        <f t="shared" si="21"/>
        <v>0.56710671067106699</v>
      </c>
      <c r="G83" s="33">
        <f t="shared" si="21"/>
        <v>0.60131712259371828</v>
      </c>
      <c r="H83" s="33">
        <f t="shared" si="21"/>
        <v>0.57824222936763126</v>
      </c>
      <c r="I83" s="33">
        <f t="shared" si="21"/>
        <v>0.59010416666666665</v>
      </c>
      <c r="J83" s="33">
        <f t="shared" si="21"/>
        <v>0.60131712259371828</v>
      </c>
      <c r="K83" s="33">
        <f t="shared" si="21"/>
        <v>0.57824222936763126</v>
      </c>
      <c r="L83" s="33">
        <f t="shared" si="21"/>
        <v>0.64259763851044505</v>
      </c>
      <c r="M83" s="33">
        <f t="shared" si="21"/>
        <v>0.56277777777777771</v>
      </c>
      <c r="N83" s="33">
        <f t="shared" si="21"/>
        <v>0.54925544100801826</v>
      </c>
      <c r="O83" s="33">
        <f t="shared" si="21"/>
        <v>0.54925544100801826</v>
      </c>
      <c r="P83" s="33">
        <f t="shared" si="21"/>
        <v>0.59887869520897041</v>
      </c>
    </row>
    <row r="85" spans="1:19" ht="15" hidden="1" customHeight="1" x14ac:dyDescent="0.25">
      <c r="A85" s="245" t="s">
        <v>1090</v>
      </c>
      <c r="B85" s="246"/>
      <c r="C85" s="246"/>
      <c r="D85" s="246"/>
      <c r="E85" s="248">
        <f>'Used Vehicles - NS 5'!E66+'Used Vehicles - NW'!E65</f>
        <v>71238.110289279168</v>
      </c>
      <c r="F85" s="248">
        <f>'Used Vehicles - NS 5'!F66+'Used Vehicles - NW'!F65</f>
        <v>77387.110289279168</v>
      </c>
      <c r="G85" s="248">
        <f>'Used Vehicles - NS 5'!G66+'Used Vehicles - NW'!G65</f>
        <v>85482.616539279174</v>
      </c>
      <c r="H85" s="248">
        <f>'Used Vehicles - NS 5'!H66+'Used Vehicles - NW'!H65</f>
        <v>78958.010289279162</v>
      </c>
      <c r="I85" s="248">
        <f>'Used Vehicles - NS 5'!I66+'Used Vehicles - NW'!I65</f>
        <v>80341.760289279162</v>
      </c>
      <c r="J85" s="248">
        <f>'Used Vehicles - NS 5'!J66+'Used Vehicles - NW'!J65</f>
        <v>81978.382164279174</v>
      </c>
      <c r="K85" s="248">
        <f>'Used Vehicles - NS 5'!K66+'Used Vehicles - NW'!K65</f>
        <v>78958.010289279162</v>
      </c>
      <c r="L85" s="248">
        <f>'Used Vehicles - NS 5'!L66+'Used Vehicles - NW'!L65</f>
        <v>92118.010289279162</v>
      </c>
      <c r="M85" s="248">
        <f>'Used Vehicles - NS 5'!M66+'Used Vehicles - NW'!M65</f>
        <v>73012.797789279168</v>
      </c>
      <c r="N85" s="248">
        <f>'Used Vehicles - NS 5'!N66+'Used Vehicles - NW'!N65</f>
        <v>71383.010289279162</v>
      </c>
      <c r="O85" s="248">
        <f>'Used Vehicles - NS 5'!O66+'Used Vehicles - NW'!O65</f>
        <v>71383.010289279162</v>
      </c>
      <c r="P85" s="248">
        <f>'Used Vehicles - NS 5'!P66+'Used Vehicles - NW'!P65</f>
        <v>81209.491539279174</v>
      </c>
      <c r="Q85" s="248"/>
      <c r="R85" s="253">
        <f>SUM(E85:P85)</f>
        <v>943450.32034634985</v>
      </c>
    </row>
    <row r="86" spans="1:19" ht="15" hidden="1" customHeight="1" x14ac:dyDescent="0.25">
      <c r="A86" s="106" t="s">
        <v>1091</v>
      </c>
      <c r="E86" s="7">
        <f>'Used Vehicles - NS 5'!E67+'Used Vehicles - NW'!E66</f>
        <v>116998.44560767038</v>
      </c>
      <c r="F86" s="7">
        <f>'Used Vehicles - NS 5'!F67+'Used Vehicles - NW'!F66</f>
        <v>116998.44560767038</v>
      </c>
      <c r="G86" s="7">
        <f>'Used Vehicles - NS 5'!G67+'Used Vehicles - NW'!G66</f>
        <v>116998.44560767038</v>
      </c>
      <c r="H86" s="7">
        <f>'Used Vehicles - NS 5'!H67+'Used Vehicles - NW'!H66</f>
        <v>116998.44560767038</v>
      </c>
      <c r="I86" s="7">
        <f>'Used Vehicles - NS 5'!I67+'Used Vehicles - NW'!I66</f>
        <v>116998.44560767038</v>
      </c>
      <c r="J86" s="7">
        <f>'Used Vehicles - NS 5'!J67+'Used Vehicles - NW'!J66</f>
        <v>116998.44560767038</v>
      </c>
      <c r="K86" s="7">
        <f>'Used Vehicles - NS 5'!K67+'Used Vehicles - NW'!K66</f>
        <v>116998.44560767038</v>
      </c>
      <c r="L86" s="7">
        <f>'Used Vehicles - NS 5'!L67+'Used Vehicles - NW'!L66</f>
        <v>116998.44560767038</v>
      </c>
      <c r="M86" s="7">
        <f>'Used Vehicles - NS 5'!M67+'Used Vehicles - NW'!M66</f>
        <v>116998.44560767038</v>
      </c>
      <c r="N86" s="7">
        <f>'Used Vehicles - NS 5'!N67+'Used Vehicles - NW'!N66</f>
        <v>116998.44560767038</v>
      </c>
      <c r="O86" s="7">
        <f>'Used Vehicles - NS 5'!O67+'Used Vehicles - NW'!O66</f>
        <v>116998.44560767038</v>
      </c>
      <c r="P86" s="7">
        <f>'Used Vehicles - NS 5'!P67+'Used Vehicles - NW'!P66</f>
        <v>116998.44560767038</v>
      </c>
      <c r="Q86" s="7"/>
      <c r="R86" s="254">
        <f t="shared" ref="R86:R87" si="22">SUM(E86:P86)</f>
        <v>1403981.3472920444</v>
      </c>
    </row>
    <row r="87" spans="1:19" ht="15" hidden="1" customHeight="1" x14ac:dyDescent="0.25">
      <c r="A87" s="106" t="s">
        <v>1092</v>
      </c>
      <c r="E87" s="7">
        <f>E86+E85</f>
        <v>188236.55589694955</v>
      </c>
      <c r="F87" s="7">
        <f t="shared" ref="F87:P87" si="23">F86+F85</f>
        <v>194385.55589694955</v>
      </c>
      <c r="G87" s="7">
        <f t="shared" si="23"/>
        <v>202481.06214694955</v>
      </c>
      <c r="H87" s="7">
        <f t="shared" si="23"/>
        <v>195956.45589694954</v>
      </c>
      <c r="I87" s="7">
        <f t="shared" si="23"/>
        <v>197340.20589694954</v>
      </c>
      <c r="J87" s="7">
        <f t="shared" si="23"/>
        <v>198976.82777194955</v>
      </c>
      <c r="K87" s="7">
        <f t="shared" si="23"/>
        <v>195956.45589694954</v>
      </c>
      <c r="L87" s="7">
        <f t="shared" si="23"/>
        <v>209116.45589694954</v>
      </c>
      <c r="M87" s="7">
        <f t="shared" si="23"/>
        <v>190011.24339694955</v>
      </c>
      <c r="N87" s="7">
        <f t="shared" si="23"/>
        <v>188381.45589694954</v>
      </c>
      <c r="O87" s="7">
        <f t="shared" si="23"/>
        <v>188381.45589694954</v>
      </c>
      <c r="P87" s="7">
        <f t="shared" si="23"/>
        <v>198207.93714694955</v>
      </c>
      <c r="Q87" s="7"/>
      <c r="R87" s="254">
        <f t="shared" si="22"/>
        <v>2347431.6676383945</v>
      </c>
    </row>
    <row r="88" spans="1:19" ht="15" hidden="1" customHeight="1" thickBot="1" x14ac:dyDescent="0.3">
      <c r="A88" s="250"/>
      <c r="B88" s="251"/>
      <c r="C88" s="251"/>
      <c r="D88" s="251"/>
      <c r="E88" s="252"/>
      <c r="F88" s="252"/>
      <c r="G88" s="252"/>
      <c r="H88" s="252"/>
      <c r="I88" s="252"/>
      <c r="J88" s="252"/>
      <c r="K88" s="252"/>
      <c r="L88" s="252"/>
      <c r="M88" s="252"/>
      <c r="N88" s="252"/>
      <c r="O88" s="252"/>
      <c r="P88" s="252"/>
      <c r="Q88" s="252"/>
      <c r="R88" s="255">
        <f>R87-'Used Vehicles - NS 5'!R68-'Used Vehicles - NW'!R67</f>
        <v>0</v>
      </c>
      <c r="S88" s="34" t="s">
        <v>1093</v>
      </c>
    </row>
    <row r="90" spans="1:19" ht="15" customHeight="1" x14ac:dyDescent="0.25">
      <c r="A90" s="34" t="s">
        <v>1087</v>
      </c>
      <c r="B90" s="34"/>
      <c r="C90" s="34"/>
      <c r="D90" s="34"/>
      <c r="E90" s="34" t="s">
        <v>1341</v>
      </c>
      <c r="R90" s="167"/>
    </row>
    <row r="94" spans="1:19" ht="15" customHeight="1" x14ac:dyDescent="0.25">
      <c r="E94" s="118"/>
    </row>
    <row r="95" spans="1:19" ht="15" customHeight="1" x14ac:dyDescent="0.25">
      <c r="E95" s="118"/>
    </row>
  </sheetData>
  <phoneticPr fontId="7"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373A6-4174-4DAA-B1DF-0F9C223F99EF}">
  <sheetPr codeName="Sheet9">
    <tabColor theme="9" tint="0.79998168889431442"/>
  </sheetPr>
  <dimension ref="A1:T72"/>
  <sheetViews>
    <sheetView zoomScale="85" zoomScaleNormal="85" workbookViewId="0">
      <selection activeCell="R50" sqref="R50"/>
    </sheetView>
  </sheetViews>
  <sheetFormatPr defaultRowHeight="15" customHeight="1" x14ac:dyDescent="0.25"/>
  <cols>
    <col min="1" max="1" width="28.7109375" bestFit="1" customWidth="1"/>
    <col min="2" max="2" width="8.5703125" hidden="1" customWidth="1"/>
    <col min="3" max="4" width="9.5703125" hidden="1" customWidth="1"/>
    <col min="5" max="5" width="11.28515625" customWidth="1" collapsed="1"/>
    <col min="6" max="7" width="11.28515625" bestFit="1" customWidth="1"/>
    <col min="8" max="8" width="11.28515625" bestFit="1" customWidth="1" collapsed="1"/>
    <col min="9" max="10" width="11.28515625" bestFit="1" customWidth="1"/>
    <col min="11" max="11" width="11.28515625" bestFit="1" customWidth="1" collapsed="1"/>
    <col min="12" max="16" width="11.28515625" bestFit="1" customWidth="1"/>
    <col min="17" max="17" width="2.85546875" customWidth="1"/>
    <col min="18" max="18" width="11.28515625" bestFit="1" customWidth="1"/>
    <col min="19" max="19" width="9.140625" style="34"/>
  </cols>
  <sheetData>
    <row r="1" spans="1:20" s="21" customFormat="1" ht="15.75" x14ac:dyDescent="0.25">
      <c r="A1" s="55" t="s">
        <v>1103</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76" t="s">
        <v>951</v>
      </c>
      <c r="S1" s="117"/>
    </row>
    <row r="2" spans="1:20" ht="15" customHeight="1" x14ac:dyDescent="0.25">
      <c r="A2" s="49"/>
      <c r="B2" s="76" t="s">
        <v>958</v>
      </c>
      <c r="C2" s="76" t="s">
        <v>958</v>
      </c>
      <c r="D2" s="76" t="s">
        <v>958</v>
      </c>
      <c r="E2" s="76" t="s">
        <v>958</v>
      </c>
      <c r="F2" s="76" t="s">
        <v>958</v>
      </c>
      <c r="G2" s="76" t="s">
        <v>958</v>
      </c>
      <c r="H2" s="76" t="s">
        <v>958</v>
      </c>
      <c r="I2" s="76" t="s">
        <v>958</v>
      </c>
      <c r="J2" s="76" t="s">
        <v>958</v>
      </c>
      <c r="K2" s="76" t="s">
        <v>958</v>
      </c>
      <c r="L2" s="76" t="s">
        <v>958</v>
      </c>
      <c r="M2" s="76" t="s">
        <v>958</v>
      </c>
      <c r="N2" s="76" t="s">
        <v>958</v>
      </c>
      <c r="O2" s="76" t="s">
        <v>958</v>
      </c>
      <c r="P2" s="76" t="s">
        <v>958</v>
      </c>
      <c r="Q2" s="5"/>
      <c r="R2" s="76" t="s">
        <v>961</v>
      </c>
    </row>
    <row r="3" spans="1:20" x14ac:dyDescent="0.25">
      <c r="A3" s="50"/>
      <c r="B3" s="50"/>
      <c r="C3" s="50"/>
      <c r="D3" s="50"/>
      <c r="E3" s="50"/>
      <c r="F3" s="50"/>
      <c r="G3" s="50"/>
      <c r="H3" s="50"/>
      <c r="I3" s="50"/>
      <c r="J3" s="50"/>
      <c r="K3" s="50"/>
      <c r="L3" s="50"/>
      <c r="M3" s="50"/>
      <c r="N3" s="50"/>
      <c r="O3" s="50"/>
      <c r="P3" s="50"/>
      <c r="R3" s="50"/>
    </row>
    <row r="4" spans="1:20" x14ac:dyDescent="0.25">
      <c r="A4" s="50" t="s">
        <v>1104</v>
      </c>
      <c r="B4" s="50">
        <f>'[3]NS USED VEHICLE'!$B$6+'[3]NS USED VEHICLE'!$B$7</f>
        <v>34</v>
      </c>
      <c r="C4" s="50">
        <f>'[4]NS USED VEHICLE'!$B$6+'[4]NS USED VEHICLE'!$B$7</f>
        <v>37</v>
      </c>
      <c r="D4" s="50">
        <f>'[5]NS USED VEHICLE'!$B$6+'[5]NS USED VEHICLE'!$B$7</f>
        <v>38</v>
      </c>
      <c r="E4" s="50">
        <f>'[6]NS USED VEHICLE'!$B$6+'[6]NS USED VEHICLE'!$B$7</f>
        <v>33</v>
      </c>
      <c r="F4" s="50">
        <f>'[7]NS USED VEHICLE'!$B$6+'[7]NS USED VEHICLE'!$B$7</f>
        <v>36</v>
      </c>
      <c r="G4" s="50">
        <f>'[8]NS USED VEHICLE'!$B$6+'[8]NS USED VEHICLE'!$B$7</f>
        <v>29</v>
      </c>
      <c r="H4" s="50">
        <f>'[9]NS USED VEHICLE'!$B$6+'[9]NS USED VEHICLE'!$B$7</f>
        <v>16</v>
      </c>
      <c r="I4" s="50">
        <f>'[10]NS USED VEHICLE'!$B$6+'[10]NS USED VEHICLE'!$B$7</f>
        <v>24</v>
      </c>
      <c r="J4" s="50">
        <f>'[11]NS USED VEHICLE'!$B$6+'[11]NS USED VEHICLE'!$B$7</f>
        <v>41</v>
      </c>
      <c r="K4" s="50">
        <f>'[12]NS USED VEHICLE'!$B$6+'[12]NS USED VEHICLE'!$B$7</f>
        <v>42</v>
      </c>
      <c r="L4" s="50">
        <f>'[13]NS USED VEHICLE'!$B$6+'[13]NS USED VEHICLE'!$B$7</f>
        <v>50</v>
      </c>
      <c r="M4" s="50">
        <f>'[14]NS USED VEHICLE'!$B$6+'[14]NS USED VEHICLE'!$B$7</f>
        <v>49</v>
      </c>
      <c r="N4" s="50">
        <f>'[15]NS USED VEHICLE'!$B$6+'[15]NS USED VEHICLE'!$B$7</f>
        <v>34</v>
      </c>
      <c r="O4" s="50">
        <f>'[16]NS USED VEHICLE'!$B$6+'[16]NS USED VEHICLE'!$B$7</f>
        <v>34</v>
      </c>
      <c r="P4" s="50">
        <f>'[17]NS USED VEHICLE'!$B$6+'[17]NS USED VEHICLE'!$B$7</f>
        <v>41</v>
      </c>
      <c r="Q4" s="8"/>
      <c r="R4" s="41">
        <f>SUM(E4:P4)</f>
        <v>429</v>
      </c>
    </row>
    <row r="5" spans="1:20" ht="15" customHeight="1" x14ac:dyDescent="0.25">
      <c r="A5" s="50" t="s">
        <v>1105</v>
      </c>
      <c r="B5" s="50">
        <f>'[3]NS USED VEHICLE'!$B$8</f>
        <v>4</v>
      </c>
      <c r="C5" s="50">
        <f>'[4]NS USED VEHICLE'!$B$8</f>
        <v>8</v>
      </c>
      <c r="D5" s="50">
        <f>'[5]NS USED VEHICLE'!$B$8</f>
        <v>11</v>
      </c>
      <c r="E5" s="50">
        <f>'[6]NS USED VEHICLE'!$B$8</f>
        <v>3</v>
      </c>
      <c r="F5" s="50">
        <f>'[7]NS USED VEHICLE'!$B$8</f>
        <v>6</v>
      </c>
      <c r="G5" s="50">
        <f>'[8]NS USED VEHICLE'!$B$8</f>
        <v>2</v>
      </c>
      <c r="H5" s="50">
        <f>'[9]NS USED VEHICLE'!$B$8</f>
        <v>4</v>
      </c>
      <c r="I5" s="50">
        <f>'[10]NS USED VEHICLE'!$B$8</f>
        <v>6</v>
      </c>
      <c r="J5" s="50">
        <f>'[11]NS USED VEHICLE'!$B$8</f>
        <v>7</v>
      </c>
      <c r="K5" s="50">
        <f>'[12]NS USED VEHICLE'!$B$8</f>
        <v>1</v>
      </c>
      <c r="L5" s="50">
        <f>'[13]NS USED VEHICLE'!$B$8</f>
        <v>7</v>
      </c>
      <c r="M5" s="50">
        <f>'[14]NS USED VEHICLE'!$B$8</f>
        <v>3</v>
      </c>
      <c r="N5" s="50">
        <f>'[15]NS USED VEHICLE'!$B$8</f>
        <v>1</v>
      </c>
      <c r="O5" s="50">
        <f>'[16]NS USED VEHICLE'!$B$8</f>
        <v>2</v>
      </c>
      <c r="P5" s="50">
        <f>'[17]NS USED VEHICLE'!$B$8</f>
        <v>3</v>
      </c>
      <c r="Q5" s="3"/>
      <c r="R5" s="41">
        <f>SUM(E5:P5)</f>
        <v>45</v>
      </c>
      <c r="T5" s="118"/>
    </row>
    <row r="6" spans="1:20" x14ac:dyDescent="0.25">
      <c r="A6" s="50" t="s">
        <v>1106</v>
      </c>
      <c r="B6" s="50">
        <f>'[3]NS USED VEHICLE'!$B$9</f>
        <v>26</v>
      </c>
      <c r="C6" s="50">
        <f>'[4]NS USED VEHICLE'!$B$9</f>
        <v>41</v>
      </c>
      <c r="D6" s="50">
        <f>'[5]NS USED VEHICLE'!$B$9</f>
        <v>46</v>
      </c>
      <c r="E6" s="50">
        <f>'[6]NS USED VEHICLE'!$B$9</f>
        <v>41</v>
      </c>
      <c r="F6" s="50">
        <f>'[7]NS USED VEHICLE'!$B$9</f>
        <v>34</v>
      </c>
      <c r="G6" s="50">
        <f>'[8]NS USED VEHICLE'!$B$9</f>
        <v>52</v>
      </c>
      <c r="H6" s="50">
        <f>'[9]NS USED VEHICLE'!$B$9</f>
        <v>43</v>
      </c>
      <c r="I6" s="50">
        <f>'[10]NS USED VEHICLE'!$B$9</f>
        <v>44</v>
      </c>
      <c r="J6" s="50">
        <f>'[11]NS USED VEHICLE'!$B$9</f>
        <v>44</v>
      </c>
      <c r="K6" s="50">
        <f>'[12]NS USED VEHICLE'!$B$9</f>
        <v>45</v>
      </c>
      <c r="L6" s="50">
        <f>'[13]NS USED VEHICLE'!$B$9</f>
        <v>43</v>
      </c>
      <c r="M6" s="50">
        <f>'[14]NS USED VEHICLE'!$B$9</f>
        <v>39</v>
      </c>
      <c r="N6" s="50">
        <f>'[15]NS USED VEHICLE'!$B$9</f>
        <v>42</v>
      </c>
      <c r="O6" s="50">
        <f>'[16]NS USED VEHICLE'!$B$9</f>
        <v>35</v>
      </c>
      <c r="P6" s="50">
        <f>'[17]NS USED VEHICLE'!$B$9</f>
        <v>33</v>
      </c>
      <c r="Q6" s="3"/>
      <c r="R6" s="41">
        <f>SUM(E6:P6)</f>
        <v>495</v>
      </c>
    </row>
    <row r="7" spans="1:20" x14ac:dyDescent="0.25">
      <c r="A7" s="50" t="s">
        <v>1107</v>
      </c>
      <c r="B7" s="50">
        <f t="shared" ref="B7:M7" si="0">SUM(B4:B6)</f>
        <v>64</v>
      </c>
      <c r="C7" s="50">
        <f t="shared" si="0"/>
        <v>86</v>
      </c>
      <c r="D7" s="50">
        <f t="shared" si="0"/>
        <v>95</v>
      </c>
      <c r="E7" s="50">
        <f t="shared" si="0"/>
        <v>77</v>
      </c>
      <c r="F7" s="50">
        <f t="shared" si="0"/>
        <v>76</v>
      </c>
      <c r="G7" s="50">
        <f t="shared" si="0"/>
        <v>83</v>
      </c>
      <c r="H7" s="50">
        <f t="shared" si="0"/>
        <v>63</v>
      </c>
      <c r="I7" s="50">
        <f t="shared" si="0"/>
        <v>74</v>
      </c>
      <c r="J7" s="50">
        <f t="shared" si="0"/>
        <v>92</v>
      </c>
      <c r="K7" s="50">
        <f t="shared" si="0"/>
        <v>88</v>
      </c>
      <c r="L7" s="50">
        <f t="shared" si="0"/>
        <v>100</v>
      </c>
      <c r="M7" s="50">
        <f t="shared" si="0"/>
        <v>91</v>
      </c>
      <c r="N7" s="50">
        <f>SUM(N4:N6)</f>
        <v>77</v>
      </c>
      <c r="O7" s="50">
        <f>SUM(O4:O6)</f>
        <v>71</v>
      </c>
      <c r="P7" s="50">
        <f>SUM(P4:P6)</f>
        <v>77</v>
      </c>
      <c r="Q7" s="3"/>
      <c r="R7" s="41">
        <f>SUM(E7:P7)</f>
        <v>969</v>
      </c>
    </row>
    <row r="8" spans="1:20" x14ac:dyDescent="0.25">
      <c r="A8" s="50" t="s">
        <v>1066</v>
      </c>
      <c r="B8" s="50">
        <f>'[3]NS USED VEHICLE'!$B$37</f>
        <v>4</v>
      </c>
      <c r="C8" s="50">
        <f>'[4]NS USED VEHICLE'!$B$37</f>
        <v>4</v>
      </c>
      <c r="D8" s="50">
        <f>'[5]NS USED VEHICLE'!$B$37</f>
        <v>4</v>
      </c>
      <c r="E8" s="50">
        <f>'[6]NS USED VEHICLE'!$B$37</f>
        <v>5</v>
      </c>
      <c r="F8" s="50">
        <f>'[7]NS USED VEHICLE'!$B$37</f>
        <v>6</v>
      </c>
      <c r="G8" s="50">
        <f>'[8]NS USED VEHICLE'!$B$37</f>
        <v>6</v>
      </c>
      <c r="H8" s="50">
        <f>'[9]NS USED VEHICLE'!$B$37</f>
        <v>4</v>
      </c>
      <c r="I8" s="50">
        <f>'[10]NS USED VEHICLE'!$B$37</f>
        <v>5</v>
      </c>
      <c r="J8" s="50">
        <f>'[11]NS USED VEHICLE'!$B$37</f>
        <v>5</v>
      </c>
      <c r="K8" s="50">
        <f>'[12]NS USED VEHICLE'!$B$37</f>
        <v>5</v>
      </c>
      <c r="L8" s="50">
        <f>'[13]NS USED VEHICLE'!$B$37</f>
        <v>5</v>
      </c>
      <c r="M8" s="50">
        <f>'[14]NS USED VEHICLE'!$B$37</f>
        <v>5</v>
      </c>
      <c r="N8" s="50">
        <v>5</v>
      </c>
      <c r="O8" s="50">
        <f>'[16]NS USED VEHICLE'!$B$37</f>
        <v>6</v>
      </c>
      <c r="P8" s="50">
        <f>'[17]NS USED VEHICLE'!$B$37</f>
        <v>6</v>
      </c>
      <c r="Q8" s="3"/>
      <c r="R8" s="41">
        <f>AVERAGE(E8:P8)</f>
        <v>5.25</v>
      </c>
    </row>
    <row r="9" spans="1:20" x14ac:dyDescent="0.25">
      <c r="A9" s="50" t="s">
        <v>1108</v>
      </c>
      <c r="B9" s="50">
        <f t="shared" ref="B9:M9" si="1">B7/B8</f>
        <v>16</v>
      </c>
      <c r="C9" s="50">
        <f t="shared" si="1"/>
        <v>21.5</v>
      </c>
      <c r="D9" s="50">
        <f t="shared" si="1"/>
        <v>23.75</v>
      </c>
      <c r="E9" s="50">
        <f t="shared" si="1"/>
        <v>15.4</v>
      </c>
      <c r="F9" s="50">
        <f t="shared" si="1"/>
        <v>12.666666666666666</v>
      </c>
      <c r="G9" s="50">
        <f t="shared" si="1"/>
        <v>13.833333333333334</v>
      </c>
      <c r="H9" s="50">
        <f t="shared" si="1"/>
        <v>15.75</v>
      </c>
      <c r="I9" s="50">
        <f t="shared" si="1"/>
        <v>14.8</v>
      </c>
      <c r="J9" s="50">
        <f>J7/J8</f>
        <v>18.399999999999999</v>
      </c>
      <c r="K9" s="50">
        <f t="shared" si="1"/>
        <v>17.600000000000001</v>
      </c>
      <c r="L9" s="50">
        <f t="shared" si="1"/>
        <v>20</v>
      </c>
      <c r="M9" s="50">
        <f t="shared" si="1"/>
        <v>18.2</v>
      </c>
      <c r="N9" s="50">
        <f>N7/N8</f>
        <v>15.4</v>
      </c>
      <c r="O9" s="50">
        <f>O7/O8</f>
        <v>11.833333333333334</v>
      </c>
      <c r="P9" s="50">
        <f>P7/P8</f>
        <v>12.833333333333334</v>
      </c>
      <c r="Q9" s="3"/>
      <c r="R9" s="41">
        <f>AVERAGE(E9:P9)</f>
        <v>15.559722222222222</v>
      </c>
    </row>
    <row r="10" spans="1:20" x14ac:dyDescent="0.25">
      <c r="A10" s="50"/>
      <c r="B10" s="50"/>
      <c r="C10" s="50"/>
      <c r="D10" s="50"/>
      <c r="E10" s="50"/>
      <c r="F10" s="50"/>
      <c r="G10" s="50"/>
      <c r="H10" s="50"/>
      <c r="I10" s="50"/>
      <c r="J10" s="50"/>
      <c r="K10" s="50"/>
      <c r="L10" s="50"/>
      <c r="M10" s="50"/>
      <c r="N10" s="50"/>
      <c r="O10" s="50"/>
      <c r="P10" s="50"/>
      <c r="R10" s="52"/>
    </row>
    <row r="11" spans="1:20" ht="15" customHeight="1" x14ac:dyDescent="0.25">
      <c r="A11" s="50" t="s">
        <v>1109</v>
      </c>
      <c r="B11" s="53">
        <f>('[3]NS USED VEHICLE'!$B$6*'[3]NS USED VEHICLE'!$B$20+'[3]NS USED VEHICLE'!$B$7*'[3]NS USED VEHICLE'!$B$15)/('[3]NS USED VEHICLE'!$B$6+'[3]NS USED VEHICLE'!$B$7)</f>
        <v>1326.7161072664355</v>
      </c>
      <c r="C11" s="53">
        <f>('[4]NS USED VEHICLE'!$B$6*'[4]NS USED VEHICLE'!$B$14+'[4]NS USED VEHICLE'!$B$7*'[4]NS USED VEHICLE'!$B$15)/('[4]NS USED VEHICLE'!$B$6+'[4]NS USED VEHICLE'!$B$7)</f>
        <v>1084.9491891891885</v>
      </c>
      <c r="D11" s="53">
        <f>('[5]NS USED VEHICLE'!$B$6*'[5]NS USED VEHICLE'!$B$14+'[5]NS USED VEHICLE'!$B$7*'[5]NS USED VEHICLE'!$B$15)/('[5]NS USED VEHICLE'!$B$6+'[5]NS USED VEHICLE'!$B$7)</f>
        <v>1087.3005263157875</v>
      </c>
      <c r="E11" s="53">
        <f>('[6]NS USED VEHICLE'!B6*'[6]NS USED VEHICLE'!B14+'[6]NS USED VEHICLE'!B7*'[6]NS USED VEHICLE'!B15)/('[6]NS USED VEHICLE'!B6+'[6]NS USED VEHICLE'!B7)</f>
        <v>1346.5021212121196</v>
      </c>
      <c r="F11" s="53">
        <f>('[7]NS USED VEHICLE'!$B$6*'[7]NS USED VEHICLE'!$B$14+'[7]NS USED VEHICLE'!$B$7*'[7]NS USED VEHICLE'!$B$15)/('[7]NS USED VEHICLE'!$B$6+'[7]NS USED VEHICLE'!$B$7)</f>
        <v>886.22972222222108</v>
      </c>
      <c r="G11" s="53">
        <f>('[8]NS USED VEHICLE'!$B$6*'[8]NS USED VEHICLE'!$B$14+'[8]NS USED VEHICLE'!$B$7*'[8]NS USED VEHICLE'!$B$15)/('[8]NS USED VEHICLE'!$B$6+'[8]NS USED VEHICLE'!$B$7)</f>
        <v>930.89793103448324</v>
      </c>
      <c r="H11" s="53">
        <f>('[9]NS USED VEHICLE'!$B$6*'[9]NS USED VEHICLE'!$B$14+'[9]NS USED VEHICLE'!$B$7*'[9]NS USED VEHICLE'!$B$15)/H4</f>
        <v>1647.2443750000002</v>
      </c>
      <c r="I11" s="53">
        <f>('[10]NS USED VEHICLE'!$B$6*'[10]NS USED VEHICLE'!$B$14+'[10]NS USED VEHICLE'!$B$7*'[10]NS USED VEHICLE'!$B$15)/('[10]NS USED VEHICLE'!$B$6+'[10]NS USED VEHICLE'!$B$7)</f>
        <v>1604.5700000000022</v>
      </c>
      <c r="J11" s="53">
        <f>('[11]NS USED VEHICLE'!$B$6*'[11]NS USED VEHICLE'!$B$14+'[11]NS USED VEHICLE'!$B$7*'[11]NS USED VEHICLE'!$B$15)/J4</f>
        <v>1402.4363414634149</v>
      </c>
      <c r="K11" s="53">
        <f>('[12]NS USED VEHICLE'!$B$6*'[12]NS USED VEHICLE'!$B$14+'[12]NS USED VEHICLE'!$B$7*'[12]NS USED VEHICLE'!$B$15)/K4</f>
        <v>1331.9523809523812</v>
      </c>
      <c r="L11" s="53">
        <f>('[13]NS USED VEHICLE'!$B$6*'[13]NS USED VEHICLE'!$B$14+'[13]NS USED VEHICLE'!$B$7*'[13]NS USED VEHICLE'!$B$15)/L4</f>
        <v>1408.0970000000016</v>
      </c>
      <c r="M11" s="53">
        <f>('[14]NS USED VEHICLE'!$B$6*'[14]NS USED VEHICLE'!$B$14+'[14]NS USED VEHICLE'!$B$7*'[14]NS USED VEHICLE'!$B$15)/M4</f>
        <v>1459.3159183673465</v>
      </c>
      <c r="N11" s="53">
        <f>('[15]NS USED VEHICLE'!$B$6*'[15]NS USED VEHICLE'!$B$14+'[15]NS USED VEHICLE'!$B$7*'[15]NS USED VEHICLE'!$B$15)/('[15]NS USED VEHICLE'!$B$6+'[15]NS USED VEHICLE'!$B$7)</f>
        <v>1406.0791176470595</v>
      </c>
      <c r="O11" s="53">
        <f>('[16]NS USED VEHICLE'!$B$6*'[16]NS USED VEHICLE'!$B$14+'[16]NS USED VEHICLE'!$B$7*'[16]NS USED VEHICLE'!$B$15)/('[16]NS USED VEHICLE'!$B$6+'[16]NS USED VEHICLE'!$B$7)</f>
        <v>1787.7499999999982</v>
      </c>
      <c r="P11" s="53">
        <f>('[17]NS USED VEHICLE'!$B$6*'[17]NS USED VEHICLE'!$B$14+'[17]NS USED VEHICLE'!$B$7*'[17]NS USED VEHICLE'!$B$15)/('[17]NS USED VEHICLE'!$B$6+'[17]NS USED VEHICLE'!$B$7)</f>
        <v>1726.1670731707325</v>
      </c>
      <c r="R11" s="52">
        <f t="shared" ref="R11:R19" si="2">AVERAGE(E11:P11)</f>
        <v>1411.4368317558135</v>
      </c>
    </row>
    <row r="12" spans="1:20" ht="15" customHeight="1" x14ac:dyDescent="0.25">
      <c r="A12" s="50" t="s">
        <v>1110</v>
      </c>
      <c r="B12" s="53">
        <f>'[3]NS USED VEHICLE'!$B$16</f>
        <v>2748.5475000000047</v>
      </c>
      <c r="C12" s="53">
        <f>'[4]NS USED VEHICLE'!$B$16</f>
        <v>2312.3237499999987</v>
      </c>
      <c r="D12" s="53">
        <f>'[5]NS USED VEHICLE'!$B$16</f>
        <v>1503.6490909090878</v>
      </c>
      <c r="E12" s="53">
        <f>'[6]NS USED VEHICLE'!$B$16</f>
        <v>1567.4100000000035</v>
      </c>
      <c r="F12" s="53">
        <f>'[7]NS USED VEHICLE'!$B$16</f>
        <v>2891.8333333333267</v>
      </c>
      <c r="G12" s="53">
        <f>'[8]NS USED VEHICLE'!$B$16</f>
        <v>-4008.8249999999985</v>
      </c>
      <c r="H12" s="53">
        <f>'[9]NS USED VEHICLE'!$B$16</f>
        <v>1021.5375000000158</v>
      </c>
      <c r="I12" s="53">
        <f>'[10]NS USED VEHICLE'!$B$16</f>
        <v>231.09333333333129</v>
      </c>
      <c r="J12" s="53">
        <f>'[11]NS USED VEHICLE'!$B$16</f>
        <v>1303.5271428571302</v>
      </c>
      <c r="K12" s="53">
        <f>'[12]NS USED VEHICLE'!$B$16</f>
        <v>-1267.9000000000119</v>
      </c>
      <c r="L12" s="53">
        <f>'[13]NS USED VEHICLE'!$B$16</f>
        <v>2981.3142857142889</v>
      </c>
      <c r="M12" s="53">
        <f>'[14]NS USED VEHICLE'!$B$16</f>
        <v>3402.2166666666658</v>
      </c>
      <c r="N12" s="53">
        <f>'[15]NS USED VEHICLE'!$B$16</f>
        <v>3346.819999999997</v>
      </c>
      <c r="O12" s="53">
        <f>'[16]NS USED VEHICLE'!$B$16</f>
        <v>-1927.6100000000031</v>
      </c>
      <c r="P12" s="53">
        <f>'[17]NS USED VEHICLE'!$B$16</f>
        <v>-986.57333333334248</v>
      </c>
      <c r="R12" s="52">
        <f t="shared" si="2"/>
        <v>712.90366071428377</v>
      </c>
    </row>
    <row r="13" spans="1:20" ht="15" customHeight="1" x14ac:dyDescent="0.25">
      <c r="A13" s="50" t="s">
        <v>1111</v>
      </c>
      <c r="B13" s="53">
        <f>'[3]NS USED VEHICLE'!$B$17</f>
        <v>2643.3119230769248</v>
      </c>
      <c r="C13" s="53">
        <f>'[4]NS USED VEHICLE'!$B$17</f>
        <v>3111.8517073170715</v>
      </c>
      <c r="D13" s="53">
        <f>'[5]NS USED VEHICLE'!$B$17</f>
        <v>2079.4919565217365</v>
      </c>
      <c r="E13" s="53">
        <f>'[6]NS USED VEHICLE'!$B$17</f>
        <v>1768.5380487804891</v>
      </c>
      <c r="F13" s="53">
        <f>'[7]NS USED VEHICLE'!$B$17</f>
        <v>2121.7835294117617</v>
      </c>
      <c r="G13" s="53">
        <f>'[8]NS USED VEHICLE'!$B$17</f>
        <v>1974.0684615384625</v>
      </c>
      <c r="H13" s="53">
        <f>'[9]NS USED VEHICLE'!$B$17</f>
        <v>2241.8074418604647</v>
      </c>
      <c r="I13" s="53">
        <f>'[10]NS USED VEHICLE'!$B$17</f>
        <v>2516.8236363636361</v>
      </c>
      <c r="J13" s="53">
        <f>'[11]NS USED VEHICLE'!$B$17</f>
        <v>2099.1120454545494</v>
      </c>
      <c r="K13" s="53">
        <f>'[12]NS USED VEHICLE'!$B$17</f>
        <v>2222.646222222224</v>
      </c>
      <c r="L13" s="53">
        <f>'[13]NS USED VEHICLE'!$B$17</f>
        <v>881.03348837209717</v>
      </c>
      <c r="M13" s="53">
        <f>'[14]NS USED VEHICLE'!$B$17</f>
        <v>1668.9556410256414</v>
      </c>
      <c r="N13" s="53">
        <f>'[15]NS USED VEHICLE'!$B$17</f>
        <v>2065.936904761907</v>
      </c>
      <c r="O13" s="53">
        <f>'[16]NS USED VEHICLE'!$B$17</f>
        <v>1956.548285714284</v>
      </c>
      <c r="P13" s="53">
        <f>'[17]NS USED VEHICLE'!$B$17</f>
        <v>2523.3412121212091</v>
      </c>
      <c r="R13" s="52">
        <f t="shared" si="2"/>
        <v>2003.3829098022272</v>
      </c>
    </row>
    <row r="14" spans="1:20" ht="15" customHeight="1" x14ac:dyDescent="0.25">
      <c r="A14" s="50" t="s">
        <v>1112</v>
      </c>
      <c r="B14" s="53">
        <f>'[3]NS USED VEHICLE'!$B$23</f>
        <v>1991.2512500000007</v>
      </c>
      <c r="C14" s="53">
        <f>'[4]NS USED VEHICLE'!$B$23</f>
        <v>2165.4375581395334</v>
      </c>
      <c r="D14" s="53">
        <f>'[5]NS USED VEHICLE'!$B$23</f>
        <v>2259.5408421052607</v>
      </c>
      <c r="E14" s="53">
        <f>'[6]NS USED VEHICLE'!$B$23</f>
        <v>1579.8293506493508</v>
      </c>
      <c r="F14" s="53">
        <f>'[7]NS USED VEHICLE'!$B$23</f>
        <v>1597.3146052631555</v>
      </c>
      <c r="G14" s="53">
        <f>'[8]NS USED VEHICLE'!$B$23</f>
        <v>2728.3602409638565</v>
      </c>
      <c r="H14" s="53">
        <f>'[9]NS USED VEHICLE'!$B$23</f>
        <v>2013.3298412698421</v>
      </c>
      <c r="I14" s="53">
        <f>'[10]NS USED VEHICLE'!$B$23</f>
        <v>2035.6281081081086</v>
      </c>
      <c r="J14" s="53">
        <f>'[11]NS USED VEHICLE'!$B$23</f>
        <v>2238.2778260869572</v>
      </c>
      <c r="K14" s="53">
        <f>'[12]NS USED VEHICLE'!$B$23</f>
        <v>1757.8770454545463</v>
      </c>
      <c r="L14" s="53">
        <f>'[13]NS USED VEHICLE'!$B$23</f>
        <v>1291.5849000000028</v>
      </c>
      <c r="M14" s="53">
        <f>'[14]NS USED VEHICLE'!$B$23</f>
        <v>2140.6857142857143</v>
      </c>
      <c r="N14" s="53">
        <f>'[15]NS USED VEHICLE'!$B$23</f>
        <v>1791.2059740259754</v>
      </c>
      <c r="O14" s="53">
        <f>'[16]NS USED VEHICLE'!$B$23</f>
        <v>1766.3023943661956</v>
      </c>
      <c r="P14" s="53">
        <f>'[17]NS USED VEHICLE'!$B$23</f>
        <v>2647.9914285714276</v>
      </c>
      <c r="R14" s="52">
        <f>AVERAGE(E14:P14)</f>
        <v>1965.698952420428</v>
      </c>
    </row>
    <row r="15" spans="1:20" ht="15" customHeight="1" x14ac:dyDescent="0.25">
      <c r="A15" s="40" t="s">
        <v>1070</v>
      </c>
      <c r="B15" s="53">
        <f>'[3]NS USED VEHICLE'!$B$23-'[3]NS USED VEHICLE'!$B$18</f>
        <v>53.358593749999955</v>
      </c>
      <c r="C15" s="53">
        <f>'[4]NS USED VEHICLE'!$B$23-'[4]NS USED VEHICLE'!$B$18</f>
        <v>0</v>
      </c>
      <c r="D15" s="53">
        <f>'[5]NS USED VEHICLE'!$B$23-'[5]NS USED VEHICLE'!$B$18</f>
        <v>643.60200000000009</v>
      </c>
      <c r="E15" s="53">
        <f>'[6]NS USED VEHICLE'!$B$23-'[6]NS USED VEHICLE'!$B$18</f>
        <v>0</v>
      </c>
      <c r="F15" s="53">
        <f>'[7]NS USED VEHICLE'!$B$23-'[7]NS USED VEHICLE'!$B$18</f>
        <v>0</v>
      </c>
      <c r="G15" s="53">
        <f>'[8]NS USED VEHICLE'!$B$23-'[8]NS USED VEHICLE'!$B$18</f>
        <v>1262.9391566265062</v>
      </c>
      <c r="H15" s="53">
        <f>'[9]NS USED VEHICLE'!$B$23-'[9]NS USED VEHICLE'!$B$18</f>
        <v>0</v>
      </c>
      <c r="I15" s="53">
        <f>'[10]NS USED VEHICLE'!$B$23-'[10]NS USED VEHICLE'!$B$18</f>
        <v>0</v>
      </c>
      <c r="J15" s="53">
        <f>'[11]NS USED VEHICLE'!$B$23-'[11]NS USED VEHICLE'!$B$18</f>
        <v>510.17445652173888</v>
      </c>
      <c r="K15" s="53">
        <f>'[12]NS USED VEHICLE'!$B$23-'[12]NS USED VEHICLE'!$B$18</f>
        <v>0</v>
      </c>
      <c r="L15" s="53">
        <f>'[13]NS USED VEHICLE'!$B$23-'[13]NS USED VEHICLE'!$B$18</f>
        <v>0</v>
      </c>
      <c r="M15" s="53">
        <f>'[14]NS USED VEHICLE'!$B$23-'[14]NS USED VEHICLE'!$B$18</f>
        <v>527.47252747252764</v>
      </c>
      <c r="N15" s="53">
        <f>'[15]NS USED VEHICLE'!$B$23-'[15]NS USED VEHICLE'!$B$18</f>
        <v>0</v>
      </c>
      <c r="O15" s="53">
        <f>'[16]NS USED VEHICLE'!$B$23-'[16]NS USED VEHICLE'!$B$18</f>
        <v>0</v>
      </c>
      <c r="P15" s="53">
        <f>'[17]NS USED VEHICLE'!$B$23-'[17]NS USED VEHICLE'!$B$18</f>
        <v>685.86948051948093</v>
      </c>
      <c r="R15" s="52">
        <f>AVERAGE(E15:P15)</f>
        <v>248.87130176168782</v>
      </c>
    </row>
    <row r="16" spans="1:20" ht="15" customHeight="1" x14ac:dyDescent="0.25">
      <c r="A16" s="50" t="s">
        <v>1071</v>
      </c>
      <c r="B16" s="53">
        <f>'[3]NS USED VEHICLE'!$B$27</f>
        <v>535.72187500000007</v>
      </c>
      <c r="C16" s="53">
        <f>'[4]NS USED VEHICLE'!$B$27</f>
        <v>502.13302325581395</v>
      </c>
      <c r="D16" s="53">
        <f>'[5]NS USED VEHICLE'!$B$27</f>
        <v>553.78810526315795</v>
      </c>
      <c r="E16" s="53">
        <f>'[6]NS USED VEHICLE'!$B$27</f>
        <v>482.68454545454546</v>
      </c>
      <c r="F16" s="53">
        <f>'[7]NS USED VEHICLE'!$B$27</f>
        <v>441.45039473684216</v>
      </c>
      <c r="G16" s="53">
        <f>'[8]NS USED VEHICLE'!$B$27</f>
        <v>763.84385542168673</v>
      </c>
      <c r="H16" s="53">
        <f>'[9]NS USED VEHICLE'!$B$27</f>
        <v>814.99365079365089</v>
      </c>
      <c r="I16" s="53">
        <f>'[10]NS USED VEHICLE'!$B$27</f>
        <v>696.02500000000009</v>
      </c>
      <c r="J16" s="53">
        <f>'[11]NS USED VEHICLE'!$B$27</f>
        <v>555.64032608695652</v>
      </c>
      <c r="K16" s="53">
        <f>'[12]NS USED VEHICLE'!$B$27</f>
        <v>534.33409090909095</v>
      </c>
      <c r="L16" s="53">
        <f>'[13]NS USED VEHICLE'!$B$27</f>
        <v>600.0249</v>
      </c>
      <c r="M16" s="53">
        <f>'[14]NS USED VEHICLE'!$B$27</f>
        <v>519.25703296703296</v>
      </c>
      <c r="N16" s="53">
        <f>'[15]NS USED VEHICLE'!$B$27</f>
        <v>622.61558441558441</v>
      </c>
      <c r="O16" s="53">
        <f>'[16]NS USED VEHICLE'!$B$27</f>
        <v>572.20422535211264</v>
      </c>
      <c r="P16" s="53">
        <f>'[17]NS USED VEHICLE'!$B$27</f>
        <v>615.35948051948048</v>
      </c>
      <c r="Q16" s="5"/>
      <c r="R16" s="52">
        <f t="shared" si="2"/>
        <v>601.53609055474874</v>
      </c>
    </row>
    <row r="17" spans="1:19" ht="15" customHeight="1" x14ac:dyDescent="0.25">
      <c r="A17" s="50" t="s">
        <v>1072</v>
      </c>
      <c r="B17" s="53">
        <f>'[3]NS USED VEHICLE'!$B$32</f>
        <v>946.04203125000004</v>
      </c>
      <c r="C17" s="53">
        <f>'[4]NS USED VEHICLE'!$B$32</f>
        <v>647.60918604651158</v>
      </c>
      <c r="D17" s="53">
        <f>'[5]NS USED VEHICLE'!$B$32</f>
        <v>846.48505263157892</v>
      </c>
      <c r="E17" s="53">
        <f>'[6]NS USED VEHICLE'!$B$32</f>
        <v>1047.9884415584415</v>
      </c>
      <c r="F17" s="53">
        <f>'[7]NS USED VEHICLE'!$B$32</f>
        <v>939.9901315789474</v>
      </c>
      <c r="G17" s="53">
        <f>'[8]NS USED VEHICLE'!$B$32</f>
        <v>823.03638554216855</v>
      </c>
      <c r="H17" s="53">
        <f>'[9]NS USED VEHICLE'!$B$32</f>
        <v>1088.9195238095238</v>
      </c>
      <c r="I17" s="53">
        <f>'[10]NS USED VEHICLE'!$B$32</f>
        <v>947.34459459459458</v>
      </c>
      <c r="J17" s="53">
        <f>'[11]NS USED VEHICLE'!$B$32</f>
        <v>818.4869565217391</v>
      </c>
      <c r="K17" s="53">
        <f>'[12]NS USED VEHICLE'!$B$32</f>
        <v>838.38522727272721</v>
      </c>
      <c r="L17" s="53">
        <f>'[13]NS USED VEHICLE'!$B$32</f>
        <v>734.22800000000007</v>
      </c>
      <c r="M17" s="53">
        <f>'[14]NS USED VEHICLE'!$B$32</f>
        <v>793.55615384615385</v>
      </c>
      <c r="N17" s="53">
        <f>'[15]NS USED VEHICLE'!$B$32</f>
        <v>1008.6416883116883</v>
      </c>
      <c r="O17" s="53">
        <f>'[16]NS USED VEHICLE'!$B$32</f>
        <v>1113.1605633802815</v>
      </c>
      <c r="P17" s="53">
        <f>'[17]NS USED VEHICLE'!$B$32</f>
        <v>999.40909090909088</v>
      </c>
      <c r="Q17" s="5"/>
      <c r="R17" s="52">
        <f t="shared" si="2"/>
        <v>929.42889644377976</v>
      </c>
    </row>
    <row r="18" spans="1:19" ht="15" customHeight="1" x14ac:dyDescent="0.25">
      <c r="A18" s="50" t="s">
        <v>1073</v>
      </c>
      <c r="B18" s="53">
        <f>B16+B17</f>
        <v>1481.7639062500002</v>
      </c>
      <c r="C18" s="53">
        <f>'[4]NS USED VEHICLE'!$B$33</f>
        <v>1149.7422093023256</v>
      </c>
      <c r="D18" s="53">
        <f>'[5]NS USED VEHICLE'!$B$33</f>
        <v>1400.2731578947369</v>
      </c>
      <c r="E18" s="53">
        <f>'[6]NS USED VEHICLE'!$B$33</f>
        <v>1530.6729870129871</v>
      </c>
      <c r="F18" s="53">
        <f>'[7]NS USED VEHICLE'!$B$33</f>
        <v>1381.4405263157896</v>
      </c>
      <c r="G18" s="53">
        <f>'[8]NS USED VEHICLE'!$B$33</f>
        <v>1586.8802409638552</v>
      </c>
      <c r="H18" s="53">
        <f>'[9]NS USED VEHICLE'!$B$33</f>
        <v>1903.9131746031746</v>
      </c>
      <c r="I18" s="53">
        <f>'[10]NS USED VEHICLE'!$B$33</f>
        <v>1643.3695945945947</v>
      </c>
      <c r="J18" s="53">
        <f>'[11]NS USED VEHICLE'!$B$33</f>
        <v>1374.1272826086956</v>
      </c>
      <c r="K18" s="53">
        <f>'[12]NS USED VEHICLE'!$B$33</f>
        <v>1372.7193181818182</v>
      </c>
      <c r="L18" s="53">
        <f>'[13]NS USED VEHICLE'!$B$33</f>
        <v>1334.2529</v>
      </c>
      <c r="M18" s="53">
        <f>'[14]NS USED VEHICLE'!$B$33</f>
        <v>1312.8131868131868</v>
      </c>
      <c r="N18" s="53">
        <f>'[15]NS USED VEHICLE'!$B$33</f>
        <v>1631.2572727272727</v>
      </c>
      <c r="O18" s="53">
        <f>'[16]NS USED VEHICLE'!$B$33</f>
        <v>1685.3647887323941</v>
      </c>
      <c r="P18" s="53">
        <f>'[17]NS USED VEHICLE'!$B$33</f>
        <v>1614.7685714285712</v>
      </c>
      <c r="R18" s="52">
        <f t="shared" si="2"/>
        <v>1530.9649869985285</v>
      </c>
    </row>
    <row r="19" spans="1:19" ht="15" customHeight="1" x14ac:dyDescent="0.25">
      <c r="A19" s="50" t="s">
        <v>1074</v>
      </c>
      <c r="B19" s="53">
        <f>'[3]NS USED VEHICLE'!$B$34</f>
        <v>509.48734375000049</v>
      </c>
      <c r="C19" s="53">
        <f>'[4]NS USED VEHICLE'!$B$34</f>
        <v>1015.6953488372078</v>
      </c>
      <c r="D19" s="53">
        <f>'[5]NS USED VEHICLE'!$B$34</f>
        <v>859.26768421052384</v>
      </c>
      <c r="E19" s="82">
        <f>'[6]NS USED VEHICLE'!$B$34</f>
        <v>49.156363636363722</v>
      </c>
      <c r="F19" s="57">
        <f>'[7]NS USED VEHICLE'!$B$34</f>
        <v>215.87407894736589</v>
      </c>
      <c r="G19" s="53">
        <f>'[8]NS USED VEHICLE'!$B$34</f>
        <v>1141.4800000000014</v>
      </c>
      <c r="H19" s="53">
        <f>'[9]NS USED VEHICLE'!$B$34</f>
        <v>109.41666666666742</v>
      </c>
      <c r="I19" s="53">
        <f>'[10]NS USED VEHICLE'!$B$34</f>
        <v>392.25851351351389</v>
      </c>
      <c r="J19" s="53">
        <f>'[11]NS USED VEHICLE'!$B$34</f>
        <v>864.15054347826162</v>
      </c>
      <c r="K19" s="53">
        <f>'[12]NS USED VEHICLE'!$B$34</f>
        <v>385.15772727272815</v>
      </c>
      <c r="L19" s="53">
        <f>'[13]NS USED VEHICLE'!$B$34</f>
        <v>-42.667999999997164</v>
      </c>
      <c r="M19" s="53">
        <f>'[14]NS USED VEHICLE'!$B$34</f>
        <v>827.87252747252751</v>
      </c>
      <c r="N19" s="53">
        <f>'[15]NS USED VEHICLE'!$B$34</f>
        <v>159.94870129870264</v>
      </c>
      <c r="O19" s="53">
        <f>'[16]NS USED VEHICLE'!$B$34</f>
        <v>80.937605633801468</v>
      </c>
      <c r="P19" s="53">
        <f>'[17]NS USED VEHICLE'!$B$34</f>
        <v>1033.2228571428564</v>
      </c>
      <c r="Q19" s="8"/>
      <c r="R19" s="52">
        <f t="shared" si="2"/>
        <v>434.73396542189948</v>
      </c>
    </row>
    <row r="20" spans="1:19" x14ac:dyDescent="0.25">
      <c r="A20" s="50"/>
      <c r="B20" s="53"/>
      <c r="C20" s="53"/>
      <c r="D20" s="53"/>
      <c r="E20" s="53"/>
      <c r="F20" s="53"/>
      <c r="G20" s="53"/>
      <c r="H20" s="53"/>
      <c r="I20" s="53"/>
      <c r="J20" s="53"/>
      <c r="K20" s="53"/>
      <c r="L20" s="53"/>
      <c r="M20" s="53"/>
      <c r="N20" s="53"/>
      <c r="O20" s="53"/>
      <c r="P20" s="53"/>
      <c r="Q20" s="3"/>
      <c r="R20" s="52"/>
    </row>
    <row r="21" spans="1:19" x14ac:dyDescent="0.25">
      <c r="A21" s="50" t="s">
        <v>1113</v>
      </c>
      <c r="B21" s="53">
        <f>'[3]NS USED VEHICLE'!$B$19*'[3]NS USED VEHICLE'!$B$11</f>
        <v>1786.9400000000023</v>
      </c>
      <c r="C21" s="53">
        <f>'[4]NS USED VEHICLE'!$B$11*'[4]NS USED VEHICLE'!$B$19</f>
        <v>3082.5899999999965</v>
      </c>
      <c r="D21" s="53">
        <f>'[5]NS USED VEHICLE'!$B$11*'[5]NS USED VEHICLE'!$B$19</f>
        <v>3635.2899999999936</v>
      </c>
      <c r="E21" s="53">
        <f>'[6]NS USED VEHICLE'!$B$19*'[6]NS USED VEHICLE'!$B$11</f>
        <v>9260.8699999999953</v>
      </c>
      <c r="F21" s="53">
        <f>'[7]NS USED VEHICLE'!$B$11*'[7]NS USED VEHICLE'!$B$19</f>
        <v>12275.570000000007</v>
      </c>
      <c r="G21" s="53">
        <f>'[8]NS USED VEHICLE'!$B$11*'[8]NS USED VEHICLE'!$B$19</f>
        <v>-8800.1899999999951</v>
      </c>
      <c r="H21" s="53">
        <f>'[9]NS USED VEHICLE'!$B$11*'[9]NS USED VEHICLE'!$B$19</f>
        <v>2652.1800000000003</v>
      </c>
      <c r="I21" s="53">
        <f>'[10]NS USED VEHICLE'!$B$19*'[10]NS USED VEHICLE'!$B$11</f>
        <v>-2165.21000000001</v>
      </c>
      <c r="J21" s="53">
        <f>'[11]NS USED VEHICLE'!$B$11*'[11]NS USED VEHICLE'!$B$19</f>
        <v>4744.9600000000064</v>
      </c>
      <c r="K21" s="53">
        <f>'[12]NS USED VEHICLE'!$B$11*'[12]NS USED VEHICLE'!$B$19</f>
        <v>6331.5199999999895</v>
      </c>
      <c r="L21" s="53">
        <f>'[13]NS USED VEHICLE'!$B$11*'[13]NS USED VEHICLE'!$B$19</f>
        <v>13543.459999999992</v>
      </c>
      <c r="M21" s="53">
        <f>'[14]NS USED VEHICLE'!$B$11*'[14]NS USED VEHICLE'!$B$19</f>
        <v>12874.649999999994</v>
      </c>
      <c r="N21" s="53">
        <f>'[15]NS USED VEHICLE'!$B$11*'[15]NS USED VEHICLE'!$B$19</f>
        <v>13139.349999999999</v>
      </c>
      <c r="O21" s="53">
        <f>'[16]NS USED VEHICLE'!$B$11*'[16]NS USED VEHICLE'!$B$19</f>
        <v>1645.2399999999961</v>
      </c>
      <c r="P21" s="53">
        <f>'[17]NS USED VEHICLE'!$B$11*'[17]NS USED VEHICLE'!$B$19</f>
        <v>682.86000000000058</v>
      </c>
      <c r="R21" s="52">
        <f>SUM(E21:P21)</f>
        <v>66185.25999999998</v>
      </c>
    </row>
    <row r="22" spans="1:19" x14ac:dyDescent="0.25">
      <c r="A22" s="50" t="s">
        <v>1114</v>
      </c>
      <c r="B22" s="53">
        <f>'[3]NS USED VEHICLE'!$B$24</f>
        <v>129227.02000000005</v>
      </c>
      <c r="C22" s="53">
        <f>'[4]NS USED VEHICLE'!$B$24</f>
        <v>189310.21999999986</v>
      </c>
      <c r="D22" s="53">
        <f>'[5]NS USED VEHICLE'!$B$24</f>
        <v>210185.50999999975</v>
      </c>
      <c r="E22" s="53">
        <f>'[6]NS USED VEHICLE'!$B$24</f>
        <v>130907.73000000001</v>
      </c>
      <c r="F22" s="53">
        <f>'[7]NS USED VEHICLE'!$B$24</f>
        <v>133671.47999999981</v>
      </c>
      <c r="G22" s="53">
        <f>'[8]NS USED VEHICLE'!$B$24</f>
        <v>217653.71000000008</v>
      </c>
      <c r="H22" s="53">
        <f>'[9]NS USED VEHICLE'!$B$24</f>
        <v>129491.96000000005</v>
      </c>
      <c r="I22" s="53">
        <f>'[10]NS USED VEHICLE'!$B$24</f>
        <v>148471.27000000002</v>
      </c>
      <c r="J22" s="53">
        <f>'[11]NS USED VEHICLE'!$B$24</f>
        <v>210666.52000000008</v>
      </c>
      <c r="K22" s="53">
        <f>'[12]NS USED VEHICLE'!$B$24</f>
        <v>161024.70000000007</v>
      </c>
      <c r="L22" s="53">
        <f>'[13]NS USED VEHICLE'!$B$24</f>
        <v>142701.95000000027</v>
      </c>
      <c r="M22" s="53">
        <f>'[14]NS USED VEHICLE'!$B$24</f>
        <v>207677.05</v>
      </c>
      <c r="N22" s="53">
        <f>'[15]NS USED VEHICLE'!$B$24</f>
        <v>151062.21000000011</v>
      </c>
      <c r="O22" s="53">
        <f>'[16]NS USED VEHICLE'!$B$24</f>
        <v>127052.70999999988</v>
      </c>
      <c r="P22" s="53">
        <f>'[17]NS USED VEHICLE'!$B$24</f>
        <v>204578.19999999995</v>
      </c>
      <c r="R22" s="52">
        <f>SUM(E22:P22)</f>
        <v>1964959.4900000005</v>
      </c>
    </row>
    <row r="23" spans="1:19" x14ac:dyDescent="0.25">
      <c r="A23" s="7" t="s">
        <v>1076</v>
      </c>
      <c r="B23" s="12">
        <f t="shared" ref="B23:O23" si="3">B18*B7</f>
        <v>94832.890000000014</v>
      </c>
      <c r="C23" s="12">
        <f t="shared" si="3"/>
        <v>98877.83</v>
      </c>
      <c r="D23" s="12">
        <f t="shared" si="3"/>
        <v>133025.95000000001</v>
      </c>
      <c r="E23" s="12">
        <f t="shared" si="3"/>
        <v>117861.82</v>
      </c>
      <c r="F23" s="12">
        <f t="shared" si="3"/>
        <v>104989.48000000001</v>
      </c>
      <c r="G23" s="12">
        <f t="shared" si="3"/>
        <v>131711.05999999997</v>
      </c>
      <c r="H23" s="12">
        <f t="shared" si="3"/>
        <v>119946.53</v>
      </c>
      <c r="I23" s="12">
        <f t="shared" si="3"/>
        <v>121609.35</v>
      </c>
      <c r="J23" s="12">
        <f t="shared" si="3"/>
        <v>126419.70999999999</v>
      </c>
      <c r="K23" s="12">
        <f t="shared" si="3"/>
        <v>120799.3</v>
      </c>
      <c r="L23" s="12">
        <f t="shared" si="3"/>
        <v>133425.29</v>
      </c>
      <c r="M23" s="12">
        <f t="shared" si="3"/>
        <v>119466</v>
      </c>
      <c r="N23" s="12">
        <f t="shared" si="3"/>
        <v>125606.81</v>
      </c>
      <c r="O23" s="12">
        <f t="shared" si="3"/>
        <v>119660.89999999998</v>
      </c>
      <c r="P23" s="12">
        <f>P18*P7</f>
        <v>124337.18</v>
      </c>
      <c r="R23" s="6">
        <f>SUM(E23:P23)</f>
        <v>1465833.43</v>
      </c>
    </row>
    <row r="24" spans="1:19" ht="15.75" thickBot="1" x14ac:dyDescent="0.3">
      <c r="A24" s="51" t="s">
        <v>1115</v>
      </c>
      <c r="B24" s="58">
        <f t="shared" ref="B24:P24" si="4">B21+B19*B7</f>
        <v>34394.130000000034</v>
      </c>
      <c r="C24" s="58">
        <f t="shared" si="4"/>
        <v>90432.389999999868</v>
      </c>
      <c r="D24" s="58">
        <f t="shared" si="4"/>
        <v>85265.719999999754</v>
      </c>
      <c r="E24" s="58">
        <f t="shared" si="4"/>
        <v>13045.910000000002</v>
      </c>
      <c r="F24" s="58">
        <f t="shared" si="4"/>
        <v>28681.999999999814</v>
      </c>
      <c r="G24" s="58">
        <f t="shared" si="4"/>
        <v>85942.650000000111</v>
      </c>
      <c r="H24" s="58">
        <f t="shared" si="4"/>
        <v>9545.4300000000476</v>
      </c>
      <c r="I24" s="58">
        <f t="shared" si="4"/>
        <v>26861.920000000016</v>
      </c>
      <c r="J24" s="58">
        <f t="shared" si="4"/>
        <v>84246.81000000007</v>
      </c>
      <c r="K24" s="58">
        <f t="shared" si="4"/>
        <v>40225.400000000067</v>
      </c>
      <c r="L24" s="58">
        <f t="shared" si="4"/>
        <v>9276.6600000002763</v>
      </c>
      <c r="M24" s="58">
        <f t="shared" si="4"/>
        <v>88211.05</v>
      </c>
      <c r="N24" s="58">
        <f t="shared" si="4"/>
        <v>25455.400000000103</v>
      </c>
      <c r="O24" s="58">
        <f t="shared" si="4"/>
        <v>7391.8099999999004</v>
      </c>
      <c r="P24" s="58">
        <f t="shared" si="4"/>
        <v>80241.019999999946</v>
      </c>
      <c r="R24" s="58">
        <f>SUM(E24:P24)</f>
        <v>499126.06000000029</v>
      </c>
    </row>
    <row r="25" spans="1:19" ht="15.75" thickTop="1" x14ac:dyDescent="0.25">
      <c r="A25" s="40"/>
      <c r="B25" s="53"/>
      <c r="C25" s="53"/>
      <c r="D25" s="53"/>
      <c r="E25" s="53"/>
      <c r="F25" s="53"/>
      <c r="G25" s="53"/>
      <c r="H25" s="53"/>
      <c r="I25" s="53"/>
      <c r="J25" s="53"/>
      <c r="K25" s="53"/>
      <c r="L25" s="53"/>
      <c r="M25" s="53"/>
      <c r="N25" s="53"/>
      <c r="O25" s="53"/>
      <c r="P25" s="53"/>
      <c r="R25" s="53"/>
    </row>
    <row r="26" spans="1:19" x14ac:dyDescent="0.25">
      <c r="A26" s="40"/>
      <c r="B26" s="160"/>
      <c r="C26" s="160"/>
      <c r="D26" s="160"/>
      <c r="E26" s="160"/>
      <c r="F26" s="160"/>
      <c r="G26" s="160"/>
      <c r="H26" s="160"/>
      <c r="I26" s="160"/>
      <c r="J26" s="160"/>
      <c r="K26" s="160"/>
      <c r="L26" s="160"/>
      <c r="M26" s="160"/>
      <c r="N26" s="160"/>
      <c r="O26" s="160"/>
      <c r="P26" s="160"/>
      <c r="R26" s="53"/>
    </row>
    <row r="27" spans="1:19" s="21" customFormat="1" ht="15.75" x14ac:dyDescent="0.25">
      <c r="A27" s="56" t="s">
        <v>1103</v>
      </c>
      <c r="B27" s="5">
        <v>45292</v>
      </c>
      <c r="C27" s="5">
        <v>45323</v>
      </c>
      <c r="D27" s="5">
        <v>45352</v>
      </c>
      <c r="E27" s="5">
        <v>45383</v>
      </c>
      <c r="F27" s="5">
        <v>45413</v>
      </c>
      <c r="G27" s="5">
        <v>45444</v>
      </c>
      <c r="H27" s="5">
        <v>45474</v>
      </c>
      <c r="I27" s="5">
        <v>45505</v>
      </c>
      <c r="J27" s="5">
        <v>45536</v>
      </c>
      <c r="K27" s="5">
        <v>45566</v>
      </c>
      <c r="L27" s="5">
        <v>45597</v>
      </c>
      <c r="M27" s="5">
        <v>45627</v>
      </c>
      <c r="N27" s="5">
        <v>45658</v>
      </c>
      <c r="O27" s="5">
        <v>45689</v>
      </c>
      <c r="P27" s="5">
        <v>45717</v>
      </c>
      <c r="Q27"/>
      <c r="R27" s="5" t="s">
        <v>955</v>
      </c>
      <c r="S27" s="117"/>
    </row>
    <row r="28" spans="1:19" ht="15" customHeight="1" x14ac:dyDescent="0.25">
      <c r="A28" s="46"/>
      <c r="B28" s="76" t="s">
        <v>958</v>
      </c>
      <c r="C28" s="5" t="s">
        <v>959</v>
      </c>
      <c r="D28" s="5" t="s">
        <v>959</v>
      </c>
      <c r="E28" s="5" t="s">
        <v>959</v>
      </c>
      <c r="F28" s="5" t="s">
        <v>959</v>
      </c>
      <c r="G28" s="5" t="s">
        <v>959</v>
      </c>
      <c r="H28" s="5" t="s">
        <v>959</v>
      </c>
      <c r="I28" s="5" t="s">
        <v>959</v>
      </c>
      <c r="J28" s="5" t="s">
        <v>959</v>
      </c>
      <c r="K28" s="5" t="s">
        <v>959</v>
      </c>
      <c r="L28" s="5" t="s">
        <v>959</v>
      </c>
      <c r="M28" s="5" t="s">
        <v>959</v>
      </c>
      <c r="N28" s="5" t="s">
        <v>959</v>
      </c>
      <c r="O28" s="5" t="s">
        <v>959</v>
      </c>
      <c r="P28" s="5" t="s">
        <v>959</v>
      </c>
      <c r="R28" s="5" t="s">
        <v>961</v>
      </c>
    </row>
    <row r="29" spans="1:19" ht="15" customHeight="1" x14ac:dyDescent="0.25">
      <c r="A29" s="40"/>
      <c r="B29" s="40"/>
      <c r="C29" s="40"/>
      <c r="D29" s="48"/>
      <c r="E29" s="40"/>
      <c r="F29" s="40"/>
      <c r="G29" s="40"/>
      <c r="H29" s="40"/>
      <c r="I29" s="40"/>
      <c r="J29" s="40"/>
      <c r="K29" s="40"/>
      <c r="L29" s="40"/>
      <c r="M29" s="40"/>
      <c r="N29" s="40"/>
      <c r="O29" s="40"/>
      <c r="P29" s="40"/>
      <c r="R29" s="40"/>
    </row>
    <row r="30" spans="1:19" ht="15" customHeight="1" x14ac:dyDescent="0.25">
      <c r="A30" s="40" t="s">
        <v>1104</v>
      </c>
      <c r="B30" s="50">
        <f>'[15]NS USED VEHICLE'!$B$6+'[15]NS USED VEHICLE'!$B$7</f>
        <v>34</v>
      </c>
      <c r="C30" s="50">
        <f>'[16]NS USED VEHICLE'!$C$6+'[16]NS USED VEHICLE'!$C$7</f>
        <v>29.1</v>
      </c>
      <c r="D30" s="50">
        <f>'[17]NS USED VEHICLE'!$C$6+'[17]NS USED VEHICLE'!$C$7</f>
        <v>29.1</v>
      </c>
      <c r="E30" s="50">
        <f>'Used Vehicles - Group'!E30*'Used Vehicles - NS 5'!E34/'Used Vehicles - Group'!E34</f>
        <v>34.583333333333336</v>
      </c>
      <c r="F30" s="50">
        <f>'Used Vehicles - Group'!F30*'Used Vehicles - NS 5'!F34/'Used Vehicles - Group'!F34</f>
        <v>30.740740740740744</v>
      </c>
      <c r="G30" s="50">
        <f>'Used Vehicles - Group'!G30*'Used Vehicles - NS 5'!G34/'Used Vehicles - Group'!G34</f>
        <v>30.740740740740744</v>
      </c>
      <c r="H30" s="50">
        <f>'Used Vehicles - Group'!H30*'Used Vehicles - NS 5'!H34/'Used Vehicles - Group'!H34</f>
        <v>29.122807017543863</v>
      </c>
      <c r="I30" s="50">
        <f>'Used Vehicles - Group'!I30*'Used Vehicles - NS 5'!I34/'Used Vehicles - Group'!I34</f>
        <v>29.122807017543863</v>
      </c>
      <c r="J30" s="50">
        <f>'Used Vehicles - Group'!J30*'Used Vehicles - NS 5'!J34/'Used Vehicles - Group'!J34</f>
        <v>29.122807017543863</v>
      </c>
      <c r="K30" s="50">
        <f>'Used Vehicles - Group'!K30*'Used Vehicles - NS 5'!K34/'Used Vehicles - Group'!K34</f>
        <v>29.122807017543863</v>
      </c>
      <c r="L30" s="50">
        <f>'Used Vehicles - Group'!L30*'Used Vehicles - NS 5'!L34/'Used Vehicles - Group'!L34</f>
        <v>29.122807017543863</v>
      </c>
      <c r="M30" s="50">
        <f>'Used Vehicles - Group'!M30*'Used Vehicles - NS 5'!M34/'Used Vehicles - Group'!M34</f>
        <v>29.122807017543863</v>
      </c>
      <c r="N30" s="50">
        <f>'Used Vehicles - Group'!N30*'Used Vehicles - NS 5'!N34/'Used Vehicles - Group'!N34</f>
        <v>29.122807017543863</v>
      </c>
      <c r="O30" s="50">
        <f>'Used Vehicles - Group'!O30*'Used Vehicles - NS 5'!O34/'Used Vehicles - Group'!O34</f>
        <v>29.122807017543863</v>
      </c>
      <c r="P30" s="50">
        <f>'Used Vehicles - Group'!P30*'Used Vehicles - NS 5'!P34/'Used Vehicles - Group'!P34</f>
        <v>29.122807017543863</v>
      </c>
      <c r="R30" s="162">
        <f>SUM(E30:P30)</f>
        <v>358.17007797270969</v>
      </c>
      <c r="S30" s="34" t="s">
        <v>1133</v>
      </c>
    </row>
    <row r="31" spans="1:19" ht="15" customHeight="1" x14ac:dyDescent="0.25">
      <c r="A31" s="40" t="s">
        <v>1105</v>
      </c>
      <c r="B31" s="50">
        <f>'[15]NS USED VEHICLE'!$B$8</f>
        <v>1</v>
      </c>
      <c r="C31" s="50">
        <f>'[16]NS USED VEHICLE'!$C$8</f>
        <v>3</v>
      </c>
      <c r="D31" s="50">
        <f>'[17]NS USED VEHICLE'!$C$8</f>
        <v>3</v>
      </c>
      <c r="E31" s="50">
        <f>AVERAGE($B$5:$M$5)</f>
        <v>5.166666666666667</v>
      </c>
      <c r="F31" s="50">
        <f t="shared" ref="F31:P31" si="5">AVERAGE($B$5:$M$5)</f>
        <v>5.166666666666667</v>
      </c>
      <c r="G31" s="50">
        <f t="shared" si="5"/>
        <v>5.166666666666667</v>
      </c>
      <c r="H31" s="50">
        <f t="shared" si="5"/>
        <v>5.166666666666667</v>
      </c>
      <c r="I31" s="50">
        <f t="shared" si="5"/>
        <v>5.166666666666667</v>
      </c>
      <c r="J31" s="50">
        <f t="shared" si="5"/>
        <v>5.166666666666667</v>
      </c>
      <c r="K31" s="50">
        <f t="shared" si="5"/>
        <v>5.166666666666667</v>
      </c>
      <c r="L31" s="50">
        <f t="shared" si="5"/>
        <v>5.166666666666667</v>
      </c>
      <c r="M31" s="50">
        <f t="shared" si="5"/>
        <v>5.166666666666667</v>
      </c>
      <c r="N31" s="50">
        <f t="shared" si="5"/>
        <v>5.166666666666667</v>
      </c>
      <c r="O31" s="50">
        <f t="shared" si="5"/>
        <v>5.166666666666667</v>
      </c>
      <c r="P31" s="50">
        <f t="shared" si="5"/>
        <v>5.166666666666667</v>
      </c>
      <c r="R31" s="162">
        <f>SUM(E31:P31)</f>
        <v>61.999999999999993</v>
      </c>
      <c r="S31" s="34" t="s">
        <v>1134</v>
      </c>
    </row>
    <row r="32" spans="1:19" ht="15" customHeight="1" x14ac:dyDescent="0.25">
      <c r="A32" s="40" t="s">
        <v>1106</v>
      </c>
      <c r="B32" s="50">
        <f>'[15]NS USED VEHICLE'!$B$9</f>
        <v>42</v>
      </c>
      <c r="C32" s="50">
        <f>'[16]NS USED VEHICLE'!$C$9</f>
        <v>56</v>
      </c>
      <c r="D32" s="50">
        <f>'[17]NS USED VEHICLE'!$C$9</f>
        <v>59</v>
      </c>
      <c r="E32" s="50">
        <f>E33-E30-E31</f>
        <v>41.5</v>
      </c>
      <c r="F32" s="50">
        <f>F33-F30-F31</f>
        <v>50.342592592592588</v>
      </c>
      <c r="G32" s="50">
        <f>G33-G30-G31</f>
        <v>55.342592592592588</v>
      </c>
      <c r="H32" s="50">
        <f>H33-H30-H31</f>
        <v>56.960526315789473</v>
      </c>
      <c r="I32" s="50">
        <f t="shared" ref="I32:P32" si="6">I33-I30-I31</f>
        <v>56.960526315789473</v>
      </c>
      <c r="J32" s="50">
        <f t="shared" si="6"/>
        <v>56.960526315789473</v>
      </c>
      <c r="K32" s="50">
        <f t="shared" si="6"/>
        <v>56.960526315789473</v>
      </c>
      <c r="L32" s="50">
        <f t="shared" si="6"/>
        <v>66.960526315789465</v>
      </c>
      <c r="M32" s="50">
        <f t="shared" si="6"/>
        <v>46.960526315789473</v>
      </c>
      <c r="N32" s="50">
        <f t="shared" si="6"/>
        <v>46.960526315789473</v>
      </c>
      <c r="O32" s="50">
        <f t="shared" si="6"/>
        <v>46.960526315789473</v>
      </c>
      <c r="P32" s="50">
        <f t="shared" si="6"/>
        <v>46.960526315789473</v>
      </c>
      <c r="R32" s="162">
        <f>SUM(E32:P32)</f>
        <v>629.82992202729042</v>
      </c>
      <c r="S32" s="34" t="s">
        <v>1135</v>
      </c>
    </row>
    <row r="33" spans="1:19" ht="15" customHeight="1" x14ac:dyDescent="0.25">
      <c r="A33" s="40" t="s">
        <v>1107</v>
      </c>
      <c r="B33" s="50">
        <f>SUM(B30:B32)</f>
        <v>77</v>
      </c>
      <c r="C33" s="50">
        <f>SUM(C30:C32)</f>
        <v>88.1</v>
      </c>
      <c r="D33" s="50">
        <f>SUM(D30:D32)</f>
        <v>91.1</v>
      </c>
      <c r="E33" s="50">
        <f>E34*E35+1.25</f>
        <v>81.25</v>
      </c>
      <c r="F33" s="50">
        <f t="shared" ref="F33:P33" si="7">F34*F35+1.25</f>
        <v>86.25</v>
      </c>
      <c r="G33" s="50">
        <f t="shared" si="7"/>
        <v>91.25</v>
      </c>
      <c r="H33" s="50">
        <f t="shared" si="7"/>
        <v>91.25</v>
      </c>
      <c r="I33" s="50">
        <f t="shared" si="7"/>
        <v>91.25</v>
      </c>
      <c r="J33" s="50">
        <f t="shared" si="7"/>
        <v>91.25</v>
      </c>
      <c r="K33" s="50">
        <f t="shared" si="7"/>
        <v>91.25</v>
      </c>
      <c r="L33" s="50">
        <f t="shared" si="7"/>
        <v>101.25</v>
      </c>
      <c r="M33" s="50">
        <f t="shared" si="7"/>
        <v>81.25</v>
      </c>
      <c r="N33" s="50">
        <f t="shared" si="7"/>
        <v>81.25</v>
      </c>
      <c r="O33" s="50">
        <f t="shared" si="7"/>
        <v>81.25</v>
      </c>
      <c r="P33" s="50">
        <f t="shared" si="7"/>
        <v>81.25</v>
      </c>
      <c r="R33" s="162">
        <f>SUM(E33:P33)</f>
        <v>1050</v>
      </c>
      <c r="S33" s="310"/>
    </row>
    <row r="34" spans="1:19" ht="15" customHeight="1" x14ac:dyDescent="0.25">
      <c r="A34" s="40" t="s">
        <v>1066</v>
      </c>
      <c r="B34" s="50">
        <f>'[15]NS USED VEHICLE'!$B$37</f>
        <v>6</v>
      </c>
      <c r="C34" s="50">
        <f>'[16]NS USED VEHICLE'!$C$37</f>
        <v>5</v>
      </c>
      <c r="D34" s="50">
        <f>'[17]NS USED VEHICLE'!$C$37</f>
        <v>5</v>
      </c>
      <c r="E34" s="50">
        <v>5</v>
      </c>
      <c r="F34" s="50">
        <f t="shared" ref="F34:P34" si="8">E34</f>
        <v>5</v>
      </c>
      <c r="G34" s="50">
        <f t="shared" si="8"/>
        <v>5</v>
      </c>
      <c r="H34" s="50">
        <f t="shared" si="8"/>
        <v>5</v>
      </c>
      <c r="I34" s="50">
        <f t="shared" si="8"/>
        <v>5</v>
      </c>
      <c r="J34" s="50">
        <f t="shared" si="8"/>
        <v>5</v>
      </c>
      <c r="K34" s="50">
        <f t="shared" si="8"/>
        <v>5</v>
      </c>
      <c r="L34" s="50">
        <f t="shared" si="8"/>
        <v>5</v>
      </c>
      <c r="M34" s="50">
        <f t="shared" si="8"/>
        <v>5</v>
      </c>
      <c r="N34" s="50">
        <f t="shared" si="8"/>
        <v>5</v>
      </c>
      <c r="O34" s="50">
        <f t="shared" si="8"/>
        <v>5</v>
      </c>
      <c r="P34" s="50">
        <f t="shared" si="8"/>
        <v>5</v>
      </c>
      <c r="R34" s="162">
        <f>AVERAGE(E34:P34)</f>
        <v>5</v>
      </c>
    </row>
    <row r="35" spans="1:19" ht="15" customHeight="1" x14ac:dyDescent="0.25">
      <c r="A35" s="40" t="s">
        <v>1108</v>
      </c>
      <c r="B35" s="50">
        <f>B33/B34</f>
        <v>12.833333333333334</v>
      </c>
      <c r="C35" s="50">
        <f>C33/C34</f>
        <v>17.619999999999997</v>
      </c>
      <c r="D35" s="50">
        <f>D33/D34</f>
        <v>18.22</v>
      </c>
      <c r="E35" s="50">
        <v>16</v>
      </c>
      <c r="F35" s="50">
        <v>17</v>
      </c>
      <c r="G35" s="50">
        <v>18</v>
      </c>
      <c r="H35" s="50">
        <v>18</v>
      </c>
      <c r="I35" s="50">
        <v>18</v>
      </c>
      <c r="J35" s="50">
        <v>18</v>
      </c>
      <c r="K35" s="50">
        <v>18</v>
      </c>
      <c r="L35" s="50">
        <v>20</v>
      </c>
      <c r="M35" s="50">
        <v>16</v>
      </c>
      <c r="N35" s="50">
        <v>16</v>
      </c>
      <c r="O35" s="50">
        <v>16</v>
      </c>
      <c r="P35" s="50">
        <v>16</v>
      </c>
      <c r="R35" s="162">
        <f>AVERAGE(E35:P35)</f>
        <v>17.25</v>
      </c>
      <c r="S35" s="34" t="s">
        <v>1137</v>
      </c>
    </row>
    <row r="36" spans="1:19" ht="15" customHeight="1" x14ac:dyDescent="0.25">
      <c r="A36" s="40"/>
      <c r="B36" s="50"/>
      <c r="C36" s="50"/>
      <c r="D36" s="50"/>
      <c r="E36" s="40"/>
      <c r="F36" s="40"/>
      <c r="G36" s="40"/>
      <c r="H36" s="40"/>
      <c r="I36" s="40"/>
      <c r="J36" s="40"/>
      <c r="K36" s="40"/>
      <c r="L36" s="40"/>
      <c r="M36" s="40"/>
      <c r="N36" s="40"/>
      <c r="O36" s="40"/>
      <c r="P36" s="40"/>
      <c r="R36" s="52"/>
    </row>
    <row r="37" spans="1:19" ht="15" customHeight="1" x14ac:dyDescent="0.25">
      <c r="A37" s="50" t="s">
        <v>1109</v>
      </c>
      <c r="B37" s="53">
        <f>('[15]NS USED VEHICLE'!$B$6*'[15]NS USED VEHICLE'!$B$14+'[15]NS USED VEHICLE'!$B$7*'[15]NS USED VEHICLE'!$B$15)/('[15]NS USED VEHICLE'!$B$6+'[15]NS USED VEHICLE'!$B$7)</f>
        <v>1406.0791176470595</v>
      </c>
      <c r="C37" s="53">
        <f>('[16]NS USED VEHICLE'!$C$6*'[16]NS USED VEHICLE'!$C$14+'[16]NS USED VEHICLE'!$C$7*'[16]NS USED VEHICLE'!$C$15)/('[16]NS USED VEHICLE'!$C$6+'[16]NS USED VEHICLE'!$C$7)</f>
        <v>1096.2199312714777</v>
      </c>
      <c r="D37" s="53">
        <f>('[17]NS USED VEHICLE'!$C$6*'[17]NS USED VEHICLE'!$C$14+'[17]NS USED VEHICLE'!$C$7*'[17]NS USED VEHICLE'!$C$15)/('[17]NS USED VEHICLE'!$C$6+'[17]NS USED VEHICLE'!$C$7)</f>
        <v>1096.2199312714777</v>
      </c>
      <c r="E37" s="53">
        <v>1111</v>
      </c>
      <c r="F37" s="53">
        <f>E37</f>
        <v>1111</v>
      </c>
      <c r="G37" s="53">
        <f>F37</f>
        <v>1111</v>
      </c>
      <c r="H37" s="53">
        <v>1111</v>
      </c>
      <c r="I37" s="53">
        <f>H37</f>
        <v>1111</v>
      </c>
      <c r="J37" s="53">
        <f>I37</f>
        <v>1111</v>
      </c>
      <c r="K37" s="53">
        <v>1111</v>
      </c>
      <c r="L37" s="53">
        <f>K37</f>
        <v>1111</v>
      </c>
      <c r="M37" s="53">
        <f>L37</f>
        <v>1111</v>
      </c>
      <c r="N37" s="53">
        <v>1111</v>
      </c>
      <c r="O37" s="53">
        <f>N37</f>
        <v>1111</v>
      </c>
      <c r="P37" s="53">
        <f>O37</f>
        <v>1111</v>
      </c>
      <c r="R37" s="52">
        <f t="shared" ref="R37:R45" si="9">AVERAGE(E37:P37)</f>
        <v>1111</v>
      </c>
      <c r="S37" s="34" t="s">
        <v>1138</v>
      </c>
    </row>
    <row r="38" spans="1:19" ht="15" customHeight="1" x14ac:dyDescent="0.25">
      <c r="A38" s="50" t="s">
        <v>1110</v>
      </c>
      <c r="B38" s="53">
        <f>'[15]NS USED VEHICLE'!$B$16</f>
        <v>3346.819999999997</v>
      </c>
      <c r="C38" s="53">
        <f>'[16]NS USED VEHICLE'!$C$16</f>
        <v>3500</v>
      </c>
      <c r="D38" s="53">
        <f>'[17]NS USED VEHICLE'!$C$16</f>
        <v>3500</v>
      </c>
      <c r="E38" s="53">
        <f>2200</f>
        <v>2200</v>
      </c>
      <c r="F38" s="53">
        <f>2200</f>
        <v>2200</v>
      </c>
      <c r="G38" s="53">
        <f>2200</f>
        <v>2200</v>
      </c>
      <c r="H38" s="53">
        <f>2500</f>
        <v>2500</v>
      </c>
      <c r="I38" s="53">
        <f>2500</f>
        <v>2500</v>
      </c>
      <c r="J38" s="53">
        <f>2500</f>
        <v>2500</v>
      </c>
      <c r="K38" s="53">
        <v>2500</v>
      </c>
      <c r="L38" s="53">
        <v>2500</v>
      </c>
      <c r="M38" s="53">
        <v>2500</v>
      </c>
      <c r="N38" s="53">
        <v>2500</v>
      </c>
      <c r="O38" s="53">
        <v>2500</v>
      </c>
      <c r="P38" s="53">
        <v>2500</v>
      </c>
      <c r="R38" s="52">
        <f>AVERAGE(E38:P38)</f>
        <v>2425</v>
      </c>
      <c r="S38" s="34" t="s">
        <v>1139</v>
      </c>
    </row>
    <row r="39" spans="1:19" ht="15" customHeight="1" x14ac:dyDescent="0.25">
      <c r="A39" s="50" t="s">
        <v>1111</v>
      </c>
      <c r="B39" s="53">
        <f>'[15]NS USED VEHICLE'!$B$17</f>
        <v>2065.936904761907</v>
      </c>
      <c r="C39" s="53">
        <f>'[16]NS USED VEHICLE'!$C$17</f>
        <v>2657.1428571428573</v>
      </c>
      <c r="D39" s="53">
        <f>'[17]NS USED VEHICLE'!$C$17</f>
        <v>2638.9830508474574</v>
      </c>
      <c r="E39" s="53">
        <f>E72/E32</f>
        <v>2209.0361445783133</v>
      </c>
      <c r="F39" s="53">
        <f t="shared" ref="F39:P39" si="10">F72/F32</f>
        <v>2304.9659738826558</v>
      </c>
      <c r="G39" s="53">
        <f t="shared" si="10"/>
        <v>2402.2586581897267</v>
      </c>
      <c r="H39" s="53">
        <f t="shared" si="10"/>
        <v>2500</v>
      </c>
      <c r="I39" s="53">
        <f t="shared" si="10"/>
        <v>2500</v>
      </c>
      <c r="J39" s="53">
        <f t="shared" si="10"/>
        <v>2500</v>
      </c>
      <c r="K39" s="53">
        <f t="shared" si="10"/>
        <v>2500</v>
      </c>
      <c r="L39" s="53">
        <f t="shared" si="10"/>
        <v>2500</v>
      </c>
      <c r="M39" s="53">
        <f t="shared" si="10"/>
        <v>2500</v>
      </c>
      <c r="N39" s="53">
        <f t="shared" si="10"/>
        <v>2500</v>
      </c>
      <c r="O39" s="53">
        <f t="shared" si="10"/>
        <v>2500</v>
      </c>
      <c r="P39" s="53">
        <f t="shared" si="10"/>
        <v>2500</v>
      </c>
      <c r="R39" s="52">
        <f t="shared" si="9"/>
        <v>2451.3550647208913</v>
      </c>
      <c r="S39" s="34" t="s">
        <v>1140</v>
      </c>
    </row>
    <row r="40" spans="1:19" ht="15" customHeight="1" x14ac:dyDescent="0.25">
      <c r="A40" s="50" t="s">
        <v>1112</v>
      </c>
      <c r="B40" s="53">
        <f>'[15]NS USED VEHICLE'!$B$23</f>
        <v>1791.2059740259754</v>
      </c>
      <c r="C40" s="53">
        <f>'[4]NS USED VEHICLE'!$B$23</f>
        <v>2165.4375581395334</v>
      </c>
      <c r="D40" s="53">
        <f>'[4]NS USED VEHICLE'!$B$23</f>
        <v>2165.4375581395334</v>
      </c>
      <c r="E40" s="53">
        <f>(E30*E37+E31*E38+E32*E39)/E33</f>
        <v>1741.0923076923077</v>
      </c>
      <c r="F40" s="53">
        <f t="shared" ref="F40:P40" si="11">(F30*F37+F31*F38+F32*F39)/F33</f>
        <v>1873.131508319914</v>
      </c>
      <c r="G40" s="53">
        <f t="shared" si="11"/>
        <v>1955.8011161846775</v>
      </c>
      <c r="H40" s="53">
        <f t="shared" si="11"/>
        <v>2056.6950252343186</v>
      </c>
      <c r="I40" s="53">
        <f t="shared" si="11"/>
        <v>2056.6950252343186</v>
      </c>
      <c r="J40" s="53">
        <f t="shared" si="11"/>
        <v>2056.6950252343186</v>
      </c>
      <c r="K40" s="53">
        <f t="shared" si="11"/>
        <v>2056.6950252343186</v>
      </c>
      <c r="L40" s="53">
        <f t="shared" si="11"/>
        <v>2100.4782326185832</v>
      </c>
      <c r="M40" s="53">
        <f t="shared" si="11"/>
        <v>2002.1344129554655</v>
      </c>
      <c r="N40" s="53">
        <f t="shared" si="11"/>
        <v>2002.1344129554655</v>
      </c>
      <c r="O40" s="53">
        <f t="shared" si="11"/>
        <v>2002.1344129554655</v>
      </c>
      <c r="P40" s="53">
        <f t="shared" si="11"/>
        <v>2002.1344129554655</v>
      </c>
      <c r="R40" s="52">
        <f t="shared" si="9"/>
        <v>1992.1517431312179</v>
      </c>
      <c r="S40" s="120"/>
    </row>
    <row r="41" spans="1:19" ht="15" customHeight="1" x14ac:dyDescent="0.25">
      <c r="A41" s="40" t="s">
        <v>1070</v>
      </c>
      <c r="B41" s="53">
        <f>'[15]NS USED VEHICLE'!$B$23-'[15]NS USED VEHICLE'!$B$18</f>
        <v>0</v>
      </c>
      <c r="C41" s="53">
        <f>'[4]NS USED VEHICLE'!$C$23-'[4]NS USED VEHICLE'!$C$18</f>
        <v>0</v>
      </c>
      <c r="D41" s="53">
        <f>'[5]NS USED VEHICLE'!$C$23-'[5]NS USED VEHICLE'!$C$18</f>
        <v>0</v>
      </c>
      <c r="E41" s="53">
        <v>0</v>
      </c>
      <c r="F41" s="53">
        <v>0</v>
      </c>
      <c r="G41" s="53">
        <f>'FEF Incentive Forecast FY2025'!D25*G30/'Used Vehicles - Group'!G30/G33</f>
        <v>601.02739726027403</v>
      </c>
      <c r="H41" s="53">
        <v>0</v>
      </c>
      <c r="I41" s="53">
        <v>0</v>
      </c>
      <c r="J41" s="53">
        <f>'FEF Incentive Forecast FY2025'!H25*J30/'Used Vehicles - Group'!J30/J33</f>
        <v>554.79452054794524</v>
      </c>
      <c r="K41" s="53">
        <v>0</v>
      </c>
      <c r="L41" s="53">
        <v>0</v>
      </c>
      <c r="M41" s="53">
        <f>'FEF Incentive Forecast FY2025'!L25*M30/'Used Vehicles - Group'!M30/M33</f>
        <v>608.50202429149806</v>
      </c>
      <c r="N41" s="53">
        <v>0</v>
      </c>
      <c r="O41" s="53">
        <v>0</v>
      </c>
      <c r="P41" s="53">
        <f>'FEF Incentive Forecast FY2025'!P25*P30/'Used Vehicles - Group'!P30/P33</f>
        <v>601.21457489878549</v>
      </c>
      <c r="R41" s="52">
        <f t="shared" si="9"/>
        <v>197.12820974987525</v>
      </c>
    </row>
    <row r="42" spans="1:19" ht="15" customHeight="1" x14ac:dyDescent="0.25">
      <c r="A42" s="50" t="s">
        <v>1071</v>
      </c>
      <c r="B42" s="53">
        <f>'[15]NS USED VEHICLE'!$B$27</f>
        <v>622.61558441558441</v>
      </c>
      <c r="C42" s="53">
        <f>'[16]NS USED VEHICLE'!$C$27</f>
        <v>492.30866439651908</v>
      </c>
      <c r="D42" s="53">
        <f>'[17]NS USED VEHICLE'!$C$27</f>
        <v>476.09652396633732</v>
      </c>
      <c r="E42" s="53">
        <f>E66/E33</f>
        <v>509.20147633523288</v>
      </c>
      <c r="F42" s="53">
        <f t="shared" ref="F42:P42" si="12">F66/F33</f>
        <v>546.8580864027557</v>
      </c>
      <c r="G42" s="53">
        <f>G66/G33</f>
        <v>538.01415016150884</v>
      </c>
      <c r="H42" s="53">
        <f t="shared" si="12"/>
        <v>537.1217355977019</v>
      </c>
      <c r="I42" s="53">
        <f t="shared" si="12"/>
        <v>537.1217355977019</v>
      </c>
      <c r="J42" s="53">
        <f t="shared" si="12"/>
        <v>538.58026119251087</v>
      </c>
      <c r="K42" s="53">
        <f t="shared" si="12"/>
        <v>537.1217355977019</v>
      </c>
      <c r="L42" s="53">
        <f t="shared" si="12"/>
        <v>519.38131726706479</v>
      </c>
      <c r="M42" s="53">
        <f t="shared" si="12"/>
        <v>511.59202208422073</v>
      </c>
      <c r="N42" s="53">
        <f t="shared" si="12"/>
        <v>509.99825690203443</v>
      </c>
      <c r="O42" s="53">
        <f t="shared" si="12"/>
        <v>509.99825690203443</v>
      </c>
      <c r="P42" s="53">
        <f t="shared" si="12"/>
        <v>511.56250791418023</v>
      </c>
      <c r="R42" s="52">
        <f t="shared" si="9"/>
        <v>525.54596182955413</v>
      </c>
      <c r="S42" s="34" t="s">
        <v>1141</v>
      </c>
    </row>
    <row r="43" spans="1:19" ht="15" customHeight="1" x14ac:dyDescent="0.25">
      <c r="A43" s="50" t="s">
        <v>1072</v>
      </c>
      <c r="B43" s="53">
        <f>'[15]NS USED VEHICLE'!$B$32</f>
        <v>1008.6416883116883</v>
      </c>
      <c r="C43" s="53">
        <f>'[16]NS USED VEHICLE'!$C$32</f>
        <v>743.88369277336369</v>
      </c>
      <c r="D43" s="53">
        <f>'[17]NS USED VEHICLE'!$C$32</f>
        <v>719.38697402122216</v>
      </c>
      <c r="E43" s="53">
        <f>E67/E33</f>
        <v>860.37096507171918</v>
      </c>
      <c r="F43" s="53">
        <f t="shared" ref="F43:P43" si="13">F67/F33</f>
        <v>810.4943873864022</v>
      </c>
      <c r="G43" s="53">
        <f t="shared" si="13"/>
        <v>766.08373602276367</v>
      </c>
      <c r="H43" s="53">
        <f t="shared" si="13"/>
        <v>766.08373602276367</v>
      </c>
      <c r="I43" s="53">
        <f t="shared" si="13"/>
        <v>766.08373602276367</v>
      </c>
      <c r="J43" s="53">
        <f t="shared" si="13"/>
        <v>766.08373602276367</v>
      </c>
      <c r="K43" s="53">
        <f t="shared" si="13"/>
        <v>766.08373602276367</v>
      </c>
      <c r="L43" s="53">
        <f t="shared" si="13"/>
        <v>690.42114481063891</v>
      </c>
      <c r="M43" s="53">
        <f t="shared" si="13"/>
        <v>860.37096507171918</v>
      </c>
      <c r="N43" s="53">
        <f t="shared" si="13"/>
        <v>860.37096507171918</v>
      </c>
      <c r="O43" s="53">
        <f t="shared" si="13"/>
        <v>860.37096507171918</v>
      </c>
      <c r="P43" s="53">
        <f t="shared" si="13"/>
        <v>860.37096507171918</v>
      </c>
      <c r="R43" s="52">
        <f t="shared" si="9"/>
        <v>802.76575313912133</v>
      </c>
      <c r="S43" s="34" t="s">
        <v>1142</v>
      </c>
    </row>
    <row r="44" spans="1:19" ht="15" customHeight="1" x14ac:dyDescent="0.25">
      <c r="A44" s="50" t="s">
        <v>1073</v>
      </c>
      <c r="B44" s="53">
        <f>'[15]NS USED VEHICLE'!$B$33</f>
        <v>1631.2572727272727</v>
      </c>
      <c r="C44" s="53">
        <f>'[16]NS USED VEHICLE'!$C$33</f>
        <v>1236.1923571698828</v>
      </c>
      <c r="D44" s="53">
        <f>'[17]NS USED VEHICLE'!$C$33</f>
        <v>1195.4834979875595</v>
      </c>
      <c r="E44" s="53">
        <f>E42+E43</f>
        <v>1369.5724414069521</v>
      </c>
      <c r="F44" s="53">
        <f t="shared" ref="F44:P44" si="14">F42+F43</f>
        <v>1357.352473789158</v>
      </c>
      <c r="G44" s="53">
        <f t="shared" si="14"/>
        <v>1304.0978861842725</v>
      </c>
      <c r="H44" s="53">
        <f t="shared" si="14"/>
        <v>1303.2054716204657</v>
      </c>
      <c r="I44" s="53">
        <f t="shared" si="14"/>
        <v>1303.2054716204657</v>
      </c>
      <c r="J44" s="53">
        <f t="shared" si="14"/>
        <v>1304.6639972152745</v>
      </c>
      <c r="K44" s="53">
        <f t="shared" si="14"/>
        <v>1303.2054716204657</v>
      </c>
      <c r="L44" s="53">
        <f t="shared" si="14"/>
        <v>1209.8024620777037</v>
      </c>
      <c r="M44" s="53">
        <f t="shared" si="14"/>
        <v>1371.96298715594</v>
      </c>
      <c r="N44" s="53">
        <f t="shared" si="14"/>
        <v>1370.3692219737536</v>
      </c>
      <c r="O44" s="53">
        <f t="shared" si="14"/>
        <v>1370.3692219737536</v>
      </c>
      <c r="P44" s="53">
        <f t="shared" si="14"/>
        <v>1371.9334729858995</v>
      </c>
      <c r="R44" s="52">
        <f t="shared" si="9"/>
        <v>1328.3117149686752</v>
      </c>
    </row>
    <row r="45" spans="1:19" ht="15" customHeight="1" x14ac:dyDescent="0.25">
      <c r="A45" s="50" t="s">
        <v>1074</v>
      </c>
      <c r="B45" s="53">
        <f>'[15]NS USED VEHICLE'!$B$34</f>
        <v>159.94870129870264</v>
      </c>
      <c r="C45" s="53">
        <f>'[16]NS USED VEHICLE'!$C$34</f>
        <v>934.0687097994703</v>
      </c>
      <c r="D45" s="53">
        <f>'[17]NS USED VEHICLE'!$C$34</f>
        <v>1660.473721581076</v>
      </c>
      <c r="E45" s="53">
        <f>E40+E41-E44</f>
        <v>371.51986628535565</v>
      </c>
      <c r="F45" s="53">
        <f t="shared" ref="F45:P45" si="15">F40+F41-F44</f>
        <v>515.77903453075601</v>
      </c>
      <c r="G45" s="53">
        <f t="shared" si="15"/>
        <v>1252.7306272606791</v>
      </c>
      <c r="H45" s="53">
        <f t="shared" si="15"/>
        <v>753.48955361385288</v>
      </c>
      <c r="I45" s="53">
        <f t="shared" si="15"/>
        <v>753.48955361385288</v>
      </c>
      <c r="J45" s="53">
        <f t="shared" si="15"/>
        <v>1306.8255485669895</v>
      </c>
      <c r="K45" s="53">
        <f t="shared" si="15"/>
        <v>753.48955361385288</v>
      </c>
      <c r="L45" s="53">
        <f t="shared" si="15"/>
        <v>890.67577054087951</v>
      </c>
      <c r="M45" s="53">
        <f t="shared" si="15"/>
        <v>1238.6734500910234</v>
      </c>
      <c r="N45" s="53">
        <f t="shared" si="15"/>
        <v>631.76519098171184</v>
      </c>
      <c r="O45" s="53">
        <f t="shared" si="15"/>
        <v>631.76519098171184</v>
      </c>
      <c r="P45" s="53">
        <f t="shared" si="15"/>
        <v>1231.4155148683515</v>
      </c>
      <c r="R45" s="52">
        <f t="shared" si="9"/>
        <v>860.96823791241798</v>
      </c>
    </row>
    <row r="46" spans="1:19" ht="15" customHeight="1" x14ac:dyDescent="0.25">
      <c r="A46" s="50"/>
      <c r="B46" s="53"/>
      <c r="C46" s="53"/>
      <c r="D46" s="53"/>
      <c r="E46" s="40"/>
      <c r="F46" s="40"/>
      <c r="G46" s="40"/>
      <c r="H46" s="40"/>
      <c r="I46" s="40"/>
      <c r="J46" s="40"/>
      <c r="K46" s="40"/>
      <c r="L46" s="40"/>
      <c r="M46" s="40"/>
      <c r="N46" s="40"/>
      <c r="O46" s="40"/>
      <c r="P46" s="40"/>
      <c r="R46" s="52"/>
    </row>
    <row r="47" spans="1:19" ht="15" customHeight="1" x14ac:dyDescent="0.25">
      <c r="A47" s="50" t="s">
        <v>1113</v>
      </c>
      <c r="B47" s="53">
        <f>'[15]NS USED VEHICLE'!$B$11*'[15]NS USED VEHICLE'!$B$19</f>
        <v>13139.349999999999</v>
      </c>
      <c r="C47" s="53">
        <f>'[16]NS USED VEHICLE'!$C$11*'[16]NS USED VEHICLE'!$C$19</f>
        <v>0</v>
      </c>
      <c r="D47" s="53">
        <f>'[17]NS USED VEHICLE'!$C$11*'[17]NS USED VEHICLE'!$C$19</f>
        <v>0</v>
      </c>
      <c r="E47" s="40">
        <v>0</v>
      </c>
      <c r="F47" s="40">
        <v>0</v>
      </c>
      <c r="G47" s="40">
        <v>0</v>
      </c>
      <c r="H47" s="40">
        <v>0</v>
      </c>
      <c r="I47" s="40">
        <v>0</v>
      </c>
      <c r="J47" s="40">
        <v>0</v>
      </c>
      <c r="K47" s="40">
        <v>0</v>
      </c>
      <c r="L47" s="40">
        <v>0</v>
      </c>
      <c r="M47" s="40">
        <v>0</v>
      </c>
      <c r="N47" s="40">
        <v>0</v>
      </c>
      <c r="O47" s="40">
        <v>0</v>
      </c>
      <c r="P47" s="40">
        <v>0</v>
      </c>
      <c r="R47" s="52">
        <f>SUM(E47:P47)</f>
        <v>0</v>
      </c>
    </row>
    <row r="48" spans="1:19" x14ac:dyDescent="0.25">
      <c r="A48" s="50" t="s">
        <v>1114</v>
      </c>
      <c r="B48" s="53">
        <f>'[15]NS USED VEHICLE'!$B$24</f>
        <v>151062.21000000011</v>
      </c>
      <c r="C48" s="53">
        <f>'[16]NS USED VEHICLE'!$C$24</f>
        <v>191200</v>
      </c>
      <c r="D48" s="53">
        <f>'[17]NS USED VEHICLE'!$C$24</f>
        <v>260177.70270270269</v>
      </c>
      <c r="E48" s="7">
        <f>(E40+E41)*E33</f>
        <v>141463.75</v>
      </c>
      <c r="F48" s="7">
        <f>(F40+F41)*F33</f>
        <v>161557.59259259258</v>
      </c>
      <c r="G48" s="7">
        <f>(G40+G41)*G33</f>
        <v>233310.60185185182</v>
      </c>
      <c r="H48" s="7">
        <f>(H40+H41)*H33</f>
        <v>187673.42105263157</v>
      </c>
      <c r="I48" s="7">
        <f t="shared" ref="I48:P48" si="16">(I40+I41)*I33</f>
        <v>187673.42105263157</v>
      </c>
      <c r="J48" s="7">
        <f t="shared" si="16"/>
        <v>238298.4210526316</v>
      </c>
      <c r="K48" s="7">
        <f t="shared" si="16"/>
        <v>187673.42105263157</v>
      </c>
      <c r="L48" s="7">
        <f t="shared" si="16"/>
        <v>212673.42105263154</v>
      </c>
      <c r="M48" s="7">
        <f t="shared" si="16"/>
        <v>212114.21052631579</v>
      </c>
      <c r="N48" s="7">
        <f t="shared" si="16"/>
        <v>162673.42105263157</v>
      </c>
      <c r="O48" s="7">
        <f t="shared" si="16"/>
        <v>162673.42105263157</v>
      </c>
      <c r="P48" s="7">
        <f t="shared" si="16"/>
        <v>211522.10526315789</v>
      </c>
      <c r="R48" s="52">
        <f>SUM(E48:P48)</f>
        <v>2299307.2076023389</v>
      </c>
    </row>
    <row r="49" spans="1:20" x14ac:dyDescent="0.25">
      <c r="A49" s="7" t="s">
        <v>1076</v>
      </c>
      <c r="B49" s="6">
        <f t="shared" ref="B49:D49" si="17">B44*B33</f>
        <v>125606.81</v>
      </c>
      <c r="C49" s="6">
        <f t="shared" si="17"/>
        <v>108908.54666666668</v>
      </c>
      <c r="D49" s="6">
        <f t="shared" si="17"/>
        <v>108908.54666666666</v>
      </c>
      <c r="E49" s="12">
        <f>E33*E44</f>
        <v>111277.76086431486</v>
      </c>
      <c r="F49" s="12">
        <f t="shared" ref="F49:P49" si="18">F33*F44</f>
        <v>117071.65086431488</v>
      </c>
      <c r="G49" s="12">
        <f t="shared" si="18"/>
        <v>118998.93211431487</v>
      </c>
      <c r="H49" s="12">
        <f t="shared" si="18"/>
        <v>118917.49928536749</v>
      </c>
      <c r="I49" s="12">
        <f t="shared" si="18"/>
        <v>118917.49928536749</v>
      </c>
      <c r="J49" s="12">
        <f t="shared" si="18"/>
        <v>119050.5897458938</v>
      </c>
      <c r="K49" s="12">
        <f t="shared" si="18"/>
        <v>118917.49928536749</v>
      </c>
      <c r="L49" s="12">
        <f t="shared" si="18"/>
        <v>122492.49928536749</v>
      </c>
      <c r="M49" s="12">
        <f t="shared" si="18"/>
        <v>111471.99270642013</v>
      </c>
      <c r="N49" s="12">
        <f t="shared" si="18"/>
        <v>111342.49928536748</v>
      </c>
      <c r="O49" s="12">
        <f t="shared" si="18"/>
        <v>111342.49928536748</v>
      </c>
      <c r="P49" s="12">
        <f t="shared" si="18"/>
        <v>111469.59468010433</v>
      </c>
      <c r="Q49" t="s">
        <v>1116</v>
      </c>
      <c r="R49" s="6">
        <f>SUM(E49:P49)</f>
        <v>1391270.516687568</v>
      </c>
    </row>
    <row r="50" spans="1:20" ht="15.75" thickBot="1" x14ac:dyDescent="0.3">
      <c r="A50" s="51" t="s">
        <v>1115</v>
      </c>
      <c r="B50" s="58">
        <f>B47+B45*B33</f>
        <v>25455.400000000103</v>
      </c>
      <c r="C50" s="58">
        <f>C47+C45*C33</f>
        <v>82291.453333333324</v>
      </c>
      <c r="D50" s="58">
        <f>D47+D45*D33</f>
        <v>151269.156036036</v>
      </c>
      <c r="E50" s="58">
        <f>E47+E48-E49</f>
        <v>30185.989135685144</v>
      </c>
      <c r="F50" s="58">
        <f t="shared" ref="F50:P50" si="19">F47+F48-F49</f>
        <v>44485.941728277699</v>
      </c>
      <c r="G50" s="58">
        <f t="shared" si="19"/>
        <v>114311.66973753695</v>
      </c>
      <c r="H50" s="58">
        <f t="shared" si="19"/>
        <v>68755.921767264081</v>
      </c>
      <c r="I50" s="58">
        <f t="shared" si="19"/>
        <v>68755.921767264081</v>
      </c>
      <c r="J50" s="58">
        <f t="shared" si="19"/>
        <v>119247.8313067378</v>
      </c>
      <c r="K50" s="58">
        <f t="shared" si="19"/>
        <v>68755.921767264081</v>
      </c>
      <c r="L50" s="58">
        <f t="shared" si="19"/>
        <v>90180.921767264052</v>
      </c>
      <c r="M50" s="58">
        <f t="shared" si="19"/>
        <v>100642.21781989565</v>
      </c>
      <c r="N50" s="58">
        <f t="shared" si="19"/>
        <v>51330.921767264095</v>
      </c>
      <c r="O50" s="58">
        <f t="shared" si="19"/>
        <v>51330.921767264095</v>
      </c>
      <c r="P50" s="58">
        <f t="shared" si="19"/>
        <v>100052.51058305356</v>
      </c>
      <c r="R50" s="58">
        <f>SUM(E50:P50)</f>
        <v>908036.69091477129</v>
      </c>
    </row>
    <row r="51" spans="1:20" ht="15" customHeight="1" thickTop="1" x14ac:dyDescent="0.25">
      <c r="A51" s="40"/>
      <c r="B51" s="40"/>
      <c r="C51" s="40"/>
      <c r="D51" s="40"/>
      <c r="E51" s="40"/>
      <c r="F51" s="40"/>
      <c r="G51" s="40"/>
      <c r="H51" s="40"/>
      <c r="I51" s="40"/>
      <c r="J51" s="40"/>
      <c r="K51" s="40"/>
      <c r="L51" s="40"/>
      <c r="M51" s="40"/>
      <c r="N51" s="40"/>
      <c r="O51" s="40"/>
      <c r="P51" s="40"/>
      <c r="R51" s="40"/>
    </row>
    <row r="52" spans="1:20" ht="15" customHeight="1" x14ac:dyDescent="0.25">
      <c r="A52" t="s">
        <v>1117</v>
      </c>
      <c r="B52" s="3">
        <f t="shared" ref="B52:D52" si="20">B32/B33</f>
        <v>0.54545454545454541</v>
      </c>
      <c r="C52" s="3">
        <f t="shared" si="20"/>
        <v>0.63564131668558466</v>
      </c>
      <c r="D52" s="3">
        <f t="shared" si="20"/>
        <v>0.64763995609220637</v>
      </c>
      <c r="E52" s="3">
        <f>E32/E33</f>
        <v>0.51076923076923075</v>
      </c>
      <c r="F52" s="3">
        <f t="shared" ref="F52:P52" si="21">F32/F33</f>
        <v>0.58368223295759525</v>
      </c>
      <c r="G52" s="3">
        <f t="shared" si="21"/>
        <v>0.60649416539827494</v>
      </c>
      <c r="H52" s="3">
        <f t="shared" si="21"/>
        <v>0.62422494592645994</v>
      </c>
      <c r="I52" s="3">
        <f t="shared" si="21"/>
        <v>0.62422494592645994</v>
      </c>
      <c r="J52" s="3">
        <f t="shared" si="21"/>
        <v>0.62422494592645994</v>
      </c>
      <c r="K52" s="3">
        <f t="shared" si="21"/>
        <v>0.62422494592645994</v>
      </c>
      <c r="L52" s="3">
        <f t="shared" si="21"/>
        <v>0.66133853151397004</v>
      </c>
      <c r="M52" s="3">
        <f t="shared" si="21"/>
        <v>0.57797570850202429</v>
      </c>
      <c r="N52" s="3">
        <f t="shared" si="21"/>
        <v>0.57797570850202429</v>
      </c>
      <c r="O52" s="3">
        <f t="shared" si="21"/>
        <v>0.57797570850202429</v>
      </c>
      <c r="P52" s="3">
        <f t="shared" si="21"/>
        <v>0.57797570850202429</v>
      </c>
      <c r="S52" s="34" t="s">
        <v>1143</v>
      </c>
    </row>
    <row r="53" spans="1:20" ht="15" customHeight="1" x14ac:dyDescent="0.25">
      <c r="A53" t="s">
        <v>1081</v>
      </c>
      <c r="B53" s="15">
        <f t="shared" ref="B53:D53" si="22">B42*B$33</f>
        <v>47941.4</v>
      </c>
      <c r="C53" s="15">
        <f t="shared" si="22"/>
        <v>43372.393333333326</v>
      </c>
      <c r="D53" s="15">
        <f t="shared" si="22"/>
        <v>43372.393333333326</v>
      </c>
      <c r="E53" s="15">
        <f>E42*E$33</f>
        <v>41372.61995223767</v>
      </c>
      <c r="F53" s="15">
        <f t="shared" ref="F53:P53" si="23">F42*F$33</f>
        <v>47166.509952237677</v>
      </c>
      <c r="G53" s="15">
        <f t="shared" si="23"/>
        <v>49093.791202237684</v>
      </c>
      <c r="H53" s="15">
        <f t="shared" si="23"/>
        <v>49012.358373290299</v>
      </c>
      <c r="I53" s="15">
        <f t="shared" si="23"/>
        <v>49012.358373290299</v>
      </c>
      <c r="J53" s="15">
        <f t="shared" si="23"/>
        <v>49145.448833816619</v>
      </c>
      <c r="K53" s="15">
        <f t="shared" si="23"/>
        <v>49012.358373290299</v>
      </c>
      <c r="L53" s="15">
        <f t="shared" si="23"/>
        <v>52587.358373290306</v>
      </c>
      <c r="M53" s="15">
        <f t="shared" si="23"/>
        <v>41566.851794342932</v>
      </c>
      <c r="N53" s="15">
        <f t="shared" si="23"/>
        <v>41437.358373290299</v>
      </c>
      <c r="O53" s="15">
        <f t="shared" si="23"/>
        <v>41437.358373290299</v>
      </c>
      <c r="P53" s="15">
        <f t="shared" si="23"/>
        <v>41564.453768027146</v>
      </c>
      <c r="R53" s="52">
        <f>SUM(E53:P53)</f>
        <v>552408.82574264146</v>
      </c>
    </row>
    <row r="54" spans="1:20" ht="15" customHeight="1" x14ac:dyDescent="0.25">
      <c r="A54" t="s">
        <v>1119</v>
      </c>
      <c r="B54" s="15">
        <f t="shared" ref="B54:D54" si="24">B43*B$33</f>
        <v>77665.41</v>
      </c>
      <c r="C54" s="15">
        <f t="shared" si="24"/>
        <v>65536.153333333335</v>
      </c>
      <c r="D54" s="15">
        <f t="shared" si="24"/>
        <v>65536.153333333335</v>
      </c>
      <c r="E54" s="15">
        <f>E43*E$33</f>
        <v>69905.140912077186</v>
      </c>
      <c r="F54" s="15">
        <f t="shared" ref="F54:P54" si="25">F43*F$33</f>
        <v>69905.140912077186</v>
      </c>
      <c r="G54" s="15">
        <f t="shared" si="25"/>
        <v>69905.140912077186</v>
      </c>
      <c r="H54" s="15">
        <f t="shared" si="25"/>
        <v>69905.140912077186</v>
      </c>
      <c r="I54" s="15">
        <f t="shared" si="25"/>
        <v>69905.140912077186</v>
      </c>
      <c r="J54" s="15">
        <f t="shared" si="25"/>
        <v>69905.140912077186</v>
      </c>
      <c r="K54" s="15">
        <f t="shared" si="25"/>
        <v>69905.140912077186</v>
      </c>
      <c r="L54" s="15">
        <f t="shared" si="25"/>
        <v>69905.140912077186</v>
      </c>
      <c r="M54" s="15">
        <f t="shared" si="25"/>
        <v>69905.140912077186</v>
      </c>
      <c r="N54" s="15">
        <f t="shared" si="25"/>
        <v>69905.140912077186</v>
      </c>
      <c r="O54" s="15">
        <f t="shared" si="25"/>
        <v>69905.140912077186</v>
      </c>
      <c r="P54" s="15">
        <f t="shared" si="25"/>
        <v>69905.140912077186</v>
      </c>
      <c r="R54" s="52">
        <f>SUM(E54:P54)</f>
        <v>838861.690944926</v>
      </c>
    </row>
    <row r="56" spans="1:20" ht="15" customHeight="1" x14ac:dyDescent="0.25">
      <c r="A56" t="s">
        <v>1144</v>
      </c>
      <c r="B56" s="53">
        <f t="shared" ref="B56:D56" si="26">58000/12/B33</f>
        <v>62.770562770562769</v>
      </c>
      <c r="C56" s="53">
        <f t="shared" si="26"/>
        <v>54.861899356791525</v>
      </c>
      <c r="D56" s="53">
        <f t="shared" si="26"/>
        <v>53.055250640321994</v>
      </c>
      <c r="E56" s="53">
        <f>58000/12/E33</f>
        <v>59.487179487179482</v>
      </c>
      <c r="F56" s="53">
        <f t="shared" ref="F56:P56" si="27">58000/12/F33</f>
        <v>56.038647342995162</v>
      </c>
      <c r="G56" s="53">
        <f t="shared" si="27"/>
        <v>52.968036529680361</v>
      </c>
      <c r="H56" s="53">
        <f t="shared" si="27"/>
        <v>52.968036529680361</v>
      </c>
      <c r="I56" s="53">
        <f t="shared" si="27"/>
        <v>52.968036529680361</v>
      </c>
      <c r="J56" s="53">
        <f t="shared" si="27"/>
        <v>52.968036529680361</v>
      </c>
      <c r="K56" s="53">
        <f t="shared" si="27"/>
        <v>52.968036529680361</v>
      </c>
      <c r="L56" s="53">
        <f t="shared" si="27"/>
        <v>47.736625514403286</v>
      </c>
      <c r="M56" s="53">
        <f t="shared" si="27"/>
        <v>59.487179487179482</v>
      </c>
      <c r="N56" s="53">
        <f t="shared" si="27"/>
        <v>59.487179487179482</v>
      </c>
      <c r="O56" s="53">
        <f t="shared" si="27"/>
        <v>59.487179487179482</v>
      </c>
      <c r="P56" s="53">
        <f t="shared" si="27"/>
        <v>59.487179487179482</v>
      </c>
      <c r="R56" s="7">
        <f>AVERAGE(E56:P56)</f>
        <v>55.504279411808142</v>
      </c>
      <c r="S56" s="163" t="s">
        <v>1145</v>
      </c>
    </row>
    <row r="57" spans="1:20" ht="15" customHeight="1" x14ac:dyDescent="0.25">
      <c r="A57" t="s">
        <v>1146</v>
      </c>
      <c r="B57" s="53">
        <f t="shared" ref="B57:D57" si="28">67980*0.5/12/B33</f>
        <v>36.785714285714285</v>
      </c>
      <c r="C57" s="53">
        <f t="shared" si="28"/>
        <v>32.150964812712829</v>
      </c>
      <c r="D57" s="53">
        <f t="shared" si="28"/>
        <v>31.09220636663008</v>
      </c>
      <c r="E57" s="53">
        <f>67980*0.5/12/E33</f>
        <v>34.861538461538458</v>
      </c>
      <c r="F57" s="53">
        <f t="shared" ref="F57:P57" si="29">67980*0.5/12/F33</f>
        <v>32.840579710144929</v>
      </c>
      <c r="G57" s="53">
        <f t="shared" si="29"/>
        <v>31.041095890410958</v>
      </c>
      <c r="H57" s="53">
        <f t="shared" si="29"/>
        <v>31.041095890410958</v>
      </c>
      <c r="I57" s="53">
        <f t="shared" si="29"/>
        <v>31.041095890410958</v>
      </c>
      <c r="J57" s="53">
        <f t="shared" si="29"/>
        <v>31.041095890410958</v>
      </c>
      <c r="K57" s="53">
        <f t="shared" si="29"/>
        <v>31.041095890410958</v>
      </c>
      <c r="L57" s="53">
        <f t="shared" si="29"/>
        <v>27.97530864197531</v>
      </c>
      <c r="M57" s="53">
        <f t="shared" si="29"/>
        <v>34.861538461538458</v>
      </c>
      <c r="N57" s="53">
        <f t="shared" si="29"/>
        <v>34.861538461538458</v>
      </c>
      <c r="O57" s="53">
        <f t="shared" si="29"/>
        <v>34.861538461538458</v>
      </c>
      <c r="P57" s="53">
        <f t="shared" si="29"/>
        <v>34.861538461538458</v>
      </c>
      <c r="R57" s="7">
        <f>AVERAGE(E57:P57)</f>
        <v>32.52742167598894</v>
      </c>
      <c r="S57" s="163" t="s">
        <v>1147</v>
      </c>
    </row>
    <row r="59" spans="1:20" ht="15" customHeight="1" x14ac:dyDescent="0.25">
      <c r="G59" s="15"/>
      <c r="J59" s="15"/>
      <c r="M59" s="15"/>
      <c r="P59" s="15"/>
    </row>
    <row r="60" spans="1:20" ht="15" customHeight="1" x14ac:dyDescent="0.25">
      <c r="A60" t="s">
        <v>1148</v>
      </c>
      <c r="G60" s="15"/>
      <c r="J60" s="15"/>
      <c r="M60" s="15"/>
      <c r="P60" s="15"/>
      <c r="R60" s="167"/>
    </row>
    <row r="62" spans="1:20" ht="15" customHeight="1" x14ac:dyDescent="0.25">
      <c r="A62" t="s">
        <v>1127</v>
      </c>
      <c r="B62" s="50">
        <f t="shared" ref="B62:D62" si="30">$R$64*_xlfn.STDEV.P($E$30:$P$30)*SQRT($S$62)+B30</f>
        <v>37.611860594948858</v>
      </c>
      <c r="C62" s="50">
        <f t="shared" si="30"/>
        <v>32.71186059494886</v>
      </c>
      <c r="D62" s="50">
        <f t="shared" si="30"/>
        <v>32.71186059494886</v>
      </c>
      <c r="E62" s="50">
        <f>$R$64*_xlfn.STDEV.P($E$30:$P$30)*SQRT($S$62)+E30</f>
        <v>38.195193928282194</v>
      </c>
      <c r="F62" s="50">
        <f t="shared" ref="F62:P62" si="31">$R$64*_xlfn.STDEV.P($E$30:$P$30)*SQRT($S$62)+F30</f>
        <v>34.352601335689599</v>
      </c>
      <c r="G62" s="50">
        <f t="shared" si="31"/>
        <v>34.352601335689599</v>
      </c>
      <c r="H62" s="50">
        <f t="shared" si="31"/>
        <v>32.734667612492721</v>
      </c>
      <c r="I62" s="50">
        <f t="shared" si="31"/>
        <v>32.734667612492721</v>
      </c>
      <c r="J62" s="50">
        <f t="shared" si="31"/>
        <v>32.734667612492721</v>
      </c>
      <c r="K62" s="50">
        <f t="shared" si="31"/>
        <v>32.734667612492721</v>
      </c>
      <c r="L62" s="50">
        <f t="shared" si="31"/>
        <v>32.734667612492721</v>
      </c>
      <c r="M62" s="50">
        <f t="shared" si="31"/>
        <v>32.734667612492721</v>
      </c>
      <c r="N62" s="50">
        <f t="shared" si="31"/>
        <v>32.734667612492721</v>
      </c>
      <c r="O62" s="50">
        <f t="shared" si="31"/>
        <v>32.734667612492721</v>
      </c>
      <c r="P62" s="50">
        <f t="shared" si="31"/>
        <v>32.734667612492721</v>
      </c>
      <c r="R62" t="s">
        <v>1149</v>
      </c>
      <c r="S62" s="34">
        <f>2</f>
        <v>2</v>
      </c>
      <c r="T62" s="34" t="s">
        <v>1150</v>
      </c>
    </row>
    <row r="63" spans="1:20" ht="15" customHeight="1" x14ac:dyDescent="0.25">
      <c r="A63" t="s">
        <v>1128</v>
      </c>
      <c r="B63" s="50">
        <f t="shared" ref="B63:D63" si="32">$R$64*_xlfn.STDEV.P($E$32:$P$32)*SQRT($S$63)+B32</f>
        <v>48.376794961101133</v>
      </c>
      <c r="C63" s="50">
        <f t="shared" si="32"/>
        <v>62.376794961101133</v>
      </c>
      <c r="D63" s="50">
        <f t="shared" si="32"/>
        <v>65.376794961101126</v>
      </c>
      <c r="E63" s="50">
        <f>$R$64*_xlfn.STDEV.P($E$32:$P$32)*SQRT($S$63)+E32</f>
        <v>47.876794961101133</v>
      </c>
      <c r="F63" s="50">
        <f t="shared" ref="F63:P63" si="33">$R$64*_xlfn.STDEV.P($E$32:$P$32)*SQRT($S$63)+F32</f>
        <v>56.719387553693721</v>
      </c>
      <c r="G63" s="50">
        <f t="shared" si="33"/>
        <v>61.719387553693721</v>
      </c>
      <c r="H63" s="50">
        <f t="shared" si="33"/>
        <v>63.337321276890606</v>
      </c>
      <c r="I63" s="50">
        <f t="shared" si="33"/>
        <v>63.337321276890606</v>
      </c>
      <c r="J63" s="50">
        <f t="shared" si="33"/>
        <v>63.337321276890606</v>
      </c>
      <c r="K63" s="50">
        <f t="shared" si="33"/>
        <v>63.337321276890606</v>
      </c>
      <c r="L63" s="50">
        <f t="shared" si="33"/>
        <v>73.337321276890606</v>
      </c>
      <c r="M63" s="50">
        <f t="shared" si="33"/>
        <v>53.337321276890606</v>
      </c>
      <c r="N63" s="50">
        <f t="shared" si="33"/>
        <v>53.337321276890606</v>
      </c>
      <c r="O63" s="50">
        <f t="shared" si="33"/>
        <v>53.337321276890606</v>
      </c>
      <c r="P63" s="50">
        <f t="shared" si="33"/>
        <v>53.337321276890606</v>
      </c>
      <c r="R63" t="s">
        <v>1151</v>
      </c>
      <c r="S63" s="34">
        <f>10/365*12</f>
        <v>0.32876712328767121</v>
      </c>
      <c r="T63" s="34" t="s">
        <v>1150</v>
      </c>
    </row>
    <row r="64" spans="1:20" ht="15" customHeight="1" x14ac:dyDescent="0.25">
      <c r="A64" t="s">
        <v>1055</v>
      </c>
      <c r="B64" s="118">
        <f t="shared" ref="B64:D64" si="34">B62+B63</f>
        <v>85.988655556049991</v>
      </c>
      <c r="C64" s="118">
        <f t="shared" si="34"/>
        <v>95.088655556049986</v>
      </c>
      <c r="D64" s="118">
        <f t="shared" si="34"/>
        <v>98.088655556049986</v>
      </c>
      <c r="E64" s="118">
        <f>E62+E63</f>
        <v>86.071988889383334</v>
      </c>
      <c r="F64" s="118">
        <f t="shared" ref="F64:P64" si="35">F62+F63</f>
        <v>91.07198888938332</v>
      </c>
      <c r="G64" s="118">
        <f t="shared" si="35"/>
        <v>96.07198888938332</v>
      </c>
      <c r="H64" s="118">
        <f t="shared" si="35"/>
        <v>96.071988889383334</v>
      </c>
      <c r="I64" s="118">
        <f t="shared" si="35"/>
        <v>96.071988889383334</v>
      </c>
      <c r="J64" s="118">
        <f t="shared" si="35"/>
        <v>96.071988889383334</v>
      </c>
      <c r="K64" s="118">
        <f t="shared" si="35"/>
        <v>96.071988889383334</v>
      </c>
      <c r="L64" s="118">
        <f t="shared" si="35"/>
        <v>106.07198888938333</v>
      </c>
      <c r="M64" s="118">
        <f t="shared" si="35"/>
        <v>86.071988889383334</v>
      </c>
      <c r="N64" s="118">
        <f t="shared" si="35"/>
        <v>86.071988889383334</v>
      </c>
      <c r="O64" s="118">
        <f t="shared" si="35"/>
        <v>86.071988889383334</v>
      </c>
      <c r="P64" s="118">
        <f t="shared" si="35"/>
        <v>86.071988889383334</v>
      </c>
      <c r="R64">
        <v>1.65</v>
      </c>
      <c r="T64" s="34" t="s">
        <v>1152</v>
      </c>
    </row>
    <row r="66" spans="1:19" ht="15" hidden="1" customHeight="1" x14ac:dyDescent="0.25">
      <c r="A66" s="245" t="s">
        <v>1090</v>
      </c>
      <c r="B66" s="246"/>
      <c r="C66" s="246"/>
      <c r="D66" s="246"/>
      <c r="E66" s="248">
        <f>'[18]Summary - Selling Expenses'!Z$7+'[18]Summary - Selling Expenses'!Z$8+'[18]Summary - Selling Expenses'!Z$30+'[18]Summary - Selling Expenses'!Z$31+'[18]Summary - Selling Expenses'!Z$38+'[18]Summary - Selling Expenses'!Z$39+'[18]Summary - Selling Expenses'!Z$46+'[18]Summary - Selling Expenses'!Z$47+'[18]Summary - Selling Expenses'!Z$329+'[18]Summary - Selling Expenses'!Z$330</f>
        <v>41372.61995223767</v>
      </c>
      <c r="F66" s="248">
        <f>'[18]Summary - Selling Expenses'!AA$7+'[18]Summary - Selling Expenses'!AA$8+'[18]Summary - Selling Expenses'!AA$30+'[18]Summary - Selling Expenses'!AA$31+'[18]Summary - Selling Expenses'!AA$38+'[18]Summary - Selling Expenses'!AA$39+'[18]Summary - Selling Expenses'!AA$46+'[18]Summary - Selling Expenses'!AA$47+'[18]Summary - Selling Expenses'!AA$329+'[18]Summary - Selling Expenses'!AA$330</f>
        <v>47166.509952237677</v>
      </c>
      <c r="G66" s="248">
        <f>'[18]Summary - Selling Expenses'!AB$7+'[18]Summary - Selling Expenses'!AB$8+'[18]Summary - Selling Expenses'!AB$30+'[18]Summary - Selling Expenses'!AB$31+'[18]Summary - Selling Expenses'!AB$38+'[18]Summary - Selling Expenses'!AB$39+'[18]Summary - Selling Expenses'!AB$46+'[18]Summary - Selling Expenses'!AB$47+'[18]Summary - Selling Expenses'!AB$329+'[18]Summary - Selling Expenses'!AB$330</f>
        <v>49093.791202237677</v>
      </c>
      <c r="H66" s="248">
        <f>'[18]Summary - Selling Expenses'!AC$7+'[18]Summary - Selling Expenses'!AC$8+'[18]Summary - Selling Expenses'!AC$30+'[18]Summary - Selling Expenses'!AC$31+'[18]Summary - Selling Expenses'!AC$38+'[18]Summary - Selling Expenses'!AC$39+'[18]Summary - Selling Expenses'!AC$46+'[18]Summary - Selling Expenses'!AC$47+'[18]Summary - Selling Expenses'!AC$329+'[18]Summary - Selling Expenses'!AC$330</f>
        <v>49012.358373290299</v>
      </c>
      <c r="I66" s="248">
        <f>'[18]Summary - Selling Expenses'!AD$7+'[18]Summary - Selling Expenses'!AD$8+'[18]Summary - Selling Expenses'!AD$30+'[18]Summary - Selling Expenses'!AD$31+'[18]Summary - Selling Expenses'!AD$38+'[18]Summary - Selling Expenses'!AD$39+'[18]Summary - Selling Expenses'!AD$46+'[18]Summary - Selling Expenses'!AD$47+'[18]Summary - Selling Expenses'!AD$329+'[18]Summary - Selling Expenses'!AD$330</f>
        <v>49012.358373290299</v>
      </c>
      <c r="J66" s="248">
        <f>'[18]Summary - Selling Expenses'!AE$7+'[18]Summary - Selling Expenses'!AE$8+'[18]Summary - Selling Expenses'!AE$30+'[18]Summary - Selling Expenses'!AE$31+'[18]Summary - Selling Expenses'!AE$38+'[18]Summary - Selling Expenses'!AE$39+'[18]Summary - Selling Expenses'!AE$46+'[18]Summary - Selling Expenses'!AE$47+'[18]Summary - Selling Expenses'!AE$329+'[18]Summary - Selling Expenses'!AE$330</f>
        <v>49145.448833816619</v>
      </c>
      <c r="K66" s="248">
        <f>'[18]Summary - Selling Expenses'!AF$7+'[18]Summary - Selling Expenses'!AF$8+'[18]Summary - Selling Expenses'!AF$30+'[18]Summary - Selling Expenses'!AF$31+'[18]Summary - Selling Expenses'!AF$38+'[18]Summary - Selling Expenses'!AF$39+'[18]Summary - Selling Expenses'!AF$46+'[18]Summary - Selling Expenses'!AF$47+'[18]Summary - Selling Expenses'!AF$329+'[18]Summary - Selling Expenses'!AF$330</f>
        <v>49012.358373290299</v>
      </c>
      <c r="L66" s="248">
        <f>'[18]Summary - Selling Expenses'!AG$7+'[18]Summary - Selling Expenses'!AG$8+'[18]Summary - Selling Expenses'!AG$30+'[18]Summary - Selling Expenses'!AG$31+'[18]Summary - Selling Expenses'!AG$38+'[18]Summary - Selling Expenses'!AG$39+'[18]Summary - Selling Expenses'!AG$46+'[18]Summary - Selling Expenses'!AG$47+'[18]Summary - Selling Expenses'!AG$329+'[18]Summary - Selling Expenses'!AG$330</f>
        <v>52587.358373290306</v>
      </c>
      <c r="M66" s="248">
        <f>'[18]Summary - Selling Expenses'!AH$7+'[18]Summary - Selling Expenses'!AH$8+'[18]Summary - Selling Expenses'!AH$30+'[18]Summary - Selling Expenses'!AH$31+'[18]Summary - Selling Expenses'!AH$38+'[18]Summary - Selling Expenses'!AH$39+'[18]Summary - Selling Expenses'!AH$46+'[18]Summary - Selling Expenses'!AH$47+'[18]Summary - Selling Expenses'!AH$329+'[18]Summary - Selling Expenses'!AH$330</f>
        <v>41566.851794342932</v>
      </c>
      <c r="N66" s="248">
        <f>'[18]Summary - Selling Expenses'!AI$7+'[18]Summary - Selling Expenses'!AI$8+'[18]Summary - Selling Expenses'!AI$30+'[18]Summary - Selling Expenses'!AI$31+'[18]Summary - Selling Expenses'!AI$38+'[18]Summary - Selling Expenses'!AI$39+'[18]Summary - Selling Expenses'!AI$46+'[18]Summary - Selling Expenses'!AI$47+'[18]Summary - Selling Expenses'!AI$329+'[18]Summary - Selling Expenses'!AI$330</f>
        <v>41437.358373290299</v>
      </c>
      <c r="O66" s="248">
        <f>'[18]Summary - Selling Expenses'!AJ$7+'[18]Summary - Selling Expenses'!AJ$8+'[18]Summary - Selling Expenses'!AJ$30+'[18]Summary - Selling Expenses'!AJ$31+'[18]Summary - Selling Expenses'!AJ$38+'[18]Summary - Selling Expenses'!AJ$39+'[18]Summary - Selling Expenses'!AJ$46+'[18]Summary - Selling Expenses'!AJ$47+'[18]Summary - Selling Expenses'!AJ$329+'[18]Summary - Selling Expenses'!AJ$330</f>
        <v>41437.358373290299</v>
      </c>
      <c r="P66" s="248">
        <f>'[18]Summary - Selling Expenses'!AK$7+'[18]Summary - Selling Expenses'!AK$8+'[18]Summary - Selling Expenses'!AK$30+'[18]Summary - Selling Expenses'!AK$31+'[18]Summary - Selling Expenses'!AK$38+'[18]Summary - Selling Expenses'!AK$39+'[18]Summary - Selling Expenses'!AK$46+'[18]Summary - Selling Expenses'!AK$47+'[18]Summary - Selling Expenses'!AK$329+'[18]Summary - Selling Expenses'!AK$330</f>
        <v>41564.453768027146</v>
      </c>
      <c r="Q66" s="246"/>
      <c r="R66" s="253">
        <f>SUM(E66:P66)</f>
        <v>552408.82574264146</v>
      </c>
    </row>
    <row r="67" spans="1:19" ht="15" hidden="1" customHeight="1" x14ac:dyDescent="0.25">
      <c r="A67" s="106" t="s">
        <v>1091</v>
      </c>
      <c r="E67" s="7">
        <f>'[18]Summary - Selling Expenses'!Z$36+'[18]Summary - Selling Expenses'!Z$65+'[18]Summary - Selling Expenses'!Z$66+'[18]Summary - Selling Expenses'!Z$81+'[18]Summary - Selling Expenses'!Z$82+'[18]Summary - Selling Expenses'!Z$92+'[18]Summary - Selling Expenses'!Z$93+'[18]Summary - Selling Expenses'!Z$117+'[18]Summary - Selling Expenses'!Z$118+'[18]Summary - Selling Expenses'!Z$139+'[18]Summary - Selling Expenses'!Z$140+'[18]Summary - Selling Expenses'!Z$158+'[18]Summary - Selling Expenses'!Z$160+'[18]Summary - Selling Expenses'!Z$173+'[18]Summary - Selling Expenses'!Z$174+'[18]Summary - Selling Expenses'!Z$195+'[18]Summary - Selling Expenses'!Z$196+'[18]Summary - Selling Expenses'!Z$213+'[18]Summary - Selling Expenses'!Z$215+'[18]Summary - Selling Expenses'!Z$216+'[18]Summary - Selling Expenses'!Z$235+'[18]Summary - Selling Expenses'!Z$236+'[18]Summary - Selling Expenses'!Z$281+'[18]Summary - Selling Expenses'!Z$282+'[18]Summary - Selling Expenses'!Z$288+'[18]Summary - Selling Expenses'!Z$290+'[18]Summary - Selling Expenses'!Z$305+'[18]Summary - Selling Expenses'!Z$306+'[18]Summary - Selling Expenses'!Z$350+'[18]Summary - Selling Expenses'!Z$351</f>
        <v>69905.140912077186</v>
      </c>
      <c r="F67" s="7">
        <f>'[18]Summary - Selling Expenses'!AA$36+'[18]Summary - Selling Expenses'!AA$65+'[18]Summary - Selling Expenses'!AA$66+'[18]Summary - Selling Expenses'!AA$81+'[18]Summary - Selling Expenses'!AA$82+'[18]Summary - Selling Expenses'!AA$92+'[18]Summary - Selling Expenses'!AA$93+'[18]Summary - Selling Expenses'!AA$117+'[18]Summary - Selling Expenses'!AA$118+'[18]Summary - Selling Expenses'!AA$139+'[18]Summary - Selling Expenses'!AA$140+'[18]Summary - Selling Expenses'!AA$158+'[18]Summary - Selling Expenses'!AA$160+'[18]Summary - Selling Expenses'!AA$173+'[18]Summary - Selling Expenses'!AA$174+'[18]Summary - Selling Expenses'!AA$195+'[18]Summary - Selling Expenses'!AA$196+'[18]Summary - Selling Expenses'!AA$213+'[18]Summary - Selling Expenses'!AA$215+'[18]Summary - Selling Expenses'!AA$216+'[18]Summary - Selling Expenses'!AA$235+'[18]Summary - Selling Expenses'!AA$236+'[18]Summary - Selling Expenses'!AA$281+'[18]Summary - Selling Expenses'!AA$282+'[18]Summary - Selling Expenses'!AA$288+'[18]Summary - Selling Expenses'!AA$290+'[18]Summary - Selling Expenses'!AA$305+'[18]Summary - Selling Expenses'!AA$306+'[18]Summary - Selling Expenses'!AA$350+'[18]Summary - Selling Expenses'!AA$351</f>
        <v>69905.140912077186</v>
      </c>
      <c r="G67" s="7">
        <f>'[18]Summary - Selling Expenses'!AB$36+'[18]Summary - Selling Expenses'!AB$65+'[18]Summary - Selling Expenses'!AB$66+'[18]Summary - Selling Expenses'!AB$81+'[18]Summary - Selling Expenses'!AB$82+'[18]Summary - Selling Expenses'!AB$92+'[18]Summary - Selling Expenses'!AB$93+'[18]Summary - Selling Expenses'!AB$117+'[18]Summary - Selling Expenses'!AB$118+'[18]Summary - Selling Expenses'!AB$139+'[18]Summary - Selling Expenses'!AB$140+'[18]Summary - Selling Expenses'!AB$158+'[18]Summary - Selling Expenses'!AB$160+'[18]Summary - Selling Expenses'!AB$173+'[18]Summary - Selling Expenses'!AB$174+'[18]Summary - Selling Expenses'!AB$195+'[18]Summary - Selling Expenses'!AB$196+'[18]Summary - Selling Expenses'!AB$213+'[18]Summary - Selling Expenses'!AB$215+'[18]Summary - Selling Expenses'!AB$216+'[18]Summary - Selling Expenses'!AB$235+'[18]Summary - Selling Expenses'!AB$236+'[18]Summary - Selling Expenses'!AB$281+'[18]Summary - Selling Expenses'!AB$282+'[18]Summary - Selling Expenses'!AB$288+'[18]Summary - Selling Expenses'!AB$290+'[18]Summary - Selling Expenses'!AB$305+'[18]Summary - Selling Expenses'!AB$306+'[18]Summary - Selling Expenses'!AB$350+'[18]Summary - Selling Expenses'!AB$351</f>
        <v>69905.140912077186</v>
      </c>
      <c r="H67" s="7">
        <f>'[18]Summary - Selling Expenses'!AC$36+'[18]Summary - Selling Expenses'!AC$65+'[18]Summary - Selling Expenses'!AC$66+'[18]Summary - Selling Expenses'!AC$81+'[18]Summary - Selling Expenses'!AC$82+'[18]Summary - Selling Expenses'!AC$92+'[18]Summary - Selling Expenses'!AC$93+'[18]Summary - Selling Expenses'!AC$117+'[18]Summary - Selling Expenses'!AC$118+'[18]Summary - Selling Expenses'!AC$139+'[18]Summary - Selling Expenses'!AC$140+'[18]Summary - Selling Expenses'!AC$158+'[18]Summary - Selling Expenses'!AC$160+'[18]Summary - Selling Expenses'!AC$173+'[18]Summary - Selling Expenses'!AC$174+'[18]Summary - Selling Expenses'!AC$195+'[18]Summary - Selling Expenses'!AC$196+'[18]Summary - Selling Expenses'!AC$213+'[18]Summary - Selling Expenses'!AC$215+'[18]Summary - Selling Expenses'!AC$216+'[18]Summary - Selling Expenses'!AC$235+'[18]Summary - Selling Expenses'!AC$236+'[18]Summary - Selling Expenses'!AC$281+'[18]Summary - Selling Expenses'!AC$282+'[18]Summary - Selling Expenses'!AC$288+'[18]Summary - Selling Expenses'!AC$290+'[18]Summary - Selling Expenses'!AC$305+'[18]Summary - Selling Expenses'!AC$306+'[18]Summary - Selling Expenses'!AC$350+'[18]Summary - Selling Expenses'!AC$351</f>
        <v>69905.140912077186</v>
      </c>
      <c r="I67" s="7">
        <f>'[18]Summary - Selling Expenses'!AD$36+'[18]Summary - Selling Expenses'!AD$65+'[18]Summary - Selling Expenses'!AD$66+'[18]Summary - Selling Expenses'!AD$81+'[18]Summary - Selling Expenses'!AD$82+'[18]Summary - Selling Expenses'!AD$92+'[18]Summary - Selling Expenses'!AD$93+'[18]Summary - Selling Expenses'!AD$117+'[18]Summary - Selling Expenses'!AD$118+'[18]Summary - Selling Expenses'!AD$139+'[18]Summary - Selling Expenses'!AD$140+'[18]Summary - Selling Expenses'!AD$158+'[18]Summary - Selling Expenses'!AD$160+'[18]Summary - Selling Expenses'!AD$173+'[18]Summary - Selling Expenses'!AD$174+'[18]Summary - Selling Expenses'!AD$195+'[18]Summary - Selling Expenses'!AD$196+'[18]Summary - Selling Expenses'!AD$213+'[18]Summary - Selling Expenses'!AD$215+'[18]Summary - Selling Expenses'!AD$216+'[18]Summary - Selling Expenses'!AD$235+'[18]Summary - Selling Expenses'!AD$236+'[18]Summary - Selling Expenses'!AD$281+'[18]Summary - Selling Expenses'!AD$282+'[18]Summary - Selling Expenses'!AD$288+'[18]Summary - Selling Expenses'!AD$290+'[18]Summary - Selling Expenses'!AD$305+'[18]Summary - Selling Expenses'!AD$306+'[18]Summary - Selling Expenses'!AD$350+'[18]Summary - Selling Expenses'!AD$351</f>
        <v>69905.140912077186</v>
      </c>
      <c r="J67" s="7">
        <f>'[18]Summary - Selling Expenses'!AE$36+'[18]Summary - Selling Expenses'!AE$65+'[18]Summary - Selling Expenses'!AE$66+'[18]Summary - Selling Expenses'!AE$81+'[18]Summary - Selling Expenses'!AE$82+'[18]Summary - Selling Expenses'!AE$92+'[18]Summary - Selling Expenses'!AE$93+'[18]Summary - Selling Expenses'!AE$117+'[18]Summary - Selling Expenses'!AE$118+'[18]Summary - Selling Expenses'!AE$139+'[18]Summary - Selling Expenses'!AE$140+'[18]Summary - Selling Expenses'!AE$158+'[18]Summary - Selling Expenses'!AE$160+'[18]Summary - Selling Expenses'!AE$173+'[18]Summary - Selling Expenses'!AE$174+'[18]Summary - Selling Expenses'!AE$195+'[18]Summary - Selling Expenses'!AE$196+'[18]Summary - Selling Expenses'!AE$213+'[18]Summary - Selling Expenses'!AE$215+'[18]Summary - Selling Expenses'!AE$216+'[18]Summary - Selling Expenses'!AE$235+'[18]Summary - Selling Expenses'!AE$236+'[18]Summary - Selling Expenses'!AE$281+'[18]Summary - Selling Expenses'!AE$282+'[18]Summary - Selling Expenses'!AE$288+'[18]Summary - Selling Expenses'!AE$290+'[18]Summary - Selling Expenses'!AE$305+'[18]Summary - Selling Expenses'!AE$306+'[18]Summary - Selling Expenses'!AE$350+'[18]Summary - Selling Expenses'!AE$351</f>
        <v>69905.140912077186</v>
      </c>
      <c r="K67" s="7">
        <f>'[18]Summary - Selling Expenses'!AF$36+'[18]Summary - Selling Expenses'!AF$65+'[18]Summary - Selling Expenses'!AF$66+'[18]Summary - Selling Expenses'!AF$81+'[18]Summary - Selling Expenses'!AF$82+'[18]Summary - Selling Expenses'!AF$92+'[18]Summary - Selling Expenses'!AF$93+'[18]Summary - Selling Expenses'!AF$117+'[18]Summary - Selling Expenses'!AF$118+'[18]Summary - Selling Expenses'!AF$139+'[18]Summary - Selling Expenses'!AF$140+'[18]Summary - Selling Expenses'!AF$158+'[18]Summary - Selling Expenses'!AF$160+'[18]Summary - Selling Expenses'!AF$173+'[18]Summary - Selling Expenses'!AF$174+'[18]Summary - Selling Expenses'!AF$195+'[18]Summary - Selling Expenses'!AF$196+'[18]Summary - Selling Expenses'!AF$213+'[18]Summary - Selling Expenses'!AF$215+'[18]Summary - Selling Expenses'!AF$216+'[18]Summary - Selling Expenses'!AF$235+'[18]Summary - Selling Expenses'!AF$236+'[18]Summary - Selling Expenses'!AF$281+'[18]Summary - Selling Expenses'!AF$282+'[18]Summary - Selling Expenses'!AF$288+'[18]Summary - Selling Expenses'!AF$290+'[18]Summary - Selling Expenses'!AF$305+'[18]Summary - Selling Expenses'!AF$306+'[18]Summary - Selling Expenses'!AF$350+'[18]Summary - Selling Expenses'!AF$351</f>
        <v>69905.140912077186</v>
      </c>
      <c r="L67" s="7">
        <f>'[18]Summary - Selling Expenses'!AG$36+'[18]Summary - Selling Expenses'!AG$65+'[18]Summary - Selling Expenses'!AG$66+'[18]Summary - Selling Expenses'!AG$81+'[18]Summary - Selling Expenses'!AG$82+'[18]Summary - Selling Expenses'!AG$92+'[18]Summary - Selling Expenses'!AG$93+'[18]Summary - Selling Expenses'!AG$117+'[18]Summary - Selling Expenses'!AG$118+'[18]Summary - Selling Expenses'!AG$139+'[18]Summary - Selling Expenses'!AG$140+'[18]Summary - Selling Expenses'!AG$158+'[18]Summary - Selling Expenses'!AG$160+'[18]Summary - Selling Expenses'!AG$173+'[18]Summary - Selling Expenses'!AG$174+'[18]Summary - Selling Expenses'!AG$195+'[18]Summary - Selling Expenses'!AG$196+'[18]Summary - Selling Expenses'!AG$213+'[18]Summary - Selling Expenses'!AG$215+'[18]Summary - Selling Expenses'!AG$216+'[18]Summary - Selling Expenses'!AG$235+'[18]Summary - Selling Expenses'!AG$236+'[18]Summary - Selling Expenses'!AG$281+'[18]Summary - Selling Expenses'!AG$282+'[18]Summary - Selling Expenses'!AG$288+'[18]Summary - Selling Expenses'!AG$290+'[18]Summary - Selling Expenses'!AG$305+'[18]Summary - Selling Expenses'!AG$306+'[18]Summary - Selling Expenses'!AG$350+'[18]Summary - Selling Expenses'!AG$351</f>
        <v>69905.140912077186</v>
      </c>
      <c r="M67" s="7">
        <f>'[18]Summary - Selling Expenses'!AH$36+'[18]Summary - Selling Expenses'!AH$65+'[18]Summary - Selling Expenses'!AH$66+'[18]Summary - Selling Expenses'!AH$81+'[18]Summary - Selling Expenses'!AH$82+'[18]Summary - Selling Expenses'!AH$92+'[18]Summary - Selling Expenses'!AH$93+'[18]Summary - Selling Expenses'!AH$117+'[18]Summary - Selling Expenses'!AH$118+'[18]Summary - Selling Expenses'!AH$139+'[18]Summary - Selling Expenses'!AH$140+'[18]Summary - Selling Expenses'!AH$158+'[18]Summary - Selling Expenses'!AH$160+'[18]Summary - Selling Expenses'!AH$173+'[18]Summary - Selling Expenses'!AH$174+'[18]Summary - Selling Expenses'!AH$195+'[18]Summary - Selling Expenses'!AH$196+'[18]Summary - Selling Expenses'!AH$213+'[18]Summary - Selling Expenses'!AH$215+'[18]Summary - Selling Expenses'!AH$216+'[18]Summary - Selling Expenses'!AH$235+'[18]Summary - Selling Expenses'!AH$236+'[18]Summary - Selling Expenses'!AH$281+'[18]Summary - Selling Expenses'!AH$282+'[18]Summary - Selling Expenses'!AH$288+'[18]Summary - Selling Expenses'!AH$290+'[18]Summary - Selling Expenses'!AH$305+'[18]Summary - Selling Expenses'!AH$306+'[18]Summary - Selling Expenses'!AH$350+'[18]Summary - Selling Expenses'!AH$351</f>
        <v>69905.140912077186</v>
      </c>
      <c r="N67" s="7">
        <f>'[18]Summary - Selling Expenses'!AI$36+'[18]Summary - Selling Expenses'!AI$65+'[18]Summary - Selling Expenses'!AI$66+'[18]Summary - Selling Expenses'!AI$81+'[18]Summary - Selling Expenses'!AI$82+'[18]Summary - Selling Expenses'!AI$92+'[18]Summary - Selling Expenses'!AI$93+'[18]Summary - Selling Expenses'!AI$117+'[18]Summary - Selling Expenses'!AI$118+'[18]Summary - Selling Expenses'!AI$139+'[18]Summary - Selling Expenses'!AI$140+'[18]Summary - Selling Expenses'!AI$158+'[18]Summary - Selling Expenses'!AI$160+'[18]Summary - Selling Expenses'!AI$173+'[18]Summary - Selling Expenses'!AI$174+'[18]Summary - Selling Expenses'!AI$195+'[18]Summary - Selling Expenses'!AI$196+'[18]Summary - Selling Expenses'!AI$213+'[18]Summary - Selling Expenses'!AI$215+'[18]Summary - Selling Expenses'!AI$216+'[18]Summary - Selling Expenses'!AI$235+'[18]Summary - Selling Expenses'!AI$236+'[18]Summary - Selling Expenses'!AI$281+'[18]Summary - Selling Expenses'!AI$282+'[18]Summary - Selling Expenses'!AI$288+'[18]Summary - Selling Expenses'!AI$290+'[18]Summary - Selling Expenses'!AI$305+'[18]Summary - Selling Expenses'!AI$306+'[18]Summary - Selling Expenses'!AI$350+'[18]Summary - Selling Expenses'!AI$351</f>
        <v>69905.140912077186</v>
      </c>
      <c r="O67" s="7">
        <f>'[18]Summary - Selling Expenses'!AJ$36+'[18]Summary - Selling Expenses'!AJ$65+'[18]Summary - Selling Expenses'!AJ$66+'[18]Summary - Selling Expenses'!AJ$81+'[18]Summary - Selling Expenses'!AJ$82+'[18]Summary - Selling Expenses'!AJ$92+'[18]Summary - Selling Expenses'!AJ$93+'[18]Summary - Selling Expenses'!AJ$117+'[18]Summary - Selling Expenses'!AJ$118+'[18]Summary - Selling Expenses'!AJ$139+'[18]Summary - Selling Expenses'!AJ$140+'[18]Summary - Selling Expenses'!AJ$158+'[18]Summary - Selling Expenses'!AJ$160+'[18]Summary - Selling Expenses'!AJ$173+'[18]Summary - Selling Expenses'!AJ$174+'[18]Summary - Selling Expenses'!AJ$195+'[18]Summary - Selling Expenses'!AJ$196+'[18]Summary - Selling Expenses'!AJ$213+'[18]Summary - Selling Expenses'!AJ$215+'[18]Summary - Selling Expenses'!AJ$216+'[18]Summary - Selling Expenses'!AJ$235+'[18]Summary - Selling Expenses'!AJ$236+'[18]Summary - Selling Expenses'!AJ$281+'[18]Summary - Selling Expenses'!AJ$282+'[18]Summary - Selling Expenses'!AJ$288+'[18]Summary - Selling Expenses'!AJ$290+'[18]Summary - Selling Expenses'!AJ$305+'[18]Summary - Selling Expenses'!AJ$306+'[18]Summary - Selling Expenses'!AJ$350+'[18]Summary - Selling Expenses'!AJ$351</f>
        <v>69905.140912077186</v>
      </c>
      <c r="P67" s="7">
        <f>'[18]Summary - Selling Expenses'!AK$36+'[18]Summary - Selling Expenses'!AK$65+'[18]Summary - Selling Expenses'!AK$66+'[18]Summary - Selling Expenses'!AK$81+'[18]Summary - Selling Expenses'!AK$82+'[18]Summary - Selling Expenses'!AK$92+'[18]Summary - Selling Expenses'!AK$93+'[18]Summary - Selling Expenses'!AK$117+'[18]Summary - Selling Expenses'!AK$118+'[18]Summary - Selling Expenses'!AK$139+'[18]Summary - Selling Expenses'!AK$140+'[18]Summary - Selling Expenses'!AK$158+'[18]Summary - Selling Expenses'!AK$160+'[18]Summary - Selling Expenses'!AK$173+'[18]Summary - Selling Expenses'!AK$174+'[18]Summary - Selling Expenses'!AK$195+'[18]Summary - Selling Expenses'!AK$196+'[18]Summary - Selling Expenses'!AK$213+'[18]Summary - Selling Expenses'!AK$215+'[18]Summary - Selling Expenses'!AK$216+'[18]Summary - Selling Expenses'!AK$235+'[18]Summary - Selling Expenses'!AK$236+'[18]Summary - Selling Expenses'!AK$281+'[18]Summary - Selling Expenses'!AK$282+'[18]Summary - Selling Expenses'!AK$288+'[18]Summary - Selling Expenses'!AK$290+'[18]Summary - Selling Expenses'!AK$305+'[18]Summary - Selling Expenses'!AK$306+'[18]Summary - Selling Expenses'!AK$350+'[18]Summary - Selling Expenses'!AK$351</f>
        <v>69905.140912077186</v>
      </c>
      <c r="R67" s="254">
        <f t="shared" ref="R67:R68" si="36">SUM(E67:P67)</f>
        <v>838861.690944926</v>
      </c>
    </row>
    <row r="68" spans="1:19" ht="15" hidden="1" customHeight="1" x14ac:dyDescent="0.25">
      <c r="A68" s="106" t="s">
        <v>1092</v>
      </c>
      <c r="E68" s="7">
        <f>E66+E67</f>
        <v>111277.76086431486</v>
      </c>
      <c r="F68" s="7">
        <f t="shared" ref="F68:P68" si="37">F66+F67</f>
        <v>117071.65086431487</v>
      </c>
      <c r="G68" s="7">
        <f t="shared" si="37"/>
        <v>118998.93211431487</v>
      </c>
      <c r="H68" s="7">
        <f t="shared" si="37"/>
        <v>118917.49928536749</v>
      </c>
      <c r="I68" s="7">
        <f t="shared" si="37"/>
        <v>118917.49928536749</v>
      </c>
      <c r="J68" s="7">
        <f t="shared" si="37"/>
        <v>119050.58974589381</v>
      </c>
      <c r="K68" s="7">
        <f t="shared" si="37"/>
        <v>118917.49928536749</v>
      </c>
      <c r="L68" s="7">
        <f t="shared" si="37"/>
        <v>122492.49928536749</v>
      </c>
      <c r="M68" s="7">
        <f t="shared" si="37"/>
        <v>111471.99270642012</v>
      </c>
      <c r="N68" s="7">
        <f t="shared" si="37"/>
        <v>111342.49928536749</v>
      </c>
      <c r="O68" s="7">
        <f t="shared" si="37"/>
        <v>111342.49928536749</v>
      </c>
      <c r="P68" s="7">
        <f t="shared" si="37"/>
        <v>111469.59468010433</v>
      </c>
      <c r="R68" s="254">
        <f t="shared" si="36"/>
        <v>1391270.516687568</v>
      </c>
    </row>
    <row r="69" spans="1:19" ht="15" hidden="1" customHeight="1" thickBot="1" x14ac:dyDescent="0.3">
      <c r="A69" s="250"/>
      <c r="B69" s="251"/>
      <c r="C69" s="251"/>
      <c r="D69" s="251"/>
      <c r="E69" s="251"/>
      <c r="F69" s="251"/>
      <c r="G69" s="251"/>
      <c r="H69" s="251"/>
      <c r="I69" s="251"/>
      <c r="J69" s="251"/>
      <c r="K69" s="251"/>
      <c r="L69" s="251"/>
      <c r="M69" s="251"/>
      <c r="N69" s="251"/>
      <c r="O69" s="251"/>
      <c r="P69" s="251"/>
      <c r="Q69" s="251"/>
      <c r="R69" s="255">
        <f>SUMIFS('[18]Summary - Selling Expenses'!$AL:$AL,'[18]Summary - Selling Expenses'!$C:$C,120,'[18]Summary - Selling Expenses'!$D:$D,'[18]Summary - Selling Expenses'!$D$7)+SUMIFS('[18]Summary - Selling Expenses'!$AL:$AL,'[18]Summary - Selling Expenses'!$C:$C,121,'[18]Summary - Selling Expenses'!$D:$D,'[18]Summary - Selling Expenses'!$D$7)+SUMIFS('[18]Summary - Selling Expenses'!$AL:$AL,'[18]Summary - Selling Expenses'!$C:$C,110,'[18]Summary - Selling Expenses'!$D:$D,'[18]Summary - Selling Expenses'!$D$7)-R68</f>
        <v>0</v>
      </c>
      <c r="S69" s="34" t="s">
        <v>1093</v>
      </c>
    </row>
    <row r="70" spans="1:19" ht="15" customHeight="1" x14ac:dyDescent="0.25">
      <c r="A70" s="279" t="s">
        <v>1330</v>
      </c>
      <c r="E70" s="7">
        <v>88550</v>
      </c>
      <c r="F70" s="7">
        <v>112912.96296296295</v>
      </c>
      <c r="G70" s="7">
        <v>129822.2222222222</v>
      </c>
      <c r="H70" s="7">
        <v>139276.31578947368</v>
      </c>
      <c r="I70" s="7">
        <v>139276.31578947368</v>
      </c>
      <c r="J70" s="7">
        <v>139276.31578947368</v>
      </c>
      <c r="K70" s="7">
        <v>139276.31578947368</v>
      </c>
      <c r="L70" s="7">
        <v>164276.31578947365</v>
      </c>
      <c r="M70" s="7">
        <v>114276.31578947368</v>
      </c>
      <c r="N70" s="7">
        <v>114276.31578947368</v>
      </c>
      <c r="O70" s="7">
        <v>114276.31578947368</v>
      </c>
      <c r="P70" s="7">
        <v>114276.31578947368</v>
      </c>
    </row>
    <row r="71" spans="1:19" ht="15" customHeight="1" x14ac:dyDescent="0.25">
      <c r="A71" s="279" t="s">
        <v>1344</v>
      </c>
      <c r="E71" s="7">
        <f>1.25*2500</f>
        <v>3125</v>
      </c>
      <c r="F71" s="7">
        <f t="shared" ref="F71:P71" si="38">1.25*2500</f>
        <v>3125</v>
      </c>
      <c r="G71" s="7">
        <f t="shared" si="38"/>
        <v>3125</v>
      </c>
      <c r="H71" s="7">
        <f t="shared" si="38"/>
        <v>3125</v>
      </c>
      <c r="I71" s="7">
        <f t="shared" si="38"/>
        <v>3125</v>
      </c>
      <c r="J71" s="7">
        <f t="shared" si="38"/>
        <v>3125</v>
      </c>
      <c r="K71" s="7">
        <f t="shared" si="38"/>
        <v>3125</v>
      </c>
      <c r="L71" s="7">
        <f t="shared" si="38"/>
        <v>3125</v>
      </c>
      <c r="M71" s="7">
        <f t="shared" si="38"/>
        <v>3125</v>
      </c>
      <c r="N71" s="7">
        <f t="shared" si="38"/>
        <v>3125</v>
      </c>
      <c r="O71" s="7">
        <f t="shared" si="38"/>
        <v>3125</v>
      </c>
      <c r="P71" s="7">
        <f t="shared" si="38"/>
        <v>3125</v>
      </c>
    </row>
    <row r="72" spans="1:19" ht="15" customHeight="1" x14ac:dyDescent="0.25">
      <c r="A72" s="279" t="s">
        <v>1331</v>
      </c>
      <c r="E72" s="7">
        <f>E70+E71</f>
        <v>91675</v>
      </c>
      <c r="F72" s="7">
        <f t="shared" ref="F72:P72" si="39">F70+F71</f>
        <v>116037.96296296295</v>
      </c>
      <c r="G72" s="7">
        <f t="shared" si="39"/>
        <v>132947.22222222219</v>
      </c>
      <c r="H72" s="7">
        <f t="shared" si="39"/>
        <v>142401.31578947368</v>
      </c>
      <c r="I72" s="7">
        <f t="shared" si="39"/>
        <v>142401.31578947368</v>
      </c>
      <c r="J72" s="7">
        <f t="shared" si="39"/>
        <v>142401.31578947368</v>
      </c>
      <c r="K72" s="7">
        <f t="shared" si="39"/>
        <v>142401.31578947368</v>
      </c>
      <c r="L72" s="7">
        <f t="shared" si="39"/>
        <v>167401.31578947365</v>
      </c>
      <c r="M72" s="7">
        <f t="shared" si="39"/>
        <v>117401.31578947368</v>
      </c>
      <c r="N72" s="7">
        <f t="shared" si="39"/>
        <v>117401.31578947368</v>
      </c>
      <c r="O72" s="7">
        <f t="shared" si="39"/>
        <v>117401.31578947368</v>
      </c>
      <c r="P72" s="7">
        <f t="shared" si="39"/>
        <v>117401.31578947368</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6DFAC-69B2-4556-A75A-1F4226CE9E9F}">
  <sheetPr>
    <tabColor theme="9" tint="0.79998168889431442"/>
  </sheetPr>
  <dimension ref="A1:T68"/>
  <sheetViews>
    <sheetView workbookViewId="0"/>
  </sheetViews>
  <sheetFormatPr defaultRowHeight="15" customHeight="1" x14ac:dyDescent="0.25"/>
  <cols>
    <col min="1" max="1" width="28" bestFit="1" customWidth="1"/>
    <col min="2" max="4" width="10.7109375" hidden="1" customWidth="1"/>
    <col min="5" max="5" width="11.28515625" bestFit="1" customWidth="1" collapsed="1"/>
    <col min="6" max="7" width="11.28515625" bestFit="1" customWidth="1"/>
    <col min="8" max="8" width="11.28515625" bestFit="1" customWidth="1" collapsed="1"/>
    <col min="9" max="10" width="11.28515625" bestFit="1" customWidth="1"/>
    <col min="11" max="11" width="11.28515625" bestFit="1" customWidth="1" collapsed="1"/>
    <col min="12" max="16" width="11.28515625" bestFit="1" customWidth="1"/>
    <col min="17" max="17" width="2.85546875" customWidth="1"/>
    <col min="18" max="18" width="11.28515625" bestFit="1" customWidth="1"/>
    <col min="19" max="19" width="9.140625" style="34"/>
  </cols>
  <sheetData>
    <row r="1" spans="1:20" s="21" customFormat="1" ht="15.75" x14ac:dyDescent="0.25">
      <c r="A1" s="55" t="s">
        <v>1103</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76" t="s">
        <v>951</v>
      </c>
      <c r="S1" s="117"/>
    </row>
    <row r="2" spans="1:20" ht="15" customHeight="1" x14ac:dyDescent="0.25">
      <c r="A2" s="49"/>
      <c r="B2" s="76" t="s">
        <v>958</v>
      </c>
      <c r="C2" s="76" t="s">
        <v>958</v>
      </c>
      <c r="D2" s="76" t="s">
        <v>958</v>
      </c>
      <c r="E2" s="76" t="s">
        <v>958</v>
      </c>
      <c r="F2" s="76" t="s">
        <v>958</v>
      </c>
      <c r="G2" s="76" t="s">
        <v>958</v>
      </c>
      <c r="H2" s="76" t="s">
        <v>958</v>
      </c>
      <c r="I2" s="76" t="s">
        <v>958</v>
      </c>
      <c r="J2" s="76" t="s">
        <v>958</v>
      </c>
      <c r="K2" s="76" t="s">
        <v>958</v>
      </c>
      <c r="L2" s="76" t="s">
        <v>958</v>
      </c>
      <c r="M2" s="76" t="s">
        <v>958</v>
      </c>
      <c r="N2" s="76" t="s">
        <v>958</v>
      </c>
      <c r="O2" s="76" t="s">
        <v>959</v>
      </c>
      <c r="P2" s="76" t="s">
        <v>959</v>
      </c>
      <c r="Q2" s="5"/>
      <c r="R2" s="76" t="s">
        <v>961</v>
      </c>
    </row>
    <row r="3" spans="1:20" x14ac:dyDescent="0.25">
      <c r="A3" s="50"/>
      <c r="B3" s="50"/>
      <c r="C3" s="50"/>
      <c r="D3" s="50"/>
      <c r="E3" s="50"/>
      <c r="F3" s="50"/>
      <c r="G3" s="50"/>
      <c r="H3" s="50"/>
      <c r="I3" s="50"/>
      <c r="J3" s="50"/>
      <c r="K3" s="50"/>
      <c r="L3" s="50"/>
      <c r="M3" s="50"/>
      <c r="N3" s="50"/>
      <c r="O3" s="50"/>
      <c r="P3" s="50"/>
      <c r="R3" s="50"/>
    </row>
    <row r="4" spans="1:20" x14ac:dyDescent="0.25">
      <c r="A4" s="50" t="s">
        <v>1104</v>
      </c>
      <c r="B4" s="50">
        <f>'[3]NS USED VEHICLE'!$B$6+'[3]NS USED VEHICLE'!$B$7</f>
        <v>34</v>
      </c>
      <c r="C4" s="50">
        <f>'[4]NS USED VEHICLE'!$B$6+'[4]NS USED VEHICLE'!$B$7</f>
        <v>37</v>
      </c>
      <c r="D4" s="50">
        <f>'[5]NS USED VEHICLE'!$B$6+'[5]NS USED VEHICLE'!$B$7</f>
        <v>38</v>
      </c>
      <c r="E4" s="50">
        <f>'[6]NS USED VEHICLE'!$B$6+'[6]NS USED VEHICLE'!$B$7</f>
        <v>33</v>
      </c>
      <c r="F4" s="50">
        <f>'[7]NS USED VEHICLE'!$B$6+'[7]NS USED VEHICLE'!$B$7</f>
        <v>36</v>
      </c>
      <c r="G4" s="50">
        <f>'[8]NS USED VEHICLE'!$B$6+'[8]NS USED VEHICLE'!$B$7</f>
        <v>29</v>
      </c>
      <c r="H4" s="50">
        <f>'[9]NS USED VEHICLE'!$B$6+'[9]NS USED VEHICLE'!$B$7</f>
        <v>16</v>
      </c>
      <c r="I4" s="50">
        <f>'[10]NS USED VEHICLE'!$B$6+'[10]NS USED VEHICLE'!$B$7</f>
        <v>24</v>
      </c>
      <c r="J4" s="50">
        <f>'[11]NS USED VEHICLE'!$B$6+'[11]NS USED VEHICLE'!$B$7</f>
        <v>41</v>
      </c>
      <c r="K4" s="50">
        <f>'[12]NS USED VEHICLE'!$B$6+'[12]NS USED VEHICLE'!$B$7</f>
        <v>42</v>
      </c>
      <c r="L4" s="50">
        <f>'[13]NS USED VEHICLE'!$B$6+'[13]NS USED VEHICLE'!$B$7</f>
        <v>50</v>
      </c>
      <c r="M4" s="50">
        <f>'[14]NS USED VEHICLE'!$B$6+'[14]NS USED VEHICLE'!$B$7</f>
        <v>49</v>
      </c>
      <c r="N4" s="50">
        <f>'[15]NS USED VEHICLE'!$B$6+'[15]NS USED VEHICLE'!$B$7</f>
        <v>34</v>
      </c>
      <c r="O4" s="50">
        <f>'[16]NS USED VEHICLE'!$C$6+'[16]NS USED VEHICLE'!$C$7</f>
        <v>29.1</v>
      </c>
      <c r="P4" s="50">
        <f>'[17]NS USED VEHICLE'!$C$6+'[17]NS USED VEHICLE'!$C$7</f>
        <v>29.1</v>
      </c>
      <c r="Q4" s="8"/>
      <c r="R4" s="52">
        <f>SUM(E4:P4)</f>
        <v>412.20000000000005</v>
      </c>
    </row>
    <row r="5" spans="1:20" ht="15" customHeight="1" x14ac:dyDescent="0.25">
      <c r="A5" s="50" t="s">
        <v>1105</v>
      </c>
      <c r="B5" s="50">
        <f>'[3]NS USED VEHICLE'!$B$8</f>
        <v>4</v>
      </c>
      <c r="C5" s="50">
        <f>'[4]NS USED VEHICLE'!$B$8</f>
        <v>8</v>
      </c>
      <c r="D5" s="50">
        <f>'[5]NS USED VEHICLE'!$B$8</f>
        <v>11</v>
      </c>
      <c r="E5" s="50">
        <f>'[6]NS USED VEHICLE'!$B$8</f>
        <v>3</v>
      </c>
      <c r="F5" s="50">
        <f>'[7]NS USED VEHICLE'!$B$8</f>
        <v>6</v>
      </c>
      <c r="G5" s="50">
        <f>'[8]NS USED VEHICLE'!$B$8</f>
        <v>2</v>
      </c>
      <c r="H5" s="50">
        <f>'[9]NS USED VEHICLE'!$B$8</f>
        <v>4</v>
      </c>
      <c r="I5" s="50">
        <f>'[10]NS USED VEHICLE'!$B$8</f>
        <v>6</v>
      </c>
      <c r="J5" s="50">
        <f>'[11]NS USED VEHICLE'!$B$8</f>
        <v>7</v>
      </c>
      <c r="K5" s="50">
        <f>'[12]NS USED VEHICLE'!$B$8</f>
        <v>1</v>
      </c>
      <c r="L5" s="50">
        <f>'[13]NS USED VEHICLE'!$B$8</f>
        <v>7</v>
      </c>
      <c r="M5" s="50">
        <f>'[14]NS USED VEHICLE'!$B$8</f>
        <v>3</v>
      </c>
      <c r="N5" s="50">
        <f>'[15]NS USED VEHICLE'!$B$8</f>
        <v>1</v>
      </c>
      <c r="O5" s="50">
        <f>'[16]NS USED VEHICLE'!$C$8</f>
        <v>3</v>
      </c>
      <c r="P5" s="50">
        <f>'[17]NS USED VEHICLE'!$C$8</f>
        <v>3</v>
      </c>
      <c r="Q5" s="3"/>
      <c r="R5" s="52">
        <f>SUM(E5:P5)</f>
        <v>46</v>
      </c>
      <c r="T5" s="118"/>
    </row>
    <row r="6" spans="1:20" x14ac:dyDescent="0.25">
      <c r="A6" s="50" t="s">
        <v>1106</v>
      </c>
      <c r="B6" s="50">
        <f>'[3]NS USED VEHICLE'!$B$9</f>
        <v>26</v>
      </c>
      <c r="C6" s="50">
        <f>'[4]NS USED VEHICLE'!$B$9</f>
        <v>41</v>
      </c>
      <c r="D6" s="50">
        <f>'[5]NS USED VEHICLE'!$B$9</f>
        <v>46</v>
      </c>
      <c r="E6" s="50">
        <f>'[6]NS USED VEHICLE'!$B$9</f>
        <v>41</v>
      </c>
      <c r="F6" s="50">
        <f>'[7]NS USED VEHICLE'!$B$9</f>
        <v>34</v>
      </c>
      <c r="G6" s="50">
        <f>'[8]NS USED VEHICLE'!$B$9</f>
        <v>52</v>
      </c>
      <c r="H6" s="50">
        <f>'[9]NS USED VEHICLE'!$B$9</f>
        <v>43</v>
      </c>
      <c r="I6" s="50">
        <f>'[10]NS USED VEHICLE'!$B$9</f>
        <v>44</v>
      </c>
      <c r="J6" s="50">
        <f>'[11]NS USED VEHICLE'!$B$9</f>
        <v>44</v>
      </c>
      <c r="K6" s="50">
        <f>'[12]NS USED VEHICLE'!$B$9</f>
        <v>45</v>
      </c>
      <c r="L6" s="50">
        <f>'[13]NS USED VEHICLE'!$B$9</f>
        <v>43</v>
      </c>
      <c r="M6" s="50">
        <f>'[14]NS USED VEHICLE'!$B$9</f>
        <v>39</v>
      </c>
      <c r="N6" s="50">
        <f>'[15]NS USED VEHICLE'!$B$9</f>
        <v>42</v>
      </c>
      <c r="O6" s="50">
        <f>'[16]NS USED VEHICLE'!$C$9</f>
        <v>56</v>
      </c>
      <c r="P6" s="50">
        <f>'[17]NS USED VEHICLE'!$C$9</f>
        <v>59</v>
      </c>
      <c r="Q6" s="3"/>
      <c r="R6" s="52">
        <f>SUM(E6:P6)</f>
        <v>542</v>
      </c>
    </row>
    <row r="7" spans="1:20" x14ac:dyDescent="0.25">
      <c r="A7" s="50" t="s">
        <v>1107</v>
      </c>
      <c r="B7" s="50">
        <f>SUM(B4:B6)</f>
        <v>64</v>
      </c>
      <c r="C7" s="50">
        <f t="shared" ref="C7:M7" si="0">SUM(C4:C6)</f>
        <v>86</v>
      </c>
      <c r="D7" s="50">
        <f t="shared" si="0"/>
        <v>95</v>
      </c>
      <c r="E7" s="50">
        <f t="shared" si="0"/>
        <v>77</v>
      </c>
      <c r="F7" s="50">
        <f t="shared" si="0"/>
        <v>76</v>
      </c>
      <c r="G7" s="50">
        <f t="shared" si="0"/>
        <v>83</v>
      </c>
      <c r="H7" s="50">
        <f t="shared" si="0"/>
        <v>63</v>
      </c>
      <c r="I7" s="50">
        <f t="shared" si="0"/>
        <v>74</v>
      </c>
      <c r="J7" s="50">
        <f t="shared" si="0"/>
        <v>92</v>
      </c>
      <c r="K7" s="50">
        <f t="shared" si="0"/>
        <v>88</v>
      </c>
      <c r="L7" s="50">
        <f t="shared" si="0"/>
        <v>100</v>
      </c>
      <c r="M7" s="50">
        <f t="shared" si="0"/>
        <v>91</v>
      </c>
      <c r="N7" s="50">
        <f>SUM(N4:N6)</f>
        <v>77</v>
      </c>
      <c r="O7" s="50">
        <f>SUM(O4:O6)</f>
        <v>88.1</v>
      </c>
      <c r="P7" s="50">
        <f>SUM(P4:P6)</f>
        <v>91.1</v>
      </c>
      <c r="Q7" s="3"/>
      <c r="R7" s="52">
        <f>SUM(E7:P7)</f>
        <v>1000.2</v>
      </c>
    </row>
    <row r="8" spans="1:20" x14ac:dyDescent="0.25">
      <c r="A8" s="50" t="s">
        <v>1066</v>
      </c>
      <c r="B8" s="50">
        <f>'[3]NS USED VEHICLE'!$B$37</f>
        <v>4</v>
      </c>
      <c r="C8" s="50">
        <f>'[4]NS USED VEHICLE'!$B$37</f>
        <v>4</v>
      </c>
      <c r="D8" s="50">
        <f>'[5]NS USED VEHICLE'!$B$37</f>
        <v>4</v>
      </c>
      <c r="E8" s="50">
        <f>'[6]NS USED VEHICLE'!$B$37</f>
        <v>5</v>
      </c>
      <c r="F8" s="50">
        <f>'[7]NS USED VEHICLE'!$B$37</f>
        <v>6</v>
      </c>
      <c r="G8" s="50">
        <f>'[8]NS USED VEHICLE'!$B$37</f>
        <v>6</v>
      </c>
      <c r="H8" s="50">
        <f>'[9]NS USED VEHICLE'!$B$37</f>
        <v>4</v>
      </c>
      <c r="I8" s="50">
        <f>'[10]NS USED VEHICLE'!$B$37</f>
        <v>5</v>
      </c>
      <c r="J8" s="50">
        <f>'[11]NS USED VEHICLE'!$B$37</f>
        <v>5</v>
      </c>
      <c r="K8" s="50">
        <f>'[12]NS USED VEHICLE'!$B$37</f>
        <v>5</v>
      </c>
      <c r="L8" s="50">
        <f>'[13]NS USED VEHICLE'!$B$37</f>
        <v>5</v>
      </c>
      <c r="M8" s="50">
        <f>'[14]NS USED VEHICLE'!$B$37</f>
        <v>5</v>
      </c>
      <c r="N8" s="50">
        <v>5</v>
      </c>
      <c r="O8" s="50">
        <f>'[16]NS USED VEHICLE'!$C$37</f>
        <v>5</v>
      </c>
      <c r="P8" s="50">
        <f>'[17]NS USED VEHICLE'!$C$37</f>
        <v>5</v>
      </c>
      <c r="Q8" s="3"/>
      <c r="R8" s="41">
        <f>AVERAGE(E8:P8)</f>
        <v>5.083333333333333</v>
      </c>
    </row>
    <row r="9" spans="1:20" x14ac:dyDescent="0.25">
      <c r="A9" s="50" t="s">
        <v>1108</v>
      </c>
      <c r="B9" s="50">
        <f>B7/B8</f>
        <v>16</v>
      </c>
      <c r="C9" s="50">
        <f t="shared" ref="C9:M9" si="1">C7/C8</f>
        <v>21.5</v>
      </c>
      <c r="D9" s="50">
        <f t="shared" si="1"/>
        <v>23.75</v>
      </c>
      <c r="E9" s="50">
        <f t="shared" si="1"/>
        <v>15.4</v>
      </c>
      <c r="F9" s="50">
        <f t="shared" si="1"/>
        <v>12.666666666666666</v>
      </c>
      <c r="G9" s="50">
        <f t="shared" si="1"/>
        <v>13.833333333333334</v>
      </c>
      <c r="H9" s="50">
        <f t="shared" si="1"/>
        <v>15.75</v>
      </c>
      <c r="I9" s="50">
        <f t="shared" si="1"/>
        <v>14.8</v>
      </c>
      <c r="J9" s="50">
        <f>J7/J8</f>
        <v>18.399999999999999</v>
      </c>
      <c r="K9" s="50">
        <f t="shared" si="1"/>
        <v>17.600000000000001</v>
      </c>
      <c r="L9" s="50">
        <f t="shared" si="1"/>
        <v>20</v>
      </c>
      <c r="M9" s="50">
        <f t="shared" si="1"/>
        <v>18.2</v>
      </c>
      <c r="N9" s="50">
        <f>N7/N8</f>
        <v>15.4</v>
      </c>
      <c r="O9" s="50">
        <f>O7/O8</f>
        <v>17.619999999999997</v>
      </c>
      <c r="P9" s="50">
        <f>P7/P8</f>
        <v>18.22</v>
      </c>
      <c r="Q9" s="3"/>
      <c r="R9" s="41">
        <f>AVERAGE(E9:P9)</f>
        <v>16.490833333333331</v>
      </c>
    </row>
    <row r="10" spans="1:20" x14ac:dyDescent="0.25">
      <c r="A10" s="50"/>
      <c r="B10" s="50"/>
      <c r="C10" s="50"/>
      <c r="D10" s="50"/>
      <c r="E10" s="50"/>
      <c r="F10" s="50"/>
      <c r="G10" s="50"/>
      <c r="H10" s="50"/>
      <c r="I10" s="50"/>
      <c r="J10" s="50"/>
      <c r="K10" s="50"/>
      <c r="L10" s="50"/>
      <c r="M10" s="50"/>
      <c r="N10" s="50"/>
      <c r="O10" s="50"/>
      <c r="P10" s="50"/>
      <c r="R10" s="52"/>
    </row>
    <row r="11" spans="1:20" ht="15" customHeight="1" x14ac:dyDescent="0.25">
      <c r="A11" s="50" t="s">
        <v>1109</v>
      </c>
      <c r="B11" s="53">
        <f>('[3]NS USED VEHICLE'!$B$6*'[3]NS USED VEHICLE'!$B$20+'[3]NS USED VEHICLE'!$B$7*'[3]NS USED VEHICLE'!$B$15)/('[3]NS USED VEHICLE'!$B$6+'[3]NS USED VEHICLE'!$B$7)</f>
        <v>1326.7161072664355</v>
      </c>
      <c r="C11" s="53">
        <f>('[4]NS USED VEHICLE'!$B$6*'[4]NS USED VEHICLE'!$B$14+'[4]NS USED VEHICLE'!$B$7*'[4]NS USED VEHICLE'!$B$15)/('[4]NS USED VEHICLE'!$B$6+'[4]NS USED VEHICLE'!$B$7)</f>
        <v>1084.9491891891885</v>
      </c>
      <c r="D11" s="53">
        <f>('[5]NS USED VEHICLE'!$B$6*'[5]NS USED VEHICLE'!$B$14+'[5]NS USED VEHICLE'!$B$7*'[5]NS USED VEHICLE'!$B$15)/('[5]NS USED VEHICLE'!$B$6+'[5]NS USED VEHICLE'!$B$7)</f>
        <v>1087.3005263157875</v>
      </c>
      <c r="E11" s="53">
        <f>('[6]NS USED VEHICLE'!B6*'[6]NS USED VEHICLE'!B14+'[6]NS USED VEHICLE'!B7*'[6]NS USED VEHICLE'!B15)/('[6]NS USED VEHICLE'!B6+'[6]NS USED VEHICLE'!B7)</f>
        <v>1346.5021212121196</v>
      </c>
      <c r="F11" s="53">
        <f>('[7]NS USED VEHICLE'!$B$6*'[7]NS USED VEHICLE'!$B$14+'[7]NS USED VEHICLE'!$B$7*'[7]NS USED VEHICLE'!$B$15)/('[7]NS USED VEHICLE'!$B$6+'[7]NS USED VEHICLE'!$B$7)</f>
        <v>886.22972222222108</v>
      </c>
      <c r="G11" s="53">
        <f>('[8]NS USED VEHICLE'!$B$6*'[8]NS USED VEHICLE'!$B$14+'[8]NS USED VEHICLE'!$B$7*'[8]NS USED VEHICLE'!$B$15)/('[8]NS USED VEHICLE'!$B$6+'[8]NS USED VEHICLE'!$B$7)</f>
        <v>930.89793103448324</v>
      </c>
      <c r="H11" s="53">
        <f>('[9]NS USED VEHICLE'!$B$6*'[9]NS USED VEHICLE'!$B$14+'[9]NS USED VEHICLE'!$B$7*'[9]NS USED VEHICLE'!$B$15)/H4</f>
        <v>1647.2443750000002</v>
      </c>
      <c r="I11" s="53">
        <f>('[10]NS USED VEHICLE'!$B$6*'[10]NS USED VEHICLE'!$B$14+'[10]NS USED VEHICLE'!$B$7*'[10]NS USED VEHICLE'!$B$15)/('[10]NS USED VEHICLE'!$B$6+'[10]NS USED VEHICLE'!$B$7)</f>
        <v>1604.5700000000022</v>
      </c>
      <c r="J11" s="53">
        <f>('[11]NS USED VEHICLE'!$B$6*'[11]NS USED VEHICLE'!$B$14+'[11]NS USED VEHICLE'!$B$7*'[11]NS USED VEHICLE'!$B$15)/J4</f>
        <v>1402.4363414634149</v>
      </c>
      <c r="K11" s="53">
        <f>('[12]NS USED VEHICLE'!$B$6*'[12]NS USED VEHICLE'!$B$14+'[12]NS USED VEHICLE'!$B$7*'[12]NS USED VEHICLE'!$B$15)/K4</f>
        <v>1331.9523809523812</v>
      </c>
      <c r="L11" s="53">
        <f>('[13]NS USED VEHICLE'!$B$6*'[13]NS USED VEHICLE'!$B$14+'[13]NS USED VEHICLE'!$B$7*'[13]NS USED VEHICLE'!$B$15)/L4</f>
        <v>1408.0970000000016</v>
      </c>
      <c r="M11" s="53">
        <f>('[14]NS USED VEHICLE'!$B$6*'[14]NS USED VEHICLE'!$B$14+'[14]NS USED VEHICLE'!$B$7*'[14]NS USED VEHICLE'!$B$15)/M4</f>
        <v>1459.3159183673465</v>
      </c>
      <c r="N11" s="53">
        <f>('[15]NS USED VEHICLE'!$B$6*'[15]NS USED VEHICLE'!$B$14+'[15]NS USED VEHICLE'!$B$7*'[15]NS USED VEHICLE'!$B$15)/('[15]NS USED VEHICLE'!$B$6+'[15]NS USED VEHICLE'!$B$7)</f>
        <v>1406.0791176470595</v>
      </c>
      <c r="O11" s="53">
        <f>('[16]NS USED VEHICLE'!$C$6*'[16]NS USED VEHICLE'!$C$14+'[16]NS USED VEHICLE'!$C$7*'[16]NS USED VEHICLE'!$C$15)/('[16]NS USED VEHICLE'!$C$6+'[16]NS USED VEHICLE'!$C$7)</f>
        <v>1096.2199312714777</v>
      </c>
      <c r="P11" s="53">
        <f>('[17]NS USED VEHICLE'!$C$6*'[17]NS USED VEHICLE'!$C$14+'[17]NS USED VEHICLE'!$C$7*'[17]NS USED VEHICLE'!$C$15)/('[17]NS USED VEHICLE'!$C$6+'[17]NS USED VEHICLE'!$C$7)</f>
        <v>1096.2199312714777</v>
      </c>
      <c r="R11" s="52">
        <f t="shared" ref="R11:R19" si="2">AVERAGE(E11:P11)</f>
        <v>1301.3137308701655</v>
      </c>
    </row>
    <row r="12" spans="1:20" ht="15" customHeight="1" x14ac:dyDescent="0.25">
      <c r="A12" s="50" t="s">
        <v>1110</v>
      </c>
      <c r="B12" s="53">
        <f>'[3]NS USED VEHICLE'!$B$16</f>
        <v>2748.5475000000047</v>
      </c>
      <c r="C12" s="53">
        <f>'[4]NS USED VEHICLE'!$B$16</f>
        <v>2312.3237499999987</v>
      </c>
      <c r="D12" s="53">
        <f>'[5]NS USED VEHICLE'!$B$16</f>
        <v>1503.6490909090878</v>
      </c>
      <c r="E12" s="53">
        <f>'[6]NS USED VEHICLE'!$B$16</f>
        <v>1567.4100000000035</v>
      </c>
      <c r="F12" s="53">
        <f>'[7]NS USED VEHICLE'!$B$16</f>
        <v>2891.8333333333267</v>
      </c>
      <c r="G12" s="53">
        <f>'[8]NS USED VEHICLE'!$B$16</f>
        <v>-4008.8249999999985</v>
      </c>
      <c r="H12" s="53">
        <f>'[9]NS USED VEHICLE'!$B$16</f>
        <v>1021.5375000000158</v>
      </c>
      <c r="I12" s="53">
        <f>'[10]NS USED VEHICLE'!$B$16</f>
        <v>231.09333333333129</v>
      </c>
      <c r="J12" s="53">
        <f>'[11]NS USED VEHICLE'!$B$16</f>
        <v>1303.5271428571302</v>
      </c>
      <c r="K12" s="53">
        <f>'[12]NS USED VEHICLE'!$B$16</f>
        <v>-1267.9000000000119</v>
      </c>
      <c r="L12" s="53">
        <f>'[13]NS USED VEHICLE'!$B$16</f>
        <v>2981.3142857142889</v>
      </c>
      <c r="M12" s="53">
        <f>'[14]NS USED VEHICLE'!$B$16</f>
        <v>3402.2166666666658</v>
      </c>
      <c r="N12" s="53">
        <f>'[15]NS USED VEHICLE'!$B$16</f>
        <v>3346.819999999997</v>
      </c>
      <c r="O12" s="53">
        <f>'[16]NS USED VEHICLE'!$C$16</f>
        <v>3500</v>
      </c>
      <c r="P12" s="53">
        <f>'[17]NS USED VEHICLE'!$C$16</f>
        <v>3500</v>
      </c>
      <c r="R12" s="52">
        <f t="shared" si="2"/>
        <v>1539.0856051587291</v>
      </c>
    </row>
    <row r="13" spans="1:20" ht="15" customHeight="1" x14ac:dyDescent="0.25">
      <c r="A13" s="50" t="s">
        <v>1111</v>
      </c>
      <c r="B13" s="53">
        <f>'[3]NS USED VEHICLE'!$B$17</f>
        <v>2643.3119230769248</v>
      </c>
      <c r="C13" s="53">
        <f>'[4]NS USED VEHICLE'!$B$17</f>
        <v>3111.8517073170715</v>
      </c>
      <c r="D13" s="53">
        <f>'[5]NS USED VEHICLE'!$B$17</f>
        <v>2079.4919565217365</v>
      </c>
      <c r="E13" s="53">
        <f>'[6]NS USED VEHICLE'!$B$17</f>
        <v>1768.5380487804891</v>
      </c>
      <c r="F13" s="53">
        <f>'[7]NS USED VEHICLE'!$B$17</f>
        <v>2121.7835294117617</v>
      </c>
      <c r="G13" s="53">
        <f>'[8]NS USED VEHICLE'!$B$17</f>
        <v>1974.0684615384625</v>
      </c>
      <c r="H13" s="53">
        <f>'[9]NS USED VEHICLE'!$B$17</f>
        <v>2241.8074418604647</v>
      </c>
      <c r="I13" s="53">
        <f>'[10]NS USED VEHICLE'!$B$17</f>
        <v>2516.8236363636361</v>
      </c>
      <c r="J13" s="53">
        <f>'[11]NS USED VEHICLE'!$B$17</f>
        <v>2099.1120454545494</v>
      </c>
      <c r="K13" s="53">
        <f>'[12]NS USED VEHICLE'!$B$17</f>
        <v>2222.646222222224</v>
      </c>
      <c r="L13" s="53">
        <f>'[13]NS USED VEHICLE'!$B$17</f>
        <v>881.03348837209717</v>
      </c>
      <c r="M13" s="53">
        <f>'[14]NS USED VEHICLE'!$B$17</f>
        <v>1668.9556410256414</v>
      </c>
      <c r="N13" s="53">
        <f>'[15]NS USED VEHICLE'!$B$17</f>
        <v>2065.936904761907</v>
      </c>
      <c r="O13" s="53">
        <f>'[16]NS USED VEHICLE'!$C$17</f>
        <v>2657.1428571428573</v>
      </c>
      <c r="P13" s="53">
        <f>'[17]NS USED VEHICLE'!$C$17</f>
        <v>2638.9830508474574</v>
      </c>
      <c r="R13" s="52">
        <f t="shared" si="2"/>
        <v>2071.4026106484625</v>
      </c>
    </row>
    <row r="14" spans="1:20" ht="15" customHeight="1" x14ac:dyDescent="0.25">
      <c r="A14" s="50" t="s">
        <v>1112</v>
      </c>
      <c r="B14" s="53">
        <f>'[3]NS USED VEHICLE'!$B$23</f>
        <v>1991.2512500000007</v>
      </c>
      <c r="C14" s="53">
        <f>'[4]NS USED VEHICLE'!$B$23</f>
        <v>2165.4375581395334</v>
      </c>
      <c r="D14" s="53">
        <f>'[5]NS USED VEHICLE'!$B$23</f>
        <v>2259.5408421052607</v>
      </c>
      <c r="E14" s="53">
        <f>'[6]NS USED VEHICLE'!$B$23</f>
        <v>1579.8293506493508</v>
      </c>
      <c r="F14" s="53">
        <f>'[7]NS USED VEHICLE'!$B$23</f>
        <v>1597.3146052631555</v>
      </c>
      <c r="G14" s="53">
        <f>'[8]NS USED VEHICLE'!$B$23</f>
        <v>2728.3602409638565</v>
      </c>
      <c r="H14" s="53">
        <f>'[9]NS USED VEHICLE'!$B$23</f>
        <v>2013.3298412698421</v>
      </c>
      <c r="I14" s="53">
        <f>'[10]NS USED VEHICLE'!$B$23</f>
        <v>2035.6281081081086</v>
      </c>
      <c r="J14" s="53">
        <f>'[11]NS USED VEHICLE'!$B$23</f>
        <v>2238.2778260869572</v>
      </c>
      <c r="K14" s="53">
        <f>'[12]NS USED VEHICLE'!$B$23</f>
        <v>1757.8770454545463</v>
      </c>
      <c r="L14" s="53">
        <f>'[13]NS USED VEHICLE'!$B$23</f>
        <v>1291.5849000000028</v>
      </c>
      <c r="M14" s="53">
        <f>'[14]NS USED VEHICLE'!$B$23</f>
        <v>2140.6857142857143</v>
      </c>
      <c r="N14" s="7">
        <f>'[15]NS USED VEHICLE'!$B$23</f>
        <v>1791.2059740259754</v>
      </c>
      <c r="O14" s="7">
        <f>'[16]NS USED VEHICLE'!$B$23</f>
        <v>1766.3023943661956</v>
      </c>
      <c r="P14" s="7">
        <f>'[17]NS USED VEHICLE'!$B$23</f>
        <v>2647.9914285714276</v>
      </c>
      <c r="Q14" s="53"/>
      <c r="R14" s="52">
        <f>AVERAGE(E14:P14)</f>
        <v>1965.698952420428</v>
      </c>
    </row>
    <row r="15" spans="1:20" ht="15" customHeight="1" x14ac:dyDescent="0.25">
      <c r="A15" s="40" t="s">
        <v>1070</v>
      </c>
      <c r="B15" s="53">
        <f>'[3]NS USED VEHICLE'!$B$23-'[3]NS USED VEHICLE'!$B$18</f>
        <v>53.358593749999955</v>
      </c>
      <c r="C15" s="53">
        <f>'[4]NS USED VEHICLE'!$B$23-'[4]NS USED VEHICLE'!$B$18</f>
        <v>0</v>
      </c>
      <c r="D15" s="53">
        <f>'[5]NS USED VEHICLE'!$B$23-'[5]NS USED VEHICLE'!$B$18</f>
        <v>643.60200000000009</v>
      </c>
      <c r="E15" s="53">
        <f>'[6]NS USED VEHICLE'!$B$23-'[6]NS USED VEHICLE'!$B$18</f>
        <v>0</v>
      </c>
      <c r="F15" s="53">
        <f>'[7]NS USED VEHICLE'!$B$23-'[7]NS USED VEHICLE'!$B$18</f>
        <v>0</v>
      </c>
      <c r="G15" s="53">
        <f>'[8]NS USED VEHICLE'!$B$23-'[8]NS USED VEHICLE'!$B$18</f>
        <v>1262.9391566265062</v>
      </c>
      <c r="H15" s="53">
        <f>'[9]NS USED VEHICLE'!$B$23-'[9]NS USED VEHICLE'!$B$18</f>
        <v>0</v>
      </c>
      <c r="I15" s="53">
        <f>'[10]NS USED VEHICLE'!$B$23-'[10]NS USED VEHICLE'!$B$18</f>
        <v>0</v>
      </c>
      <c r="J15" s="53">
        <f>'[11]NS USED VEHICLE'!$B$23-'[11]NS USED VEHICLE'!$B$18</f>
        <v>510.17445652173888</v>
      </c>
      <c r="K15" s="53">
        <f>'[12]NS USED VEHICLE'!$B$23-'[12]NS USED VEHICLE'!$B$18</f>
        <v>0</v>
      </c>
      <c r="L15" s="53">
        <f>'[13]NS USED VEHICLE'!$B$23-'[13]NS USED VEHICLE'!$B$18</f>
        <v>0</v>
      </c>
      <c r="M15" s="53">
        <f>'[14]NS USED VEHICLE'!$B$23-'[14]NS USED VEHICLE'!$B$18</f>
        <v>527.47252747252764</v>
      </c>
      <c r="N15" s="53">
        <f>'[15]NS USED VEHICLE'!$B$23-'[15]NS USED VEHICLE'!$B$18</f>
        <v>0</v>
      </c>
      <c r="O15" s="53">
        <f>'[16]NS USED VEHICLE'!$C$23-'[16]NS USED VEHICLE'!$C$18</f>
        <v>0</v>
      </c>
      <c r="P15" s="53">
        <f>'[17]NS USED VEHICLE'!$C$23-'[17]NS USED VEHICLE'!$C$18</f>
        <v>681.42373987599012</v>
      </c>
      <c r="R15" s="52">
        <f>AVERAGE(E15:P15)</f>
        <v>248.50082337473023</v>
      </c>
    </row>
    <row r="16" spans="1:20" ht="15" customHeight="1" x14ac:dyDescent="0.25">
      <c r="A16" s="50" t="s">
        <v>1071</v>
      </c>
      <c r="B16" s="53">
        <f>'[3]NS USED VEHICLE'!$B$27</f>
        <v>535.72187500000007</v>
      </c>
      <c r="C16" s="53">
        <f>'[4]NS USED VEHICLE'!$B$27</f>
        <v>502.13302325581395</v>
      </c>
      <c r="D16" s="53">
        <f>'[5]NS USED VEHICLE'!$B$27</f>
        <v>553.78810526315795</v>
      </c>
      <c r="E16" s="53">
        <f>'[6]NS USED VEHICLE'!$B$27</f>
        <v>482.68454545454546</v>
      </c>
      <c r="F16" s="53">
        <f>'[7]NS USED VEHICLE'!$B$27</f>
        <v>441.45039473684216</v>
      </c>
      <c r="G16" s="53">
        <f>'[8]NS USED VEHICLE'!$B$27</f>
        <v>763.84385542168673</v>
      </c>
      <c r="H16" s="53">
        <f>'[9]NS USED VEHICLE'!$B$27</f>
        <v>814.99365079365089</v>
      </c>
      <c r="I16" s="53">
        <f>'[10]NS USED VEHICLE'!$B$27</f>
        <v>696.02500000000009</v>
      </c>
      <c r="J16" s="53">
        <f>'[11]NS USED VEHICLE'!$B$27</f>
        <v>555.64032608695652</v>
      </c>
      <c r="K16" s="53">
        <f>'[12]NS USED VEHICLE'!$B$27</f>
        <v>534.33409090909095</v>
      </c>
      <c r="L16" s="53">
        <f>'[13]NS USED VEHICLE'!$B$27</f>
        <v>600.0249</v>
      </c>
      <c r="M16" s="53">
        <f>'[14]NS USED VEHICLE'!$B$27</f>
        <v>519.25703296703296</v>
      </c>
      <c r="N16" s="53">
        <f>'[15]NS USED VEHICLE'!$B$27</f>
        <v>622.61558441558441</v>
      </c>
      <c r="O16" s="53">
        <f>'[16]NS USED VEHICLE'!$C$27</f>
        <v>492.30866439651908</v>
      </c>
      <c r="P16" s="53">
        <f>'[17]NS USED VEHICLE'!$C$27</f>
        <v>476.09652396633732</v>
      </c>
      <c r="Q16" s="5"/>
      <c r="R16" s="52">
        <f t="shared" si="2"/>
        <v>583.27288076235402</v>
      </c>
    </row>
    <row r="17" spans="1:19" ht="15" customHeight="1" x14ac:dyDescent="0.25">
      <c r="A17" s="50" t="s">
        <v>1072</v>
      </c>
      <c r="B17" s="53">
        <f>'[3]NS USED VEHICLE'!$B$32</f>
        <v>946.04203125000004</v>
      </c>
      <c r="C17" s="53">
        <f>'[4]NS USED VEHICLE'!$B$32</f>
        <v>647.60918604651158</v>
      </c>
      <c r="D17" s="53">
        <f>'[5]NS USED VEHICLE'!$B$32</f>
        <v>846.48505263157892</v>
      </c>
      <c r="E17" s="53">
        <f>'[6]NS USED VEHICLE'!$B$32</f>
        <v>1047.9884415584415</v>
      </c>
      <c r="F17" s="53">
        <f>'[7]NS USED VEHICLE'!$B$32</f>
        <v>939.9901315789474</v>
      </c>
      <c r="G17" s="53">
        <f>'[8]NS USED VEHICLE'!$B$32</f>
        <v>823.03638554216855</v>
      </c>
      <c r="H17" s="53">
        <f>'[9]NS USED VEHICLE'!$B$32</f>
        <v>1088.9195238095238</v>
      </c>
      <c r="I17" s="53">
        <f>'[10]NS USED VEHICLE'!$B$32</f>
        <v>947.34459459459458</v>
      </c>
      <c r="J17" s="53">
        <f>'[11]NS USED VEHICLE'!$B$32</f>
        <v>818.4869565217391</v>
      </c>
      <c r="K17" s="53">
        <f>'[12]NS USED VEHICLE'!$B$32</f>
        <v>838.38522727272721</v>
      </c>
      <c r="L17" s="53">
        <f>'[13]NS USED VEHICLE'!$B$32</f>
        <v>734.22800000000007</v>
      </c>
      <c r="M17" s="53">
        <f>'[14]NS USED VEHICLE'!$B$32</f>
        <v>793.55615384615385</v>
      </c>
      <c r="N17" s="53">
        <f>'[15]NS USED VEHICLE'!$B$32</f>
        <v>1008.6416883116883</v>
      </c>
      <c r="O17" s="53">
        <f>'[16]NS USED VEHICLE'!$C$32</f>
        <v>743.88369277336369</v>
      </c>
      <c r="P17" s="53">
        <f>'[17]NS USED VEHICLE'!$C$32</f>
        <v>719.38697402122216</v>
      </c>
      <c r="Q17" s="5"/>
      <c r="R17" s="52">
        <f t="shared" si="2"/>
        <v>875.32064748588107</v>
      </c>
    </row>
    <row r="18" spans="1:19" ht="15" customHeight="1" x14ac:dyDescent="0.25">
      <c r="A18" s="50" t="s">
        <v>1073</v>
      </c>
      <c r="B18" s="53">
        <f>B16+B17</f>
        <v>1481.7639062500002</v>
      </c>
      <c r="C18" s="53">
        <f>'[4]NS USED VEHICLE'!$B$33</f>
        <v>1149.7422093023256</v>
      </c>
      <c r="D18" s="53">
        <f>'[5]NS USED VEHICLE'!$B$33</f>
        <v>1400.2731578947369</v>
      </c>
      <c r="E18" s="53">
        <f>'[6]NS USED VEHICLE'!$B$33</f>
        <v>1530.6729870129871</v>
      </c>
      <c r="F18" s="53">
        <f>'[7]NS USED VEHICLE'!$B$33</f>
        <v>1381.4405263157896</v>
      </c>
      <c r="G18" s="53">
        <f>'[8]NS USED VEHICLE'!$B$33</f>
        <v>1586.8802409638552</v>
      </c>
      <c r="H18" s="53">
        <f>'[9]NS USED VEHICLE'!$B$33</f>
        <v>1903.9131746031746</v>
      </c>
      <c r="I18" s="53">
        <f>'[10]NS USED VEHICLE'!$B$33</f>
        <v>1643.3695945945947</v>
      </c>
      <c r="J18" s="53">
        <f>'[11]NS USED VEHICLE'!$B$33</f>
        <v>1374.1272826086956</v>
      </c>
      <c r="K18" s="53">
        <f>'[12]NS USED VEHICLE'!$B$33</f>
        <v>1372.7193181818182</v>
      </c>
      <c r="L18" s="53">
        <f>'[13]NS USED VEHICLE'!$B$33</f>
        <v>1334.2529</v>
      </c>
      <c r="M18" s="53">
        <f>'[14]NS USED VEHICLE'!$B$33</f>
        <v>1312.8131868131868</v>
      </c>
      <c r="N18" s="53">
        <f>'[15]NS USED VEHICLE'!$B$33</f>
        <v>1631.2572727272727</v>
      </c>
      <c r="O18" s="53">
        <f>'[16]NS USED VEHICLE'!$C$33</f>
        <v>1236.1923571698828</v>
      </c>
      <c r="P18" s="53">
        <f>'[17]NS USED VEHICLE'!$C$33</f>
        <v>1195.4834979875595</v>
      </c>
      <c r="R18" s="52">
        <f t="shared" si="2"/>
        <v>1458.5935282482344</v>
      </c>
    </row>
    <row r="19" spans="1:19" ht="15" customHeight="1" x14ac:dyDescent="0.25">
      <c r="A19" s="50" t="s">
        <v>1074</v>
      </c>
      <c r="B19" s="53">
        <f>'[3]NS USED VEHICLE'!$B$34</f>
        <v>509.48734375000049</v>
      </c>
      <c r="C19" s="53">
        <f>'[4]NS USED VEHICLE'!$B$34</f>
        <v>1015.6953488372078</v>
      </c>
      <c r="D19" s="53">
        <f>'[5]NS USED VEHICLE'!$B$34</f>
        <v>859.26768421052384</v>
      </c>
      <c r="E19" s="82">
        <f>'[6]NS USED VEHICLE'!$B$34</f>
        <v>49.156363636363722</v>
      </c>
      <c r="F19" s="57">
        <f>'[7]NS USED VEHICLE'!$B$34</f>
        <v>215.87407894736589</v>
      </c>
      <c r="G19" s="53">
        <f>'[8]NS USED VEHICLE'!$B$34</f>
        <v>1141.4800000000014</v>
      </c>
      <c r="H19" s="53">
        <f>'[9]NS USED VEHICLE'!$B$34</f>
        <v>109.41666666666742</v>
      </c>
      <c r="I19" s="53">
        <f>'[10]NS USED VEHICLE'!$B$34</f>
        <v>392.25851351351389</v>
      </c>
      <c r="J19" s="53">
        <f>'[11]NS USED VEHICLE'!$B$34</f>
        <v>864.15054347826162</v>
      </c>
      <c r="K19" s="53">
        <f>'[12]NS USED VEHICLE'!$B$34</f>
        <v>385.15772727272815</v>
      </c>
      <c r="L19" s="53">
        <f>'[13]NS USED VEHICLE'!$B$34</f>
        <v>-42.667999999997164</v>
      </c>
      <c r="M19" s="53">
        <f>'[14]NS USED VEHICLE'!$B$34</f>
        <v>827.87252747252751</v>
      </c>
      <c r="N19" s="53">
        <f>'[15]NS USED VEHICLE'!$B$34</f>
        <v>159.94870129870264</v>
      </c>
      <c r="O19" s="53">
        <f>'[16]NS USED VEHICLE'!$C$34</f>
        <v>934.0687097994703</v>
      </c>
      <c r="P19" s="53">
        <f>'[17]NS USED VEHICLE'!$C$34</f>
        <v>1660.473721581076</v>
      </c>
      <c r="Q19" s="8"/>
      <c r="R19" s="52">
        <f t="shared" si="2"/>
        <v>558.09912947222347</v>
      </c>
    </row>
    <row r="20" spans="1:19" x14ac:dyDescent="0.25">
      <c r="A20" s="50"/>
      <c r="B20" s="53"/>
      <c r="C20" s="53"/>
      <c r="D20" s="53"/>
      <c r="E20" s="53"/>
      <c r="F20" s="53"/>
      <c r="G20" s="53"/>
      <c r="H20" s="53"/>
      <c r="I20" s="53"/>
      <c r="J20" s="53"/>
      <c r="K20" s="53"/>
      <c r="L20" s="53"/>
      <c r="M20" s="53"/>
      <c r="N20" s="53"/>
      <c r="O20" s="53"/>
      <c r="P20" s="53"/>
      <c r="Q20" s="3"/>
      <c r="R20" s="52"/>
    </row>
    <row r="21" spans="1:19" x14ac:dyDescent="0.25">
      <c r="A21" s="50" t="s">
        <v>1113</v>
      </c>
      <c r="B21" s="53">
        <f>'[3]NS USED VEHICLE'!$B$19*'[3]NS USED VEHICLE'!$B$11</f>
        <v>1786.9400000000023</v>
      </c>
      <c r="C21" s="53">
        <f>'[4]NS USED VEHICLE'!$B$11*'[4]NS USED VEHICLE'!$B$19</f>
        <v>3082.5899999999965</v>
      </c>
      <c r="D21" s="53">
        <f>'[5]NS USED VEHICLE'!$B$11*'[5]NS USED VEHICLE'!$B$19</f>
        <v>3635.2899999999936</v>
      </c>
      <c r="E21" s="53">
        <f>'[6]NS USED VEHICLE'!$B$19*'[6]NS USED VEHICLE'!$B$11</f>
        <v>9260.8699999999953</v>
      </c>
      <c r="F21" s="53">
        <f>'[7]NS USED VEHICLE'!$B$11*'[7]NS USED VEHICLE'!$B$19</f>
        <v>12275.570000000007</v>
      </c>
      <c r="G21" s="53">
        <f>'[8]NS USED VEHICLE'!$B$11*'[8]NS USED VEHICLE'!$B$19</f>
        <v>-8800.1899999999951</v>
      </c>
      <c r="H21" s="53">
        <f>'[9]NS USED VEHICLE'!$B$11*'[9]NS USED VEHICLE'!$B$19</f>
        <v>2652.1800000000003</v>
      </c>
      <c r="I21" s="53">
        <f>'[10]NS USED VEHICLE'!$B$19*'[10]NS USED VEHICLE'!$B$11</f>
        <v>-2165.21000000001</v>
      </c>
      <c r="J21" s="53">
        <f>'[11]NS USED VEHICLE'!$B$11*'[11]NS USED VEHICLE'!$B$19</f>
        <v>4744.9600000000064</v>
      </c>
      <c r="K21" s="53">
        <f>'[12]NS USED VEHICLE'!$B$11*'[12]NS USED VEHICLE'!$B$19</f>
        <v>6331.5199999999895</v>
      </c>
      <c r="L21" s="53">
        <f>'[13]NS USED VEHICLE'!$B$11*'[13]NS USED VEHICLE'!$B$19</f>
        <v>13543.459999999992</v>
      </c>
      <c r="M21" s="53">
        <f>'[14]NS USED VEHICLE'!$B$11*'[14]NS USED VEHICLE'!$B$19</f>
        <v>12874.649999999994</v>
      </c>
      <c r="N21" s="53">
        <f>'[15]NS USED VEHICLE'!$B$11*'[15]NS USED VEHICLE'!$B$19</f>
        <v>13139.349999999999</v>
      </c>
      <c r="O21" s="53">
        <f>'[16]NS USED VEHICLE'!$C$11*'[16]NS USED VEHICLE'!$C$19</f>
        <v>0</v>
      </c>
      <c r="P21" s="53">
        <f>'[17]NS USED VEHICLE'!$C$11*'[17]NS USED VEHICLE'!$C$19</f>
        <v>0</v>
      </c>
      <c r="R21" s="52">
        <f>SUM(E21:P21)</f>
        <v>63857.159999999982</v>
      </c>
    </row>
    <row r="22" spans="1:19" x14ac:dyDescent="0.25">
      <c r="A22" s="50" t="s">
        <v>1114</v>
      </c>
      <c r="B22" s="53">
        <f>'[3]NS USED VEHICLE'!$B$24</f>
        <v>129227.02000000005</v>
      </c>
      <c r="C22" s="53">
        <f>'[4]NS USED VEHICLE'!$B$24</f>
        <v>189310.21999999986</v>
      </c>
      <c r="D22" s="53">
        <f>'[5]NS USED VEHICLE'!$B$24</f>
        <v>210185.50999999975</v>
      </c>
      <c r="E22" s="53">
        <f>'[6]NS USED VEHICLE'!$B$24</f>
        <v>130907.73000000001</v>
      </c>
      <c r="F22" s="53">
        <f>'[7]NS USED VEHICLE'!$B$24</f>
        <v>133671.47999999981</v>
      </c>
      <c r="G22" s="53">
        <f>'[8]NS USED VEHICLE'!$B$24</f>
        <v>217653.71000000008</v>
      </c>
      <c r="H22" s="53">
        <f>'[9]NS USED VEHICLE'!$B$24</f>
        <v>129491.96000000005</v>
      </c>
      <c r="I22" s="53">
        <f>'[10]NS USED VEHICLE'!$B$24</f>
        <v>148471.27000000002</v>
      </c>
      <c r="J22" s="53">
        <f>'[11]NS USED VEHICLE'!$B$24</f>
        <v>210666.52000000008</v>
      </c>
      <c r="K22" s="53">
        <f>'[12]NS USED VEHICLE'!$B$24</f>
        <v>161024.70000000007</v>
      </c>
      <c r="L22" s="53">
        <f>'[13]NS USED VEHICLE'!$B$24</f>
        <v>142701.95000000027</v>
      </c>
      <c r="M22" s="53">
        <f>'[14]NS USED VEHICLE'!$B$24</f>
        <v>207677.05</v>
      </c>
      <c r="N22" s="53">
        <f>'[15]NS USED VEHICLE'!$B$24</f>
        <v>151062.21000000011</v>
      </c>
      <c r="O22" s="53">
        <f>'[16]NS USED VEHICLE'!$C$24</f>
        <v>191200</v>
      </c>
      <c r="P22" s="53">
        <f>'[17]NS USED VEHICLE'!$C$24</f>
        <v>260177.70270270269</v>
      </c>
      <c r="R22" s="52">
        <f>SUM(E22:P22)</f>
        <v>2084706.2827027033</v>
      </c>
    </row>
    <row r="23" spans="1:19" x14ac:dyDescent="0.25">
      <c r="A23" s="7" t="s">
        <v>1076</v>
      </c>
      <c r="B23" s="12">
        <f t="shared" ref="B23:P23" si="3">B18*B7</f>
        <v>94832.890000000014</v>
      </c>
      <c r="C23" s="12">
        <f t="shared" si="3"/>
        <v>98877.83</v>
      </c>
      <c r="D23" s="12">
        <f t="shared" si="3"/>
        <v>133025.95000000001</v>
      </c>
      <c r="E23" s="12">
        <f t="shared" si="3"/>
        <v>117861.82</v>
      </c>
      <c r="F23" s="12">
        <f t="shared" si="3"/>
        <v>104989.48000000001</v>
      </c>
      <c r="G23" s="12">
        <f t="shared" si="3"/>
        <v>131711.05999999997</v>
      </c>
      <c r="H23" s="12">
        <f t="shared" si="3"/>
        <v>119946.53</v>
      </c>
      <c r="I23" s="12">
        <f t="shared" si="3"/>
        <v>121609.35</v>
      </c>
      <c r="J23" s="12">
        <f t="shared" si="3"/>
        <v>126419.70999999999</v>
      </c>
      <c r="K23" s="12">
        <f t="shared" si="3"/>
        <v>120799.3</v>
      </c>
      <c r="L23" s="12">
        <f t="shared" si="3"/>
        <v>133425.29</v>
      </c>
      <c r="M23" s="12">
        <f t="shared" si="3"/>
        <v>119466</v>
      </c>
      <c r="N23" s="12">
        <f t="shared" si="3"/>
        <v>125606.81</v>
      </c>
      <c r="O23" s="12">
        <f t="shared" si="3"/>
        <v>108908.54666666668</v>
      </c>
      <c r="P23" s="12">
        <f t="shared" si="3"/>
        <v>108908.54666666666</v>
      </c>
      <c r="R23" s="6">
        <f>SUM(E23:P23)</f>
        <v>1439652.4433333334</v>
      </c>
    </row>
    <row r="24" spans="1:19" ht="15.75" thickBot="1" x14ac:dyDescent="0.3">
      <c r="A24" s="51" t="s">
        <v>1115</v>
      </c>
      <c r="B24" s="58">
        <f t="shared" ref="B24:P24" si="4">B21+B19*B7</f>
        <v>34394.130000000034</v>
      </c>
      <c r="C24" s="58">
        <f t="shared" si="4"/>
        <v>90432.389999999868</v>
      </c>
      <c r="D24" s="58">
        <f t="shared" si="4"/>
        <v>85265.719999999754</v>
      </c>
      <c r="E24" s="58">
        <f t="shared" si="4"/>
        <v>13045.910000000002</v>
      </c>
      <c r="F24" s="58">
        <f t="shared" si="4"/>
        <v>28681.999999999814</v>
      </c>
      <c r="G24" s="58">
        <f t="shared" si="4"/>
        <v>85942.650000000111</v>
      </c>
      <c r="H24" s="58">
        <f t="shared" si="4"/>
        <v>9545.4300000000476</v>
      </c>
      <c r="I24" s="58">
        <f t="shared" si="4"/>
        <v>26861.920000000016</v>
      </c>
      <c r="J24" s="58">
        <f t="shared" si="4"/>
        <v>84246.81000000007</v>
      </c>
      <c r="K24" s="58">
        <f t="shared" si="4"/>
        <v>40225.400000000067</v>
      </c>
      <c r="L24" s="58">
        <f t="shared" si="4"/>
        <v>9276.6600000002763</v>
      </c>
      <c r="M24" s="58">
        <f t="shared" si="4"/>
        <v>88211.05</v>
      </c>
      <c r="N24" s="58">
        <f t="shared" si="4"/>
        <v>25455.400000000103</v>
      </c>
      <c r="O24" s="58">
        <f t="shared" si="4"/>
        <v>82291.453333333324</v>
      </c>
      <c r="P24" s="58">
        <f t="shared" si="4"/>
        <v>151269.156036036</v>
      </c>
      <c r="R24" s="58">
        <f>SUM(E24:P24)</f>
        <v>645053.83936936979</v>
      </c>
    </row>
    <row r="25" spans="1:19" ht="15.75" thickTop="1" x14ac:dyDescent="0.25">
      <c r="A25" s="40"/>
      <c r="B25" s="53"/>
      <c r="C25" s="53"/>
      <c r="D25" s="53"/>
      <c r="E25" s="53"/>
      <c r="F25" s="53"/>
      <c r="G25" s="53"/>
      <c r="H25" s="53"/>
      <c r="I25" s="53"/>
      <c r="J25" s="53"/>
      <c r="K25" s="53"/>
      <c r="L25" s="53"/>
      <c r="M25" s="53"/>
      <c r="N25" s="53"/>
      <c r="O25" s="53"/>
      <c r="P25" s="53"/>
      <c r="R25" s="53"/>
    </row>
    <row r="26" spans="1:19" x14ac:dyDescent="0.25">
      <c r="A26" s="40"/>
      <c r="B26" s="160"/>
      <c r="C26" s="160"/>
      <c r="D26" s="160"/>
      <c r="E26" s="160"/>
      <c r="F26" s="160"/>
      <c r="G26" s="160"/>
      <c r="H26" s="160"/>
      <c r="I26" s="160"/>
      <c r="J26" s="160"/>
      <c r="K26" s="160"/>
      <c r="L26" s="160"/>
      <c r="M26" s="160"/>
      <c r="N26" s="160"/>
      <c r="O26" s="160"/>
      <c r="P26" s="160"/>
      <c r="R26" s="53"/>
    </row>
    <row r="27" spans="1:19" s="21" customFormat="1" ht="15.75" x14ac:dyDescent="0.25">
      <c r="A27" s="56" t="s">
        <v>1103</v>
      </c>
      <c r="B27" s="5">
        <v>45292</v>
      </c>
      <c r="C27" s="5">
        <v>45323</v>
      </c>
      <c r="D27" s="5">
        <v>45352</v>
      </c>
      <c r="E27" s="5">
        <v>45383</v>
      </c>
      <c r="F27" s="5">
        <v>45413</v>
      </c>
      <c r="G27" s="5">
        <v>45444</v>
      </c>
      <c r="H27" s="5">
        <v>45474</v>
      </c>
      <c r="I27" s="5">
        <v>45505</v>
      </c>
      <c r="J27" s="5">
        <v>45536</v>
      </c>
      <c r="K27" s="5">
        <v>45566</v>
      </c>
      <c r="L27" s="5">
        <v>45597</v>
      </c>
      <c r="M27" s="5">
        <v>45627</v>
      </c>
      <c r="N27" s="5">
        <v>45658</v>
      </c>
      <c r="O27" s="5">
        <v>45689</v>
      </c>
      <c r="P27" s="5">
        <v>45717</v>
      </c>
      <c r="Q27"/>
      <c r="R27" s="5" t="s">
        <v>955</v>
      </c>
      <c r="S27" s="117"/>
    </row>
    <row r="28" spans="1:19" ht="15" customHeight="1" x14ac:dyDescent="0.25">
      <c r="A28" s="46"/>
      <c r="B28" s="76" t="s">
        <v>958</v>
      </c>
      <c r="C28" s="5" t="s">
        <v>959</v>
      </c>
      <c r="D28" s="5" t="s">
        <v>959</v>
      </c>
      <c r="E28" s="5" t="s">
        <v>959</v>
      </c>
      <c r="F28" s="5" t="s">
        <v>959</v>
      </c>
      <c r="G28" s="5" t="s">
        <v>959</v>
      </c>
      <c r="H28" s="5" t="s">
        <v>959</v>
      </c>
      <c r="I28" s="5" t="s">
        <v>959</v>
      </c>
      <c r="J28" s="5" t="s">
        <v>959</v>
      </c>
      <c r="K28" s="5" t="s">
        <v>959</v>
      </c>
      <c r="L28" s="5" t="s">
        <v>959</v>
      </c>
      <c r="M28" s="5" t="s">
        <v>959</v>
      </c>
      <c r="N28" s="5" t="s">
        <v>959</v>
      </c>
      <c r="O28" s="5" t="s">
        <v>959</v>
      </c>
      <c r="P28" s="5" t="s">
        <v>959</v>
      </c>
      <c r="R28" s="5" t="s">
        <v>961</v>
      </c>
    </row>
    <row r="29" spans="1:19" ht="15" customHeight="1" x14ac:dyDescent="0.25">
      <c r="A29" s="40"/>
      <c r="B29" s="40"/>
      <c r="C29" s="40"/>
      <c r="D29" s="48"/>
      <c r="E29" s="40"/>
      <c r="F29" s="40"/>
      <c r="G29" s="40"/>
      <c r="H29" s="40"/>
      <c r="I29" s="40"/>
      <c r="J29" s="40"/>
      <c r="K29" s="40"/>
      <c r="L29" s="40"/>
      <c r="M29" s="40"/>
      <c r="N29" s="40"/>
      <c r="O29" s="40"/>
      <c r="P29" s="40"/>
      <c r="R29" s="40"/>
    </row>
    <row r="30" spans="1:19" ht="15" customHeight="1" x14ac:dyDescent="0.25">
      <c r="A30" s="40" t="s">
        <v>1104</v>
      </c>
      <c r="B30" s="50">
        <f>'[15]NS USED VEHICLE'!$B$6+'[15]NS USED VEHICLE'!$B$7</f>
        <v>34</v>
      </c>
      <c r="C30" s="50">
        <f>'[16]NS USED VEHICLE'!$C$6+'[16]NS USED VEHICLE'!$C$7</f>
        <v>29.1</v>
      </c>
      <c r="D30" s="50">
        <f>'[17]NS USED VEHICLE'!$C$6+'[17]NS USED VEHICLE'!$C$7</f>
        <v>29.1</v>
      </c>
      <c r="E30" s="50">
        <f>'Used Vehicles - Group'!E30*'Used Vehicles - NS 6'!E34/'Used Vehicles - Group'!E34</f>
        <v>41.5</v>
      </c>
      <c r="F30" s="50">
        <f>'Used Vehicles - Group'!F30*'Used Vehicles - NS 6'!F34/'Used Vehicles - Group'!F34</f>
        <v>36.888888888888886</v>
      </c>
      <c r="G30" s="50">
        <f>'Used Vehicles - Group'!G30*'Used Vehicles - NS 6'!G34/'Used Vehicles - Group'!G34</f>
        <v>36.888888888888886</v>
      </c>
      <c r="H30" s="50">
        <f>'Used Vehicles - Group'!H30*'Used Vehicles - NS 6'!H34/'Used Vehicles - Group'!H34</f>
        <v>34.94736842105263</v>
      </c>
      <c r="I30" s="50">
        <f>'Used Vehicles - Group'!I30*'Used Vehicles - NS 6'!I34/'Used Vehicles - Group'!I34</f>
        <v>34.94736842105263</v>
      </c>
      <c r="J30" s="50">
        <f>'Used Vehicles - Group'!J30*'Used Vehicles - NS 6'!J34/'Used Vehicles - Group'!J34</f>
        <v>34.94736842105263</v>
      </c>
      <c r="K30" s="50">
        <f>'Used Vehicles - Group'!K30*'Used Vehicles - NS 6'!K34/'Used Vehicles - Group'!K34</f>
        <v>34.94736842105263</v>
      </c>
      <c r="L30" s="50">
        <f>'Used Vehicles - Group'!L30*'Used Vehicles - NS 6'!L34/'Used Vehicles - Group'!L34</f>
        <v>34.94736842105263</v>
      </c>
      <c r="M30" s="50">
        <f>'Used Vehicles - Group'!M30*'Used Vehicles - NS 6'!M34/'Used Vehicles - Group'!M34</f>
        <v>34.94736842105263</v>
      </c>
      <c r="N30" s="50">
        <f>'Used Vehicles - Group'!N30*'Used Vehicles - NS 6'!N34/'Used Vehicles - Group'!N34</f>
        <v>34.94736842105263</v>
      </c>
      <c r="O30" s="50">
        <f>'Used Vehicles - Group'!O30*'Used Vehicles - NS 6'!O34/'Used Vehicles - Group'!O34</f>
        <v>34.94736842105263</v>
      </c>
      <c r="P30" s="50">
        <f>'Used Vehicles - Group'!P30*'Used Vehicles - NS 6'!P34/'Used Vehicles - Group'!P34</f>
        <v>34.94736842105263</v>
      </c>
      <c r="R30" s="162">
        <f>SUM(E30:P30)</f>
        <v>429.80409356725136</v>
      </c>
      <c r="S30" s="34" t="s">
        <v>1133</v>
      </c>
    </row>
    <row r="31" spans="1:19" ht="15" customHeight="1" x14ac:dyDescent="0.25">
      <c r="A31" s="40" t="s">
        <v>1105</v>
      </c>
      <c r="B31" s="50">
        <f>'[15]NS USED VEHICLE'!$B$8</f>
        <v>1</v>
      </c>
      <c r="C31" s="50">
        <f>'[16]NS USED VEHICLE'!$C$8</f>
        <v>3</v>
      </c>
      <c r="D31" s="50">
        <f>'[17]NS USED VEHICLE'!$C$8</f>
        <v>3</v>
      </c>
      <c r="E31" s="50">
        <f>AVERAGE($B$5:$M$5)</f>
        <v>5.166666666666667</v>
      </c>
      <c r="F31" s="50">
        <f t="shared" ref="F31:P31" si="5">AVERAGE($B$5:$M$5)</f>
        <v>5.166666666666667</v>
      </c>
      <c r="G31" s="50">
        <f t="shared" si="5"/>
        <v>5.166666666666667</v>
      </c>
      <c r="H31" s="50">
        <f t="shared" si="5"/>
        <v>5.166666666666667</v>
      </c>
      <c r="I31" s="50">
        <f t="shared" si="5"/>
        <v>5.166666666666667</v>
      </c>
      <c r="J31" s="50">
        <f t="shared" si="5"/>
        <v>5.166666666666667</v>
      </c>
      <c r="K31" s="50">
        <f t="shared" si="5"/>
        <v>5.166666666666667</v>
      </c>
      <c r="L31" s="50">
        <f t="shared" si="5"/>
        <v>5.166666666666667</v>
      </c>
      <c r="M31" s="50">
        <f t="shared" si="5"/>
        <v>5.166666666666667</v>
      </c>
      <c r="N31" s="50">
        <f t="shared" si="5"/>
        <v>5.166666666666667</v>
      </c>
      <c r="O31" s="50">
        <f t="shared" si="5"/>
        <v>5.166666666666667</v>
      </c>
      <c r="P31" s="50">
        <f t="shared" si="5"/>
        <v>5.166666666666667</v>
      </c>
      <c r="R31" s="162">
        <f>SUM(E31:P31)</f>
        <v>61.999999999999993</v>
      </c>
      <c r="S31" s="34" t="s">
        <v>1134</v>
      </c>
    </row>
    <row r="32" spans="1:19" ht="15" customHeight="1" x14ac:dyDescent="0.25">
      <c r="A32" s="40" t="s">
        <v>1106</v>
      </c>
      <c r="B32" s="50">
        <f>'[15]NS USED VEHICLE'!$B$9</f>
        <v>42</v>
      </c>
      <c r="C32" s="50">
        <f>'[16]NS USED VEHICLE'!$C$9</f>
        <v>56</v>
      </c>
      <c r="D32" s="50">
        <f>'[17]NS USED VEHICLE'!$C$9</f>
        <v>59</v>
      </c>
      <c r="E32" s="50">
        <f>E33-E30-E31</f>
        <v>49.333333333333336</v>
      </c>
      <c r="F32" s="50">
        <f>F33-F30-F31</f>
        <v>59.94444444444445</v>
      </c>
      <c r="G32" s="50">
        <f>G33-G30-G31</f>
        <v>65.944444444444443</v>
      </c>
      <c r="H32" s="50">
        <f>H33-H30-H31</f>
        <v>67.885964912280699</v>
      </c>
      <c r="I32" s="50">
        <f t="shared" ref="I32:P32" si="6">I33-I30-I31</f>
        <v>67.885964912280699</v>
      </c>
      <c r="J32" s="50">
        <f t="shared" si="6"/>
        <v>67.885964912280699</v>
      </c>
      <c r="K32" s="50">
        <f t="shared" si="6"/>
        <v>67.885964912280699</v>
      </c>
      <c r="L32" s="50">
        <f t="shared" si="6"/>
        <v>79.885964912280699</v>
      </c>
      <c r="M32" s="50">
        <f t="shared" si="6"/>
        <v>67.885964912280699</v>
      </c>
      <c r="N32" s="50">
        <f t="shared" si="6"/>
        <v>55.885964912280706</v>
      </c>
      <c r="O32" s="50">
        <f t="shared" si="6"/>
        <v>55.885964912280706</v>
      </c>
      <c r="P32" s="50">
        <f t="shared" si="6"/>
        <v>55.885964912280706</v>
      </c>
      <c r="R32" s="162">
        <f>SUM(E32:P32)</f>
        <v>762.19590643274842</v>
      </c>
      <c r="S32" s="34" t="s">
        <v>1135</v>
      </c>
    </row>
    <row r="33" spans="1:19" ht="15" customHeight="1" x14ac:dyDescent="0.25">
      <c r="A33" s="40" t="s">
        <v>1107</v>
      </c>
      <c r="B33" s="50">
        <f>SUM(B30:B32)</f>
        <v>77</v>
      </c>
      <c r="C33" s="50">
        <f>SUM(C30:C32)</f>
        <v>88.1</v>
      </c>
      <c r="D33" s="50">
        <f>SUM(D30:D32)</f>
        <v>91.1</v>
      </c>
      <c r="E33" s="50">
        <f>E34*E35</f>
        <v>96</v>
      </c>
      <c r="F33" s="50">
        <f t="shared" ref="F33:P33" si="7">F34*F35</f>
        <v>102</v>
      </c>
      <c r="G33" s="50">
        <f t="shared" si="7"/>
        <v>108</v>
      </c>
      <c r="H33" s="50">
        <f t="shared" si="7"/>
        <v>108</v>
      </c>
      <c r="I33" s="50">
        <f t="shared" si="7"/>
        <v>108</v>
      </c>
      <c r="J33" s="50">
        <f t="shared" si="7"/>
        <v>108</v>
      </c>
      <c r="K33" s="50">
        <f t="shared" si="7"/>
        <v>108</v>
      </c>
      <c r="L33" s="50">
        <f t="shared" si="7"/>
        <v>120</v>
      </c>
      <c r="M33" s="50">
        <f t="shared" si="7"/>
        <v>108</v>
      </c>
      <c r="N33" s="50">
        <f t="shared" si="7"/>
        <v>96</v>
      </c>
      <c r="O33" s="50">
        <f t="shared" si="7"/>
        <v>96</v>
      </c>
      <c r="P33" s="50">
        <f t="shared" si="7"/>
        <v>96</v>
      </c>
      <c r="R33" s="162">
        <f>SUM(E33:P33)</f>
        <v>1254</v>
      </c>
      <c r="S33" s="163" t="s">
        <v>1136</v>
      </c>
    </row>
    <row r="34" spans="1:19" ht="15" customHeight="1" x14ac:dyDescent="0.25">
      <c r="A34" s="40" t="s">
        <v>1066</v>
      </c>
      <c r="B34" s="50">
        <f>'[15]NS USED VEHICLE'!$B$37</f>
        <v>6</v>
      </c>
      <c r="C34" s="50">
        <f>'[16]NS USED VEHICLE'!$C$37</f>
        <v>5</v>
      </c>
      <c r="D34" s="50">
        <f>'[17]NS USED VEHICLE'!$C$37</f>
        <v>5</v>
      </c>
      <c r="E34" s="166">
        <v>6</v>
      </c>
      <c r="F34" s="166">
        <f t="shared" ref="F34:P34" si="8">E34</f>
        <v>6</v>
      </c>
      <c r="G34" s="166">
        <f t="shared" si="8"/>
        <v>6</v>
      </c>
      <c r="H34" s="166">
        <f t="shared" si="8"/>
        <v>6</v>
      </c>
      <c r="I34" s="166">
        <f t="shared" si="8"/>
        <v>6</v>
      </c>
      <c r="J34" s="166">
        <f t="shared" si="8"/>
        <v>6</v>
      </c>
      <c r="K34" s="166">
        <f t="shared" si="8"/>
        <v>6</v>
      </c>
      <c r="L34" s="166">
        <f t="shared" si="8"/>
        <v>6</v>
      </c>
      <c r="M34" s="166">
        <f t="shared" si="8"/>
        <v>6</v>
      </c>
      <c r="N34" s="166">
        <f t="shared" si="8"/>
        <v>6</v>
      </c>
      <c r="O34" s="166">
        <f t="shared" si="8"/>
        <v>6</v>
      </c>
      <c r="P34" s="166">
        <f t="shared" si="8"/>
        <v>6</v>
      </c>
      <c r="R34" s="41">
        <f>AVERAGE(E34:P34)</f>
        <v>6</v>
      </c>
    </row>
    <row r="35" spans="1:19" ht="15" customHeight="1" x14ac:dyDescent="0.25">
      <c r="A35" s="40" t="s">
        <v>1108</v>
      </c>
      <c r="B35" s="50">
        <f>B33/B34</f>
        <v>12.833333333333334</v>
      </c>
      <c r="C35" s="50">
        <f>C33/C34</f>
        <v>17.619999999999997</v>
      </c>
      <c r="D35" s="50">
        <f>D33/D34</f>
        <v>18.22</v>
      </c>
      <c r="E35" s="50">
        <v>16</v>
      </c>
      <c r="F35" s="50">
        <v>17</v>
      </c>
      <c r="G35" s="50">
        <v>18</v>
      </c>
      <c r="H35" s="50">
        <v>18</v>
      </c>
      <c r="I35" s="50">
        <v>18</v>
      </c>
      <c r="J35" s="50">
        <v>18</v>
      </c>
      <c r="K35" s="50">
        <v>18</v>
      </c>
      <c r="L35" s="50">
        <v>20</v>
      </c>
      <c r="M35" s="50">
        <v>18</v>
      </c>
      <c r="N35" s="50">
        <v>16</v>
      </c>
      <c r="O35" s="50">
        <v>16</v>
      </c>
      <c r="P35" s="50">
        <v>16</v>
      </c>
      <c r="R35" s="41">
        <f>AVERAGE(E35:P35)</f>
        <v>17.416666666666668</v>
      </c>
      <c r="S35" s="34" t="s">
        <v>1137</v>
      </c>
    </row>
    <row r="36" spans="1:19" ht="15" customHeight="1" x14ac:dyDescent="0.25">
      <c r="A36" s="40"/>
      <c r="B36" s="50"/>
      <c r="C36" s="50"/>
      <c r="D36" s="50"/>
      <c r="E36" s="40"/>
      <c r="F36" s="40"/>
      <c r="G36" s="40"/>
      <c r="H36" s="40"/>
      <c r="I36" s="40"/>
      <c r="J36" s="40"/>
      <c r="K36" s="40"/>
      <c r="L36" s="40"/>
      <c r="M36" s="40"/>
      <c r="N36" s="40"/>
      <c r="O36" s="40"/>
      <c r="P36" s="40"/>
      <c r="R36" s="52"/>
    </row>
    <row r="37" spans="1:19" ht="15" customHeight="1" x14ac:dyDescent="0.25">
      <c r="A37" s="50" t="s">
        <v>1109</v>
      </c>
      <c r="B37" s="53">
        <f>('[15]NS USED VEHICLE'!$B$6*'[15]NS USED VEHICLE'!$B$14+'[15]NS USED VEHICLE'!$B$7*'[15]NS USED VEHICLE'!$B$15)/('[15]NS USED VEHICLE'!$B$6+'[15]NS USED VEHICLE'!$B$7)</f>
        <v>1406.0791176470595</v>
      </c>
      <c r="C37" s="53">
        <f>('[16]NS USED VEHICLE'!$C$6*'[16]NS USED VEHICLE'!$C$14+'[16]NS USED VEHICLE'!$C$7*'[16]NS USED VEHICLE'!$C$15)/('[16]NS USED VEHICLE'!$C$6+'[16]NS USED VEHICLE'!$C$7)</f>
        <v>1096.2199312714777</v>
      </c>
      <c r="D37" s="53">
        <f>('[17]NS USED VEHICLE'!$C$6*'[17]NS USED VEHICLE'!$C$14+'[17]NS USED VEHICLE'!$C$7*'[17]NS USED VEHICLE'!$C$15)/('[17]NS USED VEHICLE'!$C$6+'[17]NS USED VEHICLE'!$C$7)</f>
        <v>1096.2199312714777</v>
      </c>
      <c r="E37" s="53">
        <v>1111</v>
      </c>
      <c r="F37" s="53">
        <f>E37</f>
        <v>1111</v>
      </c>
      <c r="G37" s="53">
        <f>F37</f>
        <v>1111</v>
      </c>
      <c r="H37" s="53">
        <v>1111</v>
      </c>
      <c r="I37" s="53">
        <f>H37</f>
        <v>1111</v>
      </c>
      <c r="J37" s="53">
        <f>I37</f>
        <v>1111</v>
      </c>
      <c r="K37" s="53">
        <v>1111</v>
      </c>
      <c r="L37" s="53">
        <f>K37</f>
        <v>1111</v>
      </c>
      <c r="M37" s="53">
        <f>L37</f>
        <v>1111</v>
      </c>
      <c r="N37" s="53">
        <v>1111</v>
      </c>
      <c r="O37" s="53">
        <f>N37</f>
        <v>1111</v>
      </c>
      <c r="P37" s="53">
        <f>O37</f>
        <v>1111</v>
      </c>
      <c r="R37" s="52">
        <f t="shared" ref="R37:R45" si="9">AVERAGE(E37:P37)</f>
        <v>1111</v>
      </c>
      <c r="S37" s="34" t="s">
        <v>1138</v>
      </c>
    </row>
    <row r="38" spans="1:19" ht="15" customHeight="1" x14ac:dyDescent="0.25">
      <c r="A38" s="50" t="s">
        <v>1110</v>
      </c>
      <c r="B38" s="53">
        <f>'[15]NS USED VEHICLE'!$B$16</f>
        <v>3346.819999999997</v>
      </c>
      <c r="C38" s="53">
        <f>'[16]NS USED VEHICLE'!$C$16</f>
        <v>3500</v>
      </c>
      <c r="D38" s="53">
        <f>'[17]NS USED VEHICLE'!$C$16</f>
        <v>3500</v>
      </c>
      <c r="E38" s="159">
        <f>2200</f>
        <v>2200</v>
      </c>
      <c r="F38" s="159">
        <f>2200</f>
        <v>2200</v>
      </c>
      <c r="G38" s="159">
        <f>2200</f>
        <v>2200</v>
      </c>
      <c r="H38" s="159">
        <f>2500</f>
        <v>2500</v>
      </c>
      <c r="I38" s="159">
        <f>2500</f>
        <v>2500</v>
      </c>
      <c r="J38" s="159">
        <f>2500</f>
        <v>2500</v>
      </c>
      <c r="K38" s="159">
        <f>2800</f>
        <v>2800</v>
      </c>
      <c r="L38" s="159">
        <f>2800</f>
        <v>2800</v>
      </c>
      <c r="M38" s="159">
        <f>2800</f>
        <v>2800</v>
      </c>
      <c r="N38" s="159">
        <v>3100</v>
      </c>
      <c r="O38" s="159">
        <v>3100</v>
      </c>
      <c r="P38" s="159">
        <v>3100</v>
      </c>
      <c r="R38" s="52">
        <f>AVERAGE(E38:P38)</f>
        <v>2650</v>
      </c>
      <c r="S38" s="34" t="s">
        <v>1139</v>
      </c>
    </row>
    <row r="39" spans="1:19" ht="15" customHeight="1" x14ac:dyDescent="0.25">
      <c r="A39" s="50" t="s">
        <v>1111</v>
      </c>
      <c r="B39" s="53">
        <f>'[15]NS USED VEHICLE'!$B$17</f>
        <v>2065.936904761907</v>
      </c>
      <c r="C39" s="53">
        <f>'[16]NS USED VEHICLE'!$C$17</f>
        <v>2657.1428571428573</v>
      </c>
      <c r="D39" s="53">
        <f>'[17]NS USED VEHICLE'!$C$17</f>
        <v>2638.9830508474574</v>
      </c>
      <c r="E39" s="159">
        <v>2200</v>
      </c>
      <c r="F39" s="159">
        <v>2200</v>
      </c>
      <c r="G39" s="159">
        <v>2200</v>
      </c>
      <c r="H39" s="159">
        <f>2500</f>
        <v>2500</v>
      </c>
      <c r="I39" s="159">
        <f>2500</f>
        <v>2500</v>
      </c>
      <c r="J39" s="159">
        <f>2500</f>
        <v>2500</v>
      </c>
      <c r="K39" s="159">
        <f>2500</f>
        <v>2500</v>
      </c>
      <c r="L39" s="159">
        <f>2500</f>
        <v>2500</v>
      </c>
      <c r="M39" s="159">
        <f>2500</f>
        <v>2500</v>
      </c>
      <c r="N39" s="159">
        <f>2500</f>
        <v>2500</v>
      </c>
      <c r="O39" s="159">
        <f>2500</f>
        <v>2500</v>
      </c>
      <c r="P39" s="159">
        <f>2500</f>
        <v>2500</v>
      </c>
      <c r="R39" s="52">
        <f t="shared" si="9"/>
        <v>2425</v>
      </c>
      <c r="S39" s="34" t="s">
        <v>1140</v>
      </c>
    </row>
    <row r="40" spans="1:19" ht="15" customHeight="1" x14ac:dyDescent="0.25">
      <c r="A40" s="50" t="s">
        <v>1112</v>
      </c>
      <c r="B40" s="7">
        <f>'[15]NS USED VEHICLE'!$B$23</f>
        <v>1791.2059740259754</v>
      </c>
      <c r="C40" s="53">
        <f>'[4]NS USED VEHICLE'!$B$23</f>
        <v>2165.4375581395334</v>
      </c>
      <c r="D40" s="53">
        <f>'[4]NS USED VEHICLE'!$B$23</f>
        <v>2165.4375581395334</v>
      </c>
      <c r="E40" s="53">
        <f>(E30*E37+E31*E38+E32*E39)/E33</f>
        <v>1729.234375</v>
      </c>
      <c r="F40" s="53">
        <f t="shared" ref="F40:P40" si="10">(F30*F37+F31*F38+F32*F39)/F33</f>
        <v>1806.1568627450981</v>
      </c>
      <c r="G40" s="53">
        <f t="shared" si="10"/>
        <v>1828.037037037037</v>
      </c>
      <c r="H40" s="53">
        <f t="shared" si="10"/>
        <v>2050.5380116959063</v>
      </c>
      <c r="I40" s="53">
        <f t="shared" si="10"/>
        <v>2050.5380116959063</v>
      </c>
      <c r="J40" s="53">
        <f t="shared" si="10"/>
        <v>2050.5380116959063</v>
      </c>
      <c r="K40" s="53">
        <f t="shared" si="10"/>
        <v>2064.8898635477581</v>
      </c>
      <c r="L40" s="53">
        <f t="shared" si="10"/>
        <v>2108.4008771929821</v>
      </c>
      <c r="M40" s="53">
        <f t="shared" si="10"/>
        <v>2064.8898635477581</v>
      </c>
      <c r="N40" s="53">
        <f t="shared" si="10"/>
        <v>2026.6469298245618</v>
      </c>
      <c r="O40" s="53">
        <f t="shared" si="10"/>
        <v>2026.6469298245618</v>
      </c>
      <c r="P40" s="53">
        <f t="shared" si="10"/>
        <v>2026.6469298245618</v>
      </c>
      <c r="R40" s="52">
        <f t="shared" si="9"/>
        <v>1986.0969753026695</v>
      </c>
      <c r="S40" s="120"/>
    </row>
    <row r="41" spans="1:19" ht="15" customHeight="1" x14ac:dyDescent="0.25">
      <c r="A41" s="40" t="s">
        <v>1070</v>
      </c>
      <c r="B41" s="53">
        <f>'[15]NS USED VEHICLE'!$B$23-'[15]NS USED VEHICLE'!$B$18</f>
        <v>0</v>
      </c>
      <c r="C41" s="53">
        <f>'[4]NS USED VEHICLE'!$C$23-'[4]NS USED VEHICLE'!$C$18</f>
        <v>0</v>
      </c>
      <c r="D41" s="53">
        <f>'[5]NS USED VEHICLE'!$C$23-'[5]NS USED VEHICLE'!$C$18</f>
        <v>0</v>
      </c>
      <c r="E41" s="53">
        <v>0</v>
      </c>
      <c r="F41" s="53">
        <v>0</v>
      </c>
      <c r="G41" s="53">
        <f>'FEF Incentive Forecast FY2025'!D25*G30/'Used Vehicles - Group'!G30/G33</f>
        <v>609.37499999999989</v>
      </c>
      <c r="H41" s="53">
        <v>0</v>
      </c>
      <c r="I41" s="53">
        <v>0</v>
      </c>
      <c r="J41" s="53">
        <f>'FEF Incentive Forecast FY2025'!H25*J30/'Used Vehicles - Group'!G30/J33</f>
        <v>562.5</v>
      </c>
      <c r="K41" s="53">
        <v>0</v>
      </c>
      <c r="L41" s="53">
        <v>0</v>
      </c>
      <c r="M41" s="53">
        <f>'FEF Incentive Forecast FY2025'!L25*M30/'Used Vehicles - Group'!J30/M33</f>
        <v>549.3421052631578</v>
      </c>
      <c r="N41" s="53">
        <v>0</v>
      </c>
      <c r="O41" s="53">
        <v>0</v>
      </c>
      <c r="P41" s="53">
        <f>'FEF Incentive Forecast FY2025'!P25*P30/'Used Vehicles - Group'!M30/P33</f>
        <v>610.60855263157896</v>
      </c>
      <c r="R41" s="52">
        <f t="shared" si="9"/>
        <v>194.3188048245614</v>
      </c>
    </row>
    <row r="42" spans="1:19" ht="15" customHeight="1" x14ac:dyDescent="0.25">
      <c r="A42" s="50" t="s">
        <v>1071</v>
      </c>
      <c r="B42" s="53">
        <f>'[15]NS USED VEHICLE'!$B$27</f>
        <v>622.61558441558441</v>
      </c>
      <c r="C42" s="53">
        <f>'[16]NS USED VEHICLE'!$C$27</f>
        <v>492.30866439651908</v>
      </c>
      <c r="D42" s="53">
        <f>'[17]NS USED VEHICLE'!$C$27</f>
        <v>476.09652396633732</v>
      </c>
      <c r="E42" s="159">
        <f>AVERAGE($E16*$E$7+$F16*$F$7+$G16*$G$7+$H16*$H$7+$I16*$I$7+$J16*$J$7+$K16*$K$7+$L16*$L$7+$M16*$M$7)/9/E$33</f>
        <v>511.9926157407408</v>
      </c>
      <c r="F42" s="159">
        <f t="shared" ref="F42:P42" si="11">AVERAGE($E16*$E$7+$F16*$F$7+$G16*$G$7+$H16*$H$7+$I16*$I$7+$J16*$J$7+$K16*$K$7+$L16*$L$7+$M16*$M$7)/9/F$33</f>
        <v>481.87540305010901</v>
      </c>
      <c r="G42" s="159">
        <f t="shared" si="11"/>
        <v>455.10454732510294</v>
      </c>
      <c r="H42" s="159">
        <f t="shared" si="11"/>
        <v>455.10454732510294</v>
      </c>
      <c r="I42" s="159">
        <f t="shared" si="11"/>
        <v>455.10454732510294</v>
      </c>
      <c r="J42" s="159">
        <f t="shared" si="11"/>
        <v>455.10454732510294</v>
      </c>
      <c r="K42" s="159">
        <f t="shared" si="11"/>
        <v>455.10454732510294</v>
      </c>
      <c r="L42" s="159">
        <f t="shared" si="11"/>
        <v>409.59409259259263</v>
      </c>
      <c r="M42" s="159">
        <f t="shared" si="11"/>
        <v>455.10454732510294</v>
      </c>
      <c r="N42" s="159">
        <f t="shared" si="11"/>
        <v>511.9926157407408</v>
      </c>
      <c r="O42" s="159">
        <f t="shared" si="11"/>
        <v>511.9926157407408</v>
      </c>
      <c r="P42" s="159">
        <f t="shared" si="11"/>
        <v>511.9926157407408</v>
      </c>
      <c r="R42" s="52">
        <f t="shared" si="9"/>
        <v>472.50560354635689</v>
      </c>
      <c r="S42" s="34" t="s">
        <v>1141</v>
      </c>
    </row>
    <row r="43" spans="1:19" ht="15" customHeight="1" x14ac:dyDescent="0.25">
      <c r="A43" s="50" t="s">
        <v>1072</v>
      </c>
      <c r="B43" s="53">
        <f>'[15]NS USED VEHICLE'!$B$32</f>
        <v>1008.6416883116883</v>
      </c>
      <c r="C43" s="53">
        <f>'[16]NS USED VEHICLE'!$C$32</f>
        <v>743.88369277336369</v>
      </c>
      <c r="D43" s="53">
        <f>'[17]NS USED VEHICLE'!$C$32</f>
        <v>719.38697402122216</v>
      </c>
      <c r="E43" s="159">
        <f>AVERAGE($E17*$E$7+$F17*$F$7+$G17*$G$7+$H17*$H$7+$I17*$I$7+$J17*$J$7+$K17*$K$7+$L17*$L$7+$M17*$M$7)/9/E$33+E56+E57+E58</f>
        <v>888.72618055555552</v>
      </c>
      <c r="F43" s="159">
        <f t="shared" ref="F43:P43" si="12">AVERAGE($E17*$E$7+$F17*$F$7+$G17*$G$7+$H17*$H$7+$I17*$I$7+$J17*$J$7+$K17*$K$7+$L17*$L$7+$M17*$M$7)/9/F$33+F56+F57+F58</f>
        <v>836.4481699346403</v>
      </c>
      <c r="G43" s="159">
        <f t="shared" si="12"/>
        <v>789.97882716049378</v>
      </c>
      <c r="H43" s="159">
        <f t="shared" si="12"/>
        <v>789.97882716049378</v>
      </c>
      <c r="I43" s="159">
        <f t="shared" si="12"/>
        <v>789.97882716049378</v>
      </c>
      <c r="J43" s="159">
        <f t="shared" si="12"/>
        <v>789.97882716049378</v>
      </c>
      <c r="K43" s="159">
        <f t="shared" si="12"/>
        <v>789.97882716049378</v>
      </c>
      <c r="L43" s="159">
        <f t="shared" si="12"/>
        <v>710.98094444444439</v>
      </c>
      <c r="M43" s="159">
        <f t="shared" si="12"/>
        <v>789.97882716049378</v>
      </c>
      <c r="N43" s="159">
        <f t="shared" si="12"/>
        <v>888.72618055555552</v>
      </c>
      <c r="O43" s="159">
        <f t="shared" si="12"/>
        <v>888.72618055555552</v>
      </c>
      <c r="P43" s="159">
        <f t="shared" si="12"/>
        <v>888.72618055555552</v>
      </c>
      <c r="R43" s="52">
        <f t="shared" si="9"/>
        <v>820.18389996368921</v>
      </c>
      <c r="S43" s="34" t="s">
        <v>1142</v>
      </c>
    </row>
    <row r="44" spans="1:19" ht="15" customHeight="1" x14ac:dyDescent="0.25">
      <c r="A44" s="50" t="s">
        <v>1073</v>
      </c>
      <c r="B44" s="53">
        <f>'[15]NS USED VEHICLE'!$B$33</f>
        <v>1631.2572727272727</v>
      </c>
      <c r="C44" s="53">
        <f>'[16]NS USED VEHICLE'!$C$33</f>
        <v>1236.1923571698828</v>
      </c>
      <c r="D44" s="53">
        <f>'[17]NS USED VEHICLE'!$C$33</f>
        <v>1195.4834979875595</v>
      </c>
      <c r="E44" s="53">
        <f>E42+E43</f>
        <v>1400.7187962962962</v>
      </c>
      <c r="F44" s="53">
        <f t="shared" ref="F44:P44" si="13">F42+F43</f>
        <v>1318.3235729847493</v>
      </c>
      <c r="G44" s="53">
        <f t="shared" si="13"/>
        <v>1245.0833744855968</v>
      </c>
      <c r="H44" s="53">
        <f t="shared" si="13"/>
        <v>1245.0833744855968</v>
      </c>
      <c r="I44" s="53">
        <f t="shared" si="13"/>
        <v>1245.0833744855968</v>
      </c>
      <c r="J44" s="53">
        <f t="shared" si="13"/>
        <v>1245.0833744855968</v>
      </c>
      <c r="K44" s="53">
        <f t="shared" si="13"/>
        <v>1245.0833744855968</v>
      </c>
      <c r="L44" s="53">
        <f t="shared" si="13"/>
        <v>1120.575037037037</v>
      </c>
      <c r="M44" s="53">
        <f t="shared" si="13"/>
        <v>1245.0833744855968</v>
      </c>
      <c r="N44" s="53">
        <f t="shared" si="13"/>
        <v>1400.7187962962962</v>
      </c>
      <c r="O44" s="53">
        <f t="shared" si="13"/>
        <v>1400.7187962962962</v>
      </c>
      <c r="P44" s="53">
        <f t="shared" si="13"/>
        <v>1400.7187962962962</v>
      </c>
      <c r="R44" s="52">
        <f t="shared" si="9"/>
        <v>1292.6895035100461</v>
      </c>
    </row>
    <row r="45" spans="1:19" ht="15" customHeight="1" x14ac:dyDescent="0.25">
      <c r="A45" s="50" t="s">
        <v>1074</v>
      </c>
      <c r="B45" s="53">
        <f>'[15]NS USED VEHICLE'!$B$34</f>
        <v>159.94870129870264</v>
      </c>
      <c r="C45" s="53">
        <f>'[16]NS USED VEHICLE'!$C$34</f>
        <v>934.0687097994703</v>
      </c>
      <c r="D45" s="53">
        <f>'[17]NS USED VEHICLE'!$C$34</f>
        <v>1660.473721581076</v>
      </c>
      <c r="E45" s="53">
        <f>E40+E41-E44</f>
        <v>328.5155787037038</v>
      </c>
      <c r="F45" s="53">
        <f t="shared" ref="F45:P45" si="14">F40+F41-F44</f>
        <v>487.83328976034886</v>
      </c>
      <c r="G45" s="53">
        <f t="shared" si="14"/>
        <v>1192.3286625514402</v>
      </c>
      <c r="H45" s="53">
        <f t="shared" si="14"/>
        <v>805.45463721030956</v>
      </c>
      <c r="I45" s="53">
        <f t="shared" si="14"/>
        <v>805.45463721030956</v>
      </c>
      <c r="J45" s="53">
        <f t="shared" si="14"/>
        <v>1367.9546372103096</v>
      </c>
      <c r="K45" s="53">
        <f t="shared" si="14"/>
        <v>819.80648906216129</v>
      </c>
      <c r="L45" s="53">
        <f t="shared" si="14"/>
        <v>987.82584015594512</v>
      </c>
      <c r="M45" s="53">
        <f t="shared" si="14"/>
        <v>1369.1485943253192</v>
      </c>
      <c r="N45" s="53">
        <f t="shared" si="14"/>
        <v>625.92813352826556</v>
      </c>
      <c r="O45" s="53">
        <f t="shared" si="14"/>
        <v>625.92813352826556</v>
      </c>
      <c r="P45" s="53">
        <f t="shared" si="14"/>
        <v>1236.5366861598445</v>
      </c>
      <c r="R45" s="52">
        <f t="shared" si="9"/>
        <v>887.72627661718514</v>
      </c>
    </row>
    <row r="46" spans="1:19" ht="15" customHeight="1" x14ac:dyDescent="0.25">
      <c r="A46" s="50"/>
      <c r="B46" s="53"/>
      <c r="C46" s="53"/>
      <c r="D46" s="53"/>
      <c r="E46" s="40"/>
      <c r="F46" s="40"/>
      <c r="G46" s="40"/>
      <c r="H46" s="40"/>
      <c r="I46" s="40"/>
      <c r="J46" s="40"/>
      <c r="K46" s="40"/>
      <c r="L46" s="40"/>
      <c r="M46" s="40"/>
      <c r="N46" s="40"/>
      <c r="O46" s="40"/>
      <c r="P46" s="40"/>
      <c r="R46" s="52"/>
    </row>
    <row r="47" spans="1:19" ht="15" customHeight="1" x14ac:dyDescent="0.25">
      <c r="A47" s="50" t="s">
        <v>1113</v>
      </c>
      <c r="B47" s="53">
        <f>'[15]NS USED VEHICLE'!$B$11*'[15]NS USED VEHICLE'!$B$19</f>
        <v>13139.349999999999</v>
      </c>
      <c r="C47" s="53">
        <f>'[16]NS USED VEHICLE'!$C$11*'[16]NS USED VEHICLE'!$C$19</f>
        <v>0</v>
      </c>
      <c r="D47" s="53">
        <f>'[17]NS USED VEHICLE'!$C$11*'[17]NS USED VEHICLE'!$C$19</f>
        <v>0</v>
      </c>
      <c r="E47" s="40">
        <v>0</v>
      </c>
      <c r="F47" s="40">
        <v>0</v>
      </c>
      <c r="G47" s="40">
        <v>0</v>
      </c>
      <c r="H47" s="40">
        <v>0</v>
      </c>
      <c r="I47" s="40">
        <v>0</v>
      </c>
      <c r="J47" s="40">
        <v>0</v>
      </c>
      <c r="K47" s="40">
        <v>0</v>
      </c>
      <c r="L47" s="40">
        <v>0</v>
      </c>
      <c r="M47" s="40">
        <v>0</v>
      </c>
      <c r="N47" s="40">
        <v>0</v>
      </c>
      <c r="O47" s="40">
        <v>0</v>
      </c>
      <c r="P47" s="40">
        <v>0</v>
      </c>
      <c r="R47" s="52">
        <f>SUM(E47:P47)</f>
        <v>0</v>
      </c>
    </row>
    <row r="48" spans="1:19" x14ac:dyDescent="0.25">
      <c r="A48" s="50" t="s">
        <v>1114</v>
      </c>
      <c r="B48" s="53">
        <f>'[15]NS USED VEHICLE'!$B$24</f>
        <v>151062.21000000011</v>
      </c>
      <c r="C48" s="53">
        <f>'[16]NS USED VEHICLE'!$C$24</f>
        <v>191200</v>
      </c>
      <c r="D48" s="53">
        <f>'[17]NS USED VEHICLE'!$C$24</f>
        <v>260177.70270270269</v>
      </c>
      <c r="E48" s="7">
        <f>(E40+E41)*E33</f>
        <v>166006.5</v>
      </c>
      <c r="F48" s="7">
        <f>(F40+F41)*F33</f>
        <v>184228</v>
      </c>
      <c r="G48" s="7">
        <f>(G40+G41)*G33</f>
        <v>263240.5</v>
      </c>
      <c r="H48" s="7">
        <f>(H40+H41)*H33</f>
        <v>221458.10526315789</v>
      </c>
      <c r="I48" s="7">
        <f t="shared" ref="I48:P48" si="15">(I40+I41)*I33</f>
        <v>221458.10526315789</v>
      </c>
      <c r="J48" s="7">
        <f t="shared" si="15"/>
        <v>282208.10526315786</v>
      </c>
      <c r="K48" s="7">
        <f t="shared" si="15"/>
        <v>223008.10526315786</v>
      </c>
      <c r="L48" s="7">
        <f t="shared" si="15"/>
        <v>253008.10526315786</v>
      </c>
      <c r="M48" s="7">
        <f t="shared" si="15"/>
        <v>282337.05263157893</v>
      </c>
      <c r="N48" s="7">
        <f t="shared" si="15"/>
        <v>194558.10526315792</v>
      </c>
      <c r="O48" s="7">
        <f t="shared" si="15"/>
        <v>194558.10526315792</v>
      </c>
      <c r="P48" s="7">
        <f t="shared" si="15"/>
        <v>253176.5263157895</v>
      </c>
      <c r="R48" s="52">
        <f>SUM(E48:P48)</f>
        <v>2739245.3157894732</v>
      </c>
    </row>
    <row r="49" spans="1:20" x14ac:dyDescent="0.25">
      <c r="A49" s="7" t="s">
        <v>1076</v>
      </c>
      <c r="B49" s="6">
        <f>B44*B33</f>
        <v>125606.81</v>
      </c>
      <c r="C49" s="6">
        <f>C44*C33</f>
        <v>108908.54666666668</v>
      </c>
      <c r="D49" s="6">
        <f>D44*D33</f>
        <v>108908.54666666666</v>
      </c>
      <c r="E49" s="12">
        <f>E44*E33</f>
        <v>134469.00444444444</v>
      </c>
      <c r="F49" s="12">
        <f t="shared" ref="F49:P49" si="16">F44*F33</f>
        <v>134469.00444444444</v>
      </c>
      <c r="G49" s="12">
        <f t="shared" si="16"/>
        <v>134469.00444444446</v>
      </c>
      <c r="H49" s="12">
        <f t="shared" si="16"/>
        <v>134469.00444444446</v>
      </c>
      <c r="I49" s="12">
        <f t="shared" si="16"/>
        <v>134469.00444444446</v>
      </c>
      <c r="J49" s="12">
        <f t="shared" si="16"/>
        <v>134469.00444444446</v>
      </c>
      <c r="K49" s="12">
        <f t="shared" si="16"/>
        <v>134469.00444444446</v>
      </c>
      <c r="L49" s="12">
        <f t="shared" si="16"/>
        <v>134469.00444444444</v>
      </c>
      <c r="M49" s="12">
        <f t="shared" si="16"/>
        <v>134469.00444444446</v>
      </c>
      <c r="N49" s="12">
        <f t="shared" si="16"/>
        <v>134469.00444444444</v>
      </c>
      <c r="O49" s="12">
        <f t="shared" si="16"/>
        <v>134469.00444444444</v>
      </c>
      <c r="P49" s="12">
        <f t="shared" si="16"/>
        <v>134469.00444444444</v>
      </c>
      <c r="Q49" t="s">
        <v>1116</v>
      </c>
      <c r="R49" s="6">
        <f>SUM(E49:P49)</f>
        <v>1613628.0533333337</v>
      </c>
    </row>
    <row r="50" spans="1:20" ht="15.75" thickBot="1" x14ac:dyDescent="0.3">
      <c r="A50" s="51" t="s">
        <v>1115</v>
      </c>
      <c r="B50" s="58">
        <f>B47+B45*B33</f>
        <v>25455.400000000103</v>
      </c>
      <c r="C50" s="58">
        <f>C47+C45*C33</f>
        <v>82291.453333333324</v>
      </c>
      <c r="D50" s="58">
        <f>D47+D45*D33</f>
        <v>151269.156036036</v>
      </c>
      <c r="E50" s="58">
        <f>E47+E48-E49</f>
        <v>31537.495555555564</v>
      </c>
      <c r="F50" s="58">
        <f t="shared" ref="F50:P50" si="17">F47+F48-F49</f>
        <v>49758.995555555564</v>
      </c>
      <c r="G50" s="58">
        <f t="shared" si="17"/>
        <v>128771.49555555554</v>
      </c>
      <c r="H50" s="58">
        <f t="shared" si="17"/>
        <v>86989.100818713428</v>
      </c>
      <c r="I50" s="58">
        <f t="shared" si="17"/>
        <v>86989.100818713428</v>
      </c>
      <c r="J50" s="58">
        <f t="shared" si="17"/>
        <v>147739.1008187134</v>
      </c>
      <c r="K50" s="58">
        <f t="shared" si="17"/>
        <v>88539.100818713399</v>
      </c>
      <c r="L50" s="58">
        <f t="shared" si="17"/>
        <v>118539.10081871343</v>
      </c>
      <c r="M50" s="58">
        <f t="shared" si="17"/>
        <v>147868.04818713447</v>
      </c>
      <c r="N50" s="58">
        <f t="shared" si="17"/>
        <v>60089.100818713487</v>
      </c>
      <c r="O50" s="58">
        <f t="shared" si="17"/>
        <v>60089.100818713487</v>
      </c>
      <c r="P50" s="58">
        <f t="shared" si="17"/>
        <v>118707.52187134506</v>
      </c>
      <c r="R50" s="58">
        <f>SUM(E50:P50)</f>
        <v>1125617.2624561402</v>
      </c>
    </row>
    <row r="51" spans="1:20" ht="15" customHeight="1" thickTop="1" x14ac:dyDescent="0.25">
      <c r="A51" s="40"/>
      <c r="B51" s="40"/>
      <c r="C51" s="40"/>
      <c r="D51" s="40"/>
      <c r="E51" s="40"/>
      <c r="F51" s="40"/>
      <c r="G51" s="40"/>
      <c r="H51" s="40"/>
      <c r="I51" s="40"/>
      <c r="J51" s="40"/>
      <c r="K51" s="40"/>
      <c r="L51" s="40"/>
      <c r="M51" s="40"/>
      <c r="N51" s="40"/>
      <c r="O51" s="40"/>
      <c r="P51" s="40"/>
      <c r="R51" s="40"/>
    </row>
    <row r="52" spans="1:20" ht="15" customHeight="1" x14ac:dyDescent="0.25">
      <c r="A52" t="s">
        <v>1117</v>
      </c>
      <c r="E52" s="3">
        <f>E32/E33</f>
        <v>0.51388888888888895</v>
      </c>
      <c r="F52" s="3">
        <f t="shared" ref="F52:P52" si="18">F32/F33</f>
        <v>0.58769063180827896</v>
      </c>
      <c r="G52" s="3">
        <f t="shared" si="18"/>
        <v>0.61059670781893005</v>
      </c>
      <c r="H52" s="3">
        <f t="shared" si="18"/>
        <v>0.62857374918778419</v>
      </c>
      <c r="I52" s="3">
        <f t="shared" si="18"/>
        <v>0.62857374918778419</v>
      </c>
      <c r="J52" s="3">
        <f t="shared" si="18"/>
        <v>0.62857374918778419</v>
      </c>
      <c r="K52" s="3">
        <f t="shared" si="18"/>
        <v>0.62857374918778419</v>
      </c>
      <c r="L52" s="3">
        <f t="shared" si="18"/>
        <v>0.66571637426900587</v>
      </c>
      <c r="M52" s="3">
        <f t="shared" si="18"/>
        <v>0.62857374918778419</v>
      </c>
      <c r="N52" s="3">
        <f t="shared" si="18"/>
        <v>0.58214546783625731</v>
      </c>
      <c r="O52" s="3">
        <f t="shared" si="18"/>
        <v>0.58214546783625731</v>
      </c>
      <c r="P52" s="3">
        <f t="shared" si="18"/>
        <v>0.58214546783625731</v>
      </c>
      <c r="S52" s="34" t="s">
        <v>1143</v>
      </c>
    </row>
    <row r="53" spans="1:20" ht="15" customHeight="1" x14ac:dyDescent="0.25">
      <c r="A53" t="s">
        <v>1081</v>
      </c>
      <c r="E53" s="15">
        <f>E42*E$33</f>
        <v>49151.291111111117</v>
      </c>
      <c r="F53" s="15">
        <f t="shared" ref="F53:P54" si="19">F42*F$33</f>
        <v>49151.291111111117</v>
      </c>
      <c r="G53" s="15">
        <f t="shared" si="19"/>
        <v>49151.291111111117</v>
      </c>
      <c r="H53" s="15">
        <f t="shared" si="19"/>
        <v>49151.291111111117</v>
      </c>
      <c r="I53" s="15">
        <f t="shared" si="19"/>
        <v>49151.291111111117</v>
      </c>
      <c r="J53" s="15">
        <f t="shared" si="19"/>
        <v>49151.291111111117</v>
      </c>
      <c r="K53" s="15">
        <f t="shared" si="19"/>
        <v>49151.291111111117</v>
      </c>
      <c r="L53" s="15">
        <f t="shared" si="19"/>
        <v>49151.291111111117</v>
      </c>
      <c r="M53" s="15">
        <f t="shared" si="19"/>
        <v>49151.291111111117</v>
      </c>
      <c r="N53" s="15">
        <f t="shared" si="19"/>
        <v>49151.291111111117</v>
      </c>
      <c r="O53" s="15">
        <f t="shared" si="19"/>
        <v>49151.291111111117</v>
      </c>
      <c r="P53" s="15">
        <f t="shared" si="19"/>
        <v>49151.291111111117</v>
      </c>
      <c r="R53" s="52">
        <f>SUM(E53:P53)</f>
        <v>589815.4933333334</v>
      </c>
    </row>
    <row r="54" spans="1:20" ht="15" customHeight="1" x14ac:dyDescent="0.25">
      <c r="A54" t="s">
        <v>1119</v>
      </c>
      <c r="E54" s="15">
        <f>E43*E$33</f>
        <v>85317.713333333333</v>
      </c>
      <c r="F54" s="15">
        <f t="shared" si="19"/>
        <v>85317.713333333304</v>
      </c>
      <c r="G54" s="15">
        <f t="shared" si="19"/>
        <v>85317.713333333333</v>
      </c>
      <c r="H54" s="15">
        <f t="shared" si="19"/>
        <v>85317.713333333333</v>
      </c>
      <c r="I54" s="15">
        <f t="shared" si="19"/>
        <v>85317.713333333333</v>
      </c>
      <c r="J54" s="15">
        <f t="shared" si="19"/>
        <v>85317.713333333333</v>
      </c>
      <c r="K54" s="15">
        <f t="shared" si="19"/>
        <v>85317.713333333333</v>
      </c>
      <c r="L54" s="15">
        <f t="shared" si="19"/>
        <v>85317.713333333333</v>
      </c>
      <c r="M54" s="15">
        <f t="shared" si="19"/>
        <v>85317.713333333333</v>
      </c>
      <c r="N54" s="15">
        <f t="shared" si="19"/>
        <v>85317.713333333333</v>
      </c>
      <c r="O54" s="15">
        <f t="shared" si="19"/>
        <v>85317.713333333333</v>
      </c>
      <c r="P54" s="15">
        <f t="shared" si="19"/>
        <v>85317.713333333333</v>
      </c>
      <c r="R54" s="52">
        <f>SUM(E54:P54)</f>
        <v>1023812.5600000002</v>
      </c>
    </row>
    <row r="56" spans="1:20" ht="15" customHeight="1" x14ac:dyDescent="0.25">
      <c r="A56" t="s">
        <v>1144</v>
      </c>
      <c r="E56" s="53">
        <f>58000/12/E33</f>
        <v>50.347222222222221</v>
      </c>
      <c r="F56" s="53">
        <f t="shared" ref="F56:P56" si="20">58000/12/F33</f>
        <v>47.385620915032675</v>
      </c>
      <c r="G56" s="53">
        <f t="shared" si="20"/>
        <v>44.753086419753082</v>
      </c>
      <c r="H56" s="53">
        <f t="shared" si="20"/>
        <v>44.753086419753082</v>
      </c>
      <c r="I56" s="53">
        <f t="shared" si="20"/>
        <v>44.753086419753082</v>
      </c>
      <c r="J56" s="53">
        <f t="shared" si="20"/>
        <v>44.753086419753082</v>
      </c>
      <c r="K56" s="53">
        <f t="shared" si="20"/>
        <v>44.753086419753082</v>
      </c>
      <c r="L56" s="53">
        <f t="shared" si="20"/>
        <v>40.277777777777779</v>
      </c>
      <c r="M56" s="53">
        <f t="shared" si="20"/>
        <v>44.753086419753082</v>
      </c>
      <c r="N56" s="53">
        <f t="shared" si="20"/>
        <v>50.347222222222221</v>
      </c>
      <c r="O56" s="53">
        <f t="shared" si="20"/>
        <v>50.347222222222221</v>
      </c>
      <c r="P56" s="53">
        <f t="shared" si="20"/>
        <v>50.347222222222221</v>
      </c>
      <c r="R56" s="7">
        <f>AVERAGE(E56:P56)</f>
        <v>46.464233841684809</v>
      </c>
      <c r="S56" s="163" t="s">
        <v>1145</v>
      </c>
    </row>
    <row r="57" spans="1:20" ht="15" customHeight="1" x14ac:dyDescent="0.25">
      <c r="A57" t="s">
        <v>1146</v>
      </c>
      <c r="E57" s="53">
        <f>67980*0.5/12/E33</f>
        <v>29.505208333333332</v>
      </c>
      <c r="F57" s="53">
        <f t="shared" ref="F57:P57" si="21">67980*0.5/12/F33</f>
        <v>27.769607843137255</v>
      </c>
      <c r="G57" s="53">
        <f t="shared" si="21"/>
        <v>26.226851851851851</v>
      </c>
      <c r="H57" s="53">
        <f t="shared" si="21"/>
        <v>26.226851851851851</v>
      </c>
      <c r="I57" s="53">
        <f t="shared" si="21"/>
        <v>26.226851851851851</v>
      </c>
      <c r="J57" s="53">
        <f t="shared" si="21"/>
        <v>26.226851851851851</v>
      </c>
      <c r="K57" s="53">
        <f t="shared" si="21"/>
        <v>26.226851851851851</v>
      </c>
      <c r="L57" s="53">
        <f t="shared" si="21"/>
        <v>23.604166666666668</v>
      </c>
      <c r="M57" s="53">
        <f t="shared" si="21"/>
        <v>26.226851851851851</v>
      </c>
      <c r="N57" s="53">
        <f t="shared" si="21"/>
        <v>29.505208333333332</v>
      </c>
      <c r="O57" s="53">
        <f t="shared" si="21"/>
        <v>29.505208333333332</v>
      </c>
      <c r="P57" s="53">
        <f t="shared" si="21"/>
        <v>29.505208333333332</v>
      </c>
      <c r="R57" s="7">
        <f>AVERAGE(E57:P57)</f>
        <v>27.229643246187361</v>
      </c>
      <c r="S57" s="163" t="s">
        <v>1147</v>
      </c>
    </row>
    <row r="58" spans="1:20" ht="15" customHeight="1" x14ac:dyDescent="0.25">
      <c r="A58" t="s">
        <v>1153</v>
      </c>
      <c r="E58" s="53">
        <f>60000/12/E33</f>
        <v>52.083333333333336</v>
      </c>
      <c r="F58" s="53">
        <f t="shared" ref="F58:P58" si="22">60000/12/F33</f>
        <v>49.019607843137258</v>
      </c>
      <c r="G58" s="53">
        <f t="shared" si="22"/>
        <v>46.296296296296298</v>
      </c>
      <c r="H58" s="53">
        <f t="shared" si="22"/>
        <v>46.296296296296298</v>
      </c>
      <c r="I58" s="53">
        <f t="shared" si="22"/>
        <v>46.296296296296298</v>
      </c>
      <c r="J58" s="53">
        <f t="shared" si="22"/>
        <v>46.296296296296298</v>
      </c>
      <c r="K58" s="53">
        <f t="shared" si="22"/>
        <v>46.296296296296298</v>
      </c>
      <c r="L58" s="53">
        <f t="shared" si="22"/>
        <v>41.666666666666664</v>
      </c>
      <c r="M58" s="53">
        <f t="shared" si="22"/>
        <v>46.296296296296298</v>
      </c>
      <c r="N58" s="53">
        <f t="shared" si="22"/>
        <v>52.083333333333336</v>
      </c>
      <c r="O58" s="53">
        <f t="shared" si="22"/>
        <v>52.083333333333336</v>
      </c>
      <c r="P58" s="53">
        <f t="shared" si="22"/>
        <v>52.083333333333336</v>
      </c>
      <c r="R58" s="7">
        <f>AVERAGE(E58:P58)</f>
        <v>48.066448801742922</v>
      </c>
    </row>
    <row r="60" spans="1:20" ht="15" customHeight="1" x14ac:dyDescent="0.25">
      <c r="A60" t="s">
        <v>1148</v>
      </c>
      <c r="R60" s="167"/>
    </row>
    <row r="62" spans="1:20" ht="15" customHeight="1" x14ac:dyDescent="0.25">
      <c r="A62" t="s">
        <v>1127</v>
      </c>
      <c r="E62" s="50">
        <f t="shared" ref="E62:P62" si="23">$R$64*_xlfn.STDEV.P($E$30:$P$30)*SQRT($S$62)+E30</f>
        <v>44.792086071630649</v>
      </c>
      <c r="F62" s="50">
        <f t="shared" si="23"/>
        <v>40.180974960519535</v>
      </c>
      <c r="G62" s="50">
        <f t="shared" si="23"/>
        <v>40.180974960519535</v>
      </c>
      <c r="H62" s="50">
        <f t="shared" si="23"/>
        <v>38.239454492683279</v>
      </c>
      <c r="I62" s="50">
        <f t="shared" si="23"/>
        <v>38.239454492683279</v>
      </c>
      <c r="J62" s="50">
        <f t="shared" si="23"/>
        <v>38.239454492683279</v>
      </c>
      <c r="K62" s="50">
        <f t="shared" si="23"/>
        <v>38.239454492683279</v>
      </c>
      <c r="L62" s="50">
        <f t="shared" si="23"/>
        <v>38.239454492683279</v>
      </c>
      <c r="M62" s="50">
        <f t="shared" si="23"/>
        <v>38.239454492683279</v>
      </c>
      <c r="N62" s="50">
        <f t="shared" si="23"/>
        <v>38.239454492683279</v>
      </c>
      <c r="O62" s="50">
        <f t="shared" si="23"/>
        <v>38.239454492683279</v>
      </c>
      <c r="P62" s="50">
        <f t="shared" si="23"/>
        <v>38.239454492683279</v>
      </c>
      <c r="R62" t="s">
        <v>1149</v>
      </c>
      <c r="S62" s="34">
        <f>5/52*12</f>
        <v>1.153846153846154</v>
      </c>
      <c r="T62" s="34" t="s">
        <v>1150</v>
      </c>
    </row>
    <row r="63" spans="1:20" ht="15" customHeight="1" x14ac:dyDescent="0.25">
      <c r="A63" t="s">
        <v>1128</v>
      </c>
      <c r="E63" s="50">
        <f t="shared" ref="E63:P63" si="24">$R$64*_xlfn.STDEV.P($E$32:$P$32)*SQRT($S$63)+E32</f>
        <v>56.852107153900292</v>
      </c>
      <c r="F63" s="50">
        <f t="shared" si="24"/>
        <v>67.463218265011406</v>
      </c>
      <c r="G63" s="50">
        <f t="shared" si="24"/>
        <v>73.463218265011392</v>
      </c>
      <c r="H63" s="50">
        <f t="shared" si="24"/>
        <v>75.404738732847647</v>
      </c>
      <c r="I63" s="50">
        <f t="shared" si="24"/>
        <v>75.404738732847647</v>
      </c>
      <c r="J63" s="50">
        <f t="shared" si="24"/>
        <v>75.404738732847647</v>
      </c>
      <c r="K63" s="50">
        <f t="shared" si="24"/>
        <v>75.404738732847647</v>
      </c>
      <c r="L63" s="50">
        <f t="shared" si="24"/>
        <v>87.404738732847647</v>
      </c>
      <c r="M63" s="50">
        <f t="shared" si="24"/>
        <v>75.404738732847647</v>
      </c>
      <c r="N63" s="50">
        <f t="shared" si="24"/>
        <v>63.404738732847662</v>
      </c>
      <c r="O63" s="50">
        <f t="shared" si="24"/>
        <v>63.404738732847662</v>
      </c>
      <c r="P63" s="50">
        <f t="shared" si="24"/>
        <v>63.404738732847662</v>
      </c>
      <c r="R63" t="s">
        <v>1151</v>
      </c>
      <c r="S63" s="34">
        <f>10/365*12</f>
        <v>0.32876712328767121</v>
      </c>
      <c r="T63" s="34" t="s">
        <v>1150</v>
      </c>
    </row>
    <row r="64" spans="1:20" ht="15" customHeight="1" x14ac:dyDescent="0.25">
      <c r="A64" t="s">
        <v>1055</v>
      </c>
      <c r="E64" s="118">
        <f t="shared" ref="E64:P64" si="25">E62+E63</f>
        <v>101.64419322553094</v>
      </c>
      <c r="F64" s="118">
        <f t="shared" si="25"/>
        <v>107.64419322553094</v>
      </c>
      <c r="G64" s="118">
        <f t="shared" si="25"/>
        <v>113.64419322553093</v>
      </c>
      <c r="H64" s="118">
        <f t="shared" si="25"/>
        <v>113.64419322553093</v>
      </c>
      <c r="I64" s="118">
        <f t="shared" si="25"/>
        <v>113.64419322553093</v>
      </c>
      <c r="J64" s="118">
        <f t="shared" si="25"/>
        <v>113.64419322553093</v>
      </c>
      <c r="K64" s="118">
        <f t="shared" si="25"/>
        <v>113.64419322553093</v>
      </c>
      <c r="L64" s="118">
        <f t="shared" si="25"/>
        <v>125.64419322553093</v>
      </c>
      <c r="M64" s="118">
        <f t="shared" si="25"/>
        <v>113.64419322553093</v>
      </c>
      <c r="N64" s="118">
        <f t="shared" si="25"/>
        <v>101.64419322553094</v>
      </c>
      <c r="O64" s="118">
        <f t="shared" si="25"/>
        <v>101.64419322553094</v>
      </c>
      <c r="P64" s="118">
        <f t="shared" si="25"/>
        <v>101.64419322553094</v>
      </c>
      <c r="R64">
        <v>1.65</v>
      </c>
      <c r="T64" s="34" t="s">
        <v>1154</v>
      </c>
    </row>
    <row r="67" spans="1:1" ht="15" customHeight="1" x14ac:dyDescent="0.25">
      <c r="A67" s="34" t="s">
        <v>1155</v>
      </c>
    </row>
    <row r="68" spans="1:1" ht="15" customHeight="1" x14ac:dyDescent="0.25">
      <c r="A68" s="34" t="s">
        <v>1156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9BA2F-0CAA-4D05-8DD8-5B53F3A761E9}">
  <sheetPr codeName="Sheet10">
    <tabColor theme="9" tint="0.79998168889431442"/>
    <pageSetUpPr fitToPage="1"/>
  </sheetPr>
  <dimension ref="A1:T72"/>
  <sheetViews>
    <sheetView topLeftCell="A34" zoomScale="85" zoomScaleNormal="85" workbookViewId="0">
      <selection activeCell="R32" sqref="R32"/>
    </sheetView>
  </sheetViews>
  <sheetFormatPr defaultRowHeight="15" customHeight="1" x14ac:dyDescent="0.25"/>
  <cols>
    <col min="1" max="1" width="28.7109375" bestFit="1" customWidth="1"/>
    <col min="2" max="2" width="8.28515625" hidden="1" customWidth="1"/>
    <col min="3" max="4" width="9.5703125" hidden="1" customWidth="1"/>
    <col min="5" max="5" width="10.140625" bestFit="1" customWidth="1" collapsed="1"/>
    <col min="6" max="7" width="10.7109375" customWidth="1"/>
    <col min="8" max="8" width="10.7109375" customWidth="1" collapsed="1"/>
    <col min="9" max="10" width="10.7109375" customWidth="1"/>
    <col min="11" max="11" width="10.7109375" customWidth="1" collapsed="1"/>
    <col min="12" max="16" width="10.7109375" customWidth="1"/>
    <col min="17" max="17" width="2.85546875" customWidth="1"/>
    <col min="18" max="18" width="11" bestFit="1" customWidth="1"/>
    <col min="19" max="19" width="9.140625" style="34"/>
  </cols>
  <sheetData>
    <row r="1" spans="1:20" s="21" customFormat="1" ht="15.75" x14ac:dyDescent="0.25">
      <c r="A1" s="55" t="s">
        <v>1103</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76" t="s">
        <v>951</v>
      </c>
      <c r="S1" s="117"/>
    </row>
    <row r="2" spans="1:20" ht="15" customHeight="1" x14ac:dyDescent="0.25">
      <c r="A2" s="49"/>
      <c r="B2" s="76" t="s">
        <v>958</v>
      </c>
      <c r="C2" s="76" t="s">
        <v>958</v>
      </c>
      <c r="D2" s="76" t="s">
        <v>958</v>
      </c>
      <c r="E2" s="76" t="s">
        <v>958</v>
      </c>
      <c r="F2" s="76" t="s">
        <v>958</v>
      </c>
      <c r="G2" s="76" t="s">
        <v>958</v>
      </c>
      <c r="H2" s="76" t="s">
        <v>958</v>
      </c>
      <c r="I2" s="76" t="s">
        <v>958</v>
      </c>
      <c r="J2" s="76" t="s">
        <v>958</v>
      </c>
      <c r="K2" s="76" t="s">
        <v>958</v>
      </c>
      <c r="L2" s="76" t="s">
        <v>958</v>
      </c>
      <c r="M2" s="76" t="s">
        <v>958</v>
      </c>
      <c r="N2" s="76" t="s">
        <v>958</v>
      </c>
      <c r="O2" s="76" t="s">
        <v>958</v>
      </c>
      <c r="P2" s="76" t="s">
        <v>958</v>
      </c>
      <c r="Q2" s="5"/>
      <c r="R2" s="76" t="s">
        <v>961</v>
      </c>
    </row>
    <row r="3" spans="1:20" x14ac:dyDescent="0.25">
      <c r="A3" s="50"/>
      <c r="B3" s="50"/>
      <c r="C3" s="50"/>
      <c r="D3" s="50"/>
      <c r="E3" s="50"/>
      <c r="F3" s="50"/>
      <c r="G3" s="50"/>
      <c r="H3" s="50"/>
      <c r="I3" s="50"/>
      <c r="J3" s="50"/>
      <c r="K3" s="50"/>
      <c r="L3" s="50"/>
      <c r="M3" s="50"/>
      <c r="N3" s="50"/>
      <c r="O3" s="50"/>
      <c r="P3" s="50"/>
      <c r="R3" s="50"/>
    </row>
    <row r="4" spans="1:20" x14ac:dyDescent="0.25">
      <c r="A4" s="50" t="s">
        <v>1104</v>
      </c>
      <c r="B4" s="50">
        <f>'[3]NW USED VEHICLE'!$B$6+'[3]NW USED VEHICLE'!$B$7</f>
        <v>23</v>
      </c>
      <c r="C4" s="50">
        <f>'[4]NW USED VEHICLE'!$B$6+'[4]NW USED VEHICLE'!$B$7</f>
        <v>22</v>
      </c>
      <c r="D4" s="50">
        <f>'[5]NW USED VEHICLE'!$B$6+'[5]NW USED VEHICLE'!$B$7</f>
        <v>26</v>
      </c>
      <c r="E4" s="50">
        <f>'[6]NW USED VEHICLE'!$B$6+'[6]NW USED VEHICLE'!$B$7</f>
        <v>15</v>
      </c>
      <c r="F4" s="50">
        <f>'[7]NW USED VEHICLE'!$B$6+'[7]NW USED VEHICLE'!$B$7</f>
        <v>25</v>
      </c>
      <c r="G4" s="50">
        <f>'[8]NW USED VEHICLE'!$B$6+'[8]NW USED VEHICLE'!$B$7</f>
        <v>10</v>
      </c>
      <c r="H4" s="50">
        <f>'[9]NW USED VEHICLE'!$B$6+'[9]NW USED VEHICLE'!$B$7</f>
        <v>13</v>
      </c>
      <c r="I4" s="50">
        <f>'[10]NW USED VEHICLE'!$B$6+'[10]NW USED VEHICLE'!$B$7</f>
        <v>15</v>
      </c>
      <c r="J4" s="50">
        <f>'[11]NW USED VEHICLE'!$B$6+'[11]NW USED VEHICLE'!$B$7</f>
        <v>20</v>
      </c>
      <c r="K4" s="50">
        <f>'[12]NW USED VEHICLE'!$B$6+'[12]NW USED VEHICLE'!$B$7</f>
        <v>18</v>
      </c>
      <c r="L4" s="50">
        <f>'[13]NW USED VEHICLE'!$B$6+'[13]NW USED VEHICLE'!$B$7</f>
        <v>13</v>
      </c>
      <c r="M4" s="50">
        <f>'[14]NW USED VEHICLE'!$B$6+'[14]NW USED VEHICLE'!$B$7</f>
        <v>19</v>
      </c>
      <c r="N4" s="50">
        <f>'[15]NW USED VEHICLE'!$B$6+'[15]NW USED VEHICLE'!$B$7</f>
        <v>15</v>
      </c>
      <c r="O4" s="50">
        <f>'[16]NW USED VEHICLE'!$B$6+'[16]NW USED VEHICLE'!$B$7</f>
        <v>21</v>
      </c>
      <c r="P4" s="50">
        <f>'[17]NW USED VEHICLE'!$B$6+'[17]NW USED VEHICLE'!$B$7</f>
        <v>20</v>
      </c>
      <c r="Q4" s="8"/>
      <c r="R4" s="162">
        <f>+SUM(E4:P4)</f>
        <v>204</v>
      </c>
      <c r="T4" s="118"/>
    </row>
    <row r="5" spans="1:20" ht="15" customHeight="1" x14ac:dyDescent="0.25">
      <c r="A5" s="50" t="s">
        <v>1105</v>
      </c>
      <c r="B5" s="50">
        <f>'[3]NW USED VEHICLE'!$B$8</f>
        <v>4</v>
      </c>
      <c r="C5" s="50">
        <f>'[4]NW USED VEHICLE'!$B$8</f>
        <v>7</v>
      </c>
      <c r="D5" s="50">
        <f>'[5]NW USED VEHICLE'!$B$8</f>
        <v>8</v>
      </c>
      <c r="E5" s="50">
        <f>'[6]NW USED VEHICLE'!$B$8</f>
        <v>2</v>
      </c>
      <c r="F5" s="50">
        <f>'[7]NW USED VEHICLE'!$B$8</f>
        <v>5</v>
      </c>
      <c r="G5" s="50">
        <f>'[8]NW USED VEHICLE'!$B$8</f>
        <v>6</v>
      </c>
      <c r="H5" s="50">
        <f>'[9]NW USED VEHICLE'!$B$8</f>
        <v>5</v>
      </c>
      <c r="I5" s="50">
        <f>'[10]NW USED VEHICLE'!$B$8</f>
        <v>5</v>
      </c>
      <c r="J5" s="50">
        <f>'[11]NW USED VEHICLE'!$B$8</f>
        <v>1</v>
      </c>
      <c r="K5" s="50">
        <f>'[12]NW USED VEHICLE'!$B$8</f>
        <v>3</v>
      </c>
      <c r="L5" s="50">
        <f>'[13]NW USED VEHICLE'!$B$8</f>
        <v>10</v>
      </c>
      <c r="M5" s="50">
        <f>'[14]NW USED VEHICLE'!$B$8</f>
        <v>5</v>
      </c>
      <c r="N5" s="50">
        <f>'[15]NW USED VEHICLE'!$B$8</f>
        <v>7</v>
      </c>
      <c r="O5" s="50">
        <f>'[16]NW USED VEHICLE'!$B$8</f>
        <v>5</v>
      </c>
      <c r="P5" s="50">
        <f>'[17]NW USED VEHICLE'!$B$8</f>
        <v>1</v>
      </c>
      <c r="Q5" s="3"/>
      <c r="R5" s="162">
        <f>+SUM(E5:P5)</f>
        <v>55</v>
      </c>
    </row>
    <row r="6" spans="1:20" x14ac:dyDescent="0.25">
      <c r="A6" s="50" t="s">
        <v>1106</v>
      </c>
      <c r="B6" s="50">
        <f>'[3]NW USED VEHICLE'!$B$9</f>
        <v>5</v>
      </c>
      <c r="C6" s="50">
        <f>'[4]NW USED VEHICLE'!$B$9</f>
        <v>9</v>
      </c>
      <c r="D6" s="50">
        <f>'[5]NW USED VEHICLE'!$B$9</f>
        <v>11</v>
      </c>
      <c r="E6" s="50">
        <f>'[6]NW USED VEHICLE'!$B$9</f>
        <v>14</v>
      </c>
      <c r="F6" s="50">
        <f>'[7]NW USED VEHICLE'!$B$9</f>
        <v>17</v>
      </c>
      <c r="G6" s="50">
        <f>'[8]NW USED VEHICLE'!$B$9</f>
        <v>19</v>
      </c>
      <c r="H6" s="50">
        <f>'[9]NW USED VEHICLE'!$B$9</f>
        <v>13</v>
      </c>
      <c r="I6" s="50">
        <f>'[10]NW USED VEHICLE'!$B$9</f>
        <v>14</v>
      </c>
      <c r="J6" s="50">
        <f>'[11]NW USED VEHICLE'!$B$9</f>
        <v>14</v>
      </c>
      <c r="K6" s="50">
        <f>'[12]NW USED VEHICLE'!$B$9</f>
        <v>14</v>
      </c>
      <c r="L6" s="50">
        <f>'[13]NW USED VEHICLE'!$B$9</f>
        <v>35</v>
      </c>
      <c r="M6" s="50">
        <f>'[14]NW USED VEHICLE'!$B$9</f>
        <v>18</v>
      </c>
      <c r="N6" s="50">
        <f>'[15]NW USED VEHICLE'!$B$9</f>
        <v>20</v>
      </c>
      <c r="O6" s="50">
        <f>'[16]NW USED VEHICLE'!$B$9</f>
        <v>27</v>
      </c>
      <c r="P6" s="50">
        <f>'[17]NW USED VEHICLE'!$B$9</f>
        <v>17</v>
      </c>
      <c r="Q6" s="3"/>
      <c r="R6" s="162">
        <f>+SUM(E6:P6)</f>
        <v>222</v>
      </c>
    </row>
    <row r="7" spans="1:20" x14ac:dyDescent="0.25">
      <c r="A7" s="50" t="s">
        <v>1107</v>
      </c>
      <c r="B7" s="50">
        <f>SUM(B4:B6)</f>
        <v>32</v>
      </c>
      <c r="C7" s="50">
        <f t="shared" ref="C7:P7" si="0">SUM(C4:C6)</f>
        <v>38</v>
      </c>
      <c r="D7" s="50">
        <f t="shared" si="0"/>
        <v>45</v>
      </c>
      <c r="E7" s="50">
        <f t="shared" si="0"/>
        <v>31</v>
      </c>
      <c r="F7" s="50">
        <f t="shared" si="0"/>
        <v>47</v>
      </c>
      <c r="G7" s="50">
        <f t="shared" si="0"/>
        <v>35</v>
      </c>
      <c r="H7" s="50">
        <f t="shared" si="0"/>
        <v>31</v>
      </c>
      <c r="I7" s="50">
        <f t="shared" si="0"/>
        <v>34</v>
      </c>
      <c r="J7" s="50">
        <f t="shared" si="0"/>
        <v>35</v>
      </c>
      <c r="K7" s="50">
        <f t="shared" si="0"/>
        <v>35</v>
      </c>
      <c r="L7" s="50">
        <f t="shared" si="0"/>
        <v>58</v>
      </c>
      <c r="M7" s="50">
        <f t="shared" si="0"/>
        <v>42</v>
      </c>
      <c r="N7" s="50">
        <f>SUM(N4:N6)</f>
        <v>42</v>
      </c>
      <c r="O7" s="50">
        <f t="shared" si="0"/>
        <v>53</v>
      </c>
      <c r="P7" s="50">
        <f t="shared" si="0"/>
        <v>38</v>
      </c>
      <c r="Q7" s="3"/>
      <c r="R7" s="162">
        <f>+SUM(E7:P7)</f>
        <v>481</v>
      </c>
      <c r="S7" s="128"/>
      <c r="T7" s="118"/>
    </row>
    <row r="8" spans="1:20" x14ac:dyDescent="0.25">
      <c r="A8" s="50" t="s">
        <v>1066</v>
      </c>
      <c r="B8" s="50">
        <f>'[3]NW USED VEHICLE'!$B$37</f>
        <v>3</v>
      </c>
      <c r="C8" s="50">
        <f>'[4]NW USED VEHICLE'!$B$37</f>
        <v>3</v>
      </c>
      <c r="D8" s="50">
        <f>'[5]NW USED VEHICLE'!$B$37</f>
        <v>3</v>
      </c>
      <c r="E8" s="50">
        <f>'[6]NW USED VEHICLE'!$B$37</f>
        <v>3</v>
      </c>
      <c r="F8" s="50">
        <f>'[7]NW USED VEHICLE'!$B$37</f>
        <v>2</v>
      </c>
      <c r="G8" s="50">
        <f>'[8]NW USED VEHICLE'!$B$37</f>
        <v>2</v>
      </c>
      <c r="H8" s="50">
        <f>'[9]NW USED VEHICLE'!$B$37</f>
        <v>3</v>
      </c>
      <c r="I8" s="50">
        <f>'[10]NW USED VEHICLE'!$B$37</f>
        <v>4</v>
      </c>
      <c r="J8" s="50">
        <f>'[11]NW USED VEHICLE'!$B$37</f>
        <v>4</v>
      </c>
      <c r="K8" s="50">
        <f>'[12]NW USED VEHICLE'!$B$37</f>
        <v>4</v>
      </c>
      <c r="L8" s="50">
        <f>'[13]NW USED VEHICLE'!$B$37</f>
        <v>4</v>
      </c>
      <c r="M8" s="50">
        <f>'[14]NW USED VEHICLE'!$B$37</f>
        <v>4</v>
      </c>
      <c r="N8" s="50">
        <f>'[15]NW USED VEHICLE'!$B$37</f>
        <v>4</v>
      </c>
      <c r="O8" s="50">
        <f>'[16]NW USED VEHICLE'!$B$37</f>
        <v>4</v>
      </c>
      <c r="P8" s="50">
        <f>'[17]NW USED VEHICLE'!$B$37</f>
        <v>4</v>
      </c>
      <c r="Q8" s="3"/>
      <c r="R8" s="41">
        <f>+AVERAGE(E8:P8)</f>
        <v>3.5</v>
      </c>
    </row>
    <row r="9" spans="1:20" x14ac:dyDescent="0.25">
      <c r="A9" s="50" t="s">
        <v>1108</v>
      </c>
      <c r="B9" s="50">
        <f>B7/B8</f>
        <v>10.666666666666666</v>
      </c>
      <c r="C9" s="50">
        <f t="shared" ref="C9:P9" si="1">C7/C8</f>
        <v>12.666666666666666</v>
      </c>
      <c r="D9" s="50">
        <f t="shared" si="1"/>
        <v>15</v>
      </c>
      <c r="E9" s="50">
        <f t="shared" si="1"/>
        <v>10.333333333333334</v>
      </c>
      <c r="F9" s="50">
        <f t="shared" si="1"/>
        <v>23.5</v>
      </c>
      <c r="G9" s="50">
        <f t="shared" si="1"/>
        <v>17.5</v>
      </c>
      <c r="H9" s="50">
        <f t="shared" si="1"/>
        <v>10.333333333333334</v>
      </c>
      <c r="I9" s="50">
        <f t="shared" si="1"/>
        <v>8.5</v>
      </c>
      <c r="J9" s="50">
        <f t="shared" si="1"/>
        <v>8.75</v>
      </c>
      <c r="K9" s="50">
        <f t="shared" si="1"/>
        <v>8.75</v>
      </c>
      <c r="L9" s="50">
        <f t="shared" si="1"/>
        <v>14.5</v>
      </c>
      <c r="M9" s="50">
        <f t="shared" si="1"/>
        <v>10.5</v>
      </c>
      <c r="N9" s="50">
        <f t="shared" si="1"/>
        <v>10.5</v>
      </c>
      <c r="O9" s="50">
        <f t="shared" si="1"/>
        <v>13.25</v>
      </c>
      <c r="P9" s="50">
        <f t="shared" si="1"/>
        <v>9.5</v>
      </c>
      <c r="Q9" s="3"/>
      <c r="R9" s="41">
        <f>+AVERAGE(E9:P9)</f>
        <v>12.159722222222223</v>
      </c>
    </row>
    <row r="10" spans="1:20" x14ac:dyDescent="0.25">
      <c r="A10" s="50"/>
      <c r="B10" s="50"/>
      <c r="C10" s="50"/>
      <c r="D10" s="50"/>
      <c r="E10" s="50"/>
      <c r="F10" s="50"/>
      <c r="G10" s="50"/>
      <c r="H10" s="50"/>
      <c r="I10" s="50"/>
      <c r="J10" s="50"/>
      <c r="K10" s="50"/>
      <c r="L10" s="50"/>
      <c r="M10" s="50"/>
      <c r="N10" s="50"/>
      <c r="O10" s="50"/>
      <c r="P10" s="50"/>
      <c r="R10" s="52"/>
    </row>
    <row r="11" spans="1:20" ht="15" customHeight="1" x14ac:dyDescent="0.25">
      <c r="A11" s="50" t="s">
        <v>1109</v>
      </c>
      <c r="B11" s="53">
        <f>('[3]NW USED VEHICLE'!$B$6*'[3]NW USED VEHICLE'!$B$14+'[3]NW USED VEHICLE'!$B$15*'[3]NW USED VEHICLE'!$B$7)/('[3]NW USED VEHICLE'!$B$7+'[3]NW USED VEHICLE'!$B$6)</f>
        <v>671.20826086956561</v>
      </c>
      <c r="C11" s="53">
        <f>('[4]NW USED VEHICLE'!$B$6*'[4]NW USED VEHICLE'!$B$14+'[4]NW USED VEHICLE'!$B$7*'[4]NW USED VEHICLE'!$B$15)/('[4]NW USED VEHICLE'!$B$6+'[4]NW USED VEHICLE'!$B$7)</f>
        <v>1036.7595454545453</v>
      </c>
      <c r="D11" s="53">
        <f>('[5]NW USED VEHICLE'!$B$6*'[5]NW USED VEHICLE'!$B$14+'[5]NW USED VEHICLE'!$B$7*'[5]NW USED VEHICLE'!$B$15)/('[5]NW USED VEHICLE'!$B$6+'[5]NW USED VEHICLE'!$B$7)</f>
        <v>478.41384615384931</v>
      </c>
      <c r="E11" s="53">
        <f>('[6]NW USED VEHICLE'!$B$6*'[6]NW USED VEHICLE'!$B$14+'[6]NW USED VEHICLE'!$B$7*'[6]NW USED VEHICLE'!$B$15)/('[6]NW USED VEHICLE'!$B$6+'[6]NW USED VEHICLE'!$B$7)</f>
        <v>1250.0953333333339</v>
      </c>
      <c r="F11" s="53">
        <f>('[7]NW USED VEHICLE'!$B$6*'[7]NW USED VEHICLE'!$B$14+'[7]NW USED VEHICLE'!$B$7*'[7]NW USED VEHICLE'!$B$15)/('[7]NW USED VEHICLE'!$B$6+'[7]NW USED VEHICLE'!$B$7)</f>
        <v>1059.3967999999988</v>
      </c>
      <c r="G11" s="53">
        <f>('[8]NW USED VEHICLE'!$B$6*'[8]NW USED VEHICLE'!$B$14+'[8]NW USED VEHICLE'!$B$7*'[8]NW USED VEHICLE'!$B$15)/('[8]NW USED VEHICLE'!$B$6+'[8]NW USED VEHICLE'!$B$7)</f>
        <v>903.89800000000105</v>
      </c>
      <c r="H11" s="53">
        <f>('[9]NW USED VEHICLE'!$B$6*'[9]NW USED VEHICLE'!$B$14+'[9]NW USED VEHICLE'!$B$7*'[9]NW USED VEHICLE'!$B$15)/('[9]NW USED VEHICLE'!$B$6+'[9]NW USED VEHICLE'!$B$7)</f>
        <v>968.21923076922894</v>
      </c>
      <c r="I11" s="53">
        <f>('[10]NW USED VEHICLE'!$B$6*'[10]NW USED VEHICLE'!$B$14+'[10]NW USED VEHICLE'!$B$7*'[10]NW USED VEHICLE'!$B$15)/('[10]NW USED VEHICLE'!$B$6+'[10]NW USED VEHICLE'!$B$7)</f>
        <v>1372.058666666665</v>
      </c>
      <c r="J11" s="53">
        <f>('[11]NW USED VEHICLE'!$B$6*'[11]NW USED VEHICLE'!$B$14+'[11]NW USED VEHICLE'!$B$7*'[11]NW USED VEHICLE'!$B$15)/('[11]NW USED VEHICLE'!$B$6+'[11]NW USED VEHICLE'!$B$7)</f>
        <v>1254.5260000000039</v>
      </c>
      <c r="K11" s="53">
        <f>('[12]NW USED VEHICLE'!$B$6*'[12]NW USED VEHICLE'!$B$14+'[12]NW USED VEHICLE'!$B$7*'[12]NW USED VEHICLE'!$B$15)/('[12]NW USED VEHICLE'!$B$6+'[12]NW USED VEHICLE'!$B$7)</f>
        <v>1260.5938888888911</v>
      </c>
      <c r="L11" s="53">
        <f>('[13]NW USED VEHICLE'!$B$6*'[13]NW USED VEHICLE'!$B$14+'[13]NW USED VEHICLE'!$B$7*'[13]NW USED VEHICLE'!$B$15)/('[13]NW USED VEHICLE'!$B$6+'[13]NW USED VEHICLE'!$B$7)</f>
        <v>651.54153846153463</v>
      </c>
      <c r="M11" s="53">
        <f>('[14]NW USED VEHICLE'!$B$6*'[14]NW USED VEHICLE'!$B$14+'[14]NW USED VEHICLE'!$B$7*'[14]NW USED VEHICLE'!$B$15)/('[14]NW USED VEHICLE'!$B$6+'[14]NW USED VEHICLE'!$B$7)</f>
        <v>925.24684210526323</v>
      </c>
      <c r="N11" s="53">
        <f>('[15]NW USED VEHICLE'!$B$6*'[15]NW USED VEHICLE'!$B$14+'[15]NW USED VEHICLE'!$B$7*'[15]NW USED VEHICLE'!$B$15)/('[15]NW USED VEHICLE'!$B$6+'[15]NW USED VEHICLE'!$B$7)</f>
        <v>1228.2199999999982</v>
      </c>
      <c r="O11" s="53">
        <f>('[16]NW USED VEHICLE'!$B$6*'[16]NW USED VEHICLE'!$B$14+'[16]NW USED VEHICLE'!$B$7*'[16]NW USED VEHICLE'!$B$15)/('[16]NW USED VEHICLE'!$B$6+'[16]NW USED VEHICLE'!$B$7)</f>
        <v>742.50523809523463</v>
      </c>
      <c r="P11" s="53">
        <f>('[17]NW USED VEHICLE'!$B$6*'[17]NW USED VEHICLE'!$B$14+'[17]NW USED VEHICLE'!$B$7*'[17]NW USED VEHICLE'!$B$15)/('[17]NW USED VEHICLE'!$B$6+'[17]NW USED VEHICLE'!$B$7)</f>
        <v>1382.4050000000018</v>
      </c>
      <c r="R11" s="52">
        <f t="shared" ref="R11:R19" si="2">AVERAGE(E11:P11)</f>
        <v>1083.2255448600129</v>
      </c>
    </row>
    <row r="12" spans="1:20" ht="15" customHeight="1" x14ac:dyDescent="0.25">
      <c r="A12" s="50" t="s">
        <v>1110</v>
      </c>
      <c r="B12" s="53">
        <f>'[3]NW USED VEHICLE'!$B$16</f>
        <v>-82.69749999998902</v>
      </c>
      <c r="C12" s="53">
        <f>'[4]NW USED VEHICLE'!$B$16</f>
        <v>1705.6242857142881</v>
      </c>
      <c r="D12" s="53">
        <f>'[5]NW USED VEHICLE'!$B$16</f>
        <v>1375.3599999999969</v>
      </c>
      <c r="E12" s="53">
        <f>'[6]NW USED VEHICLE'!$B$16</f>
        <v>1855.6100000000024</v>
      </c>
      <c r="F12" s="53">
        <f>'[7]NW USED VEHICLE'!$B$16</f>
        <v>1378.5219999999958</v>
      </c>
      <c r="G12" s="53">
        <f>'[8]NW USED VEHICLE'!$B$16</f>
        <v>1900.9050000000013</v>
      </c>
      <c r="H12" s="53">
        <f>'[9]NW USED VEHICLE'!$B$16</f>
        <v>596.45400000000086</v>
      </c>
      <c r="I12" s="53">
        <f>'[10]NW USED VEHICLE'!$B$16</f>
        <v>4337.5959999999959</v>
      </c>
      <c r="J12" s="53">
        <f>'[11]NW USED VEHICLE'!$B$16</f>
        <v>3321.9699999999871</v>
      </c>
      <c r="K12" s="53">
        <f>'[12]NW USED VEHICLE'!$B$16</f>
        <v>1710.5833333333285</v>
      </c>
      <c r="L12" s="53">
        <f>'[13]NW USED VEHICLE'!$B$16</f>
        <v>1549.1360000000009</v>
      </c>
      <c r="M12" s="53">
        <f>'[14]NW USED VEHICLE'!$B$16</f>
        <v>2098.6519999999991</v>
      </c>
      <c r="N12" s="53">
        <f>'[15]NW USED VEHICLE'!$B$16</f>
        <v>2395.6657142857175</v>
      </c>
      <c r="O12" s="53">
        <f>'[16]NW USED VEHICLE'!$B$16</f>
        <v>-1637.3100000000036</v>
      </c>
      <c r="P12" s="53">
        <f>'[17]NW USED VEHICLE'!$B$16</f>
        <v>-9050.6499999999942</v>
      </c>
      <c r="R12" s="52">
        <f t="shared" si="2"/>
        <v>871.4278373015859</v>
      </c>
    </row>
    <row r="13" spans="1:20" ht="15" customHeight="1" x14ac:dyDescent="0.25">
      <c r="A13" s="50" t="s">
        <v>1111</v>
      </c>
      <c r="B13" s="53">
        <f>'[3]NW USED VEHICLE'!$B$17</f>
        <v>2759.6960000000022</v>
      </c>
      <c r="C13" s="53">
        <f>'[4]NW USED VEHICLE'!$B$17</f>
        <v>2597.1422222222191</v>
      </c>
      <c r="D13" s="53">
        <f>'[5]NW USED VEHICLE'!$C$17</f>
        <v>2008.1754385964921</v>
      </c>
      <c r="E13" s="53">
        <f>'[6]NW USED VEHICLE'!$B$17</f>
        <v>2368.451428571429</v>
      </c>
      <c r="F13" s="53">
        <f>'[7]NW USED VEHICLE'!$B$17</f>
        <v>1428.5976470588221</v>
      </c>
      <c r="G13" s="53">
        <f>'[8]NW USED VEHICLE'!$B$17</f>
        <v>1519.135263157895</v>
      </c>
      <c r="H13" s="53">
        <f>'[9]NW USED VEHICLE'!$B$17</f>
        <v>3016.6707692307673</v>
      </c>
      <c r="I13" s="53">
        <f>'[10]NW USED VEHICLE'!$B$17</f>
        <v>2113.6285714285746</v>
      </c>
      <c r="J13" s="53">
        <f>'[11]NW USED VEHICLE'!$B$17</f>
        <v>1736.662857142855</v>
      </c>
      <c r="K13" s="53">
        <f>'[12]NW USED VEHICLE'!$B$17</f>
        <v>2182.0192857142829</v>
      </c>
      <c r="L13" s="53">
        <f>'[13]NW USED VEHICLE'!$B$17</f>
        <v>752.77114285713924</v>
      </c>
      <c r="M13" s="53">
        <f>'[14]NW USED VEHICLE'!$B$17</f>
        <v>1200.4255555555542</v>
      </c>
      <c r="N13" s="53">
        <f>'[15]NW USED VEHICLE'!$B$17</f>
        <v>2572.3695000000007</v>
      </c>
      <c r="O13" s="53">
        <f>'[16]NW USED VEHICLE'!$B$17</f>
        <v>3523.3777777777805</v>
      </c>
      <c r="P13" s="53">
        <f>'[17]NW USED VEHICLE'!$B$17</f>
        <v>3216.643529411765</v>
      </c>
      <c r="R13" s="52">
        <f t="shared" si="2"/>
        <v>2135.8961106589054</v>
      </c>
    </row>
    <row r="14" spans="1:20" ht="15" customHeight="1" x14ac:dyDescent="0.25">
      <c r="A14" s="50" t="s">
        <v>1069</v>
      </c>
      <c r="B14" s="53">
        <f>'[3]NW USED VEHICLE'!$B$23</f>
        <v>984.69000000000187</v>
      </c>
      <c r="C14" s="53">
        <f>'[4]NW USED VEHICLE'!$B$23</f>
        <v>1529.5357894736837</v>
      </c>
      <c r="D14" s="53">
        <f>'[5]NW USED VEHICLE'!$B$23</f>
        <v>1824.392444444446</v>
      </c>
      <c r="E14" s="53">
        <f>'[6]NW USED VEHICLE'!$B$23</f>
        <v>1794.2248387096779</v>
      </c>
      <c r="F14" s="53">
        <f>'[7]NW USED VEHICLE'!$B$23</f>
        <v>1226.8870212765942</v>
      </c>
      <c r="G14" s="53">
        <f>'[8]NW USED VEHICLE'!$B$23</f>
        <v>2936.8454285714292</v>
      </c>
      <c r="H14" s="53">
        <f>'[9]NW USED VEHICLE'!$B$23</f>
        <v>1767.285161290321</v>
      </c>
      <c r="I14" s="53">
        <f>'[10]NW USED VEHICLE'!$B$23</f>
        <v>2113.5194117647061</v>
      </c>
      <c r="J14" s="53">
        <f>'[11]NW USED VEHICLE'!$B$23</f>
        <v>2301.134857142858</v>
      </c>
      <c r="K14" s="53">
        <f>'[12]NW USED VEHICLE'!$B$23</f>
        <v>1667.7345714285709</v>
      </c>
      <c r="L14" s="53">
        <f>'[13]NW USED VEHICLE'!$B$23</f>
        <v>867.38603448275569</v>
      </c>
      <c r="M14" s="53">
        <f>'[14]NW USED VEHICLE'!$B$23</f>
        <v>1754.3002380952371</v>
      </c>
      <c r="N14" s="53">
        <f>'[15]NW USED VEHICLE'!$B$23</f>
        <v>2062.8654761904763</v>
      </c>
      <c r="O14" s="53">
        <f>'[16]NW USED VEHICLE'!$B$23</f>
        <v>1934.6652830188675</v>
      </c>
      <c r="P14" s="53">
        <f>'[17]NW USED VEHICLE'!$B$23</f>
        <v>2689.9589473684218</v>
      </c>
      <c r="R14" s="52">
        <f t="shared" si="2"/>
        <v>1926.4006057783263</v>
      </c>
    </row>
    <row r="15" spans="1:20" ht="15" customHeight="1" x14ac:dyDescent="0.25">
      <c r="A15" s="40" t="s">
        <v>1070</v>
      </c>
      <c r="B15" s="53">
        <f>'[3]NW USED VEHICLE'!$B$23-'[3]NW USED VEHICLE'!$B$18</f>
        <v>81.393749999999955</v>
      </c>
      <c r="C15" s="53">
        <f>'[4]NW USED VEHICLE'!$B$23-'[4]NW USED VEHICLE'!$B$18</f>
        <v>0</v>
      </c>
      <c r="D15" s="53">
        <f>'[5]NW USED VEHICLE'!$B$23-'[5]NW USED VEHICLE'!$B$18</f>
        <v>885.03466666666645</v>
      </c>
      <c r="E15" s="53">
        <f>'[6]NW USED VEHICLE'!$B$23-'[6]NW USED VEHICLE'!$B$18</f>
        <v>0</v>
      </c>
      <c r="F15" s="53">
        <f>'[7]NW USED VEHICLE'!$B$23-'[7]NW USED VEHICLE'!$B$18</f>
        <v>0</v>
      </c>
      <c r="G15" s="53">
        <f>'[8]NW USED VEHICLE'!$B$23-'[8]NW USED VEHICLE'!$B$18</f>
        <v>1528.046</v>
      </c>
      <c r="H15" s="53">
        <f>'[9]NW USED VEHICLE'!$B$23-'[9]NW USED VEHICLE'!$B$18</f>
        <v>0</v>
      </c>
      <c r="I15" s="53">
        <f>'[10]NW USED VEHICLE'!$B$23-'[10]NW USED VEHICLE'!$B$18</f>
        <v>0</v>
      </c>
      <c r="J15" s="53">
        <f>'[11]NW USED VEHICLE'!$B$23-'[11]NW USED VEHICLE'!$B$18</f>
        <v>794.68428571428558</v>
      </c>
      <c r="K15" s="53">
        <f>'[12]NW USED VEHICLE'!$B$23-'[12]NW USED VEHICLE'!$B$18</f>
        <v>0</v>
      </c>
      <c r="L15" s="53">
        <f>'[13]NW USED VEHICLE'!$B$23-'[13]NW USED VEHICLE'!$B$18</f>
        <v>0</v>
      </c>
      <c r="M15" s="53">
        <f>'[14]NW USED VEHICLE'!$B$23-'[14]NW USED VEHICLE'!$B$18</f>
        <v>571.4285714285711</v>
      </c>
      <c r="N15" s="53">
        <f>'[15]NS USED VEHICLE'!$B$23-'[15]NS USED VEHICLE'!$B$18</f>
        <v>0</v>
      </c>
      <c r="O15" s="53">
        <f>'[16]NS USED VEHICLE'!$B$23-'[16]NS USED VEHICLE'!$B$18</f>
        <v>0</v>
      </c>
      <c r="P15" s="53">
        <f>'[17]NS USED VEHICLE'!$B$23-'[17]NS USED VEHICLE'!$B$18</f>
        <v>685.86948051948093</v>
      </c>
      <c r="R15" s="52">
        <f>AVERAGE(E15:P15)</f>
        <v>298.33569480519481</v>
      </c>
    </row>
    <row r="16" spans="1:20" ht="15" customHeight="1" x14ac:dyDescent="0.25">
      <c r="A16" s="50" t="s">
        <v>1071</v>
      </c>
      <c r="B16" s="53">
        <f>'[3]NW USED VEHICLE'!$B$27</f>
        <v>736.60249999999996</v>
      </c>
      <c r="C16" s="53">
        <f>'[4]NW USED VEHICLE'!$B$27</f>
        <v>668.75184210526311</v>
      </c>
      <c r="D16" s="53">
        <f>'[5]NW USED VEHICLE'!$B$27</f>
        <v>516.2353333333333</v>
      </c>
      <c r="E16" s="53">
        <f>'[6]NW USED VEHICLE'!$B$27</f>
        <v>647.03612903225803</v>
      </c>
      <c r="F16" s="53">
        <f>'[7]NW USED VEHICLE'!$B$27</f>
        <v>568.06404255319148</v>
      </c>
      <c r="G16" s="53">
        <f>'[8]NW USED VEHICLE'!$B$27</f>
        <v>706.28914285714279</v>
      </c>
      <c r="H16" s="53">
        <f>'[9]NW USED VEHICLE'!$B$27</f>
        <v>596.61225806451603</v>
      </c>
      <c r="I16" s="53">
        <f>'[10]NW USED VEHICLE'!$B$27</f>
        <v>658.98588235294119</v>
      </c>
      <c r="J16" s="53">
        <f>'[11]NW USED VEHICLE'!$B$27</f>
        <v>723.05600000000004</v>
      </c>
      <c r="K16" s="53">
        <f>'[12]NW USED VEHICLE'!$B$27</f>
        <v>338.86542857142854</v>
      </c>
      <c r="L16" s="53">
        <f>'[13]NW USED VEHICLE'!$B$27</f>
        <v>538.79431034482764</v>
      </c>
      <c r="M16" s="53">
        <f>'[14]NW USED VEHICLE'!$B$27</f>
        <v>639.22309523809531</v>
      </c>
      <c r="N16" s="53">
        <f>'[15]NW USED VEHICLE'!$B$27</f>
        <v>577.36785714285713</v>
      </c>
      <c r="O16" s="53">
        <f>'[16]NW USED VEHICLE'!$B$27</f>
        <v>564.7064150943396</v>
      </c>
      <c r="P16" s="53">
        <f>'[17]NW USED VEHICLE'!$B$27</f>
        <v>666.99421052631578</v>
      </c>
      <c r="Q16" s="5"/>
      <c r="R16" s="52">
        <f>AVERAGE(E16:P16)</f>
        <v>602.16623098149284</v>
      </c>
    </row>
    <row r="17" spans="1:19" ht="15" customHeight="1" x14ac:dyDescent="0.25">
      <c r="A17" s="50" t="s">
        <v>1072</v>
      </c>
      <c r="B17" s="53">
        <f>'[3]NW USED VEHICLE'!$B$32</f>
        <v>1690.9168750000001</v>
      </c>
      <c r="C17" s="53">
        <f>'[4]NW USED VEHICLE'!$B$32</f>
        <v>1209.1086842105265</v>
      </c>
      <c r="D17" s="53">
        <f>'[5]NW USED VEHICLE'!$C$32</f>
        <v>1011.4570953173284</v>
      </c>
      <c r="E17" s="53">
        <f>'[6]NW USED VEHICLE'!$B$32</f>
        <v>1673.708387096774</v>
      </c>
      <c r="F17" s="53">
        <f>'[7]NW USED VEHICLE'!$B$32</f>
        <v>1069.7610638297872</v>
      </c>
      <c r="G17" s="53">
        <f>'[8]NW USED VEHICLE'!$B$32</f>
        <v>1816.0111428571429</v>
      </c>
      <c r="H17" s="53">
        <f>'[9]NW USED VEHICLE'!$B$32</f>
        <v>1823.0499999999997</v>
      </c>
      <c r="I17" s="53">
        <f>'[10]NW USED VEHICLE'!$B$32</f>
        <v>2054.3979411764708</v>
      </c>
      <c r="J17" s="53">
        <f>'[11]NW USED VEHICLE'!$B$32</f>
        <v>1514.7777142857144</v>
      </c>
      <c r="K17" s="53">
        <f>'[12]NW USED VEHICLE'!$B$32</f>
        <v>1797.0520000000001</v>
      </c>
      <c r="L17" s="53">
        <f>'[13]NW USED VEHICLE'!$B$32</f>
        <v>1128.4344827586208</v>
      </c>
      <c r="M17" s="53">
        <f>'[14]NW USED VEHICLE'!$B$32</f>
        <v>1454.2666666666664</v>
      </c>
      <c r="N17" s="53">
        <f>'[15]NW USED VEHICLE'!$B$32</f>
        <v>1467.6080952380955</v>
      </c>
      <c r="O17" s="53">
        <f>'[16]NW USED VEHICLE'!$B$32</f>
        <v>1187.7</v>
      </c>
      <c r="P17" s="53">
        <f>'[17]NW USED VEHICLE'!$B$32</f>
        <v>1829.2878947368422</v>
      </c>
      <c r="Q17" s="5"/>
      <c r="R17" s="52">
        <f t="shared" si="2"/>
        <v>1568.0046157205095</v>
      </c>
    </row>
    <row r="18" spans="1:19" ht="15" customHeight="1" x14ac:dyDescent="0.25">
      <c r="A18" s="50" t="s">
        <v>1073</v>
      </c>
      <c r="B18" s="53">
        <f t="shared" ref="B18:P18" si="3">B16+B17</f>
        <v>2427.5193749999999</v>
      </c>
      <c r="C18" s="53">
        <f t="shared" si="3"/>
        <v>1877.8605263157897</v>
      </c>
      <c r="D18" s="53">
        <f t="shared" si="3"/>
        <v>1527.6924286506617</v>
      </c>
      <c r="E18" s="53">
        <f t="shared" si="3"/>
        <v>2320.744516129032</v>
      </c>
      <c r="F18" s="53">
        <f t="shared" si="3"/>
        <v>1637.8251063829787</v>
      </c>
      <c r="G18" s="53">
        <f t="shared" si="3"/>
        <v>2522.3002857142856</v>
      </c>
      <c r="H18" s="53">
        <f t="shared" si="3"/>
        <v>2419.6622580645158</v>
      </c>
      <c r="I18" s="53">
        <f t="shared" si="3"/>
        <v>2713.383823529412</v>
      </c>
      <c r="J18" s="53">
        <f t="shared" si="3"/>
        <v>2237.8337142857144</v>
      </c>
      <c r="K18" s="53">
        <f t="shared" si="3"/>
        <v>2135.9174285714289</v>
      </c>
      <c r="L18" s="53">
        <f t="shared" si="3"/>
        <v>1667.2287931034484</v>
      </c>
      <c r="M18" s="53">
        <f t="shared" si="3"/>
        <v>2093.4897619047615</v>
      </c>
      <c r="N18" s="53">
        <f t="shared" si="3"/>
        <v>2044.9759523809525</v>
      </c>
      <c r="O18" s="53">
        <f t="shared" si="3"/>
        <v>1752.4064150943395</v>
      </c>
      <c r="P18" s="53">
        <f t="shared" si="3"/>
        <v>2496.282105263158</v>
      </c>
      <c r="R18" s="52">
        <f t="shared" si="2"/>
        <v>2170.1708467020026</v>
      </c>
    </row>
    <row r="19" spans="1:19" ht="15" customHeight="1" x14ac:dyDescent="0.25">
      <c r="A19" s="50" t="s">
        <v>1074</v>
      </c>
      <c r="B19" s="54">
        <f>'[3]NW USED VEHICLE'!$B$34</f>
        <v>-1442.829374999998</v>
      </c>
      <c r="C19" s="53">
        <f>'[4]NW USED VEHICLE'!$B$34</f>
        <v>-348.32473684210595</v>
      </c>
      <c r="D19" s="53">
        <f>'[5]NW USED VEHICLE'!$B$34</f>
        <v>-58.002444444442744</v>
      </c>
      <c r="E19" s="54">
        <f>'[6]NW USED VEHICLE'!$B$34</f>
        <v>-526.51967741935414</v>
      </c>
      <c r="F19" s="57">
        <f>'[7]NW USED VEHICLE'!$B$34</f>
        <v>-410.93808510638451</v>
      </c>
      <c r="G19" s="53">
        <f>'[8]NW USED VEHICLE'!$B$34</f>
        <v>414.54514285714367</v>
      </c>
      <c r="H19" s="53">
        <f>'[9]NW USED VEHICLE'!$B$34</f>
        <v>-652.3770967741948</v>
      </c>
      <c r="I19" s="53">
        <f>'[10]NW USED VEHICLE'!$B$34</f>
        <v>-599.86441176470589</v>
      </c>
      <c r="J19" s="53">
        <f>'[11]NW USED VEHICLE'!$B$34</f>
        <v>63.301142857143532</v>
      </c>
      <c r="K19" s="53">
        <f>'[12]NW USED VEHICLE'!$B$34</f>
        <v>-468.18285714285798</v>
      </c>
      <c r="L19" s="53">
        <f>'[13]NW USED VEHICLE'!$B$34</f>
        <v>-799.84275862069273</v>
      </c>
      <c r="M19" s="53">
        <f>'[14]NW USED VEHICLE'!$B$34</f>
        <v>-339.18952380952442</v>
      </c>
      <c r="N19" s="53">
        <f>'[15]NW USED VEHICLE'!$B$34</f>
        <v>17.88952380952378</v>
      </c>
      <c r="O19" s="53">
        <f>'[16]NW USED VEHICLE'!$B$34</f>
        <v>182.25886792452798</v>
      </c>
      <c r="P19" s="53">
        <f>'[17]NW USED VEHICLE'!$B$34</f>
        <v>193.67684210526386</v>
      </c>
      <c r="Q19" s="8"/>
      <c r="R19" s="52">
        <f t="shared" si="2"/>
        <v>-243.77024092367597</v>
      </c>
    </row>
    <row r="20" spans="1:19" x14ac:dyDescent="0.25">
      <c r="A20" s="50"/>
      <c r="B20" s="53"/>
      <c r="C20" s="53"/>
      <c r="D20" s="53"/>
      <c r="E20" s="53"/>
      <c r="F20" s="53"/>
      <c r="G20" s="53"/>
      <c r="H20" s="53"/>
      <c r="I20" s="53"/>
      <c r="J20" s="53"/>
      <c r="K20" s="53"/>
      <c r="L20" s="53"/>
      <c r="M20" s="53"/>
      <c r="N20" s="53"/>
      <c r="O20" s="53"/>
      <c r="P20" s="53"/>
      <c r="Q20" s="3"/>
      <c r="R20" s="52"/>
    </row>
    <row r="21" spans="1:19" x14ac:dyDescent="0.25">
      <c r="A21" s="50" t="s">
        <v>1157</v>
      </c>
      <c r="B21" s="53">
        <f>'[3]NW USED VEHICLE'!$B$11*'[3]NW USED VEHICLE'!$B$19</f>
        <v>739.1200000000008</v>
      </c>
      <c r="C21" s="53">
        <f>'[4]NW USED VEHICLE'!$B$11*'[4]NW USED VEHICLE'!$B$19</f>
        <v>695.64999999999964</v>
      </c>
      <c r="D21" s="53">
        <f>'[5]NW USED VEHICLE'!$B$11*'[5]NW USED VEHICLE'!$B$19</f>
        <v>869.55999999999949</v>
      </c>
      <c r="E21" s="53">
        <f>'[6]NW USED VEHICLE'!$B$11*'[6]NW USED VEHICLE'!$B$19</f>
        <v>130.4399999999996</v>
      </c>
      <c r="F21" s="53">
        <f>'[7]NW USED VEHICLE'!$B$11*'[7]NW USED VEHICLE'!$B$19</f>
        <v>1644.3499999999985</v>
      </c>
      <c r="G21" s="53">
        <f>'[8]NW USED VEHICLE'!$B$11*'[8]NW USED VEHICLE'!$B$19</f>
        <v>1644.3399999999965</v>
      </c>
      <c r="H21" s="53">
        <f>'[9]NW USED VEHICLE'!$B$11*'[9]NW USED VEHICLE'!$B$19</f>
        <v>1327.8499999999985</v>
      </c>
      <c r="I21" s="53">
        <f>'[10]NW USED VEHICLE'!$B$11*'[10]NW USED VEHICLE'!$B$19</f>
        <v>1135.0299999999988</v>
      </c>
      <c r="J21" s="53">
        <f>'[11]NW USED VEHICLE'!$B$11*'[11]NW USED VEHICLE'!$B$19</f>
        <v>467.82999999999811</v>
      </c>
      <c r="K21" s="53">
        <f>'[12]NW USED VEHICLE'!$B$11*'[12]NW USED VEHICLE'!$B$19</f>
        <v>3620.1999999999971</v>
      </c>
      <c r="L21" s="53">
        <f>'[13]NW USED VEHICLE'!$B$11*'[13]NW USED VEHICLE'!$B$19</f>
        <v>4164.3400000000038</v>
      </c>
      <c r="M21" s="53">
        <f>'[14]NW USED VEHICLE'!$B$11*'[14]NW USED VEHICLE'!$B$19</f>
        <v>1606.5299999999952</v>
      </c>
      <c r="N21" s="53">
        <f>'[15]NW USED VEHICLE'!$B$19*'[15]NW USED VEHICLE'!$B$11</f>
        <v>6378.25</v>
      </c>
      <c r="O21" s="53">
        <f>'[16]NW USED VEHICLE'!$B$19*'[16]NW USED VEHICLE'!$B$11</f>
        <v>-2640.4400000000023</v>
      </c>
      <c r="P21" s="53">
        <f>'[17]NW USED VEHICLE'!$B$19*'[17]NW USED VEHICLE'!$B$11</f>
        <v>6981.2900000000009</v>
      </c>
      <c r="R21" s="52">
        <f>+SUM(E21:P21)</f>
        <v>26460.009999999984</v>
      </c>
    </row>
    <row r="22" spans="1:19" x14ac:dyDescent="0.25">
      <c r="A22" s="50" t="s">
        <v>1114</v>
      </c>
      <c r="B22" s="53">
        <f>'[3]NW USED VEHICLE'!$B$24</f>
        <v>32249.200000000063</v>
      </c>
      <c r="C22" s="53">
        <f>'[4]NW USED VEHICLE'!$B$24</f>
        <v>58818.00999999998</v>
      </c>
      <c r="D22" s="53">
        <f>'[5]NW USED VEHICLE'!$B$24</f>
        <v>82967.220000000074</v>
      </c>
      <c r="E22" s="53">
        <f>'[6]NW USED VEHICLE'!$B$24</f>
        <v>55751.410000000018</v>
      </c>
      <c r="F22" s="53">
        <f>'[7]NW USED VEHICLE'!$B$24</f>
        <v>59308.039999999928</v>
      </c>
      <c r="G22" s="53">
        <f>'[8]NW USED VEHICLE'!$B$24</f>
        <v>104433.93000000002</v>
      </c>
      <c r="H22" s="53">
        <f>'[9]NW USED VEHICLE'!$B$24</f>
        <v>56113.689999999951</v>
      </c>
      <c r="I22" s="53">
        <f>'[10]NW USED VEHICLE'!$B$24</f>
        <v>72994.69</v>
      </c>
      <c r="J22" s="53">
        <f>'[11]NW USED VEHICLE'!$B$24</f>
        <v>81007.550000000032</v>
      </c>
      <c r="K22" s="53">
        <f>'[12]NW USED VEHICLE'!$B$24</f>
        <v>61990.909999999982</v>
      </c>
      <c r="L22" s="53">
        <f>'[13]NW USED VEHICLE'!$B$24</f>
        <v>54472.729999999836</v>
      </c>
      <c r="M22" s="53">
        <f>'[14]NW USED VEHICLE'!$B$24</f>
        <v>75287.139999999956</v>
      </c>
      <c r="N22" s="53">
        <f>'[15]NW USED VEHICLE'!$B$24</f>
        <v>93018.6</v>
      </c>
      <c r="O22" s="53">
        <f>'[16]NW USED VEHICLE'!$B$24</f>
        <v>99896.819999999978</v>
      </c>
      <c r="P22" s="53">
        <f>'[17]NW USED VEHICLE'!$B$24</f>
        <v>109199.73000000004</v>
      </c>
      <c r="R22" s="52">
        <f>+SUM(E22:P22)</f>
        <v>923475.23999999976</v>
      </c>
    </row>
    <row r="23" spans="1:19" x14ac:dyDescent="0.25">
      <c r="A23" s="7" t="s">
        <v>1076</v>
      </c>
      <c r="B23" s="12">
        <f>B18*B7</f>
        <v>77680.62</v>
      </c>
      <c r="C23" s="12">
        <f t="shared" ref="C23:P23" si="4">C18*C7</f>
        <v>71358.700000000012</v>
      </c>
      <c r="D23" s="12">
        <f t="shared" si="4"/>
        <v>68746.159289279778</v>
      </c>
      <c r="E23" s="12">
        <f t="shared" si="4"/>
        <v>71943.079999999987</v>
      </c>
      <c r="F23" s="12">
        <f t="shared" si="4"/>
        <v>76977.78</v>
      </c>
      <c r="G23" s="12">
        <f t="shared" si="4"/>
        <v>88280.51</v>
      </c>
      <c r="H23" s="12">
        <f t="shared" si="4"/>
        <v>75009.529999999984</v>
      </c>
      <c r="I23" s="12">
        <f t="shared" si="4"/>
        <v>92255.05</v>
      </c>
      <c r="J23" s="12">
        <f t="shared" si="4"/>
        <v>78324.180000000008</v>
      </c>
      <c r="K23" s="12">
        <f t="shared" si="4"/>
        <v>74757.110000000015</v>
      </c>
      <c r="L23" s="12">
        <f t="shared" si="4"/>
        <v>96699.27</v>
      </c>
      <c r="M23" s="12">
        <f t="shared" si="4"/>
        <v>87926.569999999978</v>
      </c>
      <c r="N23" s="12">
        <f t="shared" si="4"/>
        <v>85888.99</v>
      </c>
      <c r="O23" s="12">
        <f t="shared" si="4"/>
        <v>92877.54</v>
      </c>
      <c r="P23" s="12">
        <f t="shared" si="4"/>
        <v>94858.72</v>
      </c>
      <c r="R23" s="6">
        <f>SUM(E23:P23)</f>
        <v>1015798.33</v>
      </c>
    </row>
    <row r="24" spans="1:19" ht="15.75" thickBot="1" x14ac:dyDescent="0.3">
      <c r="A24" s="51" t="s">
        <v>1158</v>
      </c>
      <c r="B24" s="58">
        <f>B19*B7+B21</f>
        <v>-45431.419999999933</v>
      </c>
      <c r="C24" s="58">
        <f t="shared" ref="C24:P24" si="5">C19*C7+C21</f>
        <v>-12540.690000000026</v>
      </c>
      <c r="D24" s="58">
        <f t="shared" si="5"/>
        <v>-1740.5499999999238</v>
      </c>
      <c r="E24" s="10">
        <f t="shared" si="5"/>
        <v>-16191.66999999998</v>
      </c>
      <c r="F24" s="10">
        <f t="shared" si="5"/>
        <v>-17669.740000000074</v>
      </c>
      <c r="G24" s="10">
        <f t="shared" si="5"/>
        <v>16153.420000000026</v>
      </c>
      <c r="H24" s="10">
        <f t="shared" si="5"/>
        <v>-18895.84000000004</v>
      </c>
      <c r="I24" s="10">
        <f t="shared" si="5"/>
        <v>-19260.36</v>
      </c>
      <c r="J24" s="10">
        <f t="shared" si="5"/>
        <v>2683.3700000000217</v>
      </c>
      <c r="K24" s="10">
        <f t="shared" si="5"/>
        <v>-12766.200000000033</v>
      </c>
      <c r="L24" s="10">
        <f t="shared" si="5"/>
        <v>-42226.540000000175</v>
      </c>
      <c r="M24" s="10">
        <f t="shared" si="5"/>
        <v>-12639.430000000029</v>
      </c>
      <c r="N24" s="10">
        <f t="shared" si="5"/>
        <v>7129.6099999999988</v>
      </c>
      <c r="O24" s="10">
        <f t="shared" si="5"/>
        <v>7019.2799999999806</v>
      </c>
      <c r="P24" s="10">
        <f t="shared" si="5"/>
        <v>14341.010000000028</v>
      </c>
      <c r="R24" s="10">
        <f>+SUM(E24:P24)</f>
        <v>-92323.090000000273</v>
      </c>
    </row>
    <row r="25" spans="1:19" ht="15.75" thickTop="1" x14ac:dyDescent="0.25">
      <c r="A25" s="40"/>
      <c r="B25" s="53"/>
      <c r="C25" s="40"/>
      <c r="D25" s="40"/>
      <c r="E25" s="40"/>
      <c r="F25" s="40"/>
      <c r="G25" s="40"/>
      <c r="H25" s="40"/>
      <c r="I25" s="40"/>
      <c r="J25" s="40"/>
      <c r="K25" s="40"/>
      <c r="L25" s="40"/>
      <c r="M25" s="40"/>
      <c r="N25" s="40"/>
      <c r="O25" s="40"/>
      <c r="P25" s="40"/>
      <c r="R25" s="40"/>
    </row>
    <row r="26" spans="1:19" x14ac:dyDescent="0.25">
      <c r="A26" s="40"/>
      <c r="B26" s="40"/>
      <c r="C26" s="40"/>
      <c r="D26" s="40"/>
      <c r="E26" s="40"/>
      <c r="F26" s="40"/>
      <c r="G26" s="40"/>
      <c r="H26" s="40"/>
      <c r="I26" s="40"/>
      <c r="J26" s="40"/>
      <c r="K26" s="40"/>
      <c r="L26" s="40"/>
      <c r="M26" s="40"/>
      <c r="N26" s="40"/>
      <c r="O26" s="40"/>
      <c r="P26" s="40"/>
      <c r="R26" s="40"/>
    </row>
    <row r="27" spans="1:19" s="21" customFormat="1" ht="15.75" x14ac:dyDescent="0.25">
      <c r="A27" s="56" t="s">
        <v>1103</v>
      </c>
      <c r="B27" s="5">
        <v>45292</v>
      </c>
      <c r="C27" s="5">
        <v>45323</v>
      </c>
      <c r="D27" s="5">
        <v>45352</v>
      </c>
      <c r="E27" s="5">
        <v>45383</v>
      </c>
      <c r="F27" s="5">
        <v>45413</v>
      </c>
      <c r="G27" s="5">
        <v>45444</v>
      </c>
      <c r="H27" s="5">
        <v>45474</v>
      </c>
      <c r="I27" s="5">
        <v>45505</v>
      </c>
      <c r="J27" s="5">
        <v>45536</v>
      </c>
      <c r="K27" s="5">
        <v>45566</v>
      </c>
      <c r="L27" s="5">
        <v>45597</v>
      </c>
      <c r="M27" s="5">
        <v>45627</v>
      </c>
      <c r="N27" s="5">
        <v>45658</v>
      </c>
      <c r="O27" s="5">
        <v>45689</v>
      </c>
      <c r="P27" s="5">
        <v>45717</v>
      </c>
      <c r="Q27"/>
      <c r="R27" s="5" t="s">
        <v>955</v>
      </c>
      <c r="S27" s="117"/>
    </row>
    <row r="28" spans="1:19" ht="15" customHeight="1" x14ac:dyDescent="0.25">
      <c r="A28" s="46"/>
      <c r="B28" s="76" t="s">
        <v>958</v>
      </c>
      <c r="C28" s="5" t="s">
        <v>959</v>
      </c>
      <c r="D28" s="5" t="s">
        <v>959</v>
      </c>
      <c r="E28" s="5" t="s">
        <v>959</v>
      </c>
      <c r="F28" s="5" t="s">
        <v>959</v>
      </c>
      <c r="G28" s="5" t="s">
        <v>959</v>
      </c>
      <c r="H28" s="5" t="s">
        <v>959</v>
      </c>
      <c r="I28" s="5" t="s">
        <v>959</v>
      </c>
      <c r="J28" s="5" t="s">
        <v>959</v>
      </c>
      <c r="K28" s="5" t="s">
        <v>959</v>
      </c>
      <c r="L28" s="5" t="s">
        <v>959</v>
      </c>
      <c r="M28" s="5" t="s">
        <v>959</v>
      </c>
      <c r="N28" s="5" t="s">
        <v>959</v>
      </c>
      <c r="O28" s="5" t="s">
        <v>959</v>
      </c>
      <c r="P28" s="5" t="s">
        <v>959</v>
      </c>
      <c r="R28" s="5" t="s">
        <v>961</v>
      </c>
    </row>
    <row r="29" spans="1:19" ht="15" customHeight="1" x14ac:dyDescent="0.25">
      <c r="A29" s="40"/>
      <c r="B29" s="40"/>
      <c r="C29" s="40"/>
      <c r="D29" s="48"/>
      <c r="E29" s="40"/>
      <c r="F29" s="40"/>
      <c r="G29" s="40"/>
      <c r="H29" s="40"/>
      <c r="I29" s="40"/>
      <c r="J29" s="40"/>
      <c r="K29" s="40"/>
      <c r="L29" s="40"/>
      <c r="M29" s="40"/>
      <c r="N29" s="40"/>
      <c r="O29" s="40"/>
      <c r="P29" s="40"/>
      <c r="R29" s="40"/>
    </row>
    <row r="30" spans="1:19" ht="15" customHeight="1" x14ac:dyDescent="0.25">
      <c r="A30" s="50" t="s">
        <v>1104</v>
      </c>
      <c r="B30" s="50">
        <f>'[15]NW USED VEHICLE'!$B$6+'[15]NW USED VEHICLE'!$B$7</f>
        <v>15</v>
      </c>
      <c r="C30" s="50">
        <f>'[16]NW USED VEHICLE'!$C$6+'[16]NW USED VEHICLE'!$C$7</f>
        <v>20.100000000000001</v>
      </c>
      <c r="D30" s="50">
        <f>'[17]NW USED VEHICLE'!$C$6+'[17]NW USED VEHICLE'!$C$7</f>
        <v>20.100000000000001</v>
      </c>
      <c r="E30" s="50">
        <f>'Used Vehicles - Group'!E30*'Used Vehicles - NW'!E34/'Used Vehicles - Group'!E34</f>
        <v>20.75</v>
      </c>
      <c r="F30" s="50">
        <f>'Used Vehicles - Group'!F30*'Used Vehicles - NW'!F34/'Used Vehicles - Group'!F34</f>
        <v>24.592592592592595</v>
      </c>
      <c r="G30" s="50">
        <f>'Used Vehicles - Group'!G30*'Used Vehicles - NW'!G34/'Used Vehicles - Group'!G34</f>
        <v>24.592592592592595</v>
      </c>
      <c r="H30" s="50">
        <f>'Used Vehicles - Group'!H30*'Used Vehicles - NW'!H34/'Used Vehicles - Group'!H34</f>
        <v>26.210526315789473</v>
      </c>
      <c r="I30" s="50">
        <f>'Used Vehicles - Group'!I30*'Used Vehicles - NW'!I34/'Used Vehicles - Group'!I34</f>
        <v>26.210526315789473</v>
      </c>
      <c r="J30" s="50">
        <f>'Used Vehicles - Group'!J30*'Used Vehicles - NW'!J34/'Used Vehicles - Group'!J34</f>
        <v>26.210526315789473</v>
      </c>
      <c r="K30" s="50">
        <f>'Used Vehicles - Group'!K30*'Used Vehicles - NW'!K34/'Used Vehicles - Group'!K34</f>
        <v>26.210526315789473</v>
      </c>
      <c r="L30" s="50">
        <f>'Used Vehicles - Group'!L30*'Used Vehicles - NW'!L34/'Used Vehicles - Group'!L34</f>
        <v>26.210526315789473</v>
      </c>
      <c r="M30" s="50">
        <f>'Used Vehicles - Group'!M30*'Used Vehicles - NW'!M34/'Used Vehicles - Group'!M34</f>
        <v>26.210526315789473</v>
      </c>
      <c r="N30" s="50">
        <f>'Used Vehicles - Group'!N30*'Used Vehicles - NW'!N34/'Used Vehicles - Group'!N34</f>
        <v>26.210526315789473</v>
      </c>
      <c r="O30" s="50">
        <f>'Used Vehicles - Group'!O30*'Used Vehicles - NW'!O34/'Used Vehicles - Group'!O34</f>
        <v>26.210526315789473</v>
      </c>
      <c r="P30" s="50">
        <f>'Used Vehicles - Group'!P30*'Used Vehicles - NW'!P34/'Used Vehicles - Group'!P34</f>
        <v>26.210526315789473</v>
      </c>
      <c r="Q30" s="8"/>
      <c r="R30" s="162">
        <f>+SUM(E30:P30)</f>
        <v>305.82992202729048</v>
      </c>
      <c r="S30" s="119" t="str">
        <f>'Used Vehicles - NS 5'!S30</f>
        <v>Based on Q1 TNZ Targets and Q125 expected to align with Q424 subject to change, split 2/2 between NS and NW</v>
      </c>
    </row>
    <row r="31" spans="1:19" ht="15" customHeight="1" x14ac:dyDescent="0.25">
      <c r="A31" s="50" t="s">
        <v>1105</v>
      </c>
      <c r="B31" s="50">
        <f>'[15]NW USED VEHICLE'!$B$8</f>
        <v>7</v>
      </c>
      <c r="C31" s="50">
        <f>'[16]NW USED VEHICLE'!$C$8</f>
        <v>2.0888888888888886</v>
      </c>
      <c r="D31" s="50">
        <f>'[17]NW USED VEHICLE'!$C$8</f>
        <v>2.0888888888888886</v>
      </c>
      <c r="E31" s="50">
        <f>AVERAGE($B$5:$M$5)</f>
        <v>5.083333333333333</v>
      </c>
      <c r="F31" s="50">
        <f t="shared" ref="F31:P31" si="6">AVERAGE($B$5:$M$5)</f>
        <v>5.083333333333333</v>
      </c>
      <c r="G31" s="50">
        <f t="shared" si="6"/>
        <v>5.083333333333333</v>
      </c>
      <c r="H31" s="50">
        <f t="shared" si="6"/>
        <v>5.083333333333333</v>
      </c>
      <c r="I31" s="50">
        <f t="shared" si="6"/>
        <v>5.083333333333333</v>
      </c>
      <c r="J31" s="50">
        <f t="shared" si="6"/>
        <v>5.083333333333333</v>
      </c>
      <c r="K31" s="50">
        <f t="shared" si="6"/>
        <v>5.083333333333333</v>
      </c>
      <c r="L31" s="50">
        <f t="shared" si="6"/>
        <v>5.083333333333333</v>
      </c>
      <c r="M31" s="50">
        <f t="shared" si="6"/>
        <v>5.083333333333333</v>
      </c>
      <c r="N31" s="50">
        <f t="shared" si="6"/>
        <v>5.083333333333333</v>
      </c>
      <c r="O31" s="50">
        <f t="shared" si="6"/>
        <v>5.083333333333333</v>
      </c>
      <c r="P31" s="50">
        <f t="shared" si="6"/>
        <v>5.083333333333333</v>
      </c>
      <c r="Q31" s="3"/>
      <c r="R31" s="162">
        <f>+SUM(E31:P31)</f>
        <v>61.000000000000007</v>
      </c>
      <c r="S31" s="119" t="str">
        <f>'Used Vehicles - NS 5'!S31</f>
        <v>12 Month Average</v>
      </c>
    </row>
    <row r="32" spans="1:19" ht="15" customHeight="1" x14ac:dyDescent="0.25">
      <c r="A32" s="50" t="s">
        <v>1106</v>
      </c>
      <c r="B32" s="50">
        <f>'[15]NW USED VEHICLE'!$B$9</f>
        <v>20</v>
      </c>
      <c r="C32" s="50">
        <f>'[16]NW USED VEHICLE'!$C$9</f>
        <v>30</v>
      </c>
      <c r="D32" s="50">
        <f>'[17]NW USED VEHICLE'!$C$9</f>
        <v>33</v>
      </c>
      <c r="E32" s="50">
        <f>E33-E30-E31</f>
        <v>29.416666666666668</v>
      </c>
      <c r="F32" s="50">
        <f t="shared" ref="F32:P32" si="7">F33-F30-F31</f>
        <v>35.574074074074069</v>
      </c>
      <c r="G32" s="50">
        <f t="shared" si="7"/>
        <v>43.574074074074069</v>
      </c>
      <c r="H32" s="50">
        <f t="shared" si="7"/>
        <v>32.956140350877192</v>
      </c>
      <c r="I32" s="50">
        <f t="shared" si="7"/>
        <v>37.456140350877192</v>
      </c>
      <c r="J32" s="50">
        <f t="shared" si="7"/>
        <v>41.956140350877192</v>
      </c>
      <c r="K32" s="50">
        <f t="shared" si="7"/>
        <v>32.956140350877192</v>
      </c>
      <c r="L32" s="50">
        <f t="shared" si="7"/>
        <v>50.956140350877192</v>
      </c>
      <c r="M32" s="50">
        <f t="shared" si="7"/>
        <v>37.456140350877192</v>
      </c>
      <c r="N32" s="50">
        <f t="shared" si="7"/>
        <v>32.956140350877192</v>
      </c>
      <c r="O32" s="50">
        <f t="shared" si="7"/>
        <v>32.956140350877192</v>
      </c>
      <c r="P32" s="50">
        <f t="shared" si="7"/>
        <v>50.956140350877192</v>
      </c>
      <c r="Q32" s="3"/>
      <c r="R32" s="162">
        <f>+SUM(E32:P32)</f>
        <v>459.17007797270963</v>
      </c>
      <c r="S32" s="119" t="str">
        <f>'Used Vehicles - NS 5'!S32</f>
        <v>Total less TNZ Sources and Demo</v>
      </c>
    </row>
    <row r="33" spans="1:19" ht="15" customHeight="1" x14ac:dyDescent="0.25">
      <c r="A33" s="50" t="s">
        <v>1107</v>
      </c>
      <c r="B33" s="50">
        <f>SUM(B30:B32)</f>
        <v>42</v>
      </c>
      <c r="C33" s="50">
        <f>SUM(C30:C32)</f>
        <v>52.18888888888889</v>
      </c>
      <c r="D33" s="50">
        <f>SUM(D30:D32)</f>
        <v>55.18888888888889</v>
      </c>
      <c r="E33" s="50">
        <f>E34*E35+1.25</f>
        <v>55.25</v>
      </c>
      <c r="F33" s="50">
        <f t="shared" ref="F33:P33" si="8">F34*F35+1.25</f>
        <v>65.25</v>
      </c>
      <c r="G33" s="50">
        <f t="shared" si="8"/>
        <v>73.25</v>
      </c>
      <c r="H33" s="50">
        <f t="shared" si="8"/>
        <v>64.25</v>
      </c>
      <c r="I33" s="50">
        <f t="shared" si="8"/>
        <v>68.75</v>
      </c>
      <c r="J33" s="50">
        <f t="shared" si="8"/>
        <v>73.25</v>
      </c>
      <c r="K33" s="50">
        <f t="shared" si="8"/>
        <v>64.25</v>
      </c>
      <c r="L33" s="50">
        <f t="shared" si="8"/>
        <v>82.25</v>
      </c>
      <c r="M33" s="50">
        <f t="shared" si="8"/>
        <v>68.75</v>
      </c>
      <c r="N33" s="50">
        <f t="shared" si="8"/>
        <v>64.25</v>
      </c>
      <c r="O33" s="50">
        <f t="shared" si="8"/>
        <v>64.25</v>
      </c>
      <c r="P33" s="50">
        <f t="shared" si="8"/>
        <v>82.25</v>
      </c>
      <c r="Q33" s="272"/>
      <c r="R33" s="273">
        <f>+SUM(E33:P33)</f>
        <v>826</v>
      </c>
      <c r="S33" s="274"/>
    </row>
    <row r="34" spans="1:19" ht="15" customHeight="1" x14ac:dyDescent="0.25">
      <c r="A34" s="50" t="s">
        <v>1066</v>
      </c>
      <c r="B34" s="50">
        <f>'[15]NW USED VEHICLE'!$B$37</f>
        <v>4</v>
      </c>
      <c r="C34" s="50">
        <f>'[16]NW USED VEHICLE'!$C$37</f>
        <v>4</v>
      </c>
      <c r="D34" s="50">
        <f>'[17]NW USED VEHICLE'!$C$37</f>
        <v>4</v>
      </c>
      <c r="E34" s="50">
        <v>3</v>
      </c>
      <c r="F34" s="50">
        <v>4</v>
      </c>
      <c r="G34" s="50">
        <v>4</v>
      </c>
      <c r="H34" s="239">
        <f>4.5</f>
        <v>4.5</v>
      </c>
      <c r="I34" s="239">
        <f t="shared" ref="I34:P34" si="9">4.5</f>
        <v>4.5</v>
      </c>
      <c r="J34" s="239">
        <f t="shared" si="9"/>
        <v>4.5</v>
      </c>
      <c r="K34" s="239">
        <f t="shared" si="9"/>
        <v>4.5</v>
      </c>
      <c r="L34" s="239">
        <f t="shared" si="9"/>
        <v>4.5</v>
      </c>
      <c r="M34" s="239">
        <f t="shared" si="9"/>
        <v>4.5</v>
      </c>
      <c r="N34" s="239">
        <f t="shared" si="9"/>
        <v>4.5</v>
      </c>
      <c r="O34" s="239">
        <f t="shared" si="9"/>
        <v>4.5</v>
      </c>
      <c r="P34" s="239">
        <f t="shared" si="9"/>
        <v>4.5</v>
      </c>
      <c r="Q34" s="240"/>
      <c r="R34" s="241">
        <f>+AVERAGE(E34:P34)</f>
        <v>4.291666666666667</v>
      </c>
      <c r="S34" s="119"/>
    </row>
    <row r="35" spans="1:19" ht="15" customHeight="1" x14ac:dyDescent="0.25">
      <c r="A35" s="50" t="s">
        <v>1108</v>
      </c>
      <c r="B35" s="50">
        <f>B33/B34</f>
        <v>10.5</v>
      </c>
      <c r="C35" s="50">
        <f>C33/C34</f>
        <v>13.047222222222222</v>
      </c>
      <c r="D35" s="50">
        <f>D33/D34</f>
        <v>13.797222222222222</v>
      </c>
      <c r="E35" s="50">
        <v>18</v>
      </c>
      <c r="F35" s="50">
        <v>16</v>
      </c>
      <c r="G35" s="50">
        <v>18</v>
      </c>
      <c r="H35" s="50">
        <v>14</v>
      </c>
      <c r="I35" s="50">
        <v>15</v>
      </c>
      <c r="J35" s="50">
        <v>16</v>
      </c>
      <c r="K35" s="50">
        <v>14</v>
      </c>
      <c r="L35" s="50">
        <v>18</v>
      </c>
      <c r="M35" s="50">
        <v>15</v>
      </c>
      <c r="N35" s="50">
        <v>14</v>
      </c>
      <c r="O35" s="50">
        <v>14</v>
      </c>
      <c r="P35" s="50">
        <v>18</v>
      </c>
      <c r="Q35" s="3"/>
      <c r="R35" s="162">
        <f>+AVERAGE(E35:P35)</f>
        <v>15.833333333333334</v>
      </c>
      <c r="S35" s="119" t="str">
        <f>'Used Vehicles - NS 5'!S35</f>
        <v>Minimum 16 per units per sales persons</v>
      </c>
    </row>
    <row r="36" spans="1:19" ht="15" customHeight="1" x14ac:dyDescent="0.25">
      <c r="A36" s="50"/>
      <c r="B36" s="50"/>
      <c r="C36" s="50"/>
      <c r="D36" s="50"/>
      <c r="E36" s="50"/>
      <c r="F36" s="50"/>
      <c r="G36" s="50"/>
      <c r="H36" s="50"/>
      <c r="I36" s="50"/>
      <c r="J36" s="50"/>
      <c r="K36" s="50"/>
      <c r="L36" s="50"/>
      <c r="M36" s="50"/>
      <c r="N36" s="50"/>
      <c r="O36" s="50"/>
      <c r="P36" s="50"/>
      <c r="R36" s="52"/>
      <c r="S36" s="119"/>
    </row>
    <row r="37" spans="1:19" ht="15" customHeight="1" x14ac:dyDescent="0.25">
      <c r="A37" s="50" t="s">
        <v>1109</v>
      </c>
      <c r="B37" s="53">
        <f>('[15]NW USED VEHICLE'!$B$6*'[15]NW USED VEHICLE'!$B$14+'[15]NW USED VEHICLE'!$B$7*'[15]NW USED VEHICLE'!$B$15)/('[15]NW USED VEHICLE'!$B$6+'[15]NW USED VEHICLE'!$B$7)</f>
        <v>1228.2199999999982</v>
      </c>
      <c r="C37" s="53">
        <f>('[16]NW USED VEHICLE'!$C$6*'[16]NW USED VEHICLE'!$C$14+'[16]NW USED VEHICLE'!$C$7*'[16]NW USED VEHICLE'!$C$15)/('[16]NW USED VEHICLE'!$C$6+'[16]NW USED VEHICLE'!$C$7)</f>
        <v>1094.5273631840796</v>
      </c>
      <c r="D37" s="53">
        <f>('[17]NW USED VEHICLE'!$C$6*'[17]NW USED VEHICLE'!$C$14+'[17]NW USED VEHICLE'!$C$7*'[17]NW USED VEHICLE'!$C$15)/('[17]NW USED VEHICLE'!$C$6+'[17]NW USED VEHICLE'!$C$7)</f>
        <v>1094.5273631840796</v>
      </c>
      <c r="E37" s="53">
        <v>1111</v>
      </c>
      <c r="F37" s="53">
        <f>E37</f>
        <v>1111</v>
      </c>
      <c r="G37" s="53">
        <f>F37</f>
        <v>1111</v>
      </c>
      <c r="H37" s="53">
        <v>1111</v>
      </c>
      <c r="I37" s="53">
        <f>H37</f>
        <v>1111</v>
      </c>
      <c r="J37" s="53">
        <f>I37</f>
        <v>1111</v>
      </c>
      <c r="K37" s="53">
        <v>1111</v>
      </c>
      <c r="L37" s="53">
        <f>K37</f>
        <v>1111</v>
      </c>
      <c r="M37" s="53">
        <f>L37</f>
        <v>1111</v>
      </c>
      <c r="N37" s="53">
        <v>1111</v>
      </c>
      <c r="O37" s="53">
        <f>N37</f>
        <v>1111</v>
      </c>
      <c r="P37" s="53">
        <f>O37</f>
        <v>1111</v>
      </c>
      <c r="R37" s="52">
        <f t="shared" ref="R37:R45" si="10">AVERAGE(E37:P37)</f>
        <v>1111</v>
      </c>
      <c r="S37" s="119" t="str">
        <f>'Used Vehicles - NS 5'!S37</f>
        <v>2023 CYTD Network Average - $1,111 per units</v>
      </c>
    </row>
    <row r="38" spans="1:19" ht="15" customHeight="1" x14ac:dyDescent="0.25">
      <c r="A38" s="50" t="s">
        <v>1110</v>
      </c>
      <c r="B38" s="53">
        <f>'[15]NW USED VEHICLE'!$B$16</f>
        <v>2395.6657142857175</v>
      </c>
      <c r="C38" s="53">
        <f>'[16]NW USED VEHICLE'!$C$16</f>
        <v>3499.9999999999995</v>
      </c>
      <c r="D38" s="53">
        <f>'[17]NW USED VEHICLE'!$C$16</f>
        <v>3499.9999999999995</v>
      </c>
      <c r="E38" s="53">
        <f>2200</f>
        <v>2200</v>
      </c>
      <c r="F38" s="53">
        <f>2200</f>
        <v>2200</v>
      </c>
      <c r="G38" s="53">
        <f>2200</f>
        <v>2200</v>
      </c>
      <c r="H38" s="53">
        <f>2500</f>
        <v>2500</v>
      </c>
      <c r="I38" s="53">
        <f>2500</f>
        <v>2500</v>
      </c>
      <c r="J38" s="53">
        <f>2500</f>
        <v>2500</v>
      </c>
      <c r="K38" s="53">
        <v>2500</v>
      </c>
      <c r="L38" s="53">
        <v>2500</v>
      </c>
      <c r="M38" s="53">
        <v>2500</v>
      </c>
      <c r="N38" s="53">
        <v>2500</v>
      </c>
      <c r="O38" s="53">
        <v>2500</v>
      </c>
      <c r="P38" s="53">
        <v>2500</v>
      </c>
      <c r="R38" s="52">
        <f t="shared" si="10"/>
        <v>2425</v>
      </c>
      <c r="S38" s="119" t="str">
        <f>'Used Vehicles - NS 5'!S38</f>
        <v>2023 CYTD Network Average - $3,514 per units, our 2023 CYTD showing $1,200 per units way behind our average group, we need to have $300 per quarter improvement inplace to regain back around $3,000 per units.</v>
      </c>
    </row>
    <row r="39" spans="1:19" ht="15" customHeight="1" x14ac:dyDescent="0.25">
      <c r="A39" s="50" t="s">
        <v>1111</v>
      </c>
      <c r="B39" s="53">
        <f>'[15]NW USED VEHICLE'!$B$17</f>
        <v>2572.3695000000007</v>
      </c>
      <c r="C39" s="53">
        <f>'[16]NW USED VEHICLE'!$C$17</f>
        <v>2433.3333333333335</v>
      </c>
      <c r="D39" s="53">
        <f>'[17]NW USED VEHICLE'!$C$17</f>
        <v>2393.939393939394</v>
      </c>
      <c r="E39" s="53">
        <f>E72/E32</f>
        <v>2212.7478753541077</v>
      </c>
      <c r="F39" s="53">
        <f t="shared" ref="F39:O39" si="11">F72/F32</f>
        <v>2307.0275897969809</v>
      </c>
      <c r="G39" s="53">
        <f t="shared" si="11"/>
        <v>2402.8686782830428</v>
      </c>
      <c r="H39" s="53">
        <f t="shared" si="11"/>
        <v>2500.0000000000005</v>
      </c>
      <c r="I39" s="53">
        <f t="shared" si="11"/>
        <v>2500</v>
      </c>
      <c r="J39" s="53">
        <f t="shared" si="11"/>
        <v>2500</v>
      </c>
      <c r="K39" s="53">
        <f t="shared" si="11"/>
        <v>2500.0000000000005</v>
      </c>
      <c r="L39" s="53">
        <f t="shared" si="11"/>
        <v>2500</v>
      </c>
      <c r="M39" s="53">
        <f t="shared" si="11"/>
        <v>2500</v>
      </c>
      <c r="N39" s="53">
        <f t="shared" si="11"/>
        <v>2500.0000000000005</v>
      </c>
      <c r="O39" s="53">
        <f t="shared" si="11"/>
        <v>2500.0000000000005</v>
      </c>
      <c r="P39" s="53">
        <f>P72/P32</f>
        <v>2500</v>
      </c>
      <c r="R39" s="52">
        <f t="shared" si="10"/>
        <v>2451.8870119528442</v>
      </c>
      <c r="S39" s="119" t="str">
        <f>'Used Vehicles - NS 5'!S39</f>
        <v>2023 CYTD Network Average - $2,957 per units</v>
      </c>
    </row>
    <row r="40" spans="1:19" ht="15" customHeight="1" x14ac:dyDescent="0.25">
      <c r="A40" s="50" t="s">
        <v>1069</v>
      </c>
      <c r="B40" s="53">
        <f>'[15]NW USED VEHICLE'!$B$23</f>
        <v>2062.8654761904763</v>
      </c>
      <c r="C40" s="53">
        <f>'[16]NW USED VEHICLE'!$C$23</f>
        <v>1960.4002554822225</v>
      </c>
      <c r="D40" s="53">
        <f>'[17]NW USED VEHICLE'!$C$23</f>
        <v>2536.441867678026</v>
      </c>
      <c r="E40" s="53">
        <f>(E30*E37+E31*E38+E32*E39)/E33</f>
        <v>1797.7963800904977</v>
      </c>
      <c r="F40" s="53">
        <f t="shared" ref="F40:P40" si="12">(F30*F37+F31*F38+F32*F39)/F33</f>
        <v>1847.9091812118631</v>
      </c>
      <c r="G40" s="53">
        <f t="shared" si="12"/>
        <v>1955.0645936038425</v>
      </c>
      <c r="H40" s="53">
        <f t="shared" si="12"/>
        <v>1933.3630964570962</v>
      </c>
      <c r="I40" s="53">
        <f t="shared" si="12"/>
        <v>1970.452057416268</v>
      </c>
      <c r="J40" s="53">
        <f t="shared" si="12"/>
        <v>2002.9840129333575</v>
      </c>
      <c r="K40" s="53">
        <f t="shared" si="12"/>
        <v>1933.3630964570962</v>
      </c>
      <c r="L40" s="53">
        <f t="shared" si="12"/>
        <v>2057.36874100144</v>
      </c>
      <c r="M40" s="53">
        <f t="shared" si="12"/>
        <v>1970.452057416268</v>
      </c>
      <c r="N40" s="53">
        <f t="shared" si="12"/>
        <v>1933.3630964570962</v>
      </c>
      <c r="O40" s="53">
        <f t="shared" si="12"/>
        <v>1933.3630964570962</v>
      </c>
      <c r="P40" s="53">
        <f t="shared" si="12"/>
        <v>2057.36874100144</v>
      </c>
      <c r="R40" s="52">
        <f t="shared" si="10"/>
        <v>1949.4040125419463</v>
      </c>
      <c r="S40" s="119"/>
    </row>
    <row r="41" spans="1:19" ht="15" customHeight="1" x14ac:dyDescent="0.25">
      <c r="A41" s="40" t="s">
        <v>1070</v>
      </c>
      <c r="B41" s="53">
        <f>'[15]NS USED VEHICLE'!$B$23-'[15]NS USED VEHICLE'!$B$18</f>
        <v>0</v>
      </c>
      <c r="C41" s="53">
        <f>'[16]NS USED VEHICLE'!$C$23-'[16]NS USED VEHICLE'!$C$18</f>
        <v>0</v>
      </c>
      <c r="D41" s="53">
        <f>'[17]NS USED VEHICLE'!$C$23-'[17]NS USED VEHICLE'!$C$18</f>
        <v>681.42373987599012</v>
      </c>
      <c r="E41" s="53">
        <v>0</v>
      </c>
      <c r="F41" s="53">
        <v>0</v>
      </c>
      <c r="G41" s="53">
        <f>'FEF Incentive Forecast FY2025'!D25*G30/'Used Vehicles - Group'!G30/G33</f>
        <v>598.97610921501712</v>
      </c>
      <c r="H41" s="53">
        <v>0</v>
      </c>
      <c r="I41" s="53">
        <v>0</v>
      </c>
      <c r="J41" s="53">
        <f>'FEF Incentive Forecast FY2025'!H25*J30/'Used Vehicles - Group'!H30/J33</f>
        <v>622.01365187713316</v>
      </c>
      <c r="K41" s="53">
        <v>0</v>
      </c>
      <c r="L41" s="53">
        <v>0</v>
      </c>
      <c r="M41" s="53">
        <f>'FEF Incentive Forecast FY2025'!L25*M30/'Used Vehicles - Group'!L30/M33</f>
        <v>647.22488038277504</v>
      </c>
      <c r="N41" s="53">
        <v>0</v>
      </c>
      <c r="O41" s="53">
        <v>0</v>
      </c>
      <c r="P41" s="53">
        <f>'FEF Incentive Forecast FY2025'!P25*P30/'Used Vehicles - Group'!P30/P33</f>
        <v>534.51447768357059</v>
      </c>
      <c r="R41" s="52">
        <f t="shared" si="10"/>
        <v>200.22742659654133</v>
      </c>
      <c r="S41" s="119"/>
    </row>
    <row r="42" spans="1:19" ht="15" customHeight="1" x14ac:dyDescent="0.25">
      <c r="A42" s="50" t="s">
        <v>1071</v>
      </c>
      <c r="B42" s="53">
        <f>'[15]NW USED VEHICLE'!$B$27</f>
        <v>577.36785714285713</v>
      </c>
      <c r="C42" s="53">
        <f>'[16]NW USED VEHICLE'!$C$27</f>
        <v>437.3319020845027</v>
      </c>
      <c r="D42" s="53">
        <f>'[17]NW USED VEHICLE'!$C$27</f>
        <v>429.86670909823016</v>
      </c>
      <c r="E42" s="53">
        <f>E65/E33</f>
        <v>540.55186130391837</v>
      </c>
      <c r="F42" s="53">
        <f>F65/F33</f>
        <v>463.15096301979298</v>
      </c>
      <c r="G42" s="53">
        <f t="shared" ref="G42:P42" si="13">G65/G33</f>
        <v>496.77577251933775</v>
      </c>
      <c r="H42" s="53">
        <f t="shared" si="13"/>
        <v>466.08018546286166</v>
      </c>
      <c r="I42" s="53">
        <f t="shared" si="13"/>
        <v>455.70039150529254</v>
      </c>
      <c r="J42" s="53">
        <f t="shared" si="13"/>
        <v>448.23117174692896</v>
      </c>
      <c r="K42" s="53">
        <f t="shared" si="13"/>
        <v>466.08018546286166</v>
      </c>
      <c r="L42" s="53">
        <f t="shared" si="13"/>
        <v>480.61582876582202</v>
      </c>
      <c r="M42" s="53">
        <f t="shared" si="13"/>
        <v>457.39557810816331</v>
      </c>
      <c r="N42" s="53">
        <f t="shared" si="13"/>
        <v>466.08018546286166</v>
      </c>
      <c r="O42" s="53">
        <f t="shared" si="13"/>
        <v>466.08018546286166</v>
      </c>
      <c r="P42" s="53">
        <f t="shared" si="13"/>
        <v>482.00653825230421</v>
      </c>
      <c r="Q42" s="5"/>
      <c r="R42" s="52">
        <f t="shared" si="10"/>
        <v>474.06240392275055</v>
      </c>
      <c r="S42" s="119" t="str">
        <f>'Used Vehicles - NS 5'!S42</f>
        <v>2023 CYTD Network Average - $578 per units</v>
      </c>
    </row>
    <row r="43" spans="1:19" ht="15" customHeight="1" x14ac:dyDescent="0.25">
      <c r="A43" s="50" t="s">
        <v>1072</v>
      </c>
      <c r="B43" s="53">
        <f>'[15]NW USED VEHICLE'!$B$32</f>
        <v>1467.6080952380955</v>
      </c>
      <c r="C43" s="53">
        <f>'[16]NW USED VEHICLE'!$C$32</f>
        <v>1031.6894613583136</v>
      </c>
      <c r="D43" s="53">
        <f>'[17]NW USED VEHICLE'!$C$32</f>
        <v>975.60809341654897</v>
      </c>
      <c r="E43" s="53">
        <f>E66/E33</f>
        <v>852.36750580259184</v>
      </c>
      <c r="F43" s="53">
        <f t="shared" ref="F43:P43" si="14">F66/F33</f>
        <v>721.73647043054712</v>
      </c>
      <c r="G43" s="53">
        <f t="shared" si="14"/>
        <v>642.9120094961529</v>
      </c>
      <c r="H43" s="53">
        <f t="shared" si="14"/>
        <v>732.96972288861014</v>
      </c>
      <c r="I43" s="53">
        <f t="shared" si="14"/>
        <v>684.99352284499196</v>
      </c>
      <c r="J43" s="53">
        <f t="shared" si="14"/>
        <v>642.9120094961529</v>
      </c>
      <c r="K43" s="53">
        <f t="shared" si="14"/>
        <v>732.96972288861014</v>
      </c>
      <c r="L43" s="53">
        <f t="shared" si="14"/>
        <v>572.56297502240977</v>
      </c>
      <c r="M43" s="53">
        <f t="shared" si="14"/>
        <v>684.99352284499196</v>
      </c>
      <c r="N43" s="53">
        <f t="shared" si="14"/>
        <v>732.96972288861014</v>
      </c>
      <c r="O43" s="53">
        <f t="shared" si="14"/>
        <v>732.96972288861014</v>
      </c>
      <c r="P43" s="53">
        <f t="shared" si="14"/>
        <v>572.56297502240977</v>
      </c>
      <c r="Q43" s="5"/>
      <c r="R43" s="52">
        <f t="shared" si="10"/>
        <v>692.24332354289072</v>
      </c>
      <c r="S43" s="119" t="str">
        <f>'Used Vehicles - NS 5'!S43</f>
        <v>2023 CYTD Network Average - $988 per units</v>
      </c>
    </row>
    <row r="44" spans="1:19" ht="15" customHeight="1" x14ac:dyDescent="0.25">
      <c r="A44" s="50" t="s">
        <v>1073</v>
      </c>
      <c r="B44" s="53">
        <f>B42+B43</f>
        <v>2044.9759523809525</v>
      </c>
      <c r="C44" s="53">
        <f>C42+C43</f>
        <v>1469.0213634428162</v>
      </c>
      <c r="D44" s="53">
        <f>D42+D43</f>
        <v>1405.4748025147792</v>
      </c>
      <c r="E44" s="53">
        <f>E42+E43</f>
        <v>1392.9193671065102</v>
      </c>
      <c r="F44" s="53">
        <f t="shared" ref="F44:P44" si="15">F42+F43</f>
        <v>1184.88743345034</v>
      </c>
      <c r="G44" s="53">
        <f t="shared" si="15"/>
        <v>1139.6877820154907</v>
      </c>
      <c r="H44" s="53">
        <f t="shared" si="15"/>
        <v>1199.0499083514719</v>
      </c>
      <c r="I44" s="53">
        <f t="shared" si="15"/>
        <v>1140.6939143502846</v>
      </c>
      <c r="J44" s="53">
        <f t="shared" si="15"/>
        <v>1091.1431812430819</v>
      </c>
      <c r="K44" s="53">
        <f t="shared" si="15"/>
        <v>1199.0499083514719</v>
      </c>
      <c r="L44" s="53">
        <f t="shared" si="15"/>
        <v>1053.1788037882318</v>
      </c>
      <c r="M44" s="53">
        <f t="shared" si="15"/>
        <v>1142.3891009531553</v>
      </c>
      <c r="N44" s="53">
        <f t="shared" si="15"/>
        <v>1199.0499083514719</v>
      </c>
      <c r="O44" s="53">
        <f t="shared" si="15"/>
        <v>1199.0499083514719</v>
      </c>
      <c r="P44" s="53">
        <f t="shared" si="15"/>
        <v>1054.5695132747139</v>
      </c>
      <c r="R44" s="52">
        <f t="shared" si="10"/>
        <v>1166.3057274656412</v>
      </c>
      <c r="S44" s="119"/>
    </row>
    <row r="45" spans="1:19" ht="15" customHeight="1" x14ac:dyDescent="0.25">
      <c r="A45" s="50" t="s">
        <v>1074</v>
      </c>
      <c r="B45" s="53">
        <f>'[15]NW USED VEHICLE'!$B$34</f>
        <v>17.88952380952378</v>
      </c>
      <c r="C45" s="53">
        <f>'[16]NW USED VEHICLE'!$C$34</f>
        <v>491.37889203940631</v>
      </c>
      <c r="D45" s="53">
        <f>'[17]NW USED VEHICLE'!$C$34</f>
        <v>1130.9670651632468</v>
      </c>
      <c r="E45" s="53">
        <f>E40+E41-E44</f>
        <v>404.87701298398747</v>
      </c>
      <c r="F45" s="53">
        <f t="shared" ref="F45:P45" si="16">F40+F41-F44</f>
        <v>663.0217477615231</v>
      </c>
      <c r="G45" s="53">
        <f t="shared" si="16"/>
        <v>1414.352920803369</v>
      </c>
      <c r="H45" s="53">
        <f t="shared" si="16"/>
        <v>734.31318810562425</v>
      </c>
      <c r="I45" s="53">
        <f t="shared" si="16"/>
        <v>829.7581430659834</v>
      </c>
      <c r="J45" s="53">
        <f t="shared" si="16"/>
        <v>1533.8544835674088</v>
      </c>
      <c r="K45" s="53">
        <f t="shared" si="16"/>
        <v>734.31318810562425</v>
      </c>
      <c r="L45" s="53">
        <f t="shared" si="16"/>
        <v>1004.1899372132082</v>
      </c>
      <c r="M45" s="53">
        <f t="shared" si="16"/>
        <v>1475.2878368458878</v>
      </c>
      <c r="N45" s="53">
        <f t="shared" si="16"/>
        <v>734.31318810562425</v>
      </c>
      <c r="O45" s="53">
        <f t="shared" si="16"/>
        <v>734.31318810562425</v>
      </c>
      <c r="P45" s="53">
        <f t="shared" si="16"/>
        <v>1537.3137054102965</v>
      </c>
      <c r="Q45" s="8"/>
      <c r="R45" s="52">
        <f t="shared" si="10"/>
        <v>983.32571167284686</v>
      </c>
      <c r="S45" s="119"/>
    </row>
    <row r="46" spans="1:19" ht="15" customHeight="1" x14ac:dyDescent="0.25">
      <c r="A46" s="50"/>
      <c r="B46" s="53"/>
      <c r="C46" s="53"/>
      <c r="D46" s="53"/>
      <c r="E46" s="40"/>
      <c r="F46" s="40"/>
      <c r="G46" s="40"/>
      <c r="H46" s="40"/>
      <c r="I46" s="40"/>
      <c r="J46" s="40"/>
      <c r="K46" s="40"/>
      <c r="L46" s="40"/>
      <c r="M46" s="40"/>
      <c r="N46" s="40"/>
      <c r="O46" s="40"/>
      <c r="P46" s="40"/>
      <c r="Q46" s="3"/>
      <c r="R46" s="52"/>
      <c r="S46" s="119"/>
    </row>
    <row r="47" spans="1:19" ht="15" customHeight="1" x14ac:dyDescent="0.25">
      <c r="A47" s="50" t="s">
        <v>1157</v>
      </c>
      <c r="B47" s="53">
        <f>'[15]NW USED VEHICLE'!$B$19*'[15]NW USED VEHICLE'!$B$11</f>
        <v>6378.25</v>
      </c>
      <c r="C47" s="53">
        <f>'[16]NW USED VEHICLE'!$C$19*'[16]NW USED VEHICLE'!$C$11</f>
        <v>0</v>
      </c>
      <c r="D47" s="53">
        <f>'[17]NW USED VEHICLE'!$C$19*'[17]NW USED VEHICLE'!$C$11</f>
        <v>0</v>
      </c>
      <c r="E47" s="40">
        <v>0</v>
      </c>
      <c r="F47" s="40">
        <v>0</v>
      </c>
      <c r="G47" s="40">
        <v>0</v>
      </c>
      <c r="H47" s="40">
        <v>0</v>
      </c>
      <c r="I47" s="40">
        <v>0</v>
      </c>
      <c r="J47" s="40">
        <v>0</v>
      </c>
      <c r="K47" s="40">
        <v>0</v>
      </c>
      <c r="L47" s="40">
        <v>0</v>
      </c>
      <c r="M47" s="40">
        <v>0</v>
      </c>
      <c r="N47" s="40">
        <v>0</v>
      </c>
      <c r="O47" s="40">
        <v>0</v>
      </c>
      <c r="P47" s="40">
        <v>0</v>
      </c>
      <c r="R47" s="52">
        <f>+SUM(E47:P47)</f>
        <v>0</v>
      </c>
      <c r="S47" s="119"/>
    </row>
    <row r="48" spans="1:19" x14ac:dyDescent="0.25">
      <c r="A48" s="50" t="s">
        <v>1114</v>
      </c>
      <c r="B48" s="53">
        <f>'[15]NW USED VEHICLE'!$B$24</f>
        <v>93018.6</v>
      </c>
      <c r="C48" s="53">
        <f>'[16]NW USED VEHICLE'!$C$24</f>
        <v>102311.11111111111</v>
      </c>
      <c r="D48" s="53">
        <f>'[17]NW USED VEHICLE'!$C$24</f>
        <v>139983.4084084084</v>
      </c>
      <c r="E48" s="7">
        <f>(E40+E41)*E33</f>
        <v>99328.25</v>
      </c>
      <c r="F48" s="7">
        <f>(F40+F41)*F33</f>
        <v>120576.07407407407</v>
      </c>
      <c r="G48" s="7">
        <f>(G40+G41)*G33</f>
        <v>187083.48148148146</v>
      </c>
      <c r="H48" s="7">
        <f>(H40+H41)*H33</f>
        <v>124218.57894736843</v>
      </c>
      <c r="I48" s="7">
        <f t="shared" ref="I48:O48" si="17">(I40+I41)*I33</f>
        <v>135468.57894736843</v>
      </c>
      <c r="J48" s="7">
        <f t="shared" si="17"/>
        <v>192281.07894736846</v>
      </c>
      <c r="K48" s="7">
        <f t="shared" si="17"/>
        <v>124218.57894736843</v>
      </c>
      <c r="L48" s="7">
        <f t="shared" si="17"/>
        <v>169218.57894736843</v>
      </c>
      <c r="M48" s="7">
        <f t="shared" si="17"/>
        <v>179965.28947368421</v>
      </c>
      <c r="N48" s="7">
        <f t="shared" si="17"/>
        <v>124218.57894736843</v>
      </c>
      <c r="O48" s="7">
        <f t="shared" si="17"/>
        <v>124218.57894736843</v>
      </c>
      <c r="P48" s="7">
        <f>(P40+P41)*P33</f>
        <v>213182.39473684211</v>
      </c>
      <c r="R48" s="52">
        <f>+SUM(E48:P48)</f>
        <v>1793978.0423976609</v>
      </c>
      <c r="S48" s="119"/>
    </row>
    <row r="49" spans="1:20" x14ac:dyDescent="0.25">
      <c r="A49" s="7" t="s">
        <v>1076</v>
      </c>
      <c r="B49" s="6">
        <f>B44*B33</f>
        <v>85888.99</v>
      </c>
      <c r="C49" s="6">
        <f>C44*C33</f>
        <v>76666.592712121201</v>
      </c>
      <c r="D49" s="6">
        <f>D44*D33</f>
        <v>77566.592712121201</v>
      </c>
      <c r="E49" s="12">
        <f>E44*E33</f>
        <v>76958.795032634691</v>
      </c>
      <c r="F49" s="12">
        <f t="shared" ref="F49:P49" si="18">F44*F33</f>
        <v>77313.905032634691</v>
      </c>
      <c r="G49" s="12">
        <f t="shared" si="18"/>
        <v>83482.130032634697</v>
      </c>
      <c r="H49" s="12">
        <f t="shared" si="18"/>
        <v>77038.956611582063</v>
      </c>
      <c r="I49" s="12">
        <f t="shared" si="18"/>
        <v>78422.706611582063</v>
      </c>
      <c r="J49" s="12">
        <f t="shared" si="18"/>
        <v>79926.238026055755</v>
      </c>
      <c r="K49" s="12">
        <f t="shared" si="18"/>
        <v>77038.956611582063</v>
      </c>
      <c r="L49" s="12">
        <f t="shared" si="18"/>
        <v>86623.956611582063</v>
      </c>
      <c r="M49" s="12">
        <f t="shared" si="18"/>
        <v>78539.250690529429</v>
      </c>
      <c r="N49" s="12">
        <f t="shared" si="18"/>
        <v>77038.956611582063</v>
      </c>
      <c r="O49" s="12">
        <f t="shared" si="18"/>
        <v>77038.956611582063</v>
      </c>
      <c r="P49" s="12">
        <f t="shared" si="18"/>
        <v>86738.342466845221</v>
      </c>
      <c r="R49" s="6">
        <f>SUM(E49:P49)</f>
        <v>956161.15095082694</v>
      </c>
      <c r="S49" s="119"/>
    </row>
    <row r="50" spans="1:20" ht="15.75" thickBot="1" x14ac:dyDescent="0.3">
      <c r="A50" s="51" t="s">
        <v>1158</v>
      </c>
      <c r="B50" s="58">
        <f>B45*B33+B47</f>
        <v>7129.6099999999988</v>
      </c>
      <c r="C50" s="58">
        <f t="shared" ref="C50:P50" si="19">C45*C33+C47</f>
        <v>25644.518398989905</v>
      </c>
      <c r="D50" s="58">
        <f t="shared" si="19"/>
        <v>62416.815696287194</v>
      </c>
      <c r="E50" s="58">
        <f t="shared" si="19"/>
        <v>22369.454967365309</v>
      </c>
      <c r="F50" s="58">
        <f t="shared" si="19"/>
        <v>43262.169041439382</v>
      </c>
      <c r="G50" s="58">
        <f t="shared" si="19"/>
        <v>103601.35144884678</v>
      </c>
      <c r="H50" s="58">
        <f t="shared" si="19"/>
        <v>47179.622335786356</v>
      </c>
      <c r="I50" s="58">
        <f t="shared" si="19"/>
        <v>57045.872335786356</v>
      </c>
      <c r="J50" s="58">
        <f t="shared" si="19"/>
        <v>112354.8409213127</v>
      </c>
      <c r="K50" s="58">
        <f t="shared" si="19"/>
        <v>47179.622335786356</v>
      </c>
      <c r="L50" s="58">
        <f t="shared" si="19"/>
        <v>82594.622335786378</v>
      </c>
      <c r="M50" s="58">
        <f t="shared" si="19"/>
        <v>101426.03878315479</v>
      </c>
      <c r="N50" s="58">
        <f t="shared" si="19"/>
        <v>47179.622335786356</v>
      </c>
      <c r="O50" s="58">
        <f t="shared" si="19"/>
        <v>47179.622335786356</v>
      </c>
      <c r="P50" s="58">
        <f t="shared" si="19"/>
        <v>126444.05226999689</v>
      </c>
      <c r="Q50" s="58"/>
      <c r="R50" s="58">
        <f>+SUM(E50:P50)</f>
        <v>837816.89144683396</v>
      </c>
      <c r="S50" s="119"/>
    </row>
    <row r="51" spans="1:20" ht="15" customHeight="1" thickTop="1" x14ac:dyDescent="0.25">
      <c r="A51" s="40"/>
      <c r="B51" s="40"/>
      <c r="C51" s="40"/>
      <c r="D51" s="40"/>
      <c r="E51" s="40"/>
      <c r="F51" s="40"/>
      <c r="G51" s="40"/>
      <c r="H51" s="40"/>
      <c r="I51" s="40"/>
      <c r="J51" s="40"/>
      <c r="K51" s="40"/>
      <c r="L51" s="40"/>
      <c r="M51" s="40"/>
      <c r="N51" s="40"/>
      <c r="O51" s="40"/>
      <c r="P51" s="40"/>
      <c r="R51" s="40"/>
      <c r="S51" s="119"/>
    </row>
    <row r="52" spans="1:20" ht="15" customHeight="1" x14ac:dyDescent="0.25">
      <c r="A52" t="s">
        <v>1117</v>
      </c>
      <c r="B52" s="3">
        <f t="shared" ref="B52:D52" si="20">B32/B33</f>
        <v>0.47619047619047616</v>
      </c>
      <c r="C52" s="3">
        <f t="shared" si="20"/>
        <v>0.57483500106450924</v>
      </c>
      <c r="D52" s="3">
        <f t="shared" si="20"/>
        <v>0.59794644654721163</v>
      </c>
      <c r="E52" s="3">
        <f>E32/E33</f>
        <v>0.53242835595776772</v>
      </c>
      <c r="F52" s="3">
        <f t="shared" ref="F52:P52" si="21">F32/F33</f>
        <v>0.54519653753370223</v>
      </c>
      <c r="G52" s="3">
        <f t="shared" si="21"/>
        <v>0.59486790544811019</v>
      </c>
      <c r="H52" s="3">
        <f t="shared" si="21"/>
        <v>0.51293603658952824</v>
      </c>
      <c r="I52" s="3">
        <f t="shared" si="21"/>
        <v>0.54481658692185009</v>
      </c>
      <c r="J52" s="3">
        <f t="shared" si="21"/>
        <v>0.57278007304951795</v>
      </c>
      <c r="K52" s="3">
        <f t="shared" si="21"/>
        <v>0.51293603658952824</v>
      </c>
      <c r="L52" s="3">
        <f t="shared" si="21"/>
        <v>0.61952754225990503</v>
      </c>
      <c r="M52" s="3">
        <f t="shared" si="21"/>
        <v>0.54481658692185009</v>
      </c>
      <c r="N52" s="3">
        <f t="shared" si="21"/>
        <v>0.51293603658952824</v>
      </c>
      <c r="O52" s="3">
        <f t="shared" si="21"/>
        <v>0.51293603658952824</v>
      </c>
      <c r="P52" s="3">
        <f t="shared" si="21"/>
        <v>0.61952754225990503</v>
      </c>
      <c r="S52" s="119" t="str">
        <f>'Used Vehicles - NS 5'!S52</f>
        <v>2023 CYTD Network Average - 1043/1837 = 57%</v>
      </c>
    </row>
    <row r="53" spans="1:20" ht="15" customHeight="1" x14ac:dyDescent="0.25">
      <c r="A53" t="s">
        <v>1081</v>
      </c>
      <c r="B53" s="15">
        <f t="shared" ref="B53:D53" si="22">B42*B$33</f>
        <v>24249.45</v>
      </c>
      <c r="C53" s="15">
        <f t="shared" si="22"/>
        <v>22823.866045454546</v>
      </c>
      <c r="D53" s="15">
        <f t="shared" si="22"/>
        <v>23723.866045454546</v>
      </c>
      <c r="E53" s="15">
        <f>E42*E$33</f>
        <v>29865.49033704149</v>
      </c>
      <c r="F53" s="15">
        <f t="shared" ref="F53:P54" si="23">F42*F$33</f>
        <v>30220.600337041491</v>
      </c>
      <c r="G53" s="15">
        <f t="shared" si="23"/>
        <v>36388.82533704149</v>
      </c>
      <c r="H53" s="15">
        <f t="shared" si="23"/>
        <v>29945.651915988863</v>
      </c>
      <c r="I53" s="15">
        <f t="shared" si="23"/>
        <v>31329.401915988863</v>
      </c>
      <c r="J53" s="15">
        <f t="shared" si="23"/>
        <v>32832.933330462547</v>
      </c>
      <c r="K53" s="15">
        <f t="shared" si="23"/>
        <v>29945.651915988863</v>
      </c>
      <c r="L53" s="15">
        <f t="shared" si="23"/>
        <v>39530.651915988863</v>
      </c>
      <c r="M53" s="15">
        <f t="shared" si="23"/>
        <v>31445.945994936228</v>
      </c>
      <c r="N53" s="15">
        <f t="shared" si="23"/>
        <v>29945.651915988863</v>
      </c>
      <c r="O53" s="15">
        <f t="shared" si="23"/>
        <v>29945.651915988863</v>
      </c>
      <c r="P53" s="15">
        <f t="shared" si="23"/>
        <v>39645.03777125202</v>
      </c>
      <c r="R53" s="52">
        <f>SUM(E53:P53)</f>
        <v>391041.4946037085</v>
      </c>
    </row>
    <row r="54" spans="1:20" ht="15" customHeight="1" x14ac:dyDescent="0.25">
      <c r="A54" t="s">
        <v>1119</v>
      </c>
      <c r="B54" s="15">
        <f t="shared" ref="B54:D54" si="24">B43*B$33</f>
        <v>61639.540000000015</v>
      </c>
      <c r="C54" s="15">
        <f t="shared" si="24"/>
        <v>53842.726666666655</v>
      </c>
      <c r="D54" s="15">
        <f t="shared" si="24"/>
        <v>53842.726666666655</v>
      </c>
      <c r="E54" s="15">
        <f>E43*E$33</f>
        <v>47093.3046955932</v>
      </c>
      <c r="F54" s="15">
        <f t="shared" si="23"/>
        <v>47093.3046955932</v>
      </c>
      <c r="G54" s="15">
        <f t="shared" si="23"/>
        <v>47093.3046955932</v>
      </c>
      <c r="H54" s="15">
        <f t="shared" si="23"/>
        <v>47093.3046955932</v>
      </c>
      <c r="I54" s="15">
        <f t="shared" si="23"/>
        <v>47093.3046955932</v>
      </c>
      <c r="J54" s="15">
        <f t="shared" si="23"/>
        <v>47093.3046955932</v>
      </c>
      <c r="K54" s="15">
        <f t="shared" si="23"/>
        <v>47093.3046955932</v>
      </c>
      <c r="L54" s="15">
        <f t="shared" si="23"/>
        <v>47093.3046955932</v>
      </c>
      <c r="M54" s="15">
        <f t="shared" si="23"/>
        <v>47093.3046955932</v>
      </c>
      <c r="N54" s="15">
        <f t="shared" si="23"/>
        <v>47093.3046955932</v>
      </c>
      <c r="O54" s="15">
        <f t="shared" si="23"/>
        <v>47093.3046955932</v>
      </c>
      <c r="P54" s="15">
        <f t="shared" si="23"/>
        <v>47093.3046955932</v>
      </c>
      <c r="R54" s="52">
        <f>SUM(E54:P54)</f>
        <v>565119.65634711843</v>
      </c>
    </row>
    <row r="56" spans="1:20" ht="15" customHeight="1" x14ac:dyDescent="0.25">
      <c r="A56" t="s">
        <v>1146</v>
      </c>
      <c r="B56" s="53">
        <f t="shared" ref="B56:D56" si="25">67980*0.5/12/B33</f>
        <v>67.44047619047619</v>
      </c>
      <c r="C56" s="53">
        <f t="shared" si="25"/>
        <v>54.274004683840751</v>
      </c>
      <c r="D56" s="53">
        <f t="shared" si="25"/>
        <v>51.323736661968994</v>
      </c>
      <c r="E56" s="53">
        <f>67980*0.5/12/E33</f>
        <v>51.266968325791858</v>
      </c>
      <c r="F56" s="53">
        <f t="shared" ref="F56:P56" si="26">67980*0.5/12/F33</f>
        <v>43.409961685823752</v>
      </c>
      <c r="G56" s="53">
        <f t="shared" si="26"/>
        <v>38.668941979522181</v>
      </c>
      <c r="H56" s="53">
        <f t="shared" si="26"/>
        <v>44.085603112840467</v>
      </c>
      <c r="I56" s="53">
        <f t="shared" si="26"/>
        <v>41.2</v>
      </c>
      <c r="J56" s="53">
        <f t="shared" si="26"/>
        <v>38.668941979522181</v>
      </c>
      <c r="K56" s="53">
        <f t="shared" si="26"/>
        <v>44.085603112840467</v>
      </c>
      <c r="L56" s="53">
        <f t="shared" si="26"/>
        <v>34.437689969604861</v>
      </c>
      <c r="M56" s="53">
        <f t="shared" si="26"/>
        <v>41.2</v>
      </c>
      <c r="N56" s="53">
        <f t="shared" si="26"/>
        <v>44.085603112840467</v>
      </c>
      <c r="O56" s="53">
        <f t="shared" si="26"/>
        <v>44.085603112840467</v>
      </c>
      <c r="P56" s="53">
        <f t="shared" si="26"/>
        <v>34.437689969604861</v>
      </c>
      <c r="R56" s="7">
        <f>AVERAGE(E56:P56)</f>
        <v>41.636050530102629</v>
      </c>
      <c r="S56" s="163" t="s">
        <v>1147</v>
      </c>
    </row>
    <row r="57" spans="1:20" ht="15" customHeight="1" x14ac:dyDescent="0.25">
      <c r="A57" t="s">
        <v>1100</v>
      </c>
      <c r="E57" s="52"/>
      <c r="F57" s="52"/>
      <c r="G57" s="52"/>
      <c r="H57" s="52">
        <f>$R$57*50%/12/H33</f>
        <v>38.910505836575872</v>
      </c>
      <c r="I57" s="52">
        <f t="shared" ref="I57:P57" si="27">$R$57*50%/12/I33</f>
        <v>36.363636363636367</v>
      </c>
      <c r="J57" s="52">
        <f t="shared" si="27"/>
        <v>34.129692832764505</v>
      </c>
      <c r="K57" s="52">
        <f t="shared" si="27"/>
        <v>38.910505836575872</v>
      </c>
      <c r="L57" s="52">
        <f t="shared" si="27"/>
        <v>30.3951367781155</v>
      </c>
      <c r="M57" s="52">
        <f t="shared" si="27"/>
        <v>36.363636363636367</v>
      </c>
      <c r="N57" s="52">
        <f t="shared" si="27"/>
        <v>38.910505836575872</v>
      </c>
      <c r="O57" s="52">
        <f t="shared" si="27"/>
        <v>38.910505836575872</v>
      </c>
      <c r="P57" s="52">
        <f t="shared" si="27"/>
        <v>30.3951367781155</v>
      </c>
      <c r="Q57" s="52"/>
      <c r="R57" s="52">
        <f>60000</f>
        <v>60000</v>
      </c>
      <c r="S57" s="34" t="s">
        <v>1101</v>
      </c>
    </row>
    <row r="58" spans="1:20" ht="15" customHeight="1" x14ac:dyDescent="0.25">
      <c r="S58" s="34" t="s">
        <v>1159</v>
      </c>
    </row>
    <row r="59" spans="1:20" ht="15" customHeight="1" x14ac:dyDescent="0.25">
      <c r="A59" t="s">
        <v>1148</v>
      </c>
      <c r="R59" s="167"/>
    </row>
    <row r="61" spans="1:20" ht="15" customHeight="1" x14ac:dyDescent="0.25">
      <c r="A61" t="s">
        <v>1127</v>
      </c>
      <c r="B61" s="50">
        <f>$R$63*_xlfn.STDEV.P($E$30:$P$30)*SQRT($S$61)+B30</f>
        <v>17.743405059692204</v>
      </c>
      <c r="C61" s="50">
        <f>$R$63*_xlfn.STDEV.P($E$30:$P$30)*SQRT($S$61)+C30</f>
        <v>22.843405059692206</v>
      </c>
      <c r="D61" s="50">
        <f>$R$63*_xlfn.STDEV.P($E$30:$P$30)*SQRT($S$61)+D30</f>
        <v>22.843405059692206</v>
      </c>
      <c r="E61" s="50">
        <f t="shared" ref="E61:P61" si="28">$R$63*_xlfn.STDEV.P($E$30:$P$30)*SQRT($S$61)+E30</f>
        <v>23.493405059692204</v>
      </c>
      <c r="F61" s="50">
        <f t="shared" si="28"/>
        <v>27.335997652284799</v>
      </c>
      <c r="G61" s="50">
        <f t="shared" si="28"/>
        <v>27.335997652284799</v>
      </c>
      <c r="H61" s="50">
        <f t="shared" si="28"/>
        <v>28.953931375481677</v>
      </c>
      <c r="I61" s="50">
        <f t="shared" si="28"/>
        <v>28.953931375481677</v>
      </c>
      <c r="J61" s="50">
        <f t="shared" si="28"/>
        <v>28.953931375481677</v>
      </c>
      <c r="K61" s="50">
        <f t="shared" si="28"/>
        <v>28.953931375481677</v>
      </c>
      <c r="L61" s="50">
        <f t="shared" si="28"/>
        <v>28.953931375481677</v>
      </c>
      <c r="M61" s="50">
        <f t="shared" si="28"/>
        <v>28.953931375481677</v>
      </c>
      <c r="N61" s="50">
        <f t="shared" si="28"/>
        <v>28.953931375481677</v>
      </c>
      <c r="O61" s="50">
        <f t="shared" si="28"/>
        <v>28.953931375481677</v>
      </c>
      <c r="P61" s="50">
        <f t="shared" si="28"/>
        <v>28.953931375481677</v>
      </c>
      <c r="R61" t="s">
        <v>1149</v>
      </c>
      <c r="S61" s="34">
        <f>5/52*12</f>
        <v>1.153846153846154</v>
      </c>
      <c r="T61" s="34" t="s">
        <v>1150</v>
      </c>
    </row>
    <row r="62" spans="1:20" ht="15" customHeight="1" x14ac:dyDescent="0.25">
      <c r="A62" t="s">
        <v>1128</v>
      </c>
      <c r="B62" s="50">
        <f>$R$63*_xlfn.STDEV.P($E$32:$P$32)*SQRT($S$62)+B32</f>
        <v>26.483237858074148</v>
      </c>
      <c r="C62" s="50">
        <f>$R$63*_xlfn.STDEV.P($E$32:$P$32)*SQRT($S$62)+C32</f>
        <v>36.483237858074148</v>
      </c>
      <c r="D62" s="50">
        <f>$R$63*_xlfn.STDEV.P($E$32:$P$32)*SQRT($S$62)+D32</f>
        <v>39.483237858074148</v>
      </c>
      <c r="E62" s="50">
        <f t="shared" ref="E62:P62" si="29">$R$63*_xlfn.STDEV.P($E$32:$P$32)*SQRT($S$62)+E32</f>
        <v>35.899904524740819</v>
      </c>
      <c r="F62" s="50">
        <f t="shared" si="29"/>
        <v>42.057311932148217</v>
      </c>
      <c r="G62" s="50">
        <f t="shared" si="29"/>
        <v>50.057311932148217</v>
      </c>
      <c r="H62" s="50">
        <f t="shared" si="29"/>
        <v>39.439378208951339</v>
      </c>
      <c r="I62" s="50">
        <f t="shared" si="29"/>
        <v>43.939378208951339</v>
      </c>
      <c r="J62" s="50">
        <f t="shared" si="29"/>
        <v>48.439378208951339</v>
      </c>
      <c r="K62" s="50">
        <f t="shared" si="29"/>
        <v>39.439378208951339</v>
      </c>
      <c r="L62" s="50">
        <f t="shared" si="29"/>
        <v>57.439378208951339</v>
      </c>
      <c r="M62" s="50">
        <f t="shared" si="29"/>
        <v>43.939378208951339</v>
      </c>
      <c r="N62" s="50">
        <f t="shared" si="29"/>
        <v>39.439378208951339</v>
      </c>
      <c r="O62" s="50">
        <f t="shared" si="29"/>
        <v>39.439378208951339</v>
      </c>
      <c r="P62" s="50">
        <f t="shared" si="29"/>
        <v>57.439378208951339</v>
      </c>
      <c r="R62" t="s">
        <v>1151</v>
      </c>
      <c r="S62" s="34">
        <f>10/365*12</f>
        <v>0.32876712328767121</v>
      </c>
      <c r="T62" s="34" t="s">
        <v>1150</v>
      </c>
    </row>
    <row r="63" spans="1:20" ht="15" customHeight="1" x14ac:dyDescent="0.25">
      <c r="A63" t="s">
        <v>1055</v>
      </c>
      <c r="B63" s="118">
        <f>B61+B62</f>
        <v>44.226642917766355</v>
      </c>
      <c r="C63" s="118">
        <f>C61+C62</f>
        <v>59.32664291776635</v>
      </c>
      <c r="D63" s="118">
        <f>D61+D62</f>
        <v>62.32664291776635</v>
      </c>
      <c r="E63" s="118">
        <f t="shared" ref="E63:P63" si="30">E61+E62</f>
        <v>59.393309584433027</v>
      </c>
      <c r="F63" s="118">
        <f t="shared" si="30"/>
        <v>69.393309584433013</v>
      </c>
      <c r="G63" s="118">
        <f t="shared" si="30"/>
        <v>77.393309584433013</v>
      </c>
      <c r="H63" s="118">
        <f t="shared" si="30"/>
        <v>68.393309584433013</v>
      </c>
      <c r="I63" s="118">
        <f t="shared" si="30"/>
        <v>72.893309584433013</v>
      </c>
      <c r="J63" s="118">
        <f t="shared" si="30"/>
        <v>77.393309584433013</v>
      </c>
      <c r="K63" s="118">
        <f t="shared" si="30"/>
        <v>68.393309584433013</v>
      </c>
      <c r="L63" s="118">
        <f t="shared" si="30"/>
        <v>86.393309584433013</v>
      </c>
      <c r="M63" s="118">
        <f t="shared" si="30"/>
        <v>72.893309584433013</v>
      </c>
      <c r="N63" s="118">
        <f t="shared" si="30"/>
        <v>68.393309584433013</v>
      </c>
      <c r="O63" s="118">
        <f t="shared" si="30"/>
        <v>68.393309584433013</v>
      </c>
      <c r="P63" s="118">
        <f t="shared" si="30"/>
        <v>86.393309584433013</v>
      </c>
      <c r="R63">
        <v>1.65</v>
      </c>
      <c r="T63" s="34" t="s">
        <v>1154</v>
      </c>
    </row>
    <row r="65" spans="1:19" ht="15" customHeight="1" x14ac:dyDescent="0.25">
      <c r="A65" s="245" t="s">
        <v>1090</v>
      </c>
      <c r="B65" s="246"/>
      <c r="C65" s="246"/>
      <c r="D65" s="246"/>
      <c r="E65" s="248">
        <f>SUMIFS('[18]Summary - Selling Expenses'!Z:Z,'[18]Summary - Selling Expenses'!$E:$E,1,'[18]Summary - Selling Expenses'!$D:$D,'[18]Summary - Selling Expenses'!$D$18,'[18]Summary - Selling Expenses'!$C:$C,210)+SUMIFS('[18]Summary - Selling Expenses'!Z:Z,'[18]Summary - Selling Expenses'!$E:$E,1,'[18]Summary - Selling Expenses'!$D:$D,'[18]Summary - Selling Expenses'!$D$18,'[18]Summary - Selling Expenses'!$C:$C,220)</f>
        <v>29865.49033704149</v>
      </c>
      <c r="F65" s="248">
        <f>SUMIFS('[18]Summary - Selling Expenses'!AA:AA,'[18]Summary - Selling Expenses'!$E:$E,1,'[18]Summary - Selling Expenses'!$D:$D,'[18]Summary - Selling Expenses'!$D$18,'[18]Summary - Selling Expenses'!$C:$C,210)+SUMIFS('[18]Summary - Selling Expenses'!AA:AA,'[18]Summary - Selling Expenses'!$E:$E,1,'[18]Summary - Selling Expenses'!$D:$D,'[18]Summary - Selling Expenses'!$D$18,'[18]Summary - Selling Expenses'!$C:$C,220)</f>
        <v>30220.600337041491</v>
      </c>
      <c r="G65" s="248">
        <f>SUMIFS('[18]Summary - Selling Expenses'!AB:AB,'[18]Summary - Selling Expenses'!$E:$E,1,'[18]Summary - Selling Expenses'!$D:$D,'[18]Summary - Selling Expenses'!$D$18,'[18]Summary - Selling Expenses'!$C:$C,210)+SUMIFS('[18]Summary - Selling Expenses'!AB:AB,'[18]Summary - Selling Expenses'!$E:$E,1,'[18]Summary - Selling Expenses'!$D:$D,'[18]Summary - Selling Expenses'!$D$18,'[18]Summary - Selling Expenses'!$C:$C,220)</f>
        <v>36388.82533704149</v>
      </c>
      <c r="H65" s="248">
        <f>SUMIFS('[18]Summary - Selling Expenses'!AC:AC,'[18]Summary - Selling Expenses'!$E:$E,1,'[18]Summary - Selling Expenses'!$D:$D,'[18]Summary - Selling Expenses'!$D$18,'[18]Summary - Selling Expenses'!$C:$C,210)+SUMIFS('[18]Summary - Selling Expenses'!AC:AC,'[18]Summary - Selling Expenses'!$E:$E,1,'[18]Summary - Selling Expenses'!$D:$D,'[18]Summary - Selling Expenses'!$D$18,'[18]Summary - Selling Expenses'!$C:$C,220)</f>
        <v>29945.651915988863</v>
      </c>
      <c r="I65" s="248">
        <f>SUMIFS('[18]Summary - Selling Expenses'!AD:AD,'[18]Summary - Selling Expenses'!$E:$E,1,'[18]Summary - Selling Expenses'!$D:$D,'[18]Summary - Selling Expenses'!$D$18,'[18]Summary - Selling Expenses'!$C:$C,210)+SUMIFS('[18]Summary - Selling Expenses'!AD:AD,'[18]Summary - Selling Expenses'!$E:$E,1,'[18]Summary - Selling Expenses'!$D:$D,'[18]Summary - Selling Expenses'!$D$18,'[18]Summary - Selling Expenses'!$C:$C,220)</f>
        <v>31329.401915988863</v>
      </c>
      <c r="J65" s="248">
        <f>SUMIFS('[18]Summary - Selling Expenses'!AE:AE,'[18]Summary - Selling Expenses'!$E:$E,1,'[18]Summary - Selling Expenses'!$D:$D,'[18]Summary - Selling Expenses'!$D$18,'[18]Summary - Selling Expenses'!$C:$C,210)+SUMIFS('[18]Summary - Selling Expenses'!AE:AE,'[18]Summary - Selling Expenses'!$E:$E,1,'[18]Summary - Selling Expenses'!$D:$D,'[18]Summary - Selling Expenses'!$D$18,'[18]Summary - Selling Expenses'!$C:$C,220)</f>
        <v>32832.933330462547</v>
      </c>
      <c r="K65" s="248">
        <f>SUMIFS('[18]Summary - Selling Expenses'!AF:AF,'[18]Summary - Selling Expenses'!$E:$E,1,'[18]Summary - Selling Expenses'!$D:$D,'[18]Summary - Selling Expenses'!$D$18,'[18]Summary - Selling Expenses'!$C:$C,210)+SUMIFS('[18]Summary - Selling Expenses'!AF:AF,'[18]Summary - Selling Expenses'!$E:$E,1,'[18]Summary - Selling Expenses'!$D:$D,'[18]Summary - Selling Expenses'!$D$18,'[18]Summary - Selling Expenses'!$C:$C,220)</f>
        <v>29945.651915988863</v>
      </c>
      <c r="L65" s="248">
        <f>SUMIFS('[18]Summary - Selling Expenses'!AG:AG,'[18]Summary - Selling Expenses'!$E:$E,1,'[18]Summary - Selling Expenses'!$D:$D,'[18]Summary - Selling Expenses'!$D$18,'[18]Summary - Selling Expenses'!$C:$C,210)+SUMIFS('[18]Summary - Selling Expenses'!AG:AG,'[18]Summary - Selling Expenses'!$E:$E,1,'[18]Summary - Selling Expenses'!$D:$D,'[18]Summary - Selling Expenses'!$D$18,'[18]Summary - Selling Expenses'!$C:$C,220)</f>
        <v>39530.651915988863</v>
      </c>
      <c r="M65" s="248">
        <f>SUMIFS('[18]Summary - Selling Expenses'!AH:AH,'[18]Summary - Selling Expenses'!$E:$E,1,'[18]Summary - Selling Expenses'!$D:$D,'[18]Summary - Selling Expenses'!$D$18,'[18]Summary - Selling Expenses'!$C:$C,210)+SUMIFS('[18]Summary - Selling Expenses'!AH:AH,'[18]Summary - Selling Expenses'!$E:$E,1,'[18]Summary - Selling Expenses'!$D:$D,'[18]Summary - Selling Expenses'!$D$18,'[18]Summary - Selling Expenses'!$C:$C,220)</f>
        <v>31445.945994936228</v>
      </c>
      <c r="N65" s="248">
        <f>SUMIFS('[18]Summary - Selling Expenses'!AI:AI,'[18]Summary - Selling Expenses'!$E:$E,1,'[18]Summary - Selling Expenses'!$D:$D,'[18]Summary - Selling Expenses'!$D$18,'[18]Summary - Selling Expenses'!$C:$C,210)+SUMIFS('[18]Summary - Selling Expenses'!AI:AI,'[18]Summary - Selling Expenses'!$E:$E,1,'[18]Summary - Selling Expenses'!$D:$D,'[18]Summary - Selling Expenses'!$D$18,'[18]Summary - Selling Expenses'!$C:$C,220)</f>
        <v>29945.651915988863</v>
      </c>
      <c r="O65" s="248">
        <f>SUMIFS('[18]Summary - Selling Expenses'!AJ:AJ,'[18]Summary - Selling Expenses'!$E:$E,1,'[18]Summary - Selling Expenses'!$D:$D,'[18]Summary - Selling Expenses'!$D$18,'[18]Summary - Selling Expenses'!$C:$C,210)+SUMIFS('[18]Summary - Selling Expenses'!AJ:AJ,'[18]Summary - Selling Expenses'!$E:$E,1,'[18]Summary - Selling Expenses'!$D:$D,'[18]Summary - Selling Expenses'!$D$18,'[18]Summary - Selling Expenses'!$C:$C,220)</f>
        <v>29945.651915988863</v>
      </c>
      <c r="P65" s="248">
        <f>SUMIFS('[18]Summary - Selling Expenses'!AK:AK,'[18]Summary - Selling Expenses'!$E:$E,1,'[18]Summary - Selling Expenses'!$D:$D,'[18]Summary - Selling Expenses'!$D$18,'[18]Summary - Selling Expenses'!$C:$C,210)+SUMIFS('[18]Summary - Selling Expenses'!AK:AK,'[18]Summary - Selling Expenses'!$E:$E,1,'[18]Summary - Selling Expenses'!$D:$D,'[18]Summary - Selling Expenses'!$D$18,'[18]Summary - Selling Expenses'!$C:$C,220)</f>
        <v>39645.03777125202</v>
      </c>
      <c r="Q65" s="248"/>
      <c r="R65" s="253">
        <f>SUM(E65:P65)</f>
        <v>391041.4946037085</v>
      </c>
    </row>
    <row r="66" spans="1:19" ht="15" customHeight="1" x14ac:dyDescent="0.25">
      <c r="A66" s="106" t="s">
        <v>1091</v>
      </c>
      <c r="E66" s="7">
        <f>SUMIFS('[18]Summary - Selling Expenses'!Z:Z,'[18]Summary - Selling Expenses'!$E:$E,2,'[18]Summary - Selling Expenses'!$D:$D,'[18]Summary - Selling Expenses'!$D$18,'[18]Summary - Selling Expenses'!$C:$C,210)+SUMIFS('[18]Summary - Selling Expenses'!Z:Z,'[18]Summary - Selling Expenses'!$E:$E,2,'[18]Summary - Selling Expenses'!$D:$D,'[18]Summary - Selling Expenses'!$D$18,'[18]Summary - Selling Expenses'!$C:$C,220)</f>
        <v>47093.3046955932</v>
      </c>
      <c r="F66" s="7">
        <f>SUMIFS('[18]Summary - Selling Expenses'!AA:AA,'[18]Summary - Selling Expenses'!$E:$E,2,'[18]Summary - Selling Expenses'!$D:$D,'[18]Summary - Selling Expenses'!$D$18,'[18]Summary - Selling Expenses'!$C:$C,210)+SUMIFS('[18]Summary - Selling Expenses'!AA:AA,'[18]Summary - Selling Expenses'!$E:$E,2,'[18]Summary - Selling Expenses'!$D:$D,'[18]Summary - Selling Expenses'!$D$18,'[18]Summary - Selling Expenses'!$C:$C,220)</f>
        <v>47093.3046955932</v>
      </c>
      <c r="G66" s="7">
        <f>SUMIFS('[18]Summary - Selling Expenses'!AB:AB,'[18]Summary - Selling Expenses'!$E:$E,2,'[18]Summary - Selling Expenses'!$D:$D,'[18]Summary - Selling Expenses'!$D$18,'[18]Summary - Selling Expenses'!$C:$C,210)+SUMIFS('[18]Summary - Selling Expenses'!AB:AB,'[18]Summary - Selling Expenses'!$E:$E,2,'[18]Summary - Selling Expenses'!$D:$D,'[18]Summary - Selling Expenses'!$D$18,'[18]Summary - Selling Expenses'!$C:$C,220)</f>
        <v>47093.3046955932</v>
      </c>
      <c r="H66" s="7">
        <f>SUMIFS('[18]Summary - Selling Expenses'!AC:AC,'[18]Summary - Selling Expenses'!$E:$E,2,'[18]Summary - Selling Expenses'!$D:$D,'[18]Summary - Selling Expenses'!$D$18,'[18]Summary - Selling Expenses'!$C:$C,210)+SUMIFS('[18]Summary - Selling Expenses'!AC:AC,'[18]Summary - Selling Expenses'!$E:$E,2,'[18]Summary - Selling Expenses'!$D:$D,'[18]Summary - Selling Expenses'!$D$18,'[18]Summary - Selling Expenses'!$C:$C,220)</f>
        <v>47093.3046955932</v>
      </c>
      <c r="I66" s="7">
        <f>SUMIFS('[18]Summary - Selling Expenses'!AD:AD,'[18]Summary - Selling Expenses'!$E:$E,2,'[18]Summary - Selling Expenses'!$D:$D,'[18]Summary - Selling Expenses'!$D$18,'[18]Summary - Selling Expenses'!$C:$C,210)+SUMIFS('[18]Summary - Selling Expenses'!AD:AD,'[18]Summary - Selling Expenses'!$E:$E,2,'[18]Summary - Selling Expenses'!$D:$D,'[18]Summary - Selling Expenses'!$D$18,'[18]Summary - Selling Expenses'!$C:$C,220)</f>
        <v>47093.3046955932</v>
      </c>
      <c r="J66" s="7">
        <f>SUMIFS('[18]Summary - Selling Expenses'!AE:AE,'[18]Summary - Selling Expenses'!$E:$E,2,'[18]Summary - Selling Expenses'!$D:$D,'[18]Summary - Selling Expenses'!$D$18,'[18]Summary - Selling Expenses'!$C:$C,210)+SUMIFS('[18]Summary - Selling Expenses'!AE:AE,'[18]Summary - Selling Expenses'!$E:$E,2,'[18]Summary - Selling Expenses'!$D:$D,'[18]Summary - Selling Expenses'!$D$18,'[18]Summary - Selling Expenses'!$C:$C,220)</f>
        <v>47093.3046955932</v>
      </c>
      <c r="K66" s="7">
        <f>SUMIFS('[18]Summary - Selling Expenses'!AF:AF,'[18]Summary - Selling Expenses'!$E:$E,2,'[18]Summary - Selling Expenses'!$D:$D,'[18]Summary - Selling Expenses'!$D$18,'[18]Summary - Selling Expenses'!$C:$C,210)+SUMIFS('[18]Summary - Selling Expenses'!AF:AF,'[18]Summary - Selling Expenses'!$E:$E,2,'[18]Summary - Selling Expenses'!$D:$D,'[18]Summary - Selling Expenses'!$D$18,'[18]Summary - Selling Expenses'!$C:$C,220)</f>
        <v>47093.3046955932</v>
      </c>
      <c r="L66" s="7">
        <f>SUMIFS('[18]Summary - Selling Expenses'!AG:AG,'[18]Summary - Selling Expenses'!$E:$E,2,'[18]Summary - Selling Expenses'!$D:$D,'[18]Summary - Selling Expenses'!$D$18,'[18]Summary - Selling Expenses'!$C:$C,210)+SUMIFS('[18]Summary - Selling Expenses'!AG:AG,'[18]Summary - Selling Expenses'!$E:$E,2,'[18]Summary - Selling Expenses'!$D:$D,'[18]Summary - Selling Expenses'!$D$18,'[18]Summary - Selling Expenses'!$C:$C,220)</f>
        <v>47093.3046955932</v>
      </c>
      <c r="M66" s="7">
        <f>SUMIFS('[18]Summary - Selling Expenses'!AH:AH,'[18]Summary - Selling Expenses'!$E:$E,2,'[18]Summary - Selling Expenses'!$D:$D,'[18]Summary - Selling Expenses'!$D$18,'[18]Summary - Selling Expenses'!$C:$C,210)+SUMIFS('[18]Summary - Selling Expenses'!AH:AH,'[18]Summary - Selling Expenses'!$E:$E,2,'[18]Summary - Selling Expenses'!$D:$D,'[18]Summary - Selling Expenses'!$D$18,'[18]Summary - Selling Expenses'!$C:$C,220)</f>
        <v>47093.3046955932</v>
      </c>
      <c r="N66" s="7">
        <f>SUMIFS('[18]Summary - Selling Expenses'!AI:AI,'[18]Summary - Selling Expenses'!$E:$E,2,'[18]Summary - Selling Expenses'!$D:$D,'[18]Summary - Selling Expenses'!$D$18,'[18]Summary - Selling Expenses'!$C:$C,210)+SUMIFS('[18]Summary - Selling Expenses'!AI:AI,'[18]Summary - Selling Expenses'!$E:$E,2,'[18]Summary - Selling Expenses'!$D:$D,'[18]Summary - Selling Expenses'!$D$18,'[18]Summary - Selling Expenses'!$C:$C,220)</f>
        <v>47093.3046955932</v>
      </c>
      <c r="O66" s="7">
        <f>SUMIFS('[18]Summary - Selling Expenses'!AJ:AJ,'[18]Summary - Selling Expenses'!$E:$E,2,'[18]Summary - Selling Expenses'!$D:$D,'[18]Summary - Selling Expenses'!$D$18,'[18]Summary - Selling Expenses'!$C:$C,210)+SUMIFS('[18]Summary - Selling Expenses'!AJ:AJ,'[18]Summary - Selling Expenses'!$E:$E,2,'[18]Summary - Selling Expenses'!$D:$D,'[18]Summary - Selling Expenses'!$D$18,'[18]Summary - Selling Expenses'!$C:$C,220)</f>
        <v>47093.3046955932</v>
      </c>
      <c r="P66" s="7">
        <f>SUMIFS('[18]Summary - Selling Expenses'!AK:AK,'[18]Summary - Selling Expenses'!$E:$E,2,'[18]Summary - Selling Expenses'!$D:$D,'[18]Summary - Selling Expenses'!$D$18,'[18]Summary - Selling Expenses'!$C:$C,210)+SUMIFS('[18]Summary - Selling Expenses'!AK:AK,'[18]Summary - Selling Expenses'!$E:$E,2,'[18]Summary - Selling Expenses'!$D:$D,'[18]Summary - Selling Expenses'!$D$18,'[18]Summary - Selling Expenses'!$C:$C,220)</f>
        <v>47093.3046955932</v>
      </c>
      <c r="Q66" s="7"/>
      <c r="R66" s="254">
        <f t="shared" ref="R66:R67" si="31">SUM(E66:P66)</f>
        <v>565119.65634711843</v>
      </c>
    </row>
    <row r="67" spans="1:19" ht="15" customHeight="1" x14ac:dyDescent="0.25">
      <c r="A67" s="106" t="s">
        <v>1092</v>
      </c>
      <c r="E67" s="7">
        <f>E65+E66</f>
        <v>76958.795032634691</v>
      </c>
      <c r="F67" s="7">
        <f t="shared" ref="F67:P67" si="32">F65+F66</f>
        <v>77313.905032634691</v>
      </c>
      <c r="G67" s="7">
        <f t="shared" si="32"/>
        <v>83482.130032634683</v>
      </c>
      <c r="H67" s="7">
        <f t="shared" si="32"/>
        <v>77038.956611582063</v>
      </c>
      <c r="I67" s="7">
        <f t="shared" si="32"/>
        <v>78422.706611582063</v>
      </c>
      <c r="J67" s="7">
        <f t="shared" si="32"/>
        <v>79926.23802605574</v>
      </c>
      <c r="K67" s="7">
        <f t="shared" si="32"/>
        <v>77038.956611582063</v>
      </c>
      <c r="L67" s="7">
        <f t="shared" si="32"/>
        <v>86623.956611582063</v>
      </c>
      <c r="M67" s="7">
        <f t="shared" si="32"/>
        <v>78539.250690529429</v>
      </c>
      <c r="N67" s="7">
        <f t="shared" si="32"/>
        <v>77038.956611582063</v>
      </c>
      <c r="O67" s="7">
        <f t="shared" si="32"/>
        <v>77038.956611582063</v>
      </c>
      <c r="P67" s="7">
        <f t="shared" si="32"/>
        <v>86738.342466845221</v>
      </c>
      <c r="Q67" s="7"/>
      <c r="R67" s="254">
        <f t="shared" si="31"/>
        <v>956161.15095082682</v>
      </c>
    </row>
    <row r="68" spans="1:19" ht="15" customHeight="1" thickBot="1" x14ac:dyDescent="0.3">
      <c r="A68" s="250"/>
      <c r="B68" s="251"/>
      <c r="C68" s="251"/>
      <c r="D68" s="251"/>
      <c r="E68" s="252"/>
      <c r="F68" s="252"/>
      <c r="G68" s="252"/>
      <c r="H68" s="252"/>
      <c r="I68" s="252"/>
      <c r="J68" s="252"/>
      <c r="K68" s="252"/>
      <c r="L68" s="252"/>
      <c r="M68" s="252"/>
      <c r="N68" s="252"/>
      <c r="O68" s="252"/>
      <c r="P68" s="252"/>
      <c r="Q68" s="252"/>
      <c r="R68" s="255">
        <f>SUMIFS('[18]Summary - Selling Expenses'!$AL:$AL,'[18]Summary - Selling Expenses'!$C:$C,210,'[18]Summary - Selling Expenses'!$D:$D,'[18]Summary - Selling Expenses'!$D$18)+SUMIFS('[18]Summary - Selling Expenses'!$AL:$AL,'[18]Summary - Selling Expenses'!$C:$C,220,'[18]Summary - Selling Expenses'!$D:$D,'[18]Summary - Selling Expenses'!$D$18)-R67</f>
        <v>0</v>
      </c>
      <c r="S68" s="34" t="s">
        <v>1093</v>
      </c>
    </row>
    <row r="69" spans="1:19" ht="15" customHeight="1" x14ac:dyDescent="0.25">
      <c r="M69" s="43"/>
      <c r="N69" s="43"/>
      <c r="O69" s="43"/>
      <c r="P69" s="43"/>
      <c r="R69" s="118"/>
    </row>
    <row r="70" spans="1:19" ht="15" customHeight="1" x14ac:dyDescent="0.25">
      <c r="A70" s="279" t="s">
        <v>1330</v>
      </c>
      <c r="E70" s="7">
        <v>61966.666666666672</v>
      </c>
      <c r="F70" s="7">
        <v>78945.370370370365</v>
      </c>
      <c r="G70" s="7">
        <v>101577.77777777777</v>
      </c>
      <c r="H70" s="7">
        <v>79265.350877192992</v>
      </c>
      <c r="I70" s="7">
        <v>90515.350877192977</v>
      </c>
      <c r="J70" s="7">
        <v>101765.35087719298</v>
      </c>
      <c r="K70" s="7">
        <v>79265.350877192992</v>
      </c>
      <c r="L70" s="7">
        <v>124265.35087719298</v>
      </c>
      <c r="M70" s="7">
        <v>90515.350877192977</v>
      </c>
      <c r="N70" s="7">
        <v>79265.350877192992</v>
      </c>
      <c r="O70" s="7">
        <v>79265.350877192992</v>
      </c>
      <c r="P70" s="7">
        <v>124265.35087719298</v>
      </c>
    </row>
    <row r="71" spans="1:19" ht="15" customHeight="1" x14ac:dyDescent="0.25">
      <c r="A71" s="279" t="s">
        <v>1342</v>
      </c>
      <c r="E71" s="7">
        <f>1.25*2500</f>
        <v>3125</v>
      </c>
      <c r="F71" s="7">
        <f t="shared" ref="F71:P71" si="33">1.25*2500</f>
        <v>3125</v>
      </c>
      <c r="G71" s="7">
        <f t="shared" si="33"/>
        <v>3125</v>
      </c>
      <c r="H71" s="7">
        <f t="shared" si="33"/>
        <v>3125</v>
      </c>
      <c r="I71" s="7">
        <f t="shared" si="33"/>
        <v>3125</v>
      </c>
      <c r="J71" s="7">
        <f t="shared" si="33"/>
        <v>3125</v>
      </c>
      <c r="K71" s="7">
        <f t="shared" si="33"/>
        <v>3125</v>
      </c>
      <c r="L71" s="7">
        <f t="shared" si="33"/>
        <v>3125</v>
      </c>
      <c r="M71" s="7">
        <f t="shared" si="33"/>
        <v>3125</v>
      </c>
      <c r="N71" s="7">
        <f t="shared" si="33"/>
        <v>3125</v>
      </c>
      <c r="O71" s="7">
        <f t="shared" si="33"/>
        <v>3125</v>
      </c>
      <c r="P71" s="7">
        <f t="shared" si="33"/>
        <v>3125</v>
      </c>
    </row>
    <row r="72" spans="1:19" ht="15" customHeight="1" x14ac:dyDescent="0.25">
      <c r="A72" s="279" t="s">
        <v>1331</v>
      </c>
      <c r="E72" s="7">
        <f>E70+E71</f>
        <v>65091.666666666672</v>
      </c>
      <c r="F72" s="7">
        <f t="shared" ref="F72:P72" si="34">F70+F71</f>
        <v>82070.370370370365</v>
      </c>
      <c r="G72" s="7">
        <f t="shared" si="34"/>
        <v>104702.77777777777</v>
      </c>
      <c r="H72" s="7">
        <f t="shared" si="34"/>
        <v>82390.350877192992</v>
      </c>
      <c r="I72" s="7">
        <f t="shared" si="34"/>
        <v>93640.350877192977</v>
      </c>
      <c r="J72" s="7">
        <f t="shared" si="34"/>
        <v>104890.35087719298</v>
      </c>
      <c r="K72" s="7">
        <f t="shared" si="34"/>
        <v>82390.350877192992</v>
      </c>
      <c r="L72" s="7">
        <f t="shared" si="34"/>
        <v>127390.35087719298</v>
      </c>
      <c r="M72" s="7">
        <f t="shared" si="34"/>
        <v>93640.350877192977</v>
      </c>
      <c r="N72" s="7">
        <f t="shared" si="34"/>
        <v>82390.350877192992</v>
      </c>
      <c r="O72" s="7">
        <f t="shared" si="34"/>
        <v>82390.350877192992</v>
      </c>
      <c r="P72" s="7">
        <f t="shared" si="34"/>
        <v>127390.35087719298</v>
      </c>
    </row>
  </sheetData>
  <pageMargins left="0.7" right="0.7" top="0.75" bottom="0.75" header="0.3" footer="0.3"/>
  <pageSetup paperSize="9" scale="43" fitToHeight="0"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76DE8-622F-42A2-B1DB-B5211DC224C1}">
  <sheetPr codeName="Sheet11">
    <tabColor theme="9" tint="0.79998168889431442"/>
  </sheetPr>
  <dimension ref="A1:V75"/>
  <sheetViews>
    <sheetView zoomScale="85" zoomScaleNormal="85" workbookViewId="0">
      <selection activeCell="U15" sqref="U15"/>
    </sheetView>
  </sheetViews>
  <sheetFormatPr defaultRowHeight="15" x14ac:dyDescent="0.25"/>
  <cols>
    <col min="1" max="1" width="26.85546875" bestFit="1" customWidth="1"/>
    <col min="2" max="4" width="10.7109375" hidden="1" customWidth="1"/>
    <col min="5" max="16" width="10.7109375" customWidth="1"/>
    <col min="17" max="17" width="2.85546875" customWidth="1"/>
    <col min="18" max="18" width="10.7109375" customWidth="1"/>
    <col min="19" max="19" width="12.140625" bestFit="1" customWidth="1"/>
  </cols>
  <sheetData>
    <row r="1" spans="1:22" ht="15.75" x14ac:dyDescent="0.25">
      <c r="A1" s="11" t="s">
        <v>1160</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2" x14ac:dyDescent="0.25">
      <c r="A3" s="4"/>
      <c r="B3" s="5"/>
      <c r="C3" s="5"/>
      <c r="D3" s="5"/>
      <c r="E3" s="5"/>
      <c r="F3" s="5"/>
      <c r="G3" s="5"/>
      <c r="H3" s="5"/>
      <c r="I3" s="5"/>
      <c r="J3" s="5"/>
      <c r="K3" s="5"/>
      <c r="L3" s="5"/>
      <c r="M3" s="5"/>
      <c r="N3" s="5"/>
      <c r="O3" s="5"/>
      <c r="P3" s="5"/>
      <c r="R3" s="5"/>
    </row>
    <row r="4" spans="1:22" x14ac:dyDescent="0.25">
      <c r="A4" s="47" t="s">
        <v>1161</v>
      </c>
      <c r="B4" s="1">
        <f>'Used Vehicles - Group'!B7+'New Vehicles - Group'!B4</f>
        <v>231</v>
      </c>
      <c r="C4" s="1">
        <f>'Used Vehicles - Group'!C7+'New Vehicles - Group'!C4</f>
        <v>195</v>
      </c>
      <c r="D4" s="1">
        <f>'Used Vehicles - Group'!D7+'New Vehicles - Group'!D4</f>
        <v>293</v>
      </c>
      <c r="E4" s="1">
        <f>'Used Vehicles - Group'!E7+'New Vehicles - Group'!E4</f>
        <v>248</v>
      </c>
      <c r="F4" s="1">
        <f>'Used Vehicles - Group'!F7+'New Vehicles - Group'!F4</f>
        <v>269</v>
      </c>
      <c r="G4" s="1">
        <f>'Used Vehicles - Group'!G7+'New Vehicles - Group'!G4</f>
        <v>364</v>
      </c>
      <c r="H4" s="1">
        <f>'Used Vehicles - Group'!H7+'New Vehicles - Group'!H4</f>
        <v>140</v>
      </c>
      <c r="I4" s="1">
        <f>'Used Vehicles - Group'!I7+'New Vehicles - Group'!I4</f>
        <v>237</v>
      </c>
      <c r="J4" s="1">
        <f>'Used Vehicles - Group'!J7+'New Vehicles - Group'!J4</f>
        <v>253</v>
      </c>
      <c r="K4" s="1">
        <f>'Used Vehicles - Group'!K7+'New Vehicles - Group'!K4</f>
        <v>204</v>
      </c>
      <c r="L4" s="1">
        <f>'Used Vehicles - Group'!L7+'New Vehicles - Group'!L4</f>
        <v>277</v>
      </c>
      <c r="M4" s="1">
        <f>'Used Vehicles - Group'!M7+'New Vehicles - Group'!M4</f>
        <v>222</v>
      </c>
      <c r="N4" s="1">
        <f>'Used Vehicles - Group'!N7+'New Vehicles - Group'!N4</f>
        <v>243</v>
      </c>
      <c r="O4" s="1">
        <f>'Used Vehicles - Group'!O7+'New Vehicles - Group'!O4</f>
        <v>211</v>
      </c>
      <c r="P4" s="1">
        <f>'Used Vehicles - Group'!P7+'New Vehicles - Group'!P4</f>
        <v>229</v>
      </c>
      <c r="Q4" s="8"/>
      <c r="R4" s="1">
        <f>SUM(E4:P4)</f>
        <v>2897</v>
      </c>
    </row>
    <row r="5" spans="1:22" x14ac:dyDescent="0.25">
      <c r="A5" s="47"/>
      <c r="B5" s="6"/>
      <c r="C5" s="6"/>
      <c r="D5" s="6"/>
      <c r="E5" s="6"/>
      <c r="F5" s="6"/>
      <c r="G5" s="6"/>
      <c r="H5" s="6"/>
      <c r="I5" s="6"/>
      <c r="J5" s="6"/>
      <c r="K5" s="6"/>
      <c r="L5" s="6"/>
      <c r="M5" s="6"/>
      <c r="N5" s="6"/>
      <c r="O5" s="6"/>
      <c r="P5" s="6"/>
      <c r="Q5" s="316"/>
      <c r="R5" s="316"/>
    </row>
    <row r="6" spans="1:22" x14ac:dyDescent="0.25">
      <c r="A6" s="47" t="s">
        <v>1162</v>
      </c>
      <c r="B6" s="64">
        <f>B8-B7</f>
        <v>537.6344588744588</v>
      </c>
      <c r="C6" s="64">
        <f t="shared" ref="C6:D6" si="0">C8-C7</f>
        <v>522.11302564102573</v>
      </c>
      <c r="D6" s="64">
        <f t="shared" si="0"/>
        <v>617.34525597269624</v>
      </c>
      <c r="E6" s="64">
        <f>('F&amp;I - NS '!E15+'F&amp;I - NW'!E15)/E4</f>
        <v>604.8647580645162</v>
      </c>
      <c r="F6" s="64">
        <f>('F&amp;I - NS '!F15+'F&amp;I - NW'!F15)/F4</f>
        <v>625.05215613382893</v>
      </c>
      <c r="G6" s="64">
        <f>('F&amp;I - NS '!G15+'F&amp;I - NW'!G15)/G4</f>
        <v>498.99857142857138</v>
      </c>
      <c r="H6" s="64">
        <f>('F&amp;I - NS '!H15+'F&amp;I - NW'!H15)/H4</f>
        <v>614.68371428571425</v>
      </c>
      <c r="I6" s="64">
        <f>('F&amp;I - NS '!I15+'F&amp;I - NW'!I15)/I4</f>
        <v>531.73497890295357</v>
      </c>
      <c r="J6" s="64">
        <f>('F&amp;I - NS '!J15+'F&amp;I - NW'!J15)/J4</f>
        <v>636.38027667984181</v>
      </c>
      <c r="K6" s="64">
        <f>('F&amp;I - NS '!K15+'F&amp;I - NW'!K15)/K4</f>
        <v>680.26053921568621</v>
      </c>
      <c r="L6" s="64">
        <f>('F&amp;I - NS '!L15+'F&amp;I - NW'!L15)/L4</f>
        <v>621.31740072202172</v>
      </c>
      <c r="M6" s="64">
        <f>('F&amp;I - NS '!M15+'F&amp;I - NW'!M15)/M4</f>
        <v>582.68941441441439</v>
      </c>
      <c r="N6" s="64">
        <f>('F&amp;I - NS '!N15+'F&amp;I - NW'!N15)/N4</f>
        <v>623.84308641975304</v>
      </c>
      <c r="O6" s="64">
        <f>('F&amp;I - NS '!O15+'F&amp;I - NW'!O15)/O4</f>
        <v>705.76170616113745</v>
      </c>
      <c r="P6" s="64">
        <f>('F&amp;I - NS '!$P$4*'F&amp;I - NS '!P6+'F&amp;I - NW'!P6*'F&amp;I - NW'!$P$4)/$P$4</f>
        <v>329.21240174672494</v>
      </c>
      <c r="Q6" s="3"/>
      <c r="R6" s="64">
        <f>AVERAGE(E6:P6)</f>
        <v>587.89991701459689</v>
      </c>
    </row>
    <row r="7" spans="1:22" s="7" customFormat="1" x14ac:dyDescent="0.25">
      <c r="A7" s="7" t="s">
        <v>1070</v>
      </c>
      <c r="B7" s="65">
        <f>'[3]F&amp;I GROUP'!$B$11</f>
        <v>39.817359307359304</v>
      </c>
      <c r="C7" s="65">
        <f>'[4]F&amp;I GROUP'!$B$11</f>
        <v>122.13410256410258</v>
      </c>
      <c r="D7" s="65">
        <f>'[5]F&amp;I GROUP'!$B$11</f>
        <v>516.90488054607511</v>
      </c>
      <c r="E7" s="65">
        <f>E8-E6</f>
        <v>0</v>
      </c>
      <c r="F7" s="65">
        <f t="shared" ref="F7:P7" si="1">F8-F6</f>
        <v>0</v>
      </c>
      <c r="G7" s="65">
        <f t="shared" si="1"/>
        <v>652.3580494505494</v>
      </c>
      <c r="H7" s="65">
        <f t="shared" si="1"/>
        <v>0</v>
      </c>
      <c r="I7" s="65">
        <f t="shared" si="1"/>
        <v>0</v>
      </c>
      <c r="J7" s="65">
        <f t="shared" si="1"/>
        <v>443.18181818181813</v>
      </c>
      <c r="K7" s="65">
        <f t="shared" si="1"/>
        <v>0</v>
      </c>
      <c r="L7" s="65">
        <f t="shared" si="1"/>
        <v>0</v>
      </c>
      <c r="M7" s="65">
        <f t="shared" si="1"/>
        <v>486.48648648648646</v>
      </c>
      <c r="N7" s="65">
        <f t="shared" si="1"/>
        <v>0</v>
      </c>
      <c r="O7" s="65">
        <f t="shared" si="1"/>
        <v>0</v>
      </c>
      <c r="P7" s="65">
        <f t="shared" si="1"/>
        <v>535.48034934497821</v>
      </c>
      <c r="Q7" s="3"/>
      <c r="R7" s="64">
        <f>AVERAGE(E7:P7)</f>
        <v>176.45889195531936</v>
      </c>
      <c r="S7" s="6"/>
      <c r="T7" s="3"/>
      <c r="U7" s="6"/>
      <c r="V7" s="6"/>
    </row>
    <row r="8" spans="1:22" s="7" customFormat="1" x14ac:dyDescent="0.25">
      <c r="A8" s="7" t="s">
        <v>1163</v>
      </c>
      <c r="B8" s="65">
        <f>'[3]F&amp;I GROUP'!$B$13</f>
        <v>577.45181818181811</v>
      </c>
      <c r="C8" s="65">
        <f>'[4]F&amp;I GROUP'!$B$13</f>
        <v>644.24712820512832</v>
      </c>
      <c r="D8" s="65">
        <f>'[5]F&amp;I GROUP'!$B$13</f>
        <v>1134.2501365187713</v>
      </c>
      <c r="E8" s="65">
        <f>('F&amp;I - NS '!E12+'F&amp;I - NW'!E12)/E4</f>
        <v>604.8647580645162</v>
      </c>
      <c r="F8" s="65">
        <f>('F&amp;I - NS '!F12+'F&amp;I - NW'!F12)/F4</f>
        <v>625.05215613382893</v>
      </c>
      <c r="G8" s="65">
        <f>('F&amp;I - NS '!G12+'F&amp;I - NW'!G12)/G4</f>
        <v>1151.3566208791208</v>
      </c>
      <c r="H8" s="65">
        <f>('F&amp;I - NS '!H12+'F&amp;I - NW'!H12)/H4</f>
        <v>614.68371428571425</v>
      </c>
      <c r="I8" s="65">
        <f>('F&amp;I - NS '!I12+'F&amp;I - NW'!I12)/I4</f>
        <v>531.73497890295357</v>
      </c>
      <c r="J8" s="65">
        <f>('F&amp;I - NS '!J12+'F&amp;I - NW'!J12)/J4</f>
        <v>1079.5620948616599</v>
      </c>
      <c r="K8" s="65">
        <f>('F&amp;I - NS '!K12+'F&amp;I - NW'!K12)/K4</f>
        <v>680.26053921568621</v>
      </c>
      <c r="L8" s="65">
        <f>('F&amp;I - NS '!L12+'F&amp;I - NW'!L12)/L4</f>
        <v>621.31740072202172</v>
      </c>
      <c r="M8" s="65">
        <f>('F&amp;I - NS '!M12+'F&amp;I - NW'!M12)/M4</f>
        <v>1069.1759009009008</v>
      </c>
      <c r="N8" s="65">
        <f>('F&amp;I - NS '!N12+'F&amp;I - NW'!N12)/N4</f>
        <v>623.84308641975304</v>
      </c>
      <c r="O8" s="65">
        <f>('F&amp;I - NS '!O12+'F&amp;I - NW'!O12)/O4</f>
        <v>705.76170616113745</v>
      </c>
      <c r="P8" s="64">
        <f>('F&amp;I - NS '!$P$4*'F&amp;I - NS '!P8+'F&amp;I - NW'!P8*'F&amp;I - NW'!$P$4)/$P$4</f>
        <v>864.69275109170314</v>
      </c>
      <c r="Q8" s="3"/>
      <c r="R8" s="6">
        <f>AVERAGE(E8:P8)</f>
        <v>764.35880896991648</v>
      </c>
      <c r="S8" s="6"/>
      <c r="T8" s="3"/>
      <c r="U8" s="6"/>
      <c r="V8" s="6"/>
    </row>
    <row r="9" spans="1:22" x14ac:dyDescent="0.25">
      <c r="A9" s="47" t="s">
        <v>1164</v>
      </c>
      <c r="B9" s="64">
        <f>'[3]F&amp;I GROUP'!$B$17</f>
        <v>240.64073593073593</v>
      </c>
      <c r="C9" s="64">
        <f>'[4]F&amp;I GROUP'!$B$17</f>
        <v>253.09897435897435</v>
      </c>
      <c r="D9" s="64">
        <f>'[5]F&amp;I GROUP'!$B$17</f>
        <v>241.02006825938565</v>
      </c>
      <c r="E9" s="64">
        <f>'[6]F&amp;I GROUP'!$B$17</f>
        <v>251.57177419354838</v>
      </c>
      <c r="F9" s="64">
        <f>'[7]F&amp;I GROUP'!$B$17</f>
        <v>273.73464684014868</v>
      </c>
      <c r="G9" s="64">
        <f>'[8]F&amp;I GROUP'!$B$17</f>
        <v>213.06148351648355</v>
      </c>
      <c r="H9" s="64">
        <f>'[9]F&amp;I GROUP'!$B$17</f>
        <v>448.7487857142857</v>
      </c>
      <c r="I9" s="64">
        <f>'[10]F&amp;I GROUP'!$B$17</f>
        <v>283.17561181434598</v>
      </c>
      <c r="J9" s="64">
        <f>'[11]F&amp;I GROUP'!$B$17</f>
        <v>249.80553359683796</v>
      </c>
      <c r="K9" s="64">
        <f>'[12]F&amp;I GROUP'!$B$17</f>
        <v>339.09635922330096</v>
      </c>
      <c r="L9" s="64">
        <f>'[13]F&amp;I GROUP'!$B$17</f>
        <v>291.35161870503595</v>
      </c>
      <c r="M9" s="64">
        <f>'[14]F&amp;I GROUP'!$B$17</f>
        <v>272.17851351351351</v>
      </c>
      <c r="N9" s="64">
        <f>'[15]F&amp;I GROUP'!$B$17</f>
        <v>284.38823045267486</v>
      </c>
      <c r="O9" s="64">
        <f>'[16]F&amp;I GROUP'!$B$17</f>
        <v>257.2810426540284</v>
      </c>
      <c r="P9" s="64">
        <f>'[17]F&amp;I GROUP'!$B$17</f>
        <v>282.48165217391306</v>
      </c>
      <c r="Q9" s="3"/>
      <c r="R9" s="6">
        <f>AVERAGE(E9:P9)</f>
        <v>287.2396043665097</v>
      </c>
    </row>
    <row r="10" spans="1:22" x14ac:dyDescent="0.25">
      <c r="A10" s="47" t="s">
        <v>1074</v>
      </c>
      <c r="B10" s="64">
        <f>B8-B9</f>
        <v>336.81108225108221</v>
      </c>
      <c r="C10" s="64">
        <f t="shared" ref="C10:M10" si="2">C8-C9</f>
        <v>391.14815384615395</v>
      </c>
      <c r="D10" s="64">
        <f t="shared" si="2"/>
        <v>893.23006825938569</v>
      </c>
      <c r="E10" s="64">
        <f t="shared" si="2"/>
        <v>353.29298387096782</v>
      </c>
      <c r="F10" s="64">
        <f t="shared" si="2"/>
        <v>351.31750929368025</v>
      </c>
      <c r="G10" s="64">
        <f t="shared" si="2"/>
        <v>938.29513736263721</v>
      </c>
      <c r="H10" s="64">
        <f t="shared" si="2"/>
        <v>165.93492857142854</v>
      </c>
      <c r="I10" s="64">
        <f t="shared" si="2"/>
        <v>248.55936708860759</v>
      </c>
      <c r="J10" s="64">
        <f t="shared" si="2"/>
        <v>829.75656126482204</v>
      </c>
      <c r="K10" s="64">
        <f t="shared" si="2"/>
        <v>341.16417999238524</v>
      </c>
      <c r="L10" s="64">
        <f t="shared" si="2"/>
        <v>329.96578201698577</v>
      </c>
      <c r="M10" s="64">
        <f t="shared" si="2"/>
        <v>796.99738738738733</v>
      </c>
      <c r="N10" s="64">
        <f>N8-N9</f>
        <v>339.45485596707817</v>
      </c>
      <c r="O10" s="64">
        <f>O8-O9</f>
        <v>448.48066350710906</v>
      </c>
      <c r="P10" s="64">
        <f>P8-P9</f>
        <v>582.21109891779008</v>
      </c>
      <c r="R10" s="6">
        <f>AVERAGE(E10:P10)</f>
        <v>477.11920460340667</v>
      </c>
    </row>
    <row r="11" spans="1:22" x14ac:dyDescent="0.25">
      <c r="A11" s="47"/>
      <c r="B11" s="6"/>
      <c r="C11" s="6"/>
      <c r="D11" s="6"/>
      <c r="E11" s="6"/>
      <c r="F11" s="6"/>
      <c r="G11" s="6"/>
      <c r="H11" s="6"/>
      <c r="I11" s="6"/>
      <c r="J11" s="6"/>
      <c r="K11" s="6"/>
      <c r="L11" s="6"/>
      <c r="M11" s="6"/>
      <c r="N11" s="6"/>
      <c r="O11" s="6"/>
      <c r="P11" s="6"/>
      <c r="R11" s="47"/>
    </row>
    <row r="12" spans="1:22" x14ac:dyDescent="0.25">
      <c r="A12" s="7" t="s">
        <v>1165</v>
      </c>
      <c r="B12" s="6">
        <f>B4*B8</f>
        <v>133391.37</v>
      </c>
      <c r="C12" s="6">
        <f t="shared" ref="C12:M12" si="3">C4*C8</f>
        <v>125628.19000000002</v>
      </c>
      <c r="D12" s="6">
        <f t="shared" si="3"/>
        <v>332335.28999999998</v>
      </c>
      <c r="E12" s="6">
        <f t="shared" si="3"/>
        <v>150006.46000000002</v>
      </c>
      <c r="F12" s="6">
        <f t="shared" si="3"/>
        <v>168139.02999999997</v>
      </c>
      <c r="G12" s="6">
        <f t="shared" si="3"/>
        <v>419093.80999999994</v>
      </c>
      <c r="H12" s="6">
        <f t="shared" si="3"/>
        <v>86055.72</v>
      </c>
      <c r="I12" s="6">
        <f t="shared" si="3"/>
        <v>126021.19</v>
      </c>
      <c r="J12" s="6">
        <f t="shared" si="3"/>
        <v>273129.20999999996</v>
      </c>
      <c r="K12" s="6">
        <f t="shared" si="3"/>
        <v>138773.15</v>
      </c>
      <c r="L12" s="6">
        <f t="shared" si="3"/>
        <v>172104.92</v>
      </c>
      <c r="M12" s="6">
        <f t="shared" si="3"/>
        <v>237357.05</v>
      </c>
      <c r="N12" s="6">
        <f>N4*N8</f>
        <v>151593.87</v>
      </c>
      <c r="O12" s="6">
        <f>O4*O8</f>
        <v>148915.72</v>
      </c>
      <c r="P12" s="6">
        <f>P4*P8</f>
        <v>198014.64</v>
      </c>
      <c r="R12" s="6">
        <f>SUM(E12:P12)</f>
        <v>2269204.7699999996</v>
      </c>
    </row>
    <row r="13" spans="1:22" x14ac:dyDescent="0.25">
      <c r="A13" s="7" t="s">
        <v>1076</v>
      </c>
      <c r="B13" s="6">
        <f>B9*B4</f>
        <v>55588.01</v>
      </c>
      <c r="C13" s="6">
        <f t="shared" ref="C13:M13" si="4">C9*C4</f>
        <v>49354.299999999996</v>
      </c>
      <c r="D13" s="6">
        <f t="shared" si="4"/>
        <v>70618.87999999999</v>
      </c>
      <c r="E13" s="6">
        <f t="shared" si="4"/>
        <v>62389.799999999996</v>
      </c>
      <c r="F13" s="6">
        <f t="shared" si="4"/>
        <v>73634.62</v>
      </c>
      <c r="G13" s="6">
        <f t="shared" si="4"/>
        <v>77554.38</v>
      </c>
      <c r="H13" s="6">
        <f t="shared" si="4"/>
        <v>62824.83</v>
      </c>
      <c r="I13" s="6">
        <f t="shared" si="4"/>
        <v>67112.62</v>
      </c>
      <c r="J13" s="6">
        <f t="shared" si="4"/>
        <v>63200.800000000003</v>
      </c>
      <c r="K13" s="6">
        <f t="shared" si="4"/>
        <v>69175.657281553402</v>
      </c>
      <c r="L13" s="6">
        <f t="shared" si="4"/>
        <v>80704.398381294959</v>
      </c>
      <c r="M13" s="6">
        <f t="shared" si="4"/>
        <v>60423.63</v>
      </c>
      <c r="N13" s="6">
        <f>N9*N4</f>
        <v>69106.34</v>
      </c>
      <c r="O13" s="6">
        <f>O9*O4</f>
        <v>54286.299999999988</v>
      </c>
      <c r="P13" s="6">
        <f>P9*P4</f>
        <v>64688.298347826094</v>
      </c>
      <c r="R13" s="6">
        <f>SUM(E13:P13)</f>
        <v>805101.67401067447</v>
      </c>
    </row>
    <row r="14" spans="1:22" ht="15.75" thickBot="1" x14ac:dyDescent="0.3">
      <c r="A14" s="9" t="s">
        <v>1078</v>
      </c>
      <c r="B14" s="10">
        <f>B12-B13</f>
        <v>77803.359999999986</v>
      </c>
      <c r="C14" s="10">
        <f t="shared" ref="C14:M14" si="5">C12-C13</f>
        <v>76273.890000000014</v>
      </c>
      <c r="D14" s="10">
        <f t="shared" si="5"/>
        <v>261716.40999999997</v>
      </c>
      <c r="E14" s="10">
        <f t="shared" si="5"/>
        <v>87616.660000000033</v>
      </c>
      <c r="F14" s="10">
        <f t="shared" si="5"/>
        <v>94504.409999999974</v>
      </c>
      <c r="G14" s="10">
        <f t="shared" si="5"/>
        <v>341539.42999999993</v>
      </c>
      <c r="H14" s="10">
        <f t="shared" si="5"/>
        <v>23230.89</v>
      </c>
      <c r="I14" s="10">
        <f t="shared" si="5"/>
        <v>58908.570000000007</v>
      </c>
      <c r="J14" s="10">
        <f t="shared" si="5"/>
        <v>209928.40999999997</v>
      </c>
      <c r="K14" s="10">
        <f t="shared" si="5"/>
        <v>69597.492718446592</v>
      </c>
      <c r="L14" s="10">
        <f t="shared" si="5"/>
        <v>91400.521618705054</v>
      </c>
      <c r="M14" s="10">
        <f t="shared" si="5"/>
        <v>176933.41999999998</v>
      </c>
      <c r="N14" s="10">
        <f>N12-N13</f>
        <v>82487.53</v>
      </c>
      <c r="O14" s="10">
        <f>O12-O13</f>
        <v>94629.420000000013</v>
      </c>
      <c r="P14" s="10">
        <f>P12-P13</f>
        <v>133326.34165217393</v>
      </c>
      <c r="R14" s="10">
        <f>SUM(E14:P14)</f>
        <v>1464103.0959893253</v>
      </c>
    </row>
    <row r="15" spans="1:22" x14ac:dyDescent="0.25">
      <c r="Q15" s="5"/>
    </row>
    <row r="16" spans="1:22" x14ac:dyDescent="0.25">
      <c r="Q16" s="5"/>
      <c r="R16" s="3"/>
    </row>
    <row r="17" spans="1:19" ht="15.75" x14ac:dyDescent="0.25">
      <c r="A17" s="11" t="s">
        <v>1160</v>
      </c>
      <c r="B17" s="5">
        <v>45383</v>
      </c>
      <c r="C17" s="5">
        <v>45413</v>
      </c>
      <c r="D17" s="5">
        <v>45444</v>
      </c>
      <c r="E17" s="5">
        <v>45383</v>
      </c>
      <c r="F17" s="5">
        <v>45413</v>
      </c>
      <c r="G17" s="5">
        <v>45444</v>
      </c>
      <c r="H17" s="5">
        <v>45474</v>
      </c>
      <c r="I17" s="5">
        <v>45505</v>
      </c>
      <c r="J17" s="5">
        <v>45536</v>
      </c>
      <c r="K17" s="5">
        <v>45566</v>
      </c>
      <c r="L17" s="5">
        <v>45597</v>
      </c>
      <c r="M17" s="5">
        <v>45627</v>
      </c>
      <c r="N17" s="5">
        <v>45658</v>
      </c>
      <c r="O17" s="5">
        <v>45689</v>
      </c>
      <c r="P17" s="5">
        <v>45717</v>
      </c>
      <c r="R17" s="5" t="s">
        <v>955</v>
      </c>
    </row>
    <row r="18" spans="1:19" x14ac:dyDescent="0.25">
      <c r="A18" s="4"/>
      <c r="B18" s="5" t="s">
        <v>959</v>
      </c>
      <c r="C18" s="5" t="s">
        <v>959</v>
      </c>
      <c r="D18" s="5" t="s">
        <v>959</v>
      </c>
      <c r="E18" s="5" t="s">
        <v>959</v>
      </c>
      <c r="F18" s="5" t="s">
        <v>959</v>
      </c>
      <c r="G18" s="5" t="s">
        <v>959</v>
      </c>
      <c r="H18" s="5" t="s">
        <v>959</v>
      </c>
      <c r="I18" s="5" t="s">
        <v>959</v>
      </c>
      <c r="J18" s="5" t="s">
        <v>959</v>
      </c>
      <c r="K18" s="5" t="s">
        <v>959</v>
      </c>
      <c r="L18" s="5" t="s">
        <v>959</v>
      </c>
      <c r="M18" s="5" t="s">
        <v>959</v>
      </c>
      <c r="N18" s="5" t="s">
        <v>959</v>
      </c>
      <c r="O18" s="5" t="s">
        <v>959</v>
      </c>
      <c r="P18" s="5" t="s">
        <v>959</v>
      </c>
      <c r="Q18" s="8"/>
      <c r="R18" s="5" t="s">
        <v>961</v>
      </c>
    </row>
    <row r="19" spans="1:19" x14ac:dyDescent="0.25">
      <c r="A19" s="4"/>
      <c r="B19" s="5"/>
      <c r="C19" s="5"/>
      <c r="D19" s="5"/>
      <c r="E19" s="5"/>
      <c r="F19" s="5"/>
      <c r="G19" s="5"/>
      <c r="H19" s="5"/>
      <c r="I19" s="5"/>
      <c r="J19" s="5"/>
      <c r="K19" s="5"/>
      <c r="L19" s="5"/>
      <c r="M19" s="5"/>
      <c r="N19" s="5"/>
      <c r="O19" s="5"/>
      <c r="P19" s="5"/>
      <c r="Q19" s="3"/>
      <c r="R19" s="5"/>
      <c r="S19" s="14"/>
    </row>
    <row r="20" spans="1:19" x14ac:dyDescent="0.25">
      <c r="A20" s="47" t="s">
        <v>1161</v>
      </c>
      <c r="B20" s="1">
        <f>N4</f>
        <v>243</v>
      </c>
      <c r="C20" s="1">
        <f>O4</f>
        <v>211</v>
      </c>
      <c r="D20" s="1">
        <f>P4</f>
        <v>229</v>
      </c>
      <c r="E20" s="1">
        <f>'F&amp;I - NS '!E20+'F&amp;I - NW'!E20</f>
        <v>253.5</v>
      </c>
      <c r="F20" s="1">
        <f>'F&amp;I - NS '!F20+'F&amp;I - NW'!F20</f>
        <v>268.5</v>
      </c>
      <c r="G20" s="1">
        <f>'F&amp;I - NS '!G20+'F&amp;I - NW'!G20</f>
        <v>281.5</v>
      </c>
      <c r="H20" s="1">
        <f>'F&amp;I - NS '!H20+'F&amp;I - NW'!H20</f>
        <v>269.5</v>
      </c>
      <c r="I20" s="1">
        <f>'F&amp;I - NS '!I20+'F&amp;I - NW'!I20</f>
        <v>274</v>
      </c>
      <c r="J20" s="1">
        <f>'F&amp;I - NS '!J20+'F&amp;I - NW'!J20</f>
        <v>278.5</v>
      </c>
      <c r="K20" s="1">
        <f>'F&amp;I - NS '!K20+'F&amp;I - NW'!K20</f>
        <v>272.5</v>
      </c>
      <c r="L20" s="1">
        <f>'F&amp;I - NS '!L20+'F&amp;I - NW'!L20</f>
        <v>296.5</v>
      </c>
      <c r="M20" s="1">
        <f>'F&amp;I - NS '!M20+'F&amp;I - NW'!M20</f>
        <v>254</v>
      </c>
      <c r="N20" s="1">
        <f>'F&amp;I - NS '!N20+'F&amp;I - NW'!N20</f>
        <v>249.5</v>
      </c>
      <c r="O20" s="1">
        <f>'F&amp;I - NS '!O20+'F&amp;I - NW'!O20</f>
        <v>249.5</v>
      </c>
      <c r="P20" s="1">
        <f>'F&amp;I - NS '!P20+'F&amp;I - NW'!P20</f>
        <v>285.5</v>
      </c>
      <c r="R20" s="1">
        <f>SUM(E20:P20)</f>
        <v>3233</v>
      </c>
      <c r="S20" s="34" t="s">
        <v>1166</v>
      </c>
    </row>
    <row r="21" spans="1:19" x14ac:dyDescent="0.25">
      <c r="A21" s="47"/>
      <c r="B21" s="6"/>
      <c r="C21" s="6"/>
      <c r="D21" s="6"/>
      <c r="E21" s="6"/>
      <c r="F21" s="6"/>
      <c r="G21" s="6"/>
      <c r="H21" s="6"/>
      <c r="I21" s="6"/>
      <c r="J21" s="6"/>
      <c r="K21" s="6"/>
      <c r="L21" s="6"/>
      <c r="M21" s="6"/>
      <c r="N21" s="6"/>
      <c r="O21" s="6"/>
      <c r="P21" s="6"/>
      <c r="Q21" s="316"/>
      <c r="R21" s="316"/>
      <c r="S21" s="34"/>
    </row>
    <row r="22" spans="1:19" x14ac:dyDescent="0.25">
      <c r="A22" s="185" t="s">
        <v>1162</v>
      </c>
      <c r="B22" s="64">
        <f>N6</f>
        <v>623.84308641975304</v>
      </c>
      <c r="C22" s="64">
        <f>O6</f>
        <v>705.76170616113745</v>
      </c>
      <c r="D22" s="64">
        <f>P6</f>
        <v>329.21240174672494</v>
      </c>
      <c r="E22" s="64">
        <f>('F&amp;I - NS '!E22*'F&amp;I - NS '!E$20+'F&amp;I - NW'!E22*'F&amp;I - NW'!E$20)/E$20</f>
        <v>604.81826361833214</v>
      </c>
      <c r="F22" s="64">
        <f>('F&amp;I - NS '!F22*'F&amp;I - NS '!F$20+'F&amp;I - NW'!F22*'F&amp;I - NW'!F$20)/F$20</f>
        <v>604.90553483250676</v>
      </c>
      <c r="G22" s="64">
        <f>('F&amp;I - NS '!G22*'F&amp;I - NS '!G$20+'F&amp;I - NW'!G22*'F&amp;I - NW'!G$20)/G$20</f>
        <v>604.95959652842919</v>
      </c>
      <c r="H22" s="64">
        <f>('F&amp;I - NS '!H22*'F&amp;I - NS '!H$20+'F&amp;I - NW'!H22*'F&amp;I - NW'!H$20)/H$20</f>
        <v>604.87982150048992</v>
      </c>
      <c r="I22" s="64">
        <f>('F&amp;I - NS '!I22*'F&amp;I - NS '!I$20+'F&amp;I - NW'!I22*'F&amp;I - NW'!I$20)/I$20</f>
        <v>604.93694450094324</v>
      </c>
      <c r="J22" s="64">
        <f>('F&amp;I - NS '!J22*'F&amp;I - NS '!J$20+'F&amp;I - NW'!J22*'F&amp;I - NW'!J$20)/J$20</f>
        <v>604.9922215157444</v>
      </c>
      <c r="K22" s="64">
        <f>('F&amp;I - NS '!K22*'F&amp;I - NS '!K$20+'F&amp;I - NW'!K22*'F&amp;I - NW'!K$20)/K$20</f>
        <v>604.85279924543863</v>
      </c>
      <c r="L22" s="64">
        <f>('F&amp;I - NS '!L22*'F&amp;I - NS '!L$20+'F&amp;I - NW'!L22*'F&amp;I - NW'!L$20)/L$20</f>
        <v>605.01646944312859</v>
      </c>
      <c r="M22" s="64">
        <f>('F&amp;I - NS '!M22*'F&amp;I - NS '!M$20+'F&amp;I - NW'!M22*'F&amp;I - NW'!M$20)/M$20</f>
        <v>605.19310427983726</v>
      </c>
      <c r="N22" s="64">
        <f>('F&amp;I - NS '!N22*'F&amp;I - NS '!N$20+'F&amp;I - NW'!N22*'F&amp;I - NW'!N$20)/N$20</f>
        <v>605.13602239760417</v>
      </c>
      <c r="O22" s="64">
        <f>('F&amp;I - NS '!O22*'F&amp;I - NS '!O$20+'F&amp;I - NW'!O22*'F&amp;I - NW'!O$20)/O$20</f>
        <v>605.13602239760417</v>
      </c>
      <c r="P22" s="64">
        <f>('F&amp;I - NS '!P22*'F&amp;I - NS '!P$20+'F&amp;I - NW'!P22*'F&amp;I - NW'!P$20)/P$20</f>
        <v>605.22020412444169</v>
      </c>
      <c r="R22" s="64">
        <f>AVERAGE(E22:P22)</f>
        <v>605.00391703204173</v>
      </c>
      <c r="S22" s="34" t="s">
        <v>1167</v>
      </c>
    </row>
    <row r="23" spans="1:19" x14ac:dyDescent="0.25">
      <c r="A23" s="7" t="s">
        <v>1070</v>
      </c>
      <c r="B23" s="65">
        <f t="shared" ref="B23:D26" si="6">N7</f>
        <v>0</v>
      </c>
      <c r="C23" s="65">
        <f t="shared" si="6"/>
        <v>0</v>
      </c>
      <c r="D23" s="65">
        <f t="shared" si="6"/>
        <v>535.48034934497821</v>
      </c>
      <c r="E23" s="64">
        <f>('F&amp;I - NS '!E23*'F&amp;I - NS '!E$20+'F&amp;I - NW'!E23*'F&amp;I - NW'!E$20)/E$20</f>
        <v>0</v>
      </c>
      <c r="F23" s="64">
        <f>('F&amp;I - NS '!F23*'F&amp;I - NS '!F$20+'F&amp;I - NW'!F23*'F&amp;I - NW'!F$20)/F$20</f>
        <v>0</v>
      </c>
      <c r="G23" s="64">
        <f>('F&amp;I - NS '!G23*'F&amp;I - NS '!G$20+'F&amp;I - NW'!G23*'F&amp;I - NW'!G$20)/G$20</f>
        <v>311.72291296625224</v>
      </c>
      <c r="H23" s="64">
        <f>('F&amp;I - NS '!H23*'F&amp;I - NS '!H$20+'F&amp;I - NW'!H23*'F&amp;I - NW'!H$20)/H$20</f>
        <v>0</v>
      </c>
      <c r="I23" s="64">
        <f>('F&amp;I - NS '!I23*'F&amp;I - NS '!I$20+'F&amp;I - NW'!I23*'F&amp;I - NW'!I$20)/I$20</f>
        <v>0</v>
      </c>
      <c r="J23" s="64">
        <f>('F&amp;I - NS '!J23*'F&amp;I - NS '!J$20+'F&amp;I - NW'!J23*'F&amp;I - NW'!J$20)/J$20</f>
        <v>307.00179533213645</v>
      </c>
      <c r="K23" s="64">
        <f>('F&amp;I - NS '!K23*'F&amp;I - NS '!K$20+'F&amp;I - NW'!K23*'F&amp;I - NW'!K$20)/K$20</f>
        <v>0</v>
      </c>
      <c r="L23" s="64">
        <f>('F&amp;I - NS '!L23*'F&amp;I - NS '!L$20+'F&amp;I - NW'!L23*'F&amp;I - NW'!L$20)/L$20</f>
        <v>0</v>
      </c>
      <c r="M23" s="64">
        <f>('F&amp;I - NS '!M23*'F&amp;I - NS '!M$20+'F&amp;I - NW'!M23*'F&amp;I - NW'!M$20)/M$20</f>
        <v>328.74015748031496</v>
      </c>
      <c r="N23" s="64">
        <f>('F&amp;I - NS '!N23*'F&amp;I - NS '!N$20+'F&amp;I - NW'!N23*'F&amp;I - NW'!N$20)/N$20</f>
        <v>0</v>
      </c>
      <c r="O23" s="64">
        <f>('F&amp;I - NS '!O23*'F&amp;I - NS '!O$20+'F&amp;I - NW'!O23*'F&amp;I - NW'!O$20)/O$20</f>
        <v>0</v>
      </c>
      <c r="P23" s="64">
        <f>('F&amp;I - NS '!P23*'F&amp;I - NS '!P$20+'F&amp;I - NW'!P23*'F&amp;I - NW'!P$20)/P$20</f>
        <v>288.96672504378284</v>
      </c>
      <c r="R23" s="64">
        <f>AVERAGE(E23:P23)</f>
        <v>103.03596590187387</v>
      </c>
      <c r="S23" s="34"/>
    </row>
    <row r="24" spans="1:19" x14ac:dyDescent="0.25">
      <c r="A24" s="7" t="s">
        <v>1163</v>
      </c>
      <c r="B24" s="65">
        <f t="shared" si="6"/>
        <v>623.84308641975304</v>
      </c>
      <c r="C24" s="65">
        <f t="shared" si="6"/>
        <v>705.76170616113745</v>
      </c>
      <c r="D24" s="65">
        <f t="shared" si="6"/>
        <v>864.69275109170314</v>
      </c>
      <c r="E24" s="65">
        <f>E22+E23</f>
        <v>604.81826361833214</v>
      </c>
      <c r="F24" s="65">
        <f t="shared" ref="F24:P24" si="7">F22+F23</f>
        <v>604.90553483250676</v>
      </c>
      <c r="G24" s="65">
        <f t="shared" si="7"/>
        <v>916.68250949468143</v>
      </c>
      <c r="H24" s="65">
        <f t="shared" si="7"/>
        <v>604.87982150048992</v>
      </c>
      <c r="I24" s="65">
        <f t="shared" si="7"/>
        <v>604.93694450094324</v>
      </c>
      <c r="J24" s="65">
        <f t="shared" si="7"/>
        <v>911.99401684788086</v>
      </c>
      <c r="K24" s="65">
        <f t="shared" si="7"/>
        <v>604.85279924543863</v>
      </c>
      <c r="L24" s="65">
        <f t="shared" si="7"/>
        <v>605.01646944312859</v>
      </c>
      <c r="M24" s="65">
        <f t="shared" si="7"/>
        <v>933.93326176015216</v>
      </c>
      <c r="N24" s="65">
        <f t="shared" si="7"/>
        <v>605.13602239760417</v>
      </c>
      <c r="O24" s="65">
        <f t="shared" si="7"/>
        <v>605.13602239760417</v>
      </c>
      <c r="P24" s="65">
        <f t="shared" si="7"/>
        <v>894.18692916822454</v>
      </c>
      <c r="R24" s="6">
        <f>AVERAGE(E24:P24)</f>
        <v>708.03988293391558</v>
      </c>
      <c r="S24" s="34"/>
    </row>
    <row r="25" spans="1:19" x14ac:dyDescent="0.25">
      <c r="A25" s="47" t="s">
        <v>1164</v>
      </c>
      <c r="B25" s="64">
        <f t="shared" si="6"/>
        <v>284.38823045267486</v>
      </c>
      <c r="C25" s="64">
        <f t="shared" si="6"/>
        <v>257.2810426540284</v>
      </c>
      <c r="D25" s="64">
        <f t="shared" si="6"/>
        <v>282.48165217391306</v>
      </c>
      <c r="E25" s="64">
        <f>('F&amp;I - NS '!E25*'F&amp;I - NS '!E$20+'F&amp;I - NW'!E25*'F&amp;I - NW'!E$20)/E$20</f>
        <v>267.72572026886508</v>
      </c>
      <c r="F25" s="64">
        <f>('F&amp;I - NS '!F25*'F&amp;I - NS '!F$20+'F&amp;I - NW'!F25*'F&amp;I - NW'!F$20)/F$20</f>
        <v>252.76897611976645</v>
      </c>
      <c r="G25" s="64">
        <f>('F&amp;I - NS '!G25*'F&amp;I - NS '!G$20+'F&amp;I - NW'!G25*'F&amp;I - NW'!G$20)/G$20</f>
        <v>241.09580848368489</v>
      </c>
      <c r="H25" s="64">
        <f>('F&amp;I - NS '!H25*'F&amp;I - NS '!H$20+'F&amp;I - NW'!H25*'F&amp;I - NW'!H$20)/H$20</f>
        <v>251.83105784102892</v>
      </c>
      <c r="I25" s="64">
        <f>('F&amp;I - NS '!I25*'F&amp;I - NS '!I$20+'F&amp;I - NW'!I25*'F&amp;I - NW'!I$20)/I$20</f>
        <v>247.6951463071434</v>
      </c>
      <c r="J25" s="64">
        <f>('F&amp;I - NS '!J25*'F&amp;I - NS '!J$20+'F&amp;I - NW'!J25*'F&amp;I - NW'!J$20)/J$20</f>
        <v>243.69289080128291</v>
      </c>
      <c r="K25" s="64">
        <f>('F&amp;I - NS '!K25*'F&amp;I - NS '!K$20+'F&amp;I - NW'!K25*'F&amp;I - NW'!K$20)/K$20</f>
        <v>249.05860582810016</v>
      </c>
      <c r="L25" s="64">
        <f>('F&amp;I - NS '!L25*'F&amp;I - NS '!L$20+'F&amp;I - NW'!L25*'F&amp;I - NW'!L$20)/L$20</f>
        <v>228.89871867843945</v>
      </c>
      <c r="M25" s="64">
        <f>('F&amp;I - NS '!M25*'F&amp;I - NS '!M$20+'F&amp;I - NW'!M25*'F&amp;I - NW'!M$20)/M$20</f>
        <v>267.19870113447752</v>
      </c>
      <c r="N25" s="64">
        <f>('F&amp;I - NS '!N25*'F&amp;I - NS '!N$20+'F&amp;I - NW'!N25*'F&amp;I - NW'!N$20)/N$20</f>
        <v>272.01791618499919</v>
      </c>
      <c r="O25" s="64">
        <f>('F&amp;I - NS '!O25*'F&amp;I - NS '!O$20+'F&amp;I - NW'!O25*'F&amp;I - NW'!O$20)/O$20</f>
        <v>272.01791618499919</v>
      </c>
      <c r="P25" s="64">
        <f>('F&amp;I - NS '!P25*'F&amp;I - NS '!P$20+'F&amp;I - NW'!P25*'F&amp;I - NW'!P$20)/P$20</f>
        <v>237.71793375886969</v>
      </c>
      <c r="R25" s="6">
        <f>AVERAGE(E25:P25)</f>
        <v>252.64328263263806</v>
      </c>
      <c r="S25" s="34" t="s">
        <v>1168</v>
      </c>
    </row>
    <row r="26" spans="1:19" x14ac:dyDescent="0.25">
      <c r="A26" s="47" t="s">
        <v>1074</v>
      </c>
      <c r="B26" s="64">
        <f t="shared" si="6"/>
        <v>339.45485596707817</v>
      </c>
      <c r="C26" s="64">
        <f t="shared" si="6"/>
        <v>448.48066350710906</v>
      </c>
      <c r="D26" s="64">
        <f t="shared" si="6"/>
        <v>582.21109891779008</v>
      </c>
      <c r="E26" s="64">
        <f>E24-E25</f>
        <v>337.09254334946706</v>
      </c>
      <c r="F26" s="64">
        <f t="shared" ref="F26:P26" si="8">F24-F25</f>
        <v>352.13655871274034</v>
      </c>
      <c r="G26" s="64">
        <f t="shared" si="8"/>
        <v>675.58670101099653</v>
      </c>
      <c r="H26" s="64">
        <f t="shared" si="8"/>
        <v>353.04876365946097</v>
      </c>
      <c r="I26" s="64">
        <f t="shared" si="8"/>
        <v>357.24179819379981</v>
      </c>
      <c r="J26" s="64">
        <f t="shared" si="8"/>
        <v>668.30112604659791</v>
      </c>
      <c r="K26" s="64">
        <f t="shared" si="8"/>
        <v>355.79419341733848</v>
      </c>
      <c r="L26" s="64">
        <f t="shared" si="8"/>
        <v>376.11775076468916</v>
      </c>
      <c r="M26" s="64">
        <f t="shared" si="8"/>
        <v>666.7345606256747</v>
      </c>
      <c r="N26" s="64">
        <f t="shared" si="8"/>
        <v>333.11810621260497</v>
      </c>
      <c r="O26" s="64">
        <f t="shared" si="8"/>
        <v>333.11810621260497</v>
      </c>
      <c r="P26" s="64">
        <f t="shared" si="8"/>
        <v>656.46899540935487</v>
      </c>
      <c r="R26" s="6">
        <f>AVERAGE(E26:P26)</f>
        <v>455.39660030127749</v>
      </c>
    </row>
    <row r="27" spans="1:19" x14ac:dyDescent="0.25">
      <c r="A27" s="47"/>
      <c r="B27" s="6"/>
      <c r="C27" s="6"/>
      <c r="D27" s="6"/>
      <c r="E27" s="6"/>
      <c r="F27" s="6"/>
      <c r="G27" s="6"/>
      <c r="H27" s="6"/>
      <c r="I27" s="6"/>
      <c r="J27" s="6"/>
      <c r="K27" s="6"/>
      <c r="L27" s="6"/>
      <c r="M27" s="6"/>
      <c r="N27" s="6"/>
      <c r="O27" s="6"/>
      <c r="P27" s="6"/>
      <c r="R27" s="47"/>
    </row>
    <row r="28" spans="1:19" x14ac:dyDescent="0.25">
      <c r="A28" s="7" t="s">
        <v>1165</v>
      </c>
      <c r="B28" s="6">
        <f t="shared" ref="B28:D30" si="9">N12</f>
        <v>151593.87</v>
      </c>
      <c r="C28" s="6">
        <f t="shared" si="9"/>
        <v>148915.72</v>
      </c>
      <c r="D28" s="6">
        <f t="shared" si="9"/>
        <v>198014.64</v>
      </c>
      <c r="E28" s="6">
        <f>E20*E24</f>
        <v>153321.42982724719</v>
      </c>
      <c r="F28" s="6">
        <f t="shared" ref="F28:P28" si="10">F20*F24</f>
        <v>162417.13610252808</v>
      </c>
      <c r="G28" s="6">
        <f t="shared" si="10"/>
        <v>258046.12642275283</v>
      </c>
      <c r="H28" s="6">
        <f t="shared" si="10"/>
        <v>163015.11189438205</v>
      </c>
      <c r="I28" s="6">
        <f t="shared" si="10"/>
        <v>165752.72279325844</v>
      </c>
      <c r="J28" s="6">
        <f t="shared" si="10"/>
        <v>253990.33369213482</v>
      </c>
      <c r="K28" s="6">
        <f t="shared" si="10"/>
        <v>164822.38779438203</v>
      </c>
      <c r="L28" s="6">
        <f t="shared" si="10"/>
        <v>179387.38318988762</v>
      </c>
      <c r="M28" s="6">
        <f t="shared" si="10"/>
        <v>237219.04848707866</v>
      </c>
      <c r="N28" s="6">
        <f t="shared" si="10"/>
        <v>150981.43758820224</v>
      </c>
      <c r="O28" s="6">
        <f t="shared" si="10"/>
        <v>150981.43758820224</v>
      </c>
      <c r="P28" s="6">
        <f t="shared" si="10"/>
        <v>255290.36827752812</v>
      </c>
      <c r="R28" s="6">
        <f>SUM(E28:P28)</f>
        <v>2295224.9236575845</v>
      </c>
    </row>
    <row r="29" spans="1:19" x14ac:dyDescent="0.25">
      <c r="A29" s="7" t="s">
        <v>1076</v>
      </c>
      <c r="B29" s="6">
        <f t="shared" si="9"/>
        <v>69106.34</v>
      </c>
      <c r="C29" s="6">
        <f t="shared" si="9"/>
        <v>54286.299999999988</v>
      </c>
      <c r="D29" s="6">
        <f t="shared" si="9"/>
        <v>64688.298347826094</v>
      </c>
      <c r="E29" s="6">
        <f>E34</f>
        <v>67868.470088157294</v>
      </c>
      <c r="F29" s="6">
        <f t="shared" ref="F29:P29" si="11">F34</f>
        <v>67868.470088157294</v>
      </c>
      <c r="G29" s="6">
        <f t="shared" si="11"/>
        <v>67868.470088157294</v>
      </c>
      <c r="H29" s="6">
        <f t="shared" si="11"/>
        <v>67868.470088157294</v>
      </c>
      <c r="I29" s="6">
        <f t="shared" si="11"/>
        <v>67868.470088157294</v>
      </c>
      <c r="J29" s="6">
        <f t="shared" si="11"/>
        <v>67868.470088157294</v>
      </c>
      <c r="K29" s="6">
        <f t="shared" si="11"/>
        <v>67868.470088157294</v>
      </c>
      <c r="L29" s="6">
        <f t="shared" si="11"/>
        <v>67868.470088157294</v>
      </c>
      <c r="M29" s="6">
        <f t="shared" si="11"/>
        <v>67868.470088157294</v>
      </c>
      <c r="N29" s="6">
        <f t="shared" si="11"/>
        <v>67868.470088157294</v>
      </c>
      <c r="O29" s="6">
        <f t="shared" si="11"/>
        <v>67868.470088157294</v>
      </c>
      <c r="P29" s="6">
        <f t="shared" si="11"/>
        <v>67868.470088157294</v>
      </c>
      <c r="R29" s="6">
        <f>SUM(E29:P29)</f>
        <v>814421.6410578877</v>
      </c>
    </row>
    <row r="30" spans="1:19" ht="15.75" thickBot="1" x14ac:dyDescent="0.3">
      <c r="A30" s="9" t="s">
        <v>1078</v>
      </c>
      <c r="B30" s="10">
        <f t="shared" si="9"/>
        <v>82487.53</v>
      </c>
      <c r="C30" s="10">
        <f t="shared" si="9"/>
        <v>94629.420000000013</v>
      </c>
      <c r="D30" s="10">
        <f t="shared" si="9"/>
        <v>133326.34165217393</v>
      </c>
      <c r="E30" s="10">
        <f>E28-E29</f>
        <v>85452.9597390899</v>
      </c>
      <c r="F30" s="10">
        <f t="shared" ref="F30:P30" si="12">F28-F29</f>
        <v>94548.666014370785</v>
      </c>
      <c r="G30" s="10">
        <f t="shared" si="12"/>
        <v>190177.65633459552</v>
      </c>
      <c r="H30" s="10">
        <f t="shared" si="12"/>
        <v>95146.641806224754</v>
      </c>
      <c r="I30" s="10">
        <f t="shared" si="12"/>
        <v>97884.252705101142</v>
      </c>
      <c r="J30" s="10">
        <f t="shared" si="12"/>
        <v>186121.86360397754</v>
      </c>
      <c r="K30" s="10">
        <f t="shared" si="12"/>
        <v>96953.917706224733</v>
      </c>
      <c r="L30" s="10">
        <f t="shared" si="12"/>
        <v>111518.91310173033</v>
      </c>
      <c r="M30" s="10">
        <f t="shared" si="12"/>
        <v>169350.57839892135</v>
      </c>
      <c r="N30" s="10">
        <f t="shared" si="12"/>
        <v>83112.96750004495</v>
      </c>
      <c r="O30" s="10">
        <f t="shared" si="12"/>
        <v>83112.96750004495</v>
      </c>
      <c r="P30" s="10">
        <f t="shared" si="12"/>
        <v>187421.89818937081</v>
      </c>
      <c r="R30" s="10">
        <f>SUM(E30:P30)</f>
        <v>1480803.2825996967</v>
      </c>
      <c r="S30" s="7"/>
    </row>
    <row r="31" spans="1:19" ht="15.75" thickTop="1" x14ac:dyDescent="0.25"/>
    <row r="32" spans="1:19" x14ac:dyDescent="0.25">
      <c r="A32" t="s">
        <v>1169</v>
      </c>
      <c r="E32" s="15">
        <f>E25*E20</f>
        <v>67868.470088157294</v>
      </c>
      <c r="F32" s="15">
        <f t="shared" ref="F32:P32" si="13">F25*F20</f>
        <v>67868.470088157294</v>
      </c>
      <c r="G32" s="15">
        <f t="shared" si="13"/>
        <v>67868.470088157294</v>
      </c>
      <c r="H32" s="15">
        <f t="shared" si="13"/>
        <v>67868.470088157294</v>
      </c>
      <c r="I32" s="15">
        <f t="shared" si="13"/>
        <v>67868.470088157294</v>
      </c>
      <c r="J32" s="15">
        <f t="shared" si="13"/>
        <v>67868.470088157294</v>
      </c>
      <c r="K32" s="15">
        <f t="shared" si="13"/>
        <v>67868.470088157294</v>
      </c>
      <c r="L32" s="15">
        <f t="shared" si="13"/>
        <v>67868.470088157294</v>
      </c>
      <c r="M32" s="15">
        <f t="shared" si="13"/>
        <v>67868.470088157294</v>
      </c>
      <c r="N32" s="15">
        <f t="shared" si="13"/>
        <v>67868.470088157294</v>
      </c>
      <c r="O32" s="15">
        <f t="shared" si="13"/>
        <v>67868.470088157294</v>
      </c>
      <c r="P32" s="15">
        <f t="shared" si="13"/>
        <v>67868.470088157294</v>
      </c>
      <c r="R32" s="6">
        <f>SUM(E32:P32)</f>
        <v>814421.6410578877</v>
      </c>
      <c r="S32" s="34" t="s">
        <v>1170</v>
      </c>
    </row>
    <row r="34" spans="1:19" x14ac:dyDescent="0.25">
      <c r="A34" t="s">
        <v>1076</v>
      </c>
      <c r="E34" s="64">
        <f>'F&amp;I - NS '!E34+'F&amp;I - NW'!E34</f>
        <v>67868.470088157294</v>
      </c>
      <c r="F34" s="64">
        <f>'F&amp;I - NS '!F34+'F&amp;I - NW'!F34</f>
        <v>67868.470088157294</v>
      </c>
      <c r="G34" s="64">
        <f>'F&amp;I - NS '!G34+'F&amp;I - NW'!G34</f>
        <v>67868.470088157294</v>
      </c>
      <c r="H34" s="64">
        <f>'F&amp;I - NS '!H34+'F&amp;I - NW'!H34</f>
        <v>67868.470088157294</v>
      </c>
      <c r="I34" s="64">
        <f>'F&amp;I - NS '!I34+'F&amp;I - NW'!I34</f>
        <v>67868.470088157294</v>
      </c>
      <c r="J34" s="64">
        <f>'F&amp;I - NS '!J34+'F&amp;I - NW'!J34</f>
        <v>67868.470088157294</v>
      </c>
      <c r="K34" s="64">
        <f>'F&amp;I - NS '!K34+'F&amp;I - NW'!K34</f>
        <v>67868.470088157294</v>
      </c>
      <c r="L34" s="64">
        <f>'F&amp;I - NS '!L34+'F&amp;I - NW'!L34</f>
        <v>67868.470088157294</v>
      </c>
      <c r="M34" s="64">
        <f>'F&amp;I - NS '!M34+'F&amp;I - NW'!M34</f>
        <v>67868.470088157294</v>
      </c>
      <c r="N34" s="64">
        <f>'F&amp;I - NS '!N34+'F&amp;I - NW'!N34</f>
        <v>67868.470088157294</v>
      </c>
      <c r="O34" s="64">
        <f>'F&amp;I - NS '!O34+'F&amp;I - NW'!O34</f>
        <v>67868.470088157294</v>
      </c>
      <c r="P34" s="64">
        <f>'F&amp;I - NS '!P34+'F&amp;I - NW'!P34</f>
        <v>67868.470088157294</v>
      </c>
      <c r="R34" s="6">
        <f>SUM(E34:P34)</f>
        <v>814421.6410578877</v>
      </c>
    </row>
    <row r="35" spans="1:19" x14ac:dyDescent="0.25">
      <c r="S35" s="163" t="s">
        <v>1171</v>
      </c>
    </row>
    <row r="36" spans="1:19" x14ac:dyDescent="0.25">
      <c r="R36" s="7">
        <f>R34-'F&amp;I - NS '!R34-'F&amp;I - NW'!R34</f>
        <v>0</v>
      </c>
      <c r="S36" s="34" t="s">
        <v>1093</v>
      </c>
    </row>
    <row r="61" spans="18:18" x14ac:dyDescent="0.25">
      <c r="R61" s="7"/>
    </row>
    <row r="75" spans="1:1" x14ac:dyDescent="0.25">
      <c r="A75" s="34" t="s">
        <v>1315</v>
      </c>
    </row>
  </sheetData>
  <mergeCells count="2">
    <mergeCell ref="Q5:R5"/>
    <mergeCell ref="Q21:R21"/>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2EE21-1E89-4657-AC34-818F3D23D898}">
  <sheetPr codeName="Sheet12">
    <tabColor theme="9" tint="0.79998168889431442"/>
  </sheetPr>
  <dimension ref="A1:V35"/>
  <sheetViews>
    <sheetView topLeftCell="A29" workbookViewId="0">
      <selection activeCell="P14" sqref="P14"/>
    </sheetView>
  </sheetViews>
  <sheetFormatPr defaultRowHeight="15" x14ac:dyDescent="0.25"/>
  <cols>
    <col min="1" max="1" width="26.85546875" customWidth="1"/>
    <col min="2" max="4" width="10.7109375" hidden="1" customWidth="1"/>
    <col min="5" max="16" width="10.7109375" customWidth="1"/>
    <col min="17" max="17" width="2.85546875" customWidth="1"/>
    <col min="18" max="18" width="10.7109375" customWidth="1"/>
    <col min="19" max="19" width="12.140625" style="34" bestFit="1" customWidth="1"/>
  </cols>
  <sheetData>
    <row r="1" spans="1:22" ht="15.75" x14ac:dyDescent="0.25">
      <c r="A1" s="11" t="s">
        <v>1160</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2" x14ac:dyDescent="0.25">
      <c r="A3" s="4"/>
      <c r="B3" s="5"/>
      <c r="C3" s="5"/>
      <c r="D3" s="5"/>
      <c r="E3" s="5"/>
      <c r="F3" s="5"/>
      <c r="G3" s="5"/>
      <c r="H3" s="5"/>
      <c r="I3" s="5"/>
      <c r="J3" s="5"/>
      <c r="K3" s="5"/>
      <c r="L3" s="5"/>
      <c r="M3" s="5"/>
      <c r="N3" s="5"/>
      <c r="O3" s="5"/>
      <c r="P3" s="5"/>
      <c r="R3" s="5"/>
    </row>
    <row r="4" spans="1:22" x14ac:dyDescent="0.25">
      <c r="A4" s="47" t="s">
        <v>1161</v>
      </c>
      <c r="B4" s="1">
        <f>'Used Vehicles - NS 5'!B7+'New Vehicles - NS'!B4</f>
        <v>125</v>
      </c>
      <c r="C4" s="1">
        <f>'Used Vehicles - NS 5'!C7+'New Vehicles - NS'!C4</f>
        <v>120</v>
      </c>
      <c r="D4" s="1">
        <f>'Used Vehicles - NS 5'!D7+'New Vehicles - NS'!D4</f>
        <v>167</v>
      </c>
      <c r="E4" s="1">
        <f>'Used Vehicles - NS 5'!E7+'New Vehicles - NS'!E4</f>
        <v>148</v>
      </c>
      <c r="F4" s="1">
        <f>'Used Vehicles - NS 5'!F7+'New Vehicles - NS'!F4</f>
        <v>147</v>
      </c>
      <c r="G4" s="1">
        <f>'Used Vehicles - NS 5'!G7+'New Vehicles - NS'!G4</f>
        <v>231</v>
      </c>
      <c r="H4" s="1">
        <f>'Used Vehicles - NS 5'!H7+'New Vehicles - NS'!H4</f>
        <v>76</v>
      </c>
      <c r="I4" s="1">
        <f>'Used Vehicles - NS 5'!I7+'New Vehicles - NS'!I4</f>
        <v>136</v>
      </c>
      <c r="J4" s="1">
        <f>'Used Vehicles - NS 5'!J7+'New Vehicles - NS'!J4</f>
        <v>154</v>
      </c>
      <c r="K4" s="1">
        <f>'Used Vehicles - NS 5'!K7+'New Vehicles - NS'!K4</f>
        <v>131</v>
      </c>
      <c r="L4" s="1">
        <f>'Used Vehicles - NS 5'!L7+'New Vehicles - NS'!L4</f>
        <v>165</v>
      </c>
      <c r="M4" s="1">
        <f>'Used Vehicles - NS 5'!M7+'New Vehicles - NS'!M4</f>
        <v>149</v>
      </c>
      <c r="N4" s="1">
        <f>'Used Vehicles - NS 5'!N7+'New Vehicles - NS'!N4</f>
        <v>141</v>
      </c>
      <c r="O4" s="1">
        <f>'Used Vehicles - NS 5'!O7+'New Vehicles - NS'!O4</f>
        <v>122</v>
      </c>
      <c r="P4" s="1">
        <f>'Used Vehicles - NS 5'!P7+'New Vehicles - NS'!P4</f>
        <v>136</v>
      </c>
      <c r="Q4" s="8"/>
      <c r="R4" s="1">
        <f>SUM(E4:P4)</f>
        <v>1736</v>
      </c>
    </row>
    <row r="5" spans="1:22" x14ac:dyDescent="0.25">
      <c r="A5" s="47"/>
      <c r="B5" s="6"/>
      <c r="C5" s="6"/>
      <c r="D5" s="6"/>
      <c r="E5" s="6"/>
      <c r="F5" s="6"/>
      <c r="G5" s="6"/>
      <c r="H5" s="6"/>
      <c r="I5" s="6"/>
      <c r="J5" s="6"/>
      <c r="K5" s="6"/>
      <c r="L5" s="6"/>
      <c r="M5" s="6"/>
      <c r="N5" s="6"/>
      <c r="O5" s="6"/>
      <c r="P5" s="6"/>
      <c r="Q5" s="316"/>
      <c r="R5" s="316"/>
    </row>
    <row r="6" spans="1:22" x14ac:dyDescent="0.25">
      <c r="A6" s="47" t="s">
        <v>1162</v>
      </c>
      <c r="B6" s="64">
        <f>B8-B7</f>
        <v>573.96064000000001</v>
      </c>
      <c r="C6" s="64">
        <f t="shared" ref="C6:M6" si="0">C8-C7</f>
        <v>481.10175000000015</v>
      </c>
      <c r="D6" s="64">
        <f t="shared" si="0"/>
        <v>680.9990419161677</v>
      </c>
      <c r="E6" s="64">
        <f t="shared" si="0"/>
        <v>509.60675675675679</v>
      </c>
      <c r="F6" s="64">
        <f t="shared" si="0"/>
        <v>560.41965986394553</v>
      </c>
      <c r="G6" s="64">
        <f>G8-G7</f>
        <v>530.85567099567095</v>
      </c>
      <c r="H6" s="64">
        <f t="shared" si="0"/>
        <v>636.62315789473678</v>
      </c>
      <c r="I6" s="64">
        <f t="shared" si="0"/>
        <v>549.8920588235294</v>
      </c>
      <c r="J6" s="64">
        <f t="shared" si="0"/>
        <v>592.12532467532458</v>
      </c>
      <c r="K6" s="64">
        <f t="shared" si="0"/>
        <v>578.84274809160308</v>
      </c>
      <c r="L6" s="64">
        <f t="shared" si="0"/>
        <v>611.80569696969701</v>
      </c>
      <c r="M6" s="64">
        <f t="shared" si="0"/>
        <v>653.73859060402685</v>
      </c>
      <c r="N6" s="64">
        <f>N8-N7</f>
        <v>703.67985815602833</v>
      </c>
      <c r="O6" s="64">
        <f>O8-O7</f>
        <v>784.3532786885246</v>
      </c>
      <c r="P6" s="64">
        <f>P8-P7</f>
        <v>259.77948529411776</v>
      </c>
      <c r="Q6" s="3"/>
      <c r="R6" s="64">
        <f>AVERAGE(E6:P6)</f>
        <v>580.97685723449683</v>
      </c>
    </row>
    <row r="7" spans="1:22" s="7" customFormat="1" x14ac:dyDescent="0.25">
      <c r="A7" s="7" t="s">
        <v>1070</v>
      </c>
      <c r="B7" s="65">
        <f>'[3]NS F&amp;I'!$B$11</f>
        <v>73.58247999999999</v>
      </c>
      <c r="C7" s="65">
        <f>'[4]NS F&amp;I'!$B$11</f>
        <v>130.97158333333334</v>
      </c>
      <c r="D7" s="65">
        <f>'[5]NS F&amp;I'!$B$11</f>
        <v>544.14299401197604</v>
      </c>
      <c r="E7" s="65">
        <f>'[6]NS F&amp;I'!$B$11</f>
        <v>0</v>
      </c>
      <c r="F7" s="65">
        <f>'[7]NS F&amp;I'!$B$11</f>
        <v>0</v>
      </c>
      <c r="G7" s="65">
        <f>'[8]NS F&amp;I'!$B$11+'[8]NS F&amp;I'!$B$12</f>
        <v>753.835974025974</v>
      </c>
      <c r="H7" s="65">
        <f>'[9]NS F&amp;I'!$B$11</f>
        <v>0</v>
      </c>
      <c r="I7" s="65">
        <f>'[10]NS F&amp;I'!$B$11</f>
        <v>0</v>
      </c>
      <c r="J7" s="65">
        <f>'[11]NS F&amp;I'!$B$11+'[11]NS F&amp;I'!$B$12</f>
        <v>533.92857142857144</v>
      </c>
      <c r="K7" s="65">
        <f>'[12]NS F&amp;I'!$B$11</f>
        <v>0</v>
      </c>
      <c r="L7" s="65">
        <f>'[13]NS F&amp;I'!$B$11</f>
        <v>0</v>
      </c>
      <c r="M7" s="65">
        <f>'[14]NS F&amp;I'!$B$11+'[14]NS F&amp;I'!$B$12</f>
        <v>531.54362416107381</v>
      </c>
      <c r="N7" s="65">
        <f>'[15]NS F&amp;I'!$B$11</f>
        <v>0</v>
      </c>
      <c r="O7" s="65">
        <f>'[16]NS F&amp;I'!$B$11</f>
        <v>0</v>
      </c>
      <c r="P7" s="65">
        <f>'[17]NS F&amp;I'!$B$11+'[17]NS F&amp;I'!$B$12</f>
        <v>661.21323529411768</v>
      </c>
      <c r="Q7" s="3"/>
      <c r="R7" s="64">
        <f>AVERAGE(E7:P7)</f>
        <v>206.71011707581138</v>
      </c>
      <c r="S7" s="116"/>
      <c r="T7" s="3"/>
      <c r="U7" s="6"/>
      <c r="V7" s="6"/>
    </row>
    <row r="8" spans="1:22" s="7" customFormat="1" x14ac:dyDescent="0.25">
      <c r="A8" s="7" t="s">
        <v>1163</v>
      </c>
      <c r="B8" s="65">
        <f>'[3]NS F&amp;I'!$B$13</f>
        <v>647.54312000000004</v>
      </c>
      <c r="C8" s="65">
        <f>'[4]NS F&amp;I'!$B$13</f>
        <v>612.07333333333349</v>
      </c>
      <c r="D8" s="65">
        <f>'[5]NS F&amp;I'!$B$13</f>
        <v>1225.1420359281437</v>
      </c>
      <c r="E8" s="65">
        <f>'[6]NS F&amp;I'!$B$13</f>
        <v>509.60675675675679</v>
      </c>
      <c r="F8" s="65">
        <f>'[7]NS F&amp;I'!$B$13</f>
        <v>560.41965986394553</v>
      </c>
      <c r="G8" s="65">
        <f>'[8]NS F&amp;I'!$B$13</f>
        <v>1284.6916450216449</v>
      </c>
      <c r="H8" s="65">
        <f>'[9]NS F&amp;I'!$B$13</f>
        <v>636.62315789473678</v>
      </c>
      <c r="I8" s="65">
        <f>'[10]NS F&amp;I'!$B$13</f>
        <v>549.8920588235294</v>
      </c>
      <c r="J8" s="65">
        <f>'[11]NS F&amp;I'!$B$13</f>
        <v>1126.053896103896</v>
      </c>
      <c r="K8" s="65">
        <f>'[12]NS F&amp;I'!$B$13</f>
        <v>578.84274809160308</v>
      </c>
      <c r="L8" s="65">
        <f>'[13]NS F&amp;I'!$B$13</f>
        <v>611.80569696969701</v>
      </c>
      <c r="M8" s="65">
        <f>'[14]NS F&amp;I'!$B$13</f>
        <v>1185.2822147651007</v>
      </c>
      <c r="N8" s="65">
        <f>'[15]NS F&amp;I'!$B$13</f>
        <v>703.67985815602833</v>
      </c>
      <c r="O8" s="65">
        <f>'[16]NS F&amp;I'!$B$13</f>
        <v>784.3532786885246</v>
      </c>
      <c r="P8" s="65">
        <f>'[17]NS F&amp;I'!$B$13</f>
        <v>920.99272058823544</v>
      </c>
      <c r="Q8" s="3"/>
      <c r="R8" s="6">
        <f>AVERAGE(E8:P8)</f>
        <v>787.6869743103083</v>
      </c>
      <c r="S8" s="116"/>
      <c r="T8" s="3"/>
      <c r="U8" s="6"/>
      <c r="V8" s="6"/>
    </row>
    <row r="9" spans="1:22" x14ac:dyDescent="0.25">
      <c r="A9" s="47" t="s">
        <v>1164</v>
      </c>
      <c r="B9" s="64">
        <f>'[3]NS F&amp;I'!$B$17</f>
        <v>248.58240000000001</v>
      </c>
      <c r="C9" s="64">
        <f>'[4]NS F&amp;I'!$B$17</f>
        <v>232.62233333333336</v>
      </c>
      <c r="D9" s="64">
        <f>'[5]NS F&amp;I'!$B$17</f>
        <v>250.14778443113772</v>
      </c>
      <c r="E9" s="64">
        <f>'[6]NS F&amp;I'!$B$17</f>
        <v>211.96250000000001</v>
      </c>
      <c r="F9" s="64">
        <f>'[7]NS F&amp;I'!$B$17</f>
        <v>247.12557823129256</v>
      </c>
      <c r="G9" s="64">
        <f>'[8]NS F&amp;I'!$B$17</f>
        <v>211.78484848484848</v>
      </c>
      <c r="H9" s="64">
        <f>'[9]NS F&amp;I'!$B$17</f>
        <v>493.54592105263157</v>
      </c>
      <c r="I9" s="64">
        <f>'[10]NS F&amp;I'!$B$17</f>
        <v>306.14977941176465</v>
      </c>
      <c r="J9" s="64">
        <f>'[11]NS F&amp;I'!$B$17</f>
        <v>220.91954545454547</v>
      </c>
      <c r="K9" s="64">
        <f>'[12]NS F&amp;I'!$B$17</f>
        <v>312.07</v>
      </c>
      <c r="L9" s="64">
        <f>'[13]NS F&amp;I'!$B$17</f>
        <v>299.40836363636362</v>
      </c>
      <c r="M9" s="64">
        <f>'[14]NS F&amp;I'!$B$17</f>
        <v>214.65624161073828</v>
      </c>
      <c r="N9" s="64">
        <f>'[15]NS F&amp;I'!$B$17</f>
        <v>287.23134751773057</v>
      </c>
      <c r="O9" s="64">
        <f>'[16]NS F&amp;I'!$B$17</f>
        <v>252.8660655737705</v>
      </c>
      <c r="P9" s="64">
        <f>'[17]NS F&amp;I'!$B$17</f>
        <v>219.34617647058823</v>
      </c>
      <c r="Q9" s="3"/>
      <c r="R9" s="6">
        <f>AVERAGE(E9:P9)</f>
        <v>273.08886395368944</v>
      </c>
    </row>
    <row r="10" spans="1:22" x14ac:dyDescent="0.25">
      <c r="A10" s="47" t="s">
        <v>1074</v>
      </c>
      <c r="B10" s="64">
        <f>B8-B9</f>
        <v>398.96072000000004</v>
      </c>
      <c r="C10" s="64">
        <f t="shared" ref="C10:M10" si="1">C8-C9</f>
        <v>379.45100000000014</v>
      </c>
      <c r="D10" s="64">
        <f t="shared" si="1"/>
        <v>974.99425149700596</v>
      </c>
      <c r="E10" s="64">
        <f t="shared" si="1"/>
        <v>297.64425675675682</v>
      </c>
      <c r="F10" s="64">
        <f t="shared" si="1"/>
        <v>313.29408163265293</v>
      </c>
      <c r="G10" s="64">
        <f t="shared" si="1"/>
        <v>1072.9067965367965</v>
      </c>
      <c r="H10" s="64">
        <f t="shared" si="1"/>
        <v>143.07723684210521</v>
      </c>
      <c r="I10" s="64">
        <f t="shared" si="1"/>
        <v>243.74227941176474</v>
      </c>
      <c r="J10" s="64">
        <f t="shared" si="1"/>
        <v>905.13435064935061</v>
      </c>
      <c r="K10" s="64">
        <f t="shared" si="1"/>
        <v>266.77274809160309</v>
      </c>
      <c r="L10" s="64">
        <f t="shared" si="1"/>
        <v>312.39733333333339</v>
      </c>
      <c r="M10" s="64">
        <f t="shared" si="1"/>
        <v>970.62597315436233</v>
      </c>
      <c r="N10" s="64">
        <f>N8-N9</f>
        <v>416.44851063829776</v>
      </c>
      <c r="O10" s="64">
        <f>O8-O9</f>
        <v>531.48721311475413</v>
      </c>
      <c r="P10" s="64">
        <f>P8-P9</f>
        <v>701.64654411764718</v>
      </c>
      <c r="R10" s="6">
        <f>AVERAGE(E10:P10)</f>
        <v>514.59811035661869</v>
      </c>
    </row>
    <row r="11" spans="1:22" x14ac:dyDescent="0.25">
      <c r="A11" s="47"/>
      <c r="B11" s="6"/>
      <c r="C11" s="6"/>
      <c r="D11" s="6"/>
      <c r="E11" s="6"/>
      <c r="F11" s="6"/>
      <c r="G11" s="6"/>
      <c r="H11" s="6"/>
      <c r="I11" s="6"/>
      <c r="J11" s="6"/>
      <c r="K11" s="6"/>
      <c r="L11" s="6"/>
      <c r="M11" s="6"/>
      <c r="N11" s="6"/>
      <c r="O11" s="6"/>
      <c r="P11" s="6"/>
      <c r="R11" s="47"/>
    </row>
    <row r="12" spans="1:22" x14ac:dyDescent="0.25">
      <c r="A12" s="7" t="s">
        <v>1165</v>
      </c>
      <c r="B12" s="6">
        <f>B4*B8</f>
        <v>80942.89</v>
      </c>
      <c r="C12" s="6">
        <f t="shared" ref="C12:M12" si="2">C4*C8</f>
        <v>73448.800000000017</v>
      </c>
      <c r="D12" s="6">
        <f t="shared" si="2"/>
        <v>204598.72</v>
      </c>
      <c r="E12" s="6">
        <f t="shared" si="2"/>
        <v>75421.8</v>
      </c>
      <c r="F12" s="6">
        <f t="shared" si="2"/>
        <v>82381.689999999988</v>
      </c>
      <c r="G12" s="6">
        <f t="shared" si="2"/>
        <v>296763.76999999996</v>
      </c>
      <c r="H12" s="6">
        <f t="shared" si="2"/>
        <v>48383.359999999993</v>
      </c>
      <c r="I12" s="6">
        <f t="shared" si="2"/>
        <v>74785.319999999992</v>
      </c>
      <c r="J12" s="6">
        <f t="shared" si="2"/>
        <v>173412.3</v>
      </c>
      <c r="K12" s="6">
        <f t="shared" si="2"/>
        <v>75828.400000000009</v>
      </c>
      <c r="L12" s="6">
        <f t="shared" si="2"/>
        <v>100947.94</v>
      </c>
      <c r="M12" s="6">
        <f t="shared" si="2"/>
        <v>176607.05</v>
      </c>
      <c r="N12" s="6">
        <f>N4*N8</f>
        <v>99218.86</v>
      </c>
      <c r="O12" s="6">
        <f>O4*O8</f>
        <v>95691.1</v>
      </c>
      <c r="P12" s="6">
        <f>P4*P8</f>
        <v>125255.01000000002</v>
      </c>
      <c r="R12" s="6">
        <f>SUM(E12:P12)</f>
        <v>1424696.6000000003</v>
      </c>
    </row>
    <row r="13" spans="1:22" x14ac:dyDescent="0.25">
      <c r="A13" s="7" t="s">
        <v>1076</v>
      </c>
      <c r="B13" s="6">
        <f>B9*B4</f>
        <v>31072.799999999999</v>
      </c>
      <c r="C13" s="6">
        <f t="shared" ref="C13:M13" si="3">C9*C4</f>
        <v>27914.680000000004</v>
      </c>
      <c r="D13" s="6">
        <f t="shared" si="3"/>
        <v>41774.68</v>
      </c>
      <c r="E13" s="6">
        <f t="shared" si="3"/>
        <v>31370.45</v>
      </c>
      <c r="F13" s="6">
        <f t="shared" si="3"/>
        <v>36327.460000000006</v>
      </c>
      <c r="G13" s="6">
        <f t="shared" si="3"/>
        <v>48922.299999999996</v>
      </c>
      <c r="H13" s="6">
        <f t="shared" si="3"/>
        <v>37509.49</v>
      </c>
      <c r="I13" s="6">
        <f t="shared" si="3"/>
        <v>41636.369999999995</v>
      </c>
      <c r="J13" s="6">
        <f t="shared" si="3"/>
        <v>34021.61</v>
      </c>
      <c r="K13" s="6">
        <f t="shared" si="3"/>
        <v>40881.17</v>
      </c>
      <c r="L13" s="6">
        <f t="shared" si="3"/>
        <v>49402.38</v>
      </c>
      <c r="M13" s="6">
        <f t="shared" si="3"/>
        <v>31983.780000000002</v>
      </c>
      <c r="N13" s="6">
        <f>N9*N4</f>
        <v>40499.62000000001</v>
      </c>
      <c r="O13" s="6">
        <f>O9*O4</f>
        <v>30849.66</v>
      </c>
      <c r="P13" s="6">
        <f>P9*P4</f>
        <v>29831.079999999998</v>
      </c>
      <c r="R13" s="6">
        <f>SUM(E13:P13)</f>
        <v>453235.37</v>
      </c>
    </row>
    <row r="14" spans="1:22" ht="15.75" thickBot="1" x14ac:dyDescent="0.3">
      <c r="A14" s="9" t="s">
        <v>1078</v>
      </c>
      <c r="B14" s="10">
        <f>B12-B13</f>
        <v>49870.09</v>
      </c>
      <c r="C14" s="10">
        <f t="shared" ref="C14:M14" si="4">C12-C13</f>
        <v>45534.12000000001</v>
      </c>
      <c r="D14" s="10">
        <f t="shared" si="4"/>
        <v>162824.04</v>
      </c>
      <c r="E14" s="10">
        <f t="shared" si="4"/>
        <v>44051.350000000006</v>
      </c>
      <c r="F14" s="10">
        <f t="shared" si="4"/>
        <v>46054.229999999981</v>
      </c>
      <c r="G14" s="10">
        <f t="shared" si="4"/>
        <v>247841.46999999997</v>
      </c>
      <c r="H14" s="10">
        <f t="shared" si="4"/>
        <v>10873.869999999995</v>
      </c>
      <c r="I14" s="10">
        <f t="shared" si="4"/>
        <v>33148.949999999997</v>
      </c>
      <c r="J14" s="10">
        <f t="shared" si="4"/>
        <v>139390.69</v>
      </c>
      <c r="K14" s="10">
        <f t="shared" si="4"/>
        <v>34947.23000000001</v>
      </c>
      <c r="L14" s="10">
        <f t="shared" si="4"/>
        <v>51545.560000000005</v>
      </c>
      <c r="M14" s="10">
        <f t="shared" si="4"/>
        <v>144623.26999999999</v>
      </c>
      <c r="N14" s="10">
        <f>N12-N13</f>
        <v>58719.239999999991</v>
      </c>
      <c r="O14" s="10">
        <f>O12-O13</f>
        <v>64841.440000000002</v>
      </c>
      <c r="P14" s="10">
        <f>P12-P13</f>
        <v>95423.930000000022</v>
      </c>
      <c r="R14" s="10">
        <f>SUM(E14:P14)</f>
        <v>971461.2300000001</v>
      </c>
    </row>
    <row r="15" spans="1:22" ht="15.75" thickTop="1" x14ac:dyDescent="0.25">
      <c r="E15" s="275">
        <f>E12</f>
        <v>75421.8</v>
      </c>
      <c r="F15" s="275">
        <f>F12</f>
        <v>82381.689999999988</v>
      </c>
      <c r="G15" s="275">
        <v>122627.65999999997</v>
      </c>
      <c r="H15" s="275">
        <f>H12</f>
        <v>48383.359999999993</v>
      </c>
      <c r="I15" s="275">
        <f>I12</f>
        <v>74785.319999999992</v>
      </c>
      <c r="J15" s="275">
        <v>91187.3</v>
      </c>
      <c r="K15" s="275">
        <f>K12</f>
        <v>75828.400000000009</v>
      </c>
      <c r="L15" s="275">
        <f>L12</f>
        <v>100947.94</v>
      </c>
      <c r="M15" s="275">
        <v>97407.05</v>
      </c>
      <c r="N15" s="275">
        <f>N12</f>
        <v>99218.86</v>
      </c>
      <c r="O15" s="275">
        <f>O12</f>
        <v>95691.1</v>
      </c>
      <c r="P15" s="275">
        <f>SUM(E15:O15)</f>
        <v>963880.48</v>
      </c>
      <c r="Q15" s="5"/>
    </row>
    <row r="16" spans="1:22" x14ac:dyDescent="0.25">
      <c r="E16" s="157"/>
      <c r="F16" s="157"/>
      <c r="G16" s="157"/>
      <c r="H16" s="157"/>
      <c r="I16" s="157"/>
      <c r="J16" s="157"/>
      <c r="K16" s="157"/>
      <c r="L16" s="157"/>
      <c r="M16" s="157"/>
      <c r="N16" s="157"/>
      <c r="O16" s="276">
        <f>P15/P16</f>
        <v>602.42529999999999</v>
      </c>
      <c r="P16" s="277">
        <f>SUM(E4:O4)</f>
        <v>1600</v>
      </c>
      <c r="Q16" s="5"/>
      <c r="R16" s="3"/>
    </row>
    <row r="17" spans="1:19" ht="15.75" x14ac:dyDescent="0.25">
      <c r="A17" s="11" t="s">
        <v>1160</v>
      </c>
      <c r="B17" s="5">
        <v>45292</v>
      </c>
      <c r="C17" s="5">
        <v>45323</v>
      </c>
      <c r="D17" s="5">
        <v>45352</v>
      </c>
      <c r="E17" s="5">
        <v>45383</v>
      </c>
      <c r="F17" s="5">
        <v>45413</v>
      </c>
      <c r="G17" s="5">
        <v>45444</v>
      </c>
      <c r="H17" s="5">
        <v>45474</v>
      </c>
      <c r="I17" s="5">
        <v>45505</v>
      </c>
      <c r="J17" s="5">
        <v>45536</v>
      </c>
      <c r="K17" s="5">
        <v>45566</v>
      </c>
      <c r="L17" s="5">
        <v>45597</v>
      </c>
      <c r="M17" s="5">
        <v>45627</v>
      </c>
      <c r="N17" s="5">
        <v>45658</v>
      </c>
      <c r="O17" s="5">
        <v>45689</v>
      </c>
      <c r="P17" s="5">
        <v>45717</v>
      </c>
      <c r="R17" s="5" t="s">
        <v>955</v>
      </c>
    </row>
    <row r="18" spans="1:19" x14ac:dyDescent="0.25">
      <c r="A18" s="4"/>
      <c r="B18" s="5" t="s">
        <v>959</v>
      </c>
      <c r="C18" s="5" t="s">
        <v>959</v>
      </c>
      <c r="D18" s="5" t="s">
        <v>959</v>
      </c>
      <c r="E18" s="5" t="s">
        <v>959</v>
      </c>
      <c r="F18" s="5" t="s">
        <v>959</v>
      </c>
      <c r="G18" s="5" t="s">
        <v>959</v>
      </c>
      <c r="H18" s="5" t="s">
        <v>959</v>
      </c>
      <c r="I18" s="5" t="s">
        <v>959</v>
      </c>
      <c r="J18" s="5" t="s">
        <v>959</v>
      </c>
      <c r="K18" s="5" t="s">
        <v>959</v>
      </c>
      <c r="L18" s="5" t="s">
        <v>959</v>
      </c>
      <c r="M18" s="5" t="s">
        <v>959</v>
      </c>
      <c r="N18" s="5" t="s">
        <v>959</v>
      </c>
      <c r="O18" s="5" t="s">
        <v>959</v>
      </c>
      <c r="P18" s="5" t="s">
        <v>959</v>
      </c>
      <c r="Q18" s="8"/>
      <c r="R18" s="5" t="s">
        <v>961</v>
      </c>
    </row>
    <row r="19" spans="1:19" x14ac:dyDescent="0.25">
      <c r="A19" s="4"/>
      <c r="B19" s="5"/>
      <c r="C19" s="5"/>
      <c r="D19" s="5"/>
      <c r="E19" s="5"/>
      <c r="F19" s="5"/>
      <c r="G19" s="5"/>
      <c r="H19" s="5"/>
      <c r="I19" s="5"/>
      <c r="J19" s="5"/>
      <c r="K19" s="5"/>
      <c r="L19" s="5"/>
      <c r="M19" s="5"/>
      <c r="N19" s="5"/>
      <c r="O19" s="5"/>
      <c r="P19" s="5"/>
      <c r="Q19" s="3"/>
      <c r="R19" s="5"/>
    </row>
    <row r="20" spans="1:19" x14ac:dyDescent="0.25">
      <c r="A20" s="47" t="s">
        <v>1161</v>
      </c>
      <c r="B20" s="1">
        <f>N4</f>
        <v>141</v>
      </c>
      <c r="C20" s="1">
        <f>O4</f>
        <v>122</v>
      </c>
      <c r="D20" s="1">
        <f>P4</f>
        <v>136</v>
      </c>
      <c r="E20" s="1">
        <f>'New Vehicles - NS'!E25+'Used Vehicles - NS 5'!E33</f>
        <v>151.25</v>
      </c>
      <c r="F20" s="1">
        <f>'New Vehicles - NS'!F25+'Used Vehicles - NS 5'!F33</f>
        <v>156.25</v>
      </c>
      <c r="G20" s="1">
        <f>'New Vehicles - NS'!G25+'Used Vehicles - NS 5'!G33</f>
        <v>161.25</v>
      </c>
      <c r="H20" s="1">
        <f>'New Vehicles - NS'!H25+'Used Vehicles - NS 5'!H33</f>
        <v>158</v>
      </c>
      <c r="I20" s="1">
        <f>'New Vehicles - NS'!I25+'Used Vehicles - NS 5'!I33</f>
        <v>158</v>
      </c>
      <c r="J20" s="1">
        <f>'New Vehicles - NS'!J25+'Used Vehicles - NS 5'!J33</f>
        <v>158</v>
      </c>
      <c r="K20" s="1">
        <f>'New Vehicles - NS'!K25+'Used Vehicles - NS 5'!K33</f>
        <v>161</v>
      </c>
      <c r="L20" s="1">
        <f>'New Vehicles - NS'!L25+'Used Vehicles - NS 5'!L33</f>
        <v>167</v>
      </c>
      <c r="M20" s="1">
        <f>'New Vehicles - NS'!M25+'Used Vehicles - NS 5'!M33</f>
        <v>135.5</v>
      </c>
      <c r="N20" s="1">
        <f>'New Vehicles - NS'!N25+'Used Vehicles - NS 5'!N33</f>
        <v>135.5</v>
      </c>
      <c r="O20" s="1">
        <f>'New Vehicles - NS'!O25+'Used Vehicles - NS 5'!O33</f>
        <v>135.5</v>
      </c>
      <c r="P20" s="1">
        <f>'New Vehicles - NS'!P25+'Used Vehicles - NS 5'!P33</f>
        <v>151</v>
      </c>
      <c r="R20" s="1">
        <f>SUM(E20:P20)</f>
        <v>1828.25</v>
      </c>
      <c r="S20" s="34" t="s">
        <v>1166</v>
      </c>
    </row>
    <row r="21" spans="1:19" x14ac:dyDescent="0.25">
      <c r="A21" s="47"/>
      <c r="B21" s="6"/>
      <c r="C21" s="6"/>
      <c r="D21" s="6"/>
      <c r="E21" s="6"/>
      <c r="F21" s="6"/>
      <c r="G21" s="6"/>
      <c r="H21" s="6"/>
      <c r="I21" s="6"/>
      <c r="J21" s="6"/>
      <c r="K21" s="6"/>
      <c r="L21" s="6"/>
      <c r="M21" s="6"/>
      <c r="N21" s="6"/>
      <c r="O21" s="6"/>
      <c r="P21" s="6"/>
      <c r="Q21" s="316"/>
      <c r="R21" s="316"/>
    </row>
    <row r="22" spans="1:19" x14ac:dyDescent="0.25">
      <c r="A22" s="47" t="s">
        <v>1162</v>
      </c>
      <c r="B22" s="64">
        <f t="shared" ref="B22:D26" si="5">N6</f>
        <v>703.67985815602833</v>
      </c>
      <c r="C22" s="64">
        <f t="shared" si="5"/>
        <v>784.3532786885246</v>
      </c>
      <c r="D22" s="64">
        <f t="shared" si="5"/>
        <v>259.77948529411776</v>
      </c>
      <c r="E22" s="6">
        <f>$O$16</f>
        <v>602.42529999999999</v>
      </c>
      <c r="F22" s="6">
        <f t="shared" ref="F22:P22" si="6">$O$16</f>
        <v>602.42529999999999</v>
      </c>
      <c r="G22" s="6">
        <f t="shared" si="6"/>
        <v>602.42529999999999</v>
      </c>
      <c r="H22" s="6">
        <f t="shared" si="6"/>
        <v>602.42529999999999</v>
      </c>
      <c r="I22" s="6">
        <f t="shared" si="6"/>
        <v>602.42529999999999</v>
      </c>
      <c r="J22" s="6">
        <f t="shared" si="6"/>
        <v>602.42529999999999</v>
      </c>
      <c r="K22" s="6">
        <f t="shared" si="6"/>
        <v>602.42529999999999</v>
      </c>
      <c r="L22" s="6">
        <f t="shared" si="6"/>
        <v>602.42529999999999</v>
      </c>
      <c r="M22" s="6">
        <f t="shared" si="6"/>
        <v>602.42529999999999</v>
      </c>
      <c r="N22" s="6">
        <f t="shared" si="6"/>
        <v>602.42529999999999</v>
      </c>
      <c r="O22" s="6">
        <f t="shared" si="6"/>
        <v>602.42529999999999</v>
      </c>
      <c r="P22" s="6">
        <f t="shared" si="6"/>
        <v>602.42529999999999</v>
      </c>
      <c r="R22" s="64">
        <f>AVERAGE(E22:P22)</f>
        <v>602.42529999999999</v>
      </c>
      <c r="S22" s="34" t="s">
        <v>1167</v>
      </c>
    </row>
    <row r="23" spans="1:19" x14ac:dyDescent="0.25">
      <c r="A23" s="7" t="s">
        <v>1070</v>
      </c>
      <c r="B23" s="65">
        <f t="shared" si="5"/>
        <v>0</v>
      </c>
      <c r="C23" s="65">
        <f t="shared" si="5"/>
        <v>0</v>
      </c>
      <c r="D23" s="65">
        <f t="shared" si="5"/>
        <v>661.21323529411768</v>
      </c>
      <c r="E23" s="65">
        <v>0</v>
      </c>
      <c r="F23" s="65">
        <v>0</v>
      </c>
      <c r="G23" s="65">
        <f>'FEF Incentive Forecast FY2025'!D12*G20/'F&amp;I'!G20/G20</f>
        <v>311.72291296625218</v>
      </c>
      <c r="H23" s="65">
        <v>0</v>
      </c>
      <c r="I23" s="65">
        <v>0</v>
      </c>
      <c r="J23" s="65">
        <f>'FEF Incentive Forecast FY2025'!H12*J20/'F&amp;I'!J20/J20</f>
        <v>307.00179533213645</v>
      </c>
      <c r="K23" s="65">
        <v>0</v>
      </c>
      <c r="L23" s="65">
        <v>0</v>
      </c>
      <c r="M23" s="65">
        <f>'FEF Incentive Forecast FY2025'!L12*M20/'F&amp;I'!M20/M20</f>
        <v>328.74015748031496</v>
      </c>
      <c r="N23" s="65">
        <v>0</v>
      </c>
      <c r="O23" s="65">
        <v>0</v>
      </c>
      <c r="P23" s="65">
        <f>'FEF Incentive Forecast FY2025'!P12*P20/'F&amp;I'!P20/P20</f>
        <v>288.96672504378284</v>
      </c>
      <c r="R23" s="64">
        <f>AVERAGE(E23:P23)</f>
        <v>103.03596590187387</v>
      </c>
    </row>
    <row r="24" spans="1:19" x14ac:dyDescent="0.25">
      <c r="A24" s="7" t="s">
        <v>1163</v>
      </c>
      <c r="B24" s="65">
        <f t="shared" si="5"/>
        <v>703.67985815602833</v>
      </c>
      <c r="C24" s="65">
        <f t="shared" si="5"/>
        <v>784.3532786885246</v>
      </c>
      <c r="D24" s="65">
        <f t="shared" si="5"/>
        <v>920.99272058823544</v>
      </c>
      <c r="E24" s="65">
        <f>E22+E23</f>
        <v>602.42529999999999</v>
      </c>
      <c r="F24" s="65">
        <f t="shared" ref="F24:P24" si="7">F22+F23</f>
        <v>602.42529999999999</v>
      </c>
      <c r="G24" s="65">
        <f t="shared" si="7"/>
        <v>914.14821296625223</v>
      </c>
      <c r="H24" s="65">
        <f t="shared" si="7"/>
        <v>602.42529999999999</v>
      </c>
      <c r="I24" s="65">
        <f t="shared" si="7"/>
        <v>602.42529999999999</v>
      </c>
      <c r="J24" s="65">
        <f t="shared" si="7"/>
        <v>909.42709533213645</v>
      </c>
      <c r="K24" s="65">
        <f t="shared" si="7"/>
        <v>602.42529999999999</v>
      </c>
      <c r="L24" s="65">
        <f t="shared" si="7"/>
        <v>602.42529999999999</v>
      </c>
      <c r="M24" s="65">
        <f t="shared" si="7"/>
        <v>931.1654574803149</v>
      </c>
      <c r="N24" s="65">
        <f t="shared" si="7"/>
        <v>602.42529999999999</v>
      </c>
      <c r="O24" s="65">
        <f t="shared" si="7"/>
        <v>602.42529999999999</v>
      </c>
      <c r="P24" s="65">
        <f t="shared" si="7"/>
        <v>891.39202504378284</v>
      </c>
      <c r="R24" s="6">
        <f>AVERAGE(E24:P24)</f>
        <v>705.46126590187384</v>
      </c>
    </row>
    <row r="25" spans="1:19" x14ac:dyDescent="0.25">
      <c r="A25" s="47" t="s">
        <v>1164</v>
      </c>
      <c r="B25" s="64">
        <f t="shared" si="5"/>
        <v>287.23134751773057</v>
      </c>
      <c r="C25" s="64">
        <f t="shared" si="5"/>
        <v>252.8660655737705</v>
      </c>
      <c r="D25" s="64">
        <f t="shared" si="5"/>
        <v>219.34617647058823</v>
      </c>
      <c r="E25" s="6">
        <f>E29/E20</f>
        <v>259.22809683593351</v>
      </c>
      <c r="F25" s="6">
        <f t="shared" ref="F25:P25" si="8">F29/F20</f>
        <v>250.93279773718365</v>
      </c>
      <c r="G25" s="6">
        <f t="shared" si="8"/>
        <v>243.15193579184464</v>
      </c>
      <c r="H25" s="6">
        <f t="shared" si="8"/>
        <v>248.15347877490473</v>
      </c>
      <c r="I25" s="6">
        <f t="shared" si="8"/>
        <v>248.15347877490473</v>
      </c>
      <c r="J25" s="6">
        <f t="shared" si="8"/>
        <v>248.15347877490473</v>
      </c>
      <c r="K25" s="6">
        <f t="shared" si="8"/>
        <v>243.52950090953382</v>
      </c>
      <c r="L25" s="6">
        <f t="shared" si="8"/>
        <v>234.77993800260447</v>
      </c>
      <c r="M25" s="6">
        <f t="shared" si="8"/>
        <v>289.35977598844977</v>
      </c>
      <c r="N25" s="6">
        <f t="shared" si="8"/>
        <v>289.35977598844977</v>
      </c>
      <c r="O25" s="6">
        <f t="shared" si="8"/>
        <v>289.35977598844977</v>
      </c>
      <c r="P25" s="6">
        <f t="shared" si="8"/>
        <v>259.65728242672151</v>
      </c>
      <c r="R25" s="6">
        <f>AVERAGE(E25:P25)</f>
        <v>258.65160966615707</v>
      </c>
      <c r="S25" s="34" t="s">
        <v>1168</v>
      </c>
    </row>
    <row r="26" spans="1:19" x14ac:dyDescent="0.25">
      <c r="A26" s="47" t="s">
        <v>1074</v>
      </c>
      <c r="B26" s="64">
        <f t="shared" si="5"/>
        <v>416.44851063829776</v>
      </c>
      <c r="C26" s="64">
        <f t="shared" si="5"/>
        <v>531.48721311475413</v>
      </c>
      <c r="D26" s="64">
        <f t="shared" si="5"/>
        <v>701.64654411764718</v>
      </c>
      <c r="E26" s="64">
        <f t="shared" ref="E26:P26" si="9">E24-E25</f>
        <v>343.19720316406648</v>
      </c>
      <c r="F26" s="64">
        <f t="shared" si="9"/>
        <v>351.49250226281634</v>
      </c>
      <c r="G26" s="64">
        <f t="shared" si="9"/>
        <v>670.99627717440762</v>
      </c>
      <c r="H26" s="64">
        <f t="shared" si="9"/>
        <v>354.27182122509527</v>
      </c>
      <c r="I26" s="64">
        <f t="shared" si="9"/>
        <v>354.27182122509527</v>
      </c>
      <c r="J26" s="64">
        <f t="shared" si="9"/>
        <v>661.27361655723166</v>
      </c>
      <c r="K26" s="64">
        <f t="shared" si="9"/>
        <v>358.8957990904662</v>
      </c>
      <c r="L26" s="64">
        <f t="shared" si="9"/>
        <v>367.64536199739553</v>
      </c>
      <c r="M26" s="64">
        <f t="shared" si="9"/>
        <v>641.80568149186513</v>
      </c>
      <c r="N26" s="64">
        <f t="shared" si="9"/>
        <v>313.06552401155022</v>
      </c>
      <c r="O26" s="64">
        <f t="shared" si="9"/>
        <v>313.06552401155022</v>
      </c>
      <c r="P26" s="64">
        <f t="shared" si="9"/>
        <v>631.73474261706133</v>
      </c>
      <c r="R26" s="6">
        <f>AVERAGE(E26:P26)</f>
        <v>446.80965623571683</v>
      </c>
      <c r="S26" s="34" t="s">
        <v>1172</v>
      </c>
    </row>
    <row r="27" spans="1:19" x14ac:dyDescent="0.25">
      <c r="A27" s="47"/>
      <c r="B27" s="6"/>
      <c r="C27" s="6"/>
      <c r="D27" s="6"/>
      <c r="E27" s="6"/>
      <c r="F27" s="6"/>
      <c r="G27" s="6"/>
      <c r="H27" s="6"/>
      <c r="I27" s="6"/>
      <c r="J27" s="6"/>
      <c r="K27" s="6"/>
      <c r="L27" s="6"/>
      <c r="M27" s="6"/>
      <c r="N27" s="6"/>
      <c r="O27" s="6"/>
      <c r="P27" s="6"/>
      <c r="R27" s="47"/>
    </row>
    <row r="28" spans="1:19" x14ac:dyDescent="0.25">
      <c r="A28" s="7" t="s">
        <v>1165</v>
      </c>
      <c r="B28" s="6">
        <f t="shared" ref="B28:D30" si="10">N12</f>
        <v>99218.86</v>
      </c>
      <c r="C28" s="6">
        <f t="shared" si="10"/>
        <v>95691.1</v>
      </c>
      <c r="D28" s="6">
        <f t="shared" si="10"/>
        <v>125255.01000000002</v>
      </c>
      <c r="E28" s="6">
        <f>E20*E24</f>
        <v>91116.826625000002</v>
      </c>
      <c r="F28" s="6">
        <f t="shared" ref="F28:P28" si="11">F20*F24</f>
        <v>94128.953125</v>
      </c>
      <c r="G28" s="6">
        <f t="shared" si="11"/>
        <v>147406.39934080816</v>
      </c>
      <c r="H28" s="6">
        <f t="shared" si="11"/>
        <v>95183.197400000005</v>
      </c>
      <c r="I28" s="6">
        <f t="shared" si="11"/>
        <v>95183.197400000005</v>
      </c>
      <c r="J28" s="6">
        <f t="shared" si="11"/>
        <v>143689.48106247757</v>
      </c>
      <c r="K28" s="6">
        <f t="shared" si="11"/>
        <v>96990.473299999998</v>
      </c>
      <c r="L28" s="6">
        <f t="shared" si="11"/>
        <v>100605.0251</v>
      </c>
      <c r="M28" s="6">
        <f t="shared" si="11"/>
        <v>126172.91948858267</v>
      </c>
      <c r="N28" s="6">
        <f t="shared" si="11"/>
        <v>81628.628150000004</v>
      </c>
      <c r="O28" s="6">
        <f t="shared" si="11"/>
        <v>81628.628150000004</v>
      </c>
      <c r="P28" s="6">
        <f t="shared" si="11"/>
        <v>134600.1957816112</v>
      </c>
      <c r="R28" s="6">
        <f>SUM(E28:P28)</f>
        <v>1288333.9249234796</v>
      </c>
    </row>
    <row r="29" spans="1:19" x14ac:dyDescent="0.25">
      <c r="A29" s="7" t="s">
        <v>1076</v>
      </c>
      <c r="B29" s="6">
        <f t="shared" si="10"/>
        <v>40499.62000000001</v>
      </c>
      <c r="C29" s="6">
        <f t="shared" si="10"/>
        <v>30849.66</v>
      </c>
      <c r="D29" s="6">
        <f t="shared" si="10"/>
        <v>29831.079999999998</v>
      </c>
      <c r="E29" s="6">
        <f>E34</f>
        <v>39208.249646434946</v>
      </c>
      <c r="F29" s="6">
        <f t="shared" ref="F29:P29" si="12">F34</f>
        <v>39208.249646434946</v>
      </c>
      <c r="G29" s="6">
        <f t="shared" si="12"/>
        <v>39208.249646434946</v>
      </c>
      <c r="H29" s="6">
        <f t="shared" si="12"/>
        <v>39208.249646434946</v>
      </c>
      <c r="I29" s="6">
        <f t="shared" si="12"/>
        <v>39208.249646434946</v>
      </c>
      <c r="J29" s="6">
        <f t="shared" si="12"/>
        <v>39208.249646434946</v>
      </c>
      <c r="K29" s="6">
        <f t="shared" si="12"/>
        <v>39208.249646434946</v>
      </c>
      <c r="L29" s="6">
        <f t="shared" si="12"/>
        <v>39208.249646434946</v>
      </c>
      <c r="M29" s="6">
        <f t="shared" si="12"/>
        <v>39208.249646434946</v>
      </c>
      <c r="N29" s="6">
        <f t="shared" si="12"/>
        <v>39208.249646434946</v>
      </c>
      <c r="O29" s="6">
        <f t="shared" si="12"/>
        <v>39208.249646434946</v>
      </c>
      <c r="P29" s="6">
        <f t="shared" si="12"/>
        <v>39208.249646434946</v>
      </c>
      <c r="R29" s="6">
        <f>SUM(E29:P29)</f>
        <v>470498.99575721944</v>
      </c>
    </row>
    <row r="30" spans="1:19" ht="15.75" thickBot="1" x14ac:dyDescent="0.3">
      <c r="A30" s="9" t="s">
        <v>1078</v>
      </c>
      <c r="B30" s="10">
        <f t="shared" si="10"/>
        <v>58719.239999999991</v>
      </c>
      <c r="C30" s="10">
        <f t="shared" si="10"/>
        <v>64841.440000000002</v>
      </c>
      <c r="D30" s="10">
        <f t="shared" si="10"/>
        <v>95423.930000000022</v>
      </c>
      <c r="E30" s="10">
        <f>E28-E29</f>
        <v>51908.576978565055</v>
      </c>
      <c r="F30" s="10">
        <f t="shared" ref="F30:P30" si="13">F28-F29</f>
        <v>54920.703478565054</v>
      </c>
      <c r="G30" s="10">
        <f t="shared" si="13"/>
        <v>108198.14969437322</v>
      </c>
      <c r="H30" s="10">
        <f t="shared" si="13"/>
        <v>55974.947753565059</v>
      </c>
      <c r="I30" s="10">
        <f t="shared" si="13"/>
        <v>55974.947753565059</v>
      </c>
      <c r="J30" s="10">
        <f t="shared" si="13"/>
        <v>104481.23141604263</v>
      </c>
      <c r="K30" s="10">
        <f t="shared" si="13"/>
        <v>57782.223653565052</v>
      </c>
      <c r="L30" s="10">
        <f t="shared" si="13"/>
        <v>61396.775453565053</v>
      </c>
      <c r="M30" s="10">
        <f t="shared" si="13"/>
        <v>86964.669842147734</v>
      </c>
      <c r="N30" s="10">
        <f t="shared" si="13"/>
        <v>42420.378503565058</v>
      </c>
      <c r="O30" s="10">
        <f t="shared" si="13"/>
        <v>42420.378503565058</v>
      </c>
      <c r="P30" s="10">
        <f t="shared" si="13"/>
        <v>95391.946135176258</v>
      </c>
      <c r="R30" s="10">
        <f>SUM(E30:P30)</f>
        <v>817834.92916626029</v>
      </c>
    </row>
    <row r="31" spans="1:19" ht="15.75" thickTop="1" x14ac:dyDescent="0.25"/>
    <row r="32" spans="1:19" x14ac:dyDescent="0.25">
      <c r="A32" t="s">
        <v>1169</v>
      </c>
      <c r="E32" s="15">
        <f>E25*E20</f>
        <v>39208.249646434946</v>
      </c>
      <c r="F32" s="15">
        <f t="shared" ref="F32:P32" si="14">F25*F20</f>
        <v>39208.249646434946</v>
      </c>
      <c r="G32" s="15">
        <f t="shared" si="14"/>
        <v>39208.249646434946</v>
      </c>
      <c r="H32" s="15">
        <f t="shared" si="14"/>
        <v>39208.249646434946</v>
      </c>
      <c r="I32" s="15">
        <f t="shared" si="14"/>
        <v>39208.249646434946</v>
      </c>
      <c r="J32" s="15">
        <f t="shared" si="14"/>
        <v>39208.249646434946</v>
      </c>
      <c r="K32" s="15">
        <f t="shared" si="14"/>
        <v>39208.249646434946</v>
      </c>
      <c r="L32" s="15">
        <f t="shared" si="14"/>
        <v>39208.249646434946</v>
      </c>
      <c r="M32" s="15">
        <f t="shared" si="14"/>
        <v>39208.249646434946</v>
      </c>
      <c r="N32" s="15">
        <f t="shared" si="14"/>
        <v>39208.249646434946</v>
      </c>
      <c r="O32" s="15">
        <f t="shared" si="14"/>
        <v>39208.249646434946</v>
      </c>
      <c r="P32" s="15">
        <f t="shared" si="14"/>
        <v>39208.249646434946</v>
      </c>
      <c r="R32" s="6">
        <f>SUM(E32:P32)</f>
        <v>470498.99575721944</v>
      </c>
    </row>
    <row r="34" spans="1:19" x14ac:dyDescent="0.25">
      <c r="A34" t="s">
        <v>1076</v>
      </c>
      <c r="E34" s="64">
        <f>SUMIFS('[18]Summary - Selling Expenses'!Z:Z,'[18]Summary - Selling Expenses'!$E:$E,3,'[18]Summary - Selling Expenses'!$C:$C,160)</f>
        <v>39208.249646434946</v>
      </c>
      <c r="F34" s="64">
        <f>SUMIFS('[18]Summary - Selling Expenses'!AA:AA,'[18]Summary - Selling Expenses'!$E:$E,3,'[18]Summary - Selling Expenses'!$C:$C,160)</f>
        <v>39208.249646434946</v>
      </c>
      <c r="G34" s="64">
        <f>SUMIFS('[18]Summary - Selling Expenses'!AB:AB,'[18]Summary - Selling Expenses'!$E:$E,3,'[18]Summary - Selling Expenses'!$C:$C,160)</f>
        <v>39208.249646434946</v>
      </c>
      <c r="H34" s="64">
        <f>SUMIFS('[18]Summary - Selling Expenses'!AC:AC,'[18]Summary - Selling Expenses'!$E:$E,3,'[18]Summary - Selling Expenses'!$C:$C,160)</f>
        <v>39208.249646434946</v>
      </c>
      <c r="I34" s="64">
        <f>SUMIFS('[18]Summary - Selling Expenses'!AD:AD,'[18]Summary - Selling Expenses'!$E:$E,3,'[18]Summary - Selling Expenses'!$C:$C,160)</f>
        <v>39208.249646434946</v>
      </c>
      <c r="J34" s="64">
        <f>SUMIFS('[18]Summary - Selling Expenses'!AE:AE,'[18]Summary - Selling Expenses'!$E:$E,3,'[18]Summary - Selling Expenses'!$C:$C,160)</f>
        <v>39208.249646434946</v>
      </c>
      <c r="K34" s="64">
        <f>SUMIFS('[18]Summary - Selling Expenses'!AF:AF,'[18]Summary - Selling Expenses'!$E:$E,3,'[18]Summary - Selling Expenses'!$C:$C,160)</f>
        <v>39208.249646434946</v>
      </c>
      <c r="L34" s="64">
        <f>SUMIFS('[18]Summary - Selling Expenses'!AG:AG,'[18]Summary - Selling Expenses'!$E:$E,3,'[18]Summary - Selling Expenses'!$C:$C,160)</f>
        <v>39208.249646434946</v>
      </c>
      <c r="M34" s="64">
        <f>SUMIFS('[18]Summary - Selling Expenses'!AH:AH,'[18]Summary - Selling Expenses'!$E:$E,3,'[18]Summary - Selling Expenses'!$C:$C,160)</f>
        <v>39208.249646434946</v>
      </c>
      <c r="N34" s="64">
        <f>SUMIFS('[18]Summary - Selling Expenses'!AI:AI,'[18]Summary - Selling Expenses'!$E:$E,3,'[18]Summary - Selling Expenses'!$C:$C,160)</f>
        <v>39208.249646434946</v>
      </c>
      <c r="O34" s="64">
        <f>SUMIFS('[18]Summary - Selling Expenses'!AJ:AJ,'[18]Summary - Selling Expenses'!$E:$E,3,'[18]Summary - Selling Expenses'!$C:$C,160)</f>
        <v>39208.249646434946</v>
      </c>
      <c r="P34" s="64">
        <f>SUMIFS('[18]Summary - Selling Expenses'!AK:AK,'[18]Summary - Selling Expenses'!$E:$E,3,'[18]Summary - Selling Expenses'!$C:$C,160)</f>
        <v>39208.249646434946</v>
      </c>
      <c r="R34" s="6">
        <f>SUM(E34:P34)</f>
        <v>470498.99575721944</v>
      </c>
    </row>
    <row r="35" spans="1:19" x14ac:dyDescent="0.25">
      <c r="R35" s="6">
        <f>SUMIFS('[18]Summary - Selling Expenses'!$AL:$AL,'[18]Summary - Selling Expenses'!$C:$C,160,'[18]Summary - Selling Expenses'!$D:$D,'[18]Summary - Selling Expenses'!$D$15)-R34</f>
        <v>0</v>
      </c>
      <c r="S35" s="34" t="s">
        <v>1093</v>
      </c>
    </row>
  </sheetData>
  <mergeCells count="2">
    <mergeCell ref="Q5:R5"/>
    <mergeCell ref="Q21:R21"/>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A02C1-3E7B-43DF-AFE8-2C81BD1D98C7}">
  <sheetPr codeName="Sheet13">
    <tabColor theme="9" tint="0.79998168889431442"/>
  </sheetPr>
  <dimension ref="A1:V41"/>
  <sheetViews>
    <sheetView workbookViewId="0">
      <selection activeCell="P15" sqref="P15"/>
    </sheetView>
  </sheetViews>
  <sheetFormatPr defaultRowHeight="15" x14ac:dyDescent="0.25"/>
  <cols>
    <col min="1" max="1" width="26.85546875" bestFit="1" customWidth="1"/>
    <col min="2" max="4" width="10.7109375" hidden="1" customWidth="1"/>
    <col min="5" max="16" width="10.7109375" customWidth="1"/>
    <col min="17" max="17" width="2.85546875" customWidth="1"/>
    <col min="18" max="18" width="10.7109375" customWidth="1"/>
    <col min="19" max="19" width="12.140625" bestFit="1" customWidth="1"/>
  </cols>
  <sheetData>
    <row r="1" spans="1:22" ht="15.75" x14ac:dyDescent="0.25">
      <c r="A1" s="11" t="s">
        <v>1160</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2" x14ac:dyDescent="0.25">
      <c r="A3" s="4"/>
      <c r="B3" s="5"/>
      <c r="C3" s="5"/>
      <c r="D3" s="5"/>
      <c r="E3" s="5"/>
      <c r="F3" s="5"/>
      <c r="G3" s="5"/>
      <c r="H3" s="5"/>
      <c r="I3" s="5"/>
      <c r="J3" s="5"/>
      <c r="K3" s="5"/>
      <c r="L3" s="5"/>
      <c r="M3" s="5"/>
      <c r="N3" s="5"/>
      <c r="O3" s="5"/>
      <c r="P3" s="5"/>
      <c r="R3" s="5"/>
    </row>
    <row r="4" spans="1:22" x14ac:dyDescent="0.25">
      <c r="A4" s="47" t="s">
        <v>1161</v>
      </c>
      <c r="B4" s="1">
        <f>'Used Vehicles - NW'!B7+'New Vehicles - NW'!B4</f>
        <v>106</v>
      </c>
      <c r="C4" s="1">
        <f>'Used Vehicles - NW'!C7+'New Vehicles - NW'!C4</f>
        <v>75</v>
      </c>
      <c r="D4" s="1">
        <f>'Used Vehicles - NW'!D7+'New Vehicles - NW'!D4</f>
        <v>126</v>
      </c>
      <c r="E4" s="1">
        <f>'Used Vehicles - NW'!E7+'New Vehicles - NW'!E4</f>
        <v>100</v>
      </c>
      <c r="F4" s="1">
        <f>'Used Vehicles - NW'!F7+'New Vehicles - NW'!F4</f>
        <v>122</v>
      </c>
      <c r="G4" s="1">
        <f>'Used Vehicles - NW'!G7+'New Vehicles - NW'!G4</f>
        <v>133</v>
      </c>
      <c r="H4" s="1">
        <f>'Used Vehicles - NW'!H7+'New Vehicles - NW'!H4</f>
        <v>64</v>
      </c>
      <c r="I4" s="1">
        <f>'Used Vehicles - NW'!I7+'New Vehicles - NW'!I4</f>
        <v>101</v>
      </c>
      <c r="J4" s="1">
        <f>'Used Vehicles - NW'!J7+'New Vehicles - NW'!J4</f>
        <v>99</v>
      </c>
      <c r="K4" s="1">
        <f>'Used Vehicles - NW'!K7+'New Vehicles - NW'!K4</f>
        <v>73</v>
      </c>
      <c r="L4" s="1">
        <f>'Used Vehicles - NW'!L7+'New Vehicles - NW'!L4</f>
        <v>112</v>
      </c>
      <c r="M4" s="1">
        <f>'Used Vehicles - NW'!M7+'New Vehicles - NW'!M4</f>
        <v>73</v>
      </c>
      <c r="N4" s="1">
        <f>'Used Vehicles - NW'!N7+'New Vehicles - NW'!N4</f>
        <v>102</v>
      </c>
      <c r="O4" s="1">
        <f>'Used Vehicles - NW'!O7+'New Vehicles - NW'!O4</f>
        <v>89</v>
      </c>
      <c r="P4" s="1">
        <f>'Used Vehicles - NW'!P7+'New Vehicles - NW'!P4</f>
        <v>93</v>
      </c>
      <c r="Q4" s="8"/>
      <c r="R4" s="1">
        <f>SUM(E4:P4)</f>
        <v>1161</v>
      </c>
    </row>
    <row r="5" spans="1:22" x14ac:dyDescent="0.25">
      <c r="A5" s="47"/>
      <c r="B5" s="6"/>
      <c r="C5" s="6"/>
      <c r="D5" s="6"/>
      <c r="E5" s="6"/>
      <c r="F5" s="6"/>
      <c r="G5" s="6"/>
      <c r="H5" s="6"/>
      <c r="I5" s="6"/>
      <c r="J5" s="6"/>
      <c r="K5" s="6"/>
      <c r="L5" s="6"/>
      <c r="M5" s="6"/>
      <c r="N5" s="6"/>
      <c r="O5" s="6"/>
      <c r="P5" s="6"/>
      <c r="Q5" s="316"/>
      <c r="R5" s="316"/>
    </row>
    <row r="6" spans="1:22" x14ac:dyDescent="0.25">
      <c r="A6" s="47" t="s">
        <v>1162</v>
      </c>
      <c r="B6" s="64">
        <f t="shared" ref="B6:M6" si="0">B8-B7</f>
        <v>494.79698113207553</v>
      </c>
      <c r="C6" s="64">
        <f t="shared" si="0"/>
        <v>587.73106666666661</v>
      </c>
      <c r="D6" s="64">
        <f t="shared" si="0"/>
        <v>532.97873015873017</v>
      </c>
      <c r="E6" s="64">
        <f t="shared" si="0"/>
        <v>745.84660000000008</v>
      </c>
      <c r="F6" s="64">
        <f t="shared" si="0"/>
        <v>702.92901639344257</v>
      </c>
      <c r="G6" s="64">
        <f t="shared" si="0"/>
        <v>443.6678195488721</v>
      </c>
      <c r="H6" s="64">
        <f t="shared" si="0"/>
        <v>588.63062500000012</v>
      </c>
      <c r="I6" s="64">
        <f t="shared" si="0"/>
        <v>507.28584158415845</v>
      </c>
      <c r="J6" s="64">
        <f t="shared" si="0"/>
        <v>705.22131313131308</v>
      </c>
      <c r="K6" s="64">
        <f t="shared" si="0"/>
        <v>862.25684931506839</v>
      </c>
      <c r="L6" s="64">
        <f t="shared" si="0"/>
        <v>635.33017857142863</v>
      </c>
      <c r="M6" s="64">
        <f t="shared" si="0"/>
        <v>437.67123287671228</v>
      </c>
      <c r="N6" s="64">
        <f>N8-N7</f>
        <v>513.48049019607845</v>
      </c>
      <c r="O6" s="64">
        <f>O8-O7</f>
        <v>598.02943820224709</v>
      </c>
      <c r="P6" s="64">
        <f>P8-P7</f>
        <v>430.74870967741936</v>
      </c>
      <c r="Q6" s="3"/>
      <c r="R6" s="64">
        <f>AVERAGE(E6:P6)</f>
        <v>597.59150954139511</v>
      </c>
    </row>
    <row r="7" spans="1:22" s="7" customFormat="1" x14ac:dyDescent="0.25">
      <c r="A7" s="7" t="s">
        <v>1070</v>
      </c>
      <c r="B7" s="65">
        <f>'[3]NW F&amp;I'!$B$11</f>
        <v>0</v>
      </c>
      <c r="C7" s="65">
        <f>'[4]NW F&amp;I'!$B$11</f>
        <v>107.99413333333334</v>
      </c>
      <c r="D7" s="65">
        <f>'[5]NW F&amp;I'!$B$11</f>
        <v>480.80357142857144</v>
      </c>
      <c r="E7" s="65">
        <f>'[6]NW F&amp;I'!$B$11</f>
        <v>0</v>
      </c>
      <c r="F7" s="65">
        <f>'[7]NW F&amp;I'!$B$11</f>
        <v>0</v>
      </c>
      <c r="G7" s="65">
        <f>'[8]NW F&amp;I'!$B$11</f>
        <v>476.1069172932331</v>
      </c>
      <c r="H7" s="65">
        <f>'[9]NW F&amp;I'!$B$11</f>
        <v>0</v>
      </c>
      <c r="I7" s="65">
        <f>'[10]NW F&amp;I'!$B$11</f>
        <v>0</v>
      </c>
      <c r="J7" s="65">
        <f>'[11]NW F&amp;I'!$B$11</f>
        <v>302.02020202020202</v>
      </c>
      <c r="K7" s="65">
        <f>'[12]NW F&amp;I'!$B$11</f>
        <v>0</v>
      </c>
      <c r="L7" s="65">
        <f>'[13]NW F&amp;I'!$B$11</f>
        <v>0</v>
      </c>
      <c r="M7" s="65">
        <f>'[14]NW F&amp;I'!$B$11</f>
        <v>394.52054794520546</v>
      </c>
      <c r="N7" s="65">
        <f>'[15]NW F&amp;I'!$B$11</f>
        <v>0</v>
      </c>
      <c r="O7" s="65">
        <f>'[16]NW F&amp;I'!$B$11</f>
        <v>0</v>
      </c>
      <c r="P7" s="65">
        <f>'[17]NW F&amp;I'!$B$11</f>
        <v>351.61290322580646</v>
      </c>
      <c r="Q7" s="3"/>
      <c r="R7" s="64">
        <f>AVERAGE(E7:P7)</f>
        <v>127.02171420703723</v>
      </c>
      <c r="S7" s="6"/>
      <c r="T7" s="3"/>
      <c r="U7" s="6"/>
      <c r="V7" s="6"/>
    </row>
    <row r="8" spans="1:22" s="7" customFormat="1" x14ac:dyDescent="0.25">
      <c r="A8" s="7" t="s">
        <v>1163</v>
      </c>
      <c r="B8" s="65">
        <f>'[3]NW F&amp;I'!$B$13</f>
        <v>494.79698113207553</v>
      </c>
      <c r="C8" s="65">
        <f>'[4]NW F&amp;I'!$B$13</f>
        <v>695.72519999999997</v>
      </c>
      <c r="D8" s="65">
        <f>'[5]NW F&amp;I'!$B$13</f>
        <v>1013.7823015873016</v>
      </c>
      <c r="E8" s="65">
        <f>'[6]NW F&amp;I'!$B$13</f>
        <v>745.84660000000008</v>
      </c>
      <c r="F8" s="65">
        <f>'[7]NW F&amp;I'!$B$13</f>
        <v>702.92901639344257</v>
      </c>
      <c r="G8" s="65">
        <f>'[8]NW F&amp;I'!$B$13</f>
        <v>919.7747368421052</v>
      </c>
      <c r="H8" s="65">
        <f>'[9]NW F&amp;I'!$B$13</f>
        <v>588.63062500000012</v>
      </c>
      <c r="I8" s="65">
        <f>'[10]NW F&amp;I'!$B$13</f>
        <v>507.28584158415845</v>
      </c>
      <c r="J8" s="65">
        <f>'[11]NW F&amp;I'!$B$13</f>
        <v>1007.2415151515152</v>
      </c>
      <c r="K8" s="65">
        <f>'[12]NW F&amp;I'!$B$13</f>
        <v>862.25684931506839</v>
      </c>
      <c r="L8" s="65">
        <f>'[13]NW F&amp;I'!$B$13</f>
        <v>635.33017857142863</v>
      </c>
      <c r="M8" s="65">
        <f>'[14]NW F&amp;I'!$B$13</f>
        <v>832.19178082191775</v>
      </c>
      <c r="N8" s="65">
        <f>'[15]NW F&amp;I'!$B$13</f>
        <v>513.48049019607845</v>
      </c>
      <c r="O8" s="65">
        <f>'[16]NW F&amp;I'!$B$13</f>
        <v>598.02943820224709</v>
      </c>
      <c r="P8" s="65">
        <f>'[17]NW F&amp;I'!$B$13</f>
        <v>782.36161290322582</v>
      </c>
      <c r="Q8" s="3"/>
      <c r="R8" s="6">
        <f>AVERAGE(E8:P8)</f>
        <v>724.61322374843223</v>
      </c>
      <c r="S8" s="6"/>
      <c r="T8" s="3"/>
      <c r="U8" s="6"/>
      <c r="V8" s="6"/>
    </row>
    <row r="9" spans="1:22" x14ac:dyDescent="0.25">
      <c r="A9" s="47" t="s">
        <v>1164</v>
      </c>
      <c r="B9" s="64">
        <f>'[3]NW F&amp;I'!$B$17</f>
        <v>231.27556603773587</v>
      </c>
      <c r="C9" s="64">
        <f>'[4]NW F&amp;I'!$B$17</f>
        <v>285.86160000000001</v>
      </c>
      <c r="D9" s="64">
        <f>'[5]NW F&amp;I'!$B$17</f>
        <v>228.92222222222222</v>
      </c>
      <c r="E9" s="64">
        <f>'[6]NW F&amp;I'!$B$17</f>
        <v>310.19349999999997</v>
      </c>
      <c r="F9" s="64">
        <f>'[7]NW F&amp;I'!$B$17</f>
        <v>305.7963934426229</v>
      </c>
      <c r="G9" s="64">
        <f>'[8]NW F&amp;I'!$B$17</f>
        <v>215.27879699248126</v>
      </c>
      <c r="H9" s="64">
        <f>'[9]NW F&amp;I'!$B$17</f>
        <v>395.55218749999995</v>
      </c>
      <c r="I9" s="64">
        <f>'[10]NW F&amp;I'!$B$17</f>
        <v>252.24009900990097</v>
      </c>
      <c r="J9" s="64">
        <f>'[11]NW F&amp;I'!$B$17</f>
        <v>294.73929292929296</v>
      </c>
      <c r="K9" s="64">
        <f>'[12]NW F&amp;I'!$B$17</f>
        <v>396.88602739726031</v>
      </c>
      <c r="L9" s="64">
        <f>'[13]NW F&amp;I'!$B$17</f>
        <v>282.08366071428571</v>
      </c>
      <c r="M9" s="64">
        <f>'[14]NW F&amp;I'!$B$17</f>
        <v>389.58698630136985</v>
      </c>
      <c r="N9" s="64">
        <f>'[15]NW F&amp;I'!$B$17</f>
        <v>280.45803921568626</v>
      </c>
      <c r="O9" s="64">
        <f>'[16]NW F&amp;I'!$B$17</f>
        <v>263.33303370786518</v>
      </c>
      <c r="P9" s="64">
        <f>'[17]NW F&amp;I'!$B$17</f>
        <v>377.84623655913975</v>
      </c>
      <c r="Q9" s="3"/>
      <c r="R9" s="6">
        <f>AVERAGE(E9:P9)</f>
        <v>313.66618781415872</v>
      </c>
    </row>
    <row r="10" spans="1:22" x14ac:dyDescent="0.25">
      <c r="A10" s="47" t="s">
        <v>1074</v>
      </c>
      <c r="B10" s="64">
        <f t="shared" ref="B10:M10" si="1">B8-B9</f>
        <v>263.52141509433966</v>
      </c>
      <c r="C10" s="64">
        <f t="shared" si="1"/>
        <v>409.86359999999996</v>
      </c>
      <c r="D10" s="64">
        <f t="shared" si="1"/>
        <v>784.8600793650794</v>
      </c>
      <c r="E10" s="64">
        <f t="shared" si="1"/>
        <v>435.65310000000011</v>
      </c>
      <c r="F10" s="64">
        <f t="shared" si="1"/>
        <v>397.13262295081967</v>
      </c>
      <c r="G10" s="64">
        <f t="shared" si="1"/>
        <v>704.49593984962394</v>
      </c>
      <c r="H10" s="64">
        <f t="shared" si="1"/>
        <v>193.07843750000018</v>
      </c>
      <c r="I10" s="64">
        <f t="shared" si="1"/>
        <v>255.04574257425747</v>
      </c>
      <c r="J10" s="64">
        <f t="shared" si="1"/>
        <v>712.50222222222214</v>
      </c>
      <c r="K10" s="64">
        <f t="shared" si="1"/>
        <v>465.37082191780809</v>
      </c>
      <c r="L10" s="64">
        <f t="shared" si="1"/>
        <v>353.24651785714292</v>
      </c>
      <c r="M10" s="64">
        <f t="shared" si="1"/>
        <v>442.6047945205479</v>
      </c>
      <c r="N10" s="64">
        <f>N8-N9</f>
        <v>233.02245098039219</v>
      </c>
      <c r="O10" s="64">
        <f>O8-O9</f>
        <v>334.69640449438191</v>
      </c>
      <c r="P10" s="64">
        <f>P8-P9</f>
        <v>404.51537634408606</v>
      </c>
      <c r="R10" s="6">
        <f>AVERAGE(E10:P10)</f>
        <v>410.94703593427352</v>
      </c>
    </row>
    <row r="11" spans="1:22" x14ac:dyDescent="0.25">
      <c r="A11" s="47"/>
      <c r="B11" s="6"/>
      <c r="C11" s="6"/>
      <c r="D11" s="6"/>
      <c r="E11" s="6"/>
      <c r="F11" s="6"/>
      <c r="G11" s="6"/>
      <c r="H11" s="6"/>
      <c r="I11" s="6"/>
      <c r="J11" s="6"/>
      <c r="K11" s="6"/>
      <c r="L11" s="6"/>
      <c r="M11" s="6"/>
      <c r="N11" s="6"/>
      <c r="O11" s="6"/>
      <c r="P11" s="6"/>
      <c r="R11" s="47"/>
    </row>
    <row r="12" spans="1:22" x14ac:dyDescent="0.25">
      <c r="A12" s="7" t="s">
        <v>1165</v>
      </c>
      <c r="B12" s="6">
        <f t="shared" ref="B12:M12" si="2">B4*B8</f>
        <v>52448.480000000003</v>
      </c>
      <c r="C12" s="6">
        <f t="shared" si="2"/>
        <v>52179.39</v>
      </c>
      <c r="D12" s="6">
        <f t="shared" si="2"/>
        <v>127736.57</v>
      </c>
      <c r="E12" s="6">
        <f t="shared" si="2"/>
        <v>74584.66</v>
      </c>
      <c r="F12" s="6">
        <f t="shared" si="2"/>
        <v>85757.34</v>
      </c>
      <c r="G12" s="6">
        <f t="shared" si="2"/>
        <v>122330.04</v>
      </c>
      <c r="H12" s="6">
        <f t="shared" si="2"/>
        <v>37672.360000000008</v>
      </c>
      <c r="I12" s="6">
        <f t="shared" si="2"/>
        <v>51235.87</v>
      </c>
      <c r="J12" s="6">
        <f t="shared" si="2"/>
        <v>99716.91</v>
      </c>
      <c r="K12" s="6">
        <f t="shared" si="2"/>
        <v>62944.749999999993</v>
      </c>
      <c r="L12" s="6">
        <f t="shared" si="2"/>
        <v>71156.98000000001</v>
      </c>
      <c r="M12" s="6">
        <f t="shared" si="2"/>
        <v>60749.999999999993</v>
      </c>
      <c r="N12" s="6">
        <f>N4*N8</f>
        <v>52375.01</v>
      </c>
      <c r="O12" s="6">
        <f>O4*O8</f>
        <v>53224.619999999988</v>
      </c>
      <c r="P12" s="6">
        <f>P4*P8</f>
        <v>72759.63</v>
      </c>
      <c r="R12" s="6">
        <f>SUM(E12:P12)</f>
        <v>844508.16999999993</v>
      </c>
    </row>
    <row r="13" spans="1:22" x14ac:dyDescent="0.25">
      <c r="A13" s="7" t="s">
        <v>1076</v>
      </c>
      <c r="B13" s="6">
        <f t="shared" ref="B13:M13" si="3">B9*B4</f>
        <v>24515.210000000003</v>
      </c>
      <c r="C13" s="6">
        <f t="shared" si="3"/>
        <v>21439.62</v>
      </c>
      <c r="D13" s="6">
        <f t="shared" si="3"/>
        <v>28844.2</v>
      </c>
      <c r="E13" s="6">
        <f t="shared" si="3"/>
        <v>31019.35</v>
      </c>
      <c r="F13" s="6">
        <f t="shared" si="3"/>
        <v>37307.159999999996</v>
      </c>
      <c r="G13" s="6">
        <f t="shared" si="3"/>
        <v>28632.080000000009</v>
      </c>
      <c r="H13" s="6">
        <f t="shared" si="3"/>
        <v>25315.339999999997</v>
      </c>
      <c r="I13" s="6">
        <f t="shared" si="3"/>
        <v>25476.25</v>
      </c>
      <c r="J13" s="6">
        <f t="shared" si="3"/>
        <v>29179.190000000002</v>
      </c>
      <c r="K13" s="6">
        <f t="shared" si="3"/>
        <v>28972.680000000004</v>
      </c>
      <c r="L13" s="6">
        <f t="shared" si="3"/>
        <v>31593.37</v>
      </c>
      <c r="M13" s="6">
        <f t="shared" si="3"/>
        <v>28439.85</v>
      </c>
      <c r="N13" s="6">
        <f>N9*N4</f>
        <v>28606.719999999998</v>
      </c>
      <c r="O13" s="6">
        <f>O9*O4</f>
        <v>23436.640000000003</v>
      </c>
      <c r="P13" s="6">
        <f>P9*P4</f>
        <v>35139.699999999997</v>
      </c>
      <c r="R13" s="6">
        <f>SUM(E13:P13)</f>
        <v>353118.32999999996</v>
      </c>
    </row>
    <row r="14" spans="1:22" ht="15.75" thickBot="1" x14ac:dyDescent="0.3">
      <c r="A14" s="9" t="s">
        <v>1078</v>
      </c>
      <c r="B14" s="10">
        <f t="shared" ref="B14:M14" si="4">B12-B13</f>
        <v>27933.27</v>
      </c>
      <c r="C14" s="10">
        <f t="shared" si="4"/>
        <v>30739.77</v>
      </c>
      <c r="D14" s="10">
        <f t="shared" si="4"/>
        <v>98892.37000000001</v>
      </c>
      <c r="E14" s="10">
        <f t="shared" si="4"/>
        <v>43565.310000000005</v>
      </c>
      <c r="F14" s="10">
        <f t="shared" si="4"/>
        <v>48450.18</v>
      </c>
      <c r="G14" s="10">
        <f t="shared" si="4"/>
        <v>93697.959999999992</v>
      </c>
      <c r="H14" s="10">
        <f t="shared" si="4"/>
        <v>12357.020000000011</v>
      </c>
      <c r="I14" s="10">
        <f t="shared" si="4"/>
        <v>25759.620000000003</v>
      </c>
      <c r="J14" s="10">
        <f t="shared" si="4"/>
        <v>70537.72</v>
      </c>
      <c r="K14" s="10">
        <f t="shared" si="4"/>
        <v>33972.069999999992</v>
      </c>
      <c r="L14" s="10">
        <f t="shared" si="4"/>
        <v>39563.610000000015</v>
      </c>
      <c r="M14" s="10">
        <f t="shared" si="4"/>
        <v>32310.149999999994</v>
      </c>
      <c r="N14" s="10">
        <f>N12-N13</f>
        <v>23768.290000000005</v>
      </c>
      <c r="O14" s="10">
        <f>O12-O13</f>
        <v>29787.979999999985</v>
      </c>
      <c r="P14" s="10">
        <f>P12-P13</f>
        <v>37619.930000000008</v>
      </c>
      <c r="R14" s="10">
        <f>SUM(E14:P14)</f>
        <v>491389.84000000008</v>
      </c>
    </row>
    <row r="15" spans="1:22" ht="15.75" thickTop="1" x14ac:dyDescent="0.25">
      <c r="E15" s="278">
        <f>E4*E6</f>
        <v>74584.66</v>
      </c>
      <c r="F15" s="278">
        <f t="shared" ref="F15:O15" si="5">F4*F6</f>
        <v>85757.34</v>
      </c>
      <c r="G15" s="278">
        <f t="shared" si="5"/>
        <v>59007.819999999992</v>
      </c>
      <c r="H15" s="278">
        <f t="shared" si="5"/>
        <v>37672.360000000008</v>
      </c>
      <c r="I15" s="278">
        <f t="shared" si="5"/>
        <v>51235.87</v>
      </c>
      <c r="J15" s="278">
        <f t="shared" si="5"/>
        <v>69816.909999999989</v>
      </c>
      <c r="K15" s="278">
        <f t="shared" si="5"/>
        <v>62944.749999999993</v>
      </c>
      <c r="L15" s="278">
        <f t="shared" si="5"/>
        <v>71156.98000000001</v>
      </c>
      <c r="M15" s="278">
        <f t="shared" si="5"/>
        <v>31949.999999999996</v>
      </c>
      <c r="N15" s="278">
        <f t="shared" si="5"/>
        <v>52375.01</v>
      </c>
      <c r="O15" s="278">
        <f t="shared" si="5"/>
        <v>53224.619999999988</v>
      </c>
      <c r="P15" s="275">
        <f>SUM(E15:O15)</f>
        <v>649726.32000000007</v>
      </c>
      <c r="Q15" s="5"/>
    </row>
    <row r="16" spans="1:22" x14ac:dyDescent="0.25">
      <c r="E16" s="157"/>
      <c r="F16" s="157"/>
      <c r="G16" s="157"/>
      <c r="H16" s="157"/>
      <c r="I16" s="157"/>
      <c r="J16" s="157"/>
      <c r="K16" s="157"/>
      <c r="L16" s="157"/>
      <c r="M16" s="157"/>
      <c r="N16" s="157"/>
      <c r="O16" s="276">
        <f>P15/P16</f>
        <v>608.35797752808992</v>
      </c>
      <c r="P16" s="277">
        <f>SUM(E4:O4)</f>
        <v>1068</v>
      </c>
      <c r="Q16" s="5"/>
      <c r="R16" s="3"/>
    </row>
    <row r="17" spans="1:19" ht="15.75" x14ac:dyDescent="0.25">
      <c r="A17" s="11" t="s">
        <v>1160</v>
      </c>
      <c r="B17" s="5">
        <v>45292</v>
      </c>
      <c r="C17" s="5">
        <v>45323</v>
      </c>
      <c r="D17" s="5">
        <v>45352</v>
      </c>
      <c r="E17" s="5">
        <v>45383</v>
      </c>
      <c r="F17" s="5">
        <v>45413</v>
      </c>
      <c r="G17" s="5">
        <v>45444</v>
      </c>
      <c r="H17" s="5">
        <v>45474</v>
      </c>
      <c r="I17" s="5">
        <v>45505</v>
      </c>
      <c r="J17" s="5">
        <v>45536</v>
      </c>
      <c r="K17" s="5">
        <v>45566</v>
      </c>
      <c r="L17" s="5">
        <v>45597</v>
      </c>
      <c r="M17" s="5">
        <v>45627</v>
      </c>
      <c r="N17" s="5">
        <v>45658</v>
      </c>
      <c r="O17" s="5">
        <v>45689</v>
      </c>
      <c r="P17" s="5">
        <v>45717</v>
      </c>
      <c r="R17" s="5" t="s">
        <v>955</v>
      </c>
    </row>
    <row r="18" spans="1:19" x14ac:dyDescent="0.25">
      <c r="A18" s="4"/>
      <c r="B18" s="5" t="s">
        <v>958</v>
      </c>
      <c r="C18" s="5" t="s">
        <v>959</v>
      </c>
      <c r="D18" s="5" t="s">
        <v>959</v>
      </c>
      <c r="E18" s="5" t="s">
        <v>959</v>
      </c>
      <c r="F18" s="5" t="s">
        <v>959</v>
      </c>
      <c r="G18" s="5" t="s">
        <v>959</v>
      </c>
      <c r="H18" s="5" t="s">
        <v>959</v>
      </c>
      <c r="I18" s="5" t="s">
        <v>959</v>
      </c>
      <c r="J18" s="5" t="s">
        <v>959</v>
      </c>
      <c r="K18" s="5" t="s">
        <v>959</v>
      </c>
      <c r="L18" s="5" t="s">
        <v>959</v>
      </c>
      <c r="M18" s="5" t="s">
        <v>959</v>
      </c>
      <c r="N18" s="5" t="s">
        <v>959</v>
      </c>
      <c r="O18" s="5" t="s">
        <v>959</v>
      </c>
      <c r="P18" s="5" t="s">
        <v>959</v>
      </c>
      <c r="Q18" s="8"/>
      <c r="R18" s="5" t="s">
        <v>961</v>
      </c>
    </row>
    <row r="19" spans="1:19" x14ac:dyDescent="0.25">
      <c r="A19" s="4"/>
      <c r="B19" s="5"/>
      <c r="C19" s="5"/>
      <c r="D19" s="5"/>
      <c r="E19" s="5"/>
      <c r="F19" s="5"/>
      <c r="G19" s="5"/>
      <c r="H19" s="5"/>
      <c r="I19" s="5"/>
      <c r="J19" s="5"/>
      <c r="K19" s="5"/>
      <c r="L19" s="5"/>
      <c r="M19" s="5"/>
      <c r="N19" s="5"/>
      <c r="O19" s="5"/>
      <c r="P19" s="5"/>
      <c r="Q19" s="3"/>
      <c r="R19" s="5"/>
    </row>
    <row r="20" spans="1:19" x14ac:dyDescent="0.25">
      <c r="A20" s="47" t="s">
        <v>1161</v>
      </c>
      <c r="B20" s="1">
        <f>N4</f>
        <v>102</v>
      </c>
      <c r="C20" s="1">
        <f>'Used Vehicles - NW'!O7+'New Vehicles - NW'!O4</f>
        <v>89</v>
      </c>
      <c r="D20" s="1">
        <f>'Used Vehicles - NW'!P7+'New Vehicles - NW'!P4</f>
        <v>93</v>
      </c>
      <c r="E20" s="1">
        <f>'New Vehicles - NW'!E25+'Used Vehicles - NW'!E33</f>
        <v>102.25</v>
      </c>
      <c r="F20" s="1">
        <f>'New Vehicles - NW'!F25+'Used Vehicles - NW'!F33</f>
        <v>112.25</v>
      </c>
      <c r="G20" s="1">
        <f>'New Vehicles - NW'!G25+'Used Vehicles - NW'!G33</f>
        <v>120.25</v>
      </c>
      <c r="H20" s="1">
        <f>'New Vehicles - NW'!H25+'Used Vehicles - NW'!H33</f>
        <v>111.5</v>
      </c>
      <c r="I20" s="1">
        <f>'New Vehicles - NW'!I25+'Used Vehicles - NW'!I33</f>
        <v>116</v>
      </c>
      <c r="J20" s="1">
        <f>'New Vehicles - NW'!J25+'Used Vehicles - NW'!J33</f>
        <v>120.5</v>
      </c>
      <c r="K20" s="1">
        <f>'New Vehicles - NW'!K25+'Used Vehicles - NW'!K33</f>
        <v>111.5</v>
      </c>
      <c r="L20" s="1">
        <f>'New Vehicles - NW'!L25+'Used Vehicles - NW'!L33</f>
        <v>129.5</v>
      </c>
      <c r="M20" s="1">
        <f>'New Vehicles - NW'!M25+'Used Vehicles - NW'!M33</f>
        <v>118.5</v>
      </c>
      <c r="N20" s="1">
        <f>'New Vehicles - NW'!N25+'Used Vehicles - NW'!N33</f>
        <v>114</v>
      </c>
      <c r="O20" s="1">
        <f>'New Vehicles - NW'!O25+'Used Vehicles - NW'!O33</f>
        <v>114</v>
      </c>
      <c r="P20" s="1">
        <f>'New Vehicles - NW'!P25+'Used Vehicles - NW'!P33</f>
        <v>134.5</v>
      </c>
      <c r="R20" s="1">
        <f>SUM(E20:P20)</f>
        <v>1404.75</v>
      </c>
      <c r="S20" s="34" t="s">
        <v>1166</v>
      </c>
    </row>
    <row r="21" spans="1:19" x14ac:dyDescent="0.25">
      <c r="A21" s="47"/>
      <c r="B21" s="6"/>
      <c r="C21" s="6"/>
      <c r="D21" s="6"/>
      <c r="E21" s="6"/>
      <c r="F21" s="6"/>
      <c r="G21" s="6"/>
      <c r="H21" s="6"/>
      <c r="I21" s="6"/>
      <c r="J21" s="6"/>
      <c r="K21" s="6"/>
      <c r="L21" s="6"/>
      <c r="M21" s="6"/>
      <c r="N21" s="6"/>
      <c r="O21" s="6"/>
      <c r="P21" s="6"/>
      <c r="Q21" s="316"/>
      <c r="R21" s="316"/>
      <c r="S21" s="34"/>
    </row>
    <row r="22" spans="1:19" x14ac:dyDescent="0.25">
      <c r="A22" s="47" t="s">
        <v>1162</v>
      </c>
      <c r="B22" s="64">
        <f>B24-B23</f>
        <v>513.48049019607845</v>
      </c>
      <c r="C22" s="64">
        <f>C24-C23</f>
        <v>560.51085061034678</v>
      </c>
      <c r="D22" s="64">
        <f>D24-D23</f>
        <v>560.52331948640472</v>
      </c>
      <c r="E22" s="6">
        <f>$O$16</f>
        <v>608.35797752808992</v>
      </c>
      <c r="F22" s="6">
        <f t="shared" ref="F22:P22" si="6">$O$16</f>
        <v>608.35797752808992</v>
      </c>
      <c r="G22" s="6">
        <f t="shared" si="6"/>
        <v>608.35797752808992</v>
      </c>
      <c r="H22" s="6">
        <f t="shared" si="6"/>
        <v>608.35797752808992</v>
      </c>
      <c r="I22" s="6">
        <f t="shared" si="6"/>
        <v>608.35797752808992</v>
      </c>
      <c r="J22" s="6">
        <f t="shared" si="6"/>
        <v>608.35797752808992</v>
      </c>
      <c r="K22" s="6">
        <f t="shared" si="6"/>
        <v>608.35797752808992</v>
      </c>
      <c r="L22" s="6">
        <f t="shared" si="6"/>
        <v>608.35797752808992</v>
      </c>
      <c r="M22" s="6">
        <f t="shared" si="6"/>
        <v>608.35797752808992</v>
      </c>
      <c r="N22" s="6">
        <f t="shared" si="6"/>
        <v>608.35797752808992</v>
      </c>
      <c r="O22" s="6">
        <f t="shared" si="6"/>
        <v>608.35797752808992</v>
      </c>
      <c r="P22" s="6">
        <f t="shared" si="6"/>
        <v>608.35797752808992</v>
      </c>
      <c r="R22" s="64">
        <f>AVERAGE(E22:P22)</f>
        <v>608.3579775280898</v>
      </c>
      <c r="S22" s="34" t="s">
        <v>1167</v>
      </c>
    </row>
    <row r="23" spans="1:19" x14ac:dyDescent="0.25">
      <c r="A23" s="7" t="s">
        <v>1070</v>
      </c>
      <c r="B23" s="65">
        <f>'[15]NW F&amp;I'!$B$11</f>
        <v>0</v>
      </c>
      <c r="C23" s="65">
        <f>'[16]NW F&amp;I'!$C$11</f>
        <v>0</v>
      </c>
      <c r="D23" s="65">
        <f>'[17]NW F&amp;I'!$C$11</f>
        <v>318.63670694864044</v>
      </c>
      <c r="E23" s="65">
        <v>0</v>
      </c>
      <c r="F23" s="65">
        <v>0</v>
      </c>
      <c r="G23" s="65">
        <f>'FEF Incentive Forecast FY2025'!D12*G20/'F&amp;I'!G20/G20</f>
        <v>311.72291296625224</v>
      </c>
      <c r="H23" s="65">
        <v>0</v>
      </c>
      <c r="I23" s="65">
        <v>0</v>
      </c>
      <c r="J23" s="65">
        <f>'FEF Incentive Forecast FY2025'!H12*J20/'F&amp;I'!J20/J20</f>
        <v>307.00179533213645</v>
      </c>
      <c r="K23" s="65">
        <v>0</v>
      </c>
      <c r="L23" s="65">
        <v>0</v>
      </c>
      <c r="M23" s="65">
        <f>'FEF Incentive Forecast FY2025'!L12*M20/'F&amp;I'!M20/M20</f>
        <v>328.74015748031496</v>
      </c>
      <c r="N23" s="65">
        <v>0</v>
      </c>
      <c r="O23" s="65">
        <v>0</v>
      </c>
      <c r="P23" s="65">
        <f>'FEF Incentive Forecast FY2025'!P12*P20/'F&amp;I'!P20/P20</f>
        <v>288.96672504378284</v>
      </c>
      <c r="R23" s="64">
        <f>AVERAGE(E23:P23)</f>
        <v>103.03596590187387</v>
      </c>
      <c r="S23" s="34" t="s">
        <v>1173</v>
      </c>
    </row>
    <row r="24" spans="1:19" x14ac:dyDescent="0.25">
      <c r="A24" s="7" t="s">
        <v>1163</v>
      </c>
      <c r="B24" s="65">
        <f>'[15]NW F&amp;I'!$B$13</f>
        <v>513.48049019607845</v>
      </c>
      <c r="C24" s="65">
        <f>'[16]NW F&amp;I'!$C$13</f>
        <v>560.51085061034678</v>
      </c>
      <c r="D24" s="65">
        <f>'[17]NW F&amp;I'!$C$13</f>
        <v>879.16002643504521</v>
      </c>
      <c r="E24" s="65">
        <f>E22+E23</f>
        <v>608.35797752808992</v>
      </c>
      <c r="F24" s="65">
        <f t="shared" ref="F24:P24" si="7">F22+F23</f>
        <v>608.35797752808992</v>
      </c>
      <c r="G24" s="65">
        <f t="shared" si="7"/>
        <v>920.08089049434216</v>
      </c>
      <c r="H24" s="65">
        <f t="shared" si="7"/>
        <v>608.35797752808992</v>
      </c>
      <c r="I24" s="65">
        <f t="shared" si="7"/>
        <v>608.35797752808992</v>
      </c>
      <c r="J24" s="65">
        <f t="shared" si="7"/>
        <v>915.35977286022637</v>
      </c>
      <c r="K24" s="65">
        <f t="shared" si="7"/>
        <v>608.35797752808992</v>
      </c>
      <c r="L24" s="65">
        <f t="shared" si="7"/>
        <v>608.35797752808992</v>
      </c>
      <c r="M24" s="65">
        <f t="shared" si="7"/>
        <v>937.09813500840482</v>
      </c>
      <c r="N24" s="65">
        <f t="shared" si="7"/>
        <v>608.35797752808992</v>
      </c>
      <c r="O24" s="65">
        <f t="shared" si="7"/>
        <v>608.35797752808992</v>
      </c>
      <c r="P24" s="65">
        <f t="shared" si="7"/>
        <v>897.32470257187276</v>
      </c>
      <c r="R24" s="6">
        <f>AVERAGE(E24:P24)</f>
        <v>711.39394342996366</v>
      </c>
      <c r="S24" s="34"/>
    </row>
    <row r="25" spans="1:19" x14ac:dyDescent="0.25">
      <c r="A25" s="47" t="s">
        <v>1164</v>
      </c>
      <c r="B25" s="64">
        <f>'[15]NW F&amp;I'!$B$17</f>
        <v>280.45803921568626</v>
      </c>
      <c r="C25" s="64">
        <f>'[16]NW F&amp;I'!$C$17</f>
        <v>239.79073822902535</v>
      </c>
      <c r="D25" s="64">
        <f>'[17]NW F&amp;I'!$C$17</f>
        <v>239.79607250755285</v>
      </c>
      <c r="E25" s="6">
        <f>E29/E20</f>
        <v>280.29555444227231</v>
      </c>
      <c r="F25" s="6">
        <f t="shared" ref="F25:P25" si="8">F29/F20</f>
        <v>255.3249037124485</v>
      </c>
      <c r="G25" s="6">
        <f t="shared" si="8"/>
        <v>238.33863153199454</v>
      </c>
      <c r="H25" s="6">
        <f t="shared" si="8"/>
        <v>257.04233580020042</v>
      </c>
      <c r="I25" s="6">
        <f t="shared" si="8"/>
        <v>247.07086587691677</v>
      </c>
      <c r="J25" s="6">
        <f t="shared" si="8"/>
        <v>237.84415304333896</v>
      </c>
      <c r="K25" s="6">
        <f t="shared" si="8"/>
        <v>257.04233580020042</v>
      </c>
      <c r="L25" s="6">
        <f t="shared" si="8"/>
        <v>221.31444356542352</v>
      </c>
      <c r="M25" s="6">
        <f t="shared" si="8"/>
        <v>241.8584003520873</v>
      </c>
      <c r="N25" s="6">
        <f t="shared" si="8"/>
        <v>251.40544247124862</v>
      </c>
      <c r="O25" s="6">
        <f t="shared" si="8"/>
        <v>251.40544247124862</v>
      </c>
      <c r="P25" s="6">
        <f t="shared" si="8"/>
        <v>213.08714083064939</v>
      </c>
      <c r="R25" s="6">
        <f>AVERAGE(E25:P25)</f>
        <v>246.00247082483577</v>
      </c>
      <c r="S25" s="34" t="s">
        <v>1168</v>
      </c>
    </row>
    <row r="26" spans="1:19" x14ac:dyDescent="0.25">
      <c r="A26" s="47" t="s">
        <v>1074</v>
      </c>
      <c r="B26" s="64">
        <f>B24-B25</f>
        <v>233.02245098039219</v>
      </c>
      <c r="C26" s="64">
        <f>C24-C25</f>
        <v>320.72011238132143</v>
      </c>
      <c r="D26" s="64">
        <f>D24-D25</f>
        <v>639.36395392749239</v>
      </c>
      <c r="E26" s="64">
        <f t="shared" ref="E26:P26" si="9">E24-E25</f>
        <v>328.06242308581761</v>
      </c>
      <c r="F26" s="64">
        <f t="shared" si="9"/>
        <v>353.03307381564139</v>
      </c>
      <c r="G26" s="64">
        <f t="shared" si="9"/>
        <v>681.74225896234759</v>
      </c>
      <c r="H26" s="64">
        <f t="shared" si="9"/>
        <v>351.3156417278895</v>
      </c>
      <c r="I26" s="64">
        <f t="shared" si="9"/>
        <v>361.28711165117318</v>
      </c>
      <c r="J26" s="64">
        <f t="shared" si="9"/>
        <v>677.51561981688747</v>
      </c>
      <c r="K26" s="64">
        <f t="shared" si="9"/>
        <v>351.3156417278895</v>
      </c>
      <c r="L26" s="64">
        <f t="shared" si="9"/>
        <v>387.0435339626664</v>
      </c>
      <c r="M26" s="64">
        <f t="shared" si="9"/>
        <v>695.23973465631752</v>
      </c>
      <c r="N26" s="64">
        <f t="shared" si="9"/>
        <v>356.95253505684127</v>
      </c>
      <c r="O26" s="64">
        <f t="shared" si="9"/>
        <v>356.95253505684127</v>
      </c>
      <c r="P26" s="64">
        <f t="shared" si="9"/>
        <v>684.23756174122332</v>
      </c>
      <c r="R26" s="6">
        <f>AVERAGE(E26:P26)</f>
        <v>465.391472605128</v>
      </c>
      <c r="S26" s="34"/>
    </row>
    <row r="27" spans="1:19" x14ac:dyDescent="0.25">
      <c r="A27" s="47"/>
      <c r="B27" s="6"/>
      <c r="C27" s="6"/>
      <c r="D27" s="6"/>
      <c r="E27" s="6"/>
      <c r="F27" s="6"/>
      <c r="G27" s="6"/>
      <c r="H27" s="6"/>
      <c r="I27" s="6"/>
      <c r="J27" s="6"/>
      <c r="K27" s="6"/>
      <c r="L27" s="6"/>
      <c r="M27" s="6"/>
      <c r="N27" s="6"/>
      <c r="O27" s="6"/>
      <c r="P27" s="6"/>
      <c r="R27" s="47"/>
      <c r="S27" s="34"/>
    </row>
    <row r="28" spans="1:19" x14ac:dyDescent="0.25">
      <c r="A28" s="7" t="s">
        <v>1165</v>
      </c>
      <c r="B28" s="6">
        <f>B20*B24</f>
        <v>52375.01</v>
      </c>
      <c r="C28" s="6">
        <f>C20*C24</f>
        <v>49885.465704320864</v>
      </c>
      <c r="D28" s="6">
        <f>D20*D24</f>
        <v>81761.882458459208</v>
      </c>
      <c r="E28" s="6">
        <f>E20*E24</f>
        <v>62204.603202247192</v>
      </c>
      <c r="F28" s="6">
        <f t="shared" ref="F28:P28" si="10">F20*F24</f>
        <v>68288.182977528093</v>
      </c>
      <c r="G28" s="6">
        <f t="shared" si="10"/>
        <v>110639.72708194464</v>
      </c>
      <c r="H28" s="6">
        <f t="shared" si="10"/>
        <v>67831.914494382028</v>
      </c>
      <c r="I28" s="6">
        <f t="shared" si="10"/>
        <v>70569.525393258431</v>
      </c>
      <c r="J28" s="6">
        <f t="shared" si="10"/>
        <v>110300.85262965728</v>
      </c>
      <c r="K28" s="6">
        <f t="shared" si="10"/>
        <v>67831.914494382028</v>
      </c>
      <c r="L28" s="6">
        <f t="shared" si="10"/>
        <v>78782.358089887639</v>
      </c>
      <c r="M28" s="6">
        <f t="shared" si="10"/>
        <v>111046.12899849597</v>
      </c>
      <c r="N28" s="6">
        <f t="shared" si="10"/>
        <v>69352.809438202254</v>
      </c>
      <c r="O28" s="6">
        <f t="shared" si="10"/>
        <v>69352.809438202254</v>
      </c>
      <c r="P28" s="6">
        <f t="shared" si="10"/>
        <v>120690.17249591689</v>
      </c>
      <c r="R28" s="6">
        <f>SUM(E28:P28)</f>
        <v>1006890.9987341047</v>
      </c>
      <c r="S28" s="34"/>
    </row>
    <row r="29" spans="1:19" x14ac:dyDescent="0.25">
      <c r="A29" s="7" t="s">
        <v>1076</v>
      </c>
      <c r="B29" s="6">
        <f>B25*B20</f>
        <v>28606.719999999998</v>
      </c>
      <c r="C29" s="6">
        <f>C25*C20</f>
        <v>21341.375702383255</v>
      </c>
      <c r="D29" s="6">
        <f>D25*D20</f>
        <v>22301.034743202414</v>
      </c>
      <c r="E29" s="6">
        <f>E34</f>
        <v>28660.220441722344</v>
      </c>
      <c r="F29" s="6">
        <f t="shared" ref="F29:P29" si="11">F34</f>
        <v>28660.220441722344</v>
      </c>
      <c r="G29" s="6">
        <f t="shared" si="11"/>
        <v>28660.220441722344</v>
      </c>
      <c r="H29" s="6">
        <f t="shared" si="11"/>
        <v>28660.220441722344</v>
      </c>
      <c r="I29" s="6">
        <f t="shared" si="11"/>
        <v>28660.220441722344</v>
      </c>
      <c r="J29" s="6">
        <f t="shared" si="11"/>
        <v>28660.220441722344</v>
      </c>
      <c r="K29" s="6">
        <f t="shared" si="11"/>
        <v>28660.220441722344</v>
      </c>
      <c r="L29" s="6">
        <f t="shared" si="11"/>
        <v>28660.220441722344</v>
      </c>
      <c r="M29" s="6">
        <f t="shared" si="11"/>
        <v>28660.220441722344</v>
      </c>
      <c r="N29" s="6">
        <f t="shared" si="11"/>
        <v>28660.220441722344</v>
      </c>
      <c r="O29" s="6">
        <f t="shared" si="11"/>
        <v>28660.220441722344</v>
      </c>
      <c r="P29" s="6">
        <f t="shared" si="11"/>
        <v>28660.220441722344</v>
      </c>
      <c r="R29" s="6">
        <f>SUM(E29:P29)</f>
        <v>343922.6453006682</v>
      </c>
      <c r="S29" s="34"/>
    </row>
    <row r="30" spans="1:19" ht="15.75" thickBot="1" x14ac:dyDescent="0.3">
      <c r="A30" s="9" t="s">
        <v>1078</v>
      </c>
      <c r="B30" s="10">
        <f>B28-B29</f>
        <v>23768.290000000005</v>
      </c>
      <c r="C30" s="10">
        <f>C28-C29</f>
        <v>28544.090001937609</v>
      </c>
      <c r="D30" s="10">
        <f>D28-D29</f>
        <v>59460.847715256794</v>
      </c>
      <c r="E30" s="10">
        <f>E28-E29</f>
        <v>33544.382760524852</v>
      </c>
      <c r="F30" s="10">
        <f t="shared" ref="F30:P30" si="12">F28-F29</f>
        <v>39627.962535805753</v>
      </c>
      <c r="G30" s="10">
        <f t="shared" si="12"/>
        <v>81979.506640222302</v>
      </c>
      <c r="H30" s="10">
        <f t="shared" si="12"/>
        <v>39171.694052659688</v>
      </c>
      <c r="I30" s="10">
        <f t="shared" si="12"/>
        <v>41909.304951536091</v>
      </c>
      <c r="J30" s="10">
        <f t="shared" si="12"/>
        <v>81640.632187934942</v>
      </c>
      <c r="K30" s="10">
        <f t="shared" si="12"/>
        <v>39171.694052659688</v>
      </c>
      <c r="L30" s="10">
        <f t="shared" si="12"/>
        <v>50122.137648165299</v>
      </c>
      <c r="M30" s="10">
        <f t="shared" si="12"/>
        <v>82385.908556773633</v>
      </c>
      <c r="N30" s="10">
        <f t="shared" si="12"/>
        <v>40692.588996479913</v>
      </c>
      <c r="O30" s="10">
        <f t="shared" si="12"/>
        <v>40692.588996479913</v>
      </c>
      <c r="P30" s="10">
        <f t="shared" si="12"/>
        <v>92029.952054194553</v>
      </c>
      <c r="R30" s="10">
        <f>SUM(E30:P30)</f>
        <v>662968.35343343648</v>
      </c>
      <c r="S30" s="34"/>
    </row>
    <row r="31" spans="1:19" ht="15.75" thickTop="1" x14ac:dyDescent="0.25">
      <c r="S31" s="34"/>
    </row>
    <row r="32" spans="1:19" x14ac:dyDescent="0.25">
      <c r="A32" t="s">
        <v>1169</v>
      </c>
      <c r="E32" s="15">
        <f>E25*E20</f>
        <v>28660.220441722344</v>
      </c>
      <c r="F32" s="15">
        <f t="shared" ref="F32:P32" si="13">F25*F20</f>
        <v>28660.220441722344</v>
      </c>
      <c r="G32" s="15">
        <f t="shared" si="13"/>
        <v>28660.220441722344</v>
      </c>
      <c r="H32" s="15">
        <f t="shared" si="13"/>
        <v>28660.220441722347</v>
      </c>
      <c r="I32" s="15">
        <f t="shared" si="13"/>
        <v>28660.220441722344</v>
      </c>
      <c r="J32" s="15">
        <f t="shared" si="13"/>
        <v>28660.220441722344</v>
      </c>
      <c r="K32" s="15">
        <f t="shared" si="13"/>
        <v>28660.220441722347</v>
      </c>
      <c r="L32" s="15">
        <f t="shared" si="13"/>
        <v>28660.220441722344</v>
      </c>
      <c r="M32" s="15">
        <f t="shared" si="13"/>
        <v>28660.220441722344</v>
      </c>
      <c r="N32" s="15">
        <f t="shared" si="13"/>
        <v>28660.220441722344</v>
      </c>
      <c r="O32" s="15">
        <f t="shared" si="13"/>
        <v>28660.220441722344</v>
      </c>
      <c r="P32" s="15">
        <f t="shared" si="13"/>
        <v>28660.220441722344</v>
      </c>
      <c r="R32" s="6">
        <f>SUM(E32:P32)</f>
        <v>343922.6453006682</v>
      </c>
      <c r="S32" s="34"/>
    </row>
    <row r="34" spans="1:19" x14ac:dyDescent="0.25">
      <c r="A34" t="s">
        <v>1076</v>
      </c>
      <c r="E34" s="64">
        <f>SUMIFS('[18]Summary - Selling Expenses'!Z:Z,'[18]Summary - Selling Expenses'!$E:$E,3,'[18]Summary - Selling Expenses'!$C:$C,260)</f>
        <v>28660.220441722344</v>
      </c>
      <c r="F34" s="64">
        <f>SUMIFS('[18]Summary - Selling Expenses'!AA:AA,'[18]Summary - Selling Expenses'!$E:$E,3,'[18]Summary - Selling Expenses'!$C:$C,260)</f>
        <v>28660.220441722344</v>
      </c>
      <c r="G34" s="64">
        <f>SUMIFS('[18]Summary - Selling Expenses'!AB:AB,'[18]Summary - Selling Expenses'!$E:$E,3,'[18]Summary - Selling Expenses'!$C:$C,260)</f>
        <v>28660.220441722344</v>
      </c>
      <c r="H34" s="64">
        <f>SUMIFS('[18]Summary - Selling Expenses'!AC:AC,'[18]Summary - Selling Expenses'!$E:$E,3,'[18]Summary - Selling Expenses'!$C:$C,260)</f>
        <v>28660.220441722344</v>
      </c>
      <c r="I34" s="64">
        <f>SUMIFS('[18]Summary - Selling Expenses'!AD:AD,'[18]Summary - Selling Expenses'!$E:$E,3,'[18]Summary - Selling Expenses'!$C:$C,260)</f>
        <v>28660.220441722344</v>
      </c>
      <c r="J34" s="64">
        <f>SUMIFS('[18]Summary - Selling Expenses'!AE:AE,'[18]Summary - Selling Expenses'!$E:$E,3,'[18]Summary - Selling Expenses'!$C:$C,260)</f>
        <v>28660.220441722344</v>
      </c>
      <c r="K34" s="64">
        <f>SUMIFS('[18]Summary - Selling Expenses'!AF:AF,'[18]Summary - Selling Expenses'!$E:$E,3,'[18]Summary - Selling Expenses'!$C:$C,260)</f>
        <v>28660.220441722344</v>
      </c>
      <c r="L34" s="64">
        <f>SUMIFS('[18]Summary - Selling Expenses'!AG:AG,'[18]Summary - Selling Expenses'!$E:$E,3,'[18]Summary - Selling Expenses'!$C:$C,260)</f>
        <v>28660.220441722344</v>
      </c>
      <c r="M34" s="64">
        <f>SUMIFS('[18]Summary - Selling Expenses'!AH:AH,'[18]Summary - Selling Expenses'!$E:$E,3,'[18]Summary - Selling Expenses'!$C:$C,260)</f>
        <v>28660.220441722344</v>
      </c>
      <c r="N34" s="64">
        <f>SUMIFS('[18]Summary - Selling Expenses'!AI:AI,'[18]Summary - Selling Expenses'!$E:$E,3,'[18]Summary - Selling Expenses'!$C:$C,260)</f>
        <v>28660.220441722344</v>
      </c>
      <c r="O34" s="64">
        <f>SUMIFS('[18]Summary - Selling Expenses'!AJ:AJ,'[18]Summary - Selling Expenses'!$E:$E,3,'[18]Summary - Selling Expenses'!$C:$C,260)</f>
        <v>28660.220441722344</v>
      </c>
      <c r="P34" s="64">
        <f>SUMIFS('[18]Summary - Selling Expenses'!AK:AK,'[18]Summary - Selling Expenses'!$E:$E,3,'[18]Summary - Selling Expenses'!$C:$C,260)</f>
        <v>28660.220441722344</v>
      </c>
      <c r="R34" s="6">
        <f>SUM(E34:P34)</f>
        <v>343922.6453006682</v>
      </c>
      <c r="S34" s="163"/>
    </row>
    <row r="35" spans="1:19" x14ac:dyDescent="0.25">
      <c r="R35" s="7">
        <f>SUMIFS('[18]Summary - Selling Expenses'!$AL:$AL,'[18]Summary - Selling Expenses'!$C:$C,260,'[18]Summary - Selling Expenses'!$D:$D,'[18]Summary - Selling Expenses'!$D$15)-R34</f>
        <v>0</v>
      </c>
      <c r="S35" s="34" t="s">
        <v>1093</v>
      </c>
    </row>
    <row r="41" spans="1:19" x14ac:dyDescent="0.25">
      <c r="E41" s="14"/>
      <c r="F41" s="14"/>
      <c r="G41" s="14"/>
    </row>
  </sheetData>
  <mergeCells count="2">
    <mergeCell ref="Q5:R5"/>
    <mergeCell ref="Q21:R21"/>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B3AC5-587B-4D98-BD50-5457DBA3A3D7}">
  <sheetPr>
    <tabColor theme="9" tint="0.79998168889431442"/>
  </sheetPr>
  <dimension ref="A1:U100"/>
  <sheetViews>
    <sheetView topLeftCell="A6" zoomScale="85" zoomScaleNormal="85" workbookViewId="0">
      <selection activeCell="E42" sqref="E42"/>
    </sheetView>
  </sheetViews>
  <sheetFormatPr defaultRowHeight="15" x14ac:dyDescent="0.25"/>
  <cols>
    <col min="1" max="1" width="34" bestFit="1" customWidth="1"/>
    <col min="2" max="4" width="10.140625" hidden="1" customWidth="1"/>
    <col min="5" max="5" width="11.140625" bestFit="1" customWidth="1"/>
    <col min="6" max="6" width="11.85546875" bestFit="1" customWidth="1"/>
    <col min="7" max="7" width="11.5703125" bestFit="1" customWidth="1"/>
    <col min="8" max="9" width="11.140625" bestFit="1" customWidth="1"/>
    <col min="10" max="10" width="11.7109375" customWidth="1"/>
    <col min="11" max="11" width="13.28515625" bestFit="1" customWidth="1"/>
    <col min="12" max="15" width="11.140625" bestFit="1" customWidth="1"/>
    <col min="16" max="16" width="11.5703125" bestFit="1" customWidth="1"/>
    <col min="17" max="17" width="2.85546875" customWidth="1"/>
    <col min="18" max="18" width="12.85546875" customWidth="1"/>
    <col min="19" max="19" width="10.140625" style="34" bestFit="1" customWidth="1"/>
  </cols>
  <sheetData>
    <row r="1" spans="1:19" ht="15.75" x14ac:dyDescent="0.25">
      <c r="A1" s="11" t="s">
        <v>1174</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19"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4" spans="1:19" s="137" customFormat="1" x14ac:dyDescent="0.25">
      <c r="A4" s="178" t="s">
        <v>1175</v>
      </c>
      <c r="B4" s="179">
        <f>'Parts - 130'!B4+'Parts - 230'!B4+'Parts - 330'!B4+'Parts - 430'!B4</f>
        <v>1183885.8499999999</v>
      </c>
      <c r="C4" s="179">
        <f>'Parts - 130'!C4+'Parts - 230'!C4+'Parts - 330'!C4+'Parts - 430'!C4</f>
        <v>1174539.23</v>
      </c>
      <c r="D4" s="179">
        <f>'Parts - 130'!D4+'Parts - 230'!D4+'Parts - 330'!D4+'Parts - 430'!D4</f>
        <v>1680629.0899999999</v>
      </c>
      <c r="E4" s="179">
        <f>'Parts - 130'!E4+'Parts - 230'!E4+'Parts - 330'!E4+'Parts - 430'!E4</f>
        <v>1430059.7799999998</v>
      </c>
      <c r="F4" s="179">
        <f>'Parts - 130'!F4+'Parts - 230'!F4+'Parts - 330'!F4+'Parts - 430'!F4</f>
        <v>1630025.5399999998</v>
      </c>
      <c r="G4" s="179">
        <f>'Parts - 130'!G4+'Parts - 230'!G4+'Parts - 330'!G4+'Parts - 430'!G4</f>
        <v>1505359.58</v>
      </c>
      <c r="H4" s="179">
        <f>'Parts - 130'!H4+'Parts - 230'!H4+'Parts - 330'!H4+'Parts - 430'!H4</f>
        <v>1520719.2299999997</v>
      </c>
      <c r="I4" s="179">
        <f>'Parts - 130'!I4+'Parts - 230'!I4+'Parts - 330'!I4+'Parts - 430'!I4</f>
        <v>1708250.7300000002</v>
      </c>
      <c r="J4" s="179">
        <f>'Parts - 130'!J4+'Parts - 230'!J4+'Parts - 330'!J4+'Parts - 430'!J4</f>
        <v>1516835.9300000002</v>
      </c>
      <c r="K4" s="179">
        <f>'Parts - 130'!K4+'Parts - 230'!K4+'Parts - 330'!K4+'Parts - 430'!K4</f>
        <v>1397202.8600000003</v>
      </c>
      <c r="L4" s="179">
        <f>'Parts - 130'!L4+'Parts - 230'!L4+'Parts - 330'!L4+'Parts - 430'!L4</f>
        <v>1581217.4</v>
      </c>
      <c r="M4" s="179">
        <f>'Parts - 130'!M4+'Parts - 230'!M4+'Parts - 330'!M4+'Parts - 430'!M4</f>
        <v>1172920.56</v>
      </c>
      <c r="N4" s="179">
        <f>'Parts - 130'!N4+'Parts - 230'!N4+'Parts - 330'!N4+'Parts - 430'!N4</f>
        <v>1156131.47</v>
      </c>
      <c r="O4" s="179">
        <f>'Parts - 130'!O4+'Parts - 230'!O4+'Parts - 330'!O4+'Parts - 430'!O4</f>
        <v>1614550.93</v>
      </c>
      <c r="P4" s="179">
        <f>'Parts - 130'!P4+'Parts - 230'!P4+'Parts - 330'!P4+'Parts - 430'!P4</f>
        <v>1431312.9900000002</v>
      </c>
      <c r="Q4" s="180"/>
      <c r="R4" s="179">
        <f>SUM(E4:P4)</f>
        <v>17664587</v>
      </c>
      <c r="S4" s="177"/>
    </row>
    <row r="5" spans="1:19" x14ac:dyDescent="0.25">
      <c r="A5" t="s">
        <v>1176</v>
      </c>
      <c r="B5" s="3">
        <f>B16/B4</f>
        <v>0.19060414481683352</v>
      </c>
      <c r="C5" s="3">
        <f>C16/C4</f>
        <v>0.17857630008663056</v>
      </c>
      <c r="D5" s="3">
        <f>D16/D4</f>
        <v>0.26005144894879823</v>
      </c>
      <c r="E5" s="3">
        <f>(E16-E15)/E4</f>
        <v>0.16324811959958765</v>
      </c>
      <c r="F5" s="3">
        <f t="shared" ref="F5:P5" si="0">(F16-F15)/F4</f>
        <v>0.15291948124935517</v>
      </c>
      <c r="G5" s="3">
        <f t="shared" si="0"/>
        <v>0.18405646975056952</v>
      </c>
      <c r="H5" s="3">
        <f t="shared" si="0"/>
        <v>0.17441321498906803</v>
      </c>
      <c r="I5" s="3">
        <f t="shared" si="0"/>
        <v>0.15573258382275065</v>
      </c>
      <c r="J5" s="3">
        <f t="shared" si="0"/>
        <v>0.17284355203795837</v>
      </c>
      <c r="K5" s="3">
        <f t="shared" si="0"/>
        <v>0.18247315926622129</v>
      </c>
      <c r="L5" s="3">
        <f t="shared" si="0"/>
        <v>0.211048727391945</v>
      </c>
      <c r="M5" s="3">
        <f t="shared" si="0"/>
        <v>0.18781966785542575</v>
      </c>
      <c r="N5" s="3">
        <f t="shared" si="0"/>
        <v>0.17341795911843824</v>
      </c>
      <c r="O5" s="3">
        <f t="shared" si="0"/>
        <v>0.17316389641545715</v>
      </c>
      <c r="P5" s="3">
        <f t="shared" si="0"/>
        <v>0.17710766392192107</v>
      </c>
      <c r="Q5" s="3"/>
      <c r="R5" s="3">
        <f>R16/R4</f>
        <v>0.20361749584068964</v>
      </c>
    </row>
    <row r="6" spans="1:19" x14ac:dyDescent="0.25">
      <c r="A6" t="s">
        <v>1177</v>
      </c>
      <c r="B6" s="3"/>
      <c r="C6" s="3"/>
      <c r="D6" s="3"/>
      <c r="E6" s="45">
        <f>E4-E8</f>
        <v>1209038.7499999998</v>
      </c>
      <c r="F6" s="45">
        <f t="shared" ref="F6:P6" si="1">F4-F8</f>
        <v>1380629.7099999997</v>
      </c>
      <c r="G6" s="45">
        <f t="shared" si="1"/>
        <v>1296136.8</v>
      </c>
      <c r="H6" s="45">
        <f t="shared" si="1"/>
        <v>1293739.6299999997</v>
      </c>
      <c r="I6" s="45">
        <f t="shared" si="1"/>
        <v>1431216.5300000003</v>
      </c>
      <c r="J6" s="45">
        <f t="shared" si="1"/>
        <v>1281771.3700000001</v>
      </c>
      <c r="K6" s="45">
        <f t="shared" si="1"/>
        <v>1160535.5200000003</v>
      </c>
      <c r="L6" s="45">
        <f t="shared" si="1"/>
        <v>1333820.7799999998</v>
      </c>
      <c r="M6" s="45">
        <f t="shared" si="1"/>
        <v>987103.6100000001</v>
      </c>
      <c r="N6" s="45">
        <f t="shared" si="1"/>
        <v>924905.17599999998</v>
      </c>
      <c r="O6" s="45">
        <f t="shared" si="1"/>
        <v>1291640.7439999999</v>
      </c>
      <c r="P6" s="45">
        <f t="shared" si="1"/>
        <v>1145050.3920000002</v>
      </c>
      <c r="Q6" s="3"/>
      <c r="R6" s="45">
        <f>SUM(E6:P6)</f>
        <v>14735589.011999998</v>
      </c>
    </row>
    <row r="7" spans="1:19" x14ac:dyDescent="0.25">
      <c r="A7" t="s">
        <v>1178</v>
      </c>
      <c r="B7" s="3"/>
      <c r="C7" s="3"/>
      <c r="D7" s="3"/>
      <c r="E7" s="3">
        <f>E17/E6</f>
        <v>0.15295572855998205</v>
      </c>
      <c r="F7" s="3">
        <f t="shared" ref="F7:P7" si="2">F17/F6</f>
        <v>0.14582388023071013</v>
      </c>
      <c r="G7" s="3">
        <f t="shared" si="2"/>
        <v>0.29978558048425136</v>
      </c>
      <c r="H7" s="3">
        <f t="shared" si="2"/>
        <v>0.15896763862756527</v>
      </c>
      <c r="I7" s="3">
        <f t="shared" si="2"/>
        <v>0.14266353872394139</v>
      </c>
      <c r="J7" s="3">
        <f t="shared" si="2"/>
        <v>0.24912756947442194</v>
      </c>
      <c r="K7" s="3">
        <f t="shared" si="2"/>
        <v>0.16565370465093557</v>
      </c>
      <c r="L7" s="3">
        <f t="shared" si="2"/>
        <v>0.20983359959949047</v>
      </c>
      <c r="M7" s="3">
        <f t="shared" si="2"/>
        <v>0.28153006930675689</v>
      </c>
      <c r="N7" s="3">
        <f t="shared" si="2"/>
        <v>0.16677244889804779</v>
      </c>
      <c r="O7" s="3">
        <f t="shared" si="2"/>
        <v>0.16645487051932145</v>
      </c>
      <c r="P7" s="3">
        <f t="shared" si="2"/>
        <v>0.27847593662934611</v>
      </c>
      <c r="Q7" s="3"/>
      <c r="R7" s="3">
        <f>R17/R6</f>
        <v>0.19966187884772085</v>
      </c>
    </row>
    <row r="8" spans="1:19" x14ac:dyDescent="0.25">
      <c r="A8" t="s">
        <v>1179</v>
      </c>
      <c r="B8" s="3"/>
      <c r="C8" s="3"/>
      <c r="D8" s="3"/>
      <c r="E8" s="45">
        <f>'Parts - 130'!E8+'Parts - 230'!E8+'Parts - 330'!E8+'Parts - 430'!E8</f>
        <v>221021.03000000003</v>
      </c>
      <c r="F8" s="45">
        <f>'Parts - 130'!F8+'Parts - 230'!F8+'Parts - 330'!F8+'Parts - 430'!F8</f>
        <v>249395.83</v>
      </c>
      <c r="G8" s="45">
        <f>'Parts - 130'!G8+'Parts - 230'!G8+'Parts - 330'!G8+'Parts - 430'!G8</f>
        <v>209222.78000000003</v>
      </c>
      <c r="H8" s="45">
        <f>'Parts - 130'!H8+'Parts - 230'!H8+'Parts - 330'!H8+'Parts - 430'!H8</f>
        <v>226979.6</v>
      </c>
      <c r="I8" s="45">
        <f>'Parts - 130'!I8+'Parts - 230'!I8+'Parts - 330'!I8+'Parts - 430'!I8</f>
        <v>277034.2</v>
      </c>
      <c r="J8" s="45">
        <f>'Parts - 130'!J8+'Parts - 230'!J8+'Parts - 330'!J8+'Parts - 430'!J8</f>
        <v>235064.56</v>
      </c>
      <c r="K8" s="45">
        <f>'Parts - 130'!K8+'Parts - 230'!K8+'Parts - 330'!K8+'Parts - 430'!K8</f>
        <v>236667.34</v>
      </c>
      <c r="L8" s="45">
        <f>'Parts - 130'!L8+'Parts - 230'!L8+'Parts - 330'!L8+'Parts - 430'!L8</f>
        <v>247396.62000000002</v>
      </c>
      <c r="M8" s="45">
        <f>'Parts - 130'!M8+'Parts - 230'!M8+'Parts - 330'!M8+'Parts - 430'!M8</f>
        <v>185816.95</v>
      </c>
      <c r="N8" s="45">
        <f>'Parts - 130'!N8+'Parts - 230'!N8+'Parts - 330'!N8+'Parts - 430'!N8</f>
        <v>231226.29399999999</v>
      </c>
      <c r="O8" s="45">
        <f>'Parts - 130'!O8+'Parts - 230'!O8+'Parts - 330'!O8+'Parts - 430'!O8</f>
        <v>322910.18599999999</v>
      </c>
      <c r="P8" s="45">
        <f>'Parts - 130'!P8+'Parts - 230'!P8+'Parts - 330'!P8+'Parts - 430'!P8</f>
        <v>286262.59800000006</v>
      </c>
      <c r="Q8" s="3"/>
      <c r="R8" s="6">
        <f>SUM(E8:P8)</f>
        <v>2928997.9879999999</v>
      </c>
    </row>
    <row r="9" spans="1:19" x14ac:dyDescent="0.25">
      <c r="A9" t="s">
        <v>1180</v>
      </c>
      <c r="B9" s="3"/>
      <c r="C9" s="3"/>
      <c r="D9" s="3"/>
      <c r="E9" s="3">
        <f>('Parts - 130'!E9+'Parts - 230'!E9+'Parts - 330'!E9+'Parts - 430'!E9)/4</f>
        <v>0.21955000000000002</v>
      </c>
      <c r="F9" s="3">
        <f>('Parts - 130'!F9+'Parts - 230'!F9+'Parts - 330'!F9+'Parts - 430'!F9)/4</f>
        <v>0.19219999999999998</v>
      </c>
      <c r="G9" s="3">
        <f>('Parts - 130'!G9+'Parts - 230'!G9+'Parts - 330'!G9+'Parts - 430'!G9)/4</f>
        <v>0.22375</v>
      </c>
      <c r="H9" s="3">
        <f>('Parts - 130'!H9+'Parts - 230'!H9+'Parts - 330'!H9+'Parts - 430'!H9)/4</f>
        <v>0.26245000000000002</v>
      </c>
      <c r="I9" s="3">
        <f>('Parts - 130'!I9+'Parts - 230'!I9+'Parts - 330'!I9+'Parts - 430'!I9)/4</f>
        <v>0.22324999999999998</v>
      </c>
      <c r="J9" s="3">
        <f>('Parts - 130'!J9+'Parts - 230'!J9+'Parts - 330'!J9+'Parts - 430'!J9)/4</f>
        <v>0.23387499999999997</v>
      </c>
      <c r="K9" s="3">
        <f>('Parts - 130'!K9+'Parts - 230'!K9+'Parts - 330'!K9+'Parts - 430'!K9)/4</f>
        <v>0.26495000000000002</v>
      </c>
      <c r="L9" s="3">
        <f>('Parts - 130'!L9+'Parts - 230'!L9+'Parts - 330'!L9+'Parts - 430'!L9)/4</f>
        <v>0.21759999999999999</v>
      </c>
      <c r="M9" s="3">
        <f>('Parts - 130'!M9+'Parts - 230'!M9+'Parts - 330'!M9+'Parts - 430'!M9)/4</f>
        <v>0.27122499999999999</v>
      </c>
      <c r="N9" s="3">
        <f>('Parts - 130'!N9+'Parts - 230'!N9+'Parts - 330'!N9+'Parts - 430'!N9)/4</f>
        <v>0.2</v>
      </c>
      <c r="O9" s="3">
        <f>('Parts - 130'!O9+'Parts - 230'!O9+'Parts - 330'!O9+'Parts - 430'!O9)/4</f>
        <v>0.2</v>
      </c>
      <c r="P9" s="3">
        <f>('Parts - 130'!P9+'Parts - 230'!P9+'Parts - 330'!P9+'Parts - 430'!P9)/4</f>
        <v>0.2</v>
      </c>
      <c r="Q9" s="3"/>
      <c r="R9" s="3">
        <f>R18/R8</f>
        <v>0.22351793501342962</v>
      </c>
    </row>
    <row r="10" spans="1:19" s="137" customFormat="1" x14ac:dyDescent="0.25">
      <c r="A10" s="137" t="s">
        <v>1181</v>
      </c>
      <c r="B10" s="176"/>
      <c r="C10" s="176"/>
      <c r="D10" s="176"/>
      <c r="E10" s="176">
        <f>E8/E4</f>
        <v>0.15455369984603026</v>
      </c>
      <c r="F10" s="176">
        <f t="shared" ref="F10:P10" si="3">F8/F4</f>
        <v>0.15300117935575416</v>
      </c>
      <c r="G10" s="176">
        <f t="shared" si="3"/>
        <v>0.1389852516167599</v>
      </c>
      <c r="H10" s="176">
        <f t="shared" si="3"/>
        <v>0.14925805863584696</v>
      </c>
      <c r="I10" s="176">
        <f t="shared" si="3"/>
        <v>0.16217420261251694</v>
      </c>
      <c r="J10" s="176">
        <f t="shared" si="3"/>
        <v>0.15497032694894033</v>
      </c>
      <c r="K10" s="176">
        <f t="shared" si="3"/>
        <v>0.16938652702156645</v>
      </c>
      <c r="L10" s="176">
        <f t="shared" si="3"/>
        <v>0.1564595861391356</v>
      </c>
      <c r="M10" s="176">
        <f t="shared" si="3"/>
        <v>0.1584224510481767</v>
      </c>
      <c r="N10" s="176">
        <f t="shared" si="3"/>
        <v>0.2</v>
      </c>
      <c r="O10" s="176">
        <f t="shared" si="3"/>
        <v>0.2</v>
      </c>
      <c r="P10" s="176">
        <f t="shared" si="3"/>
        <v>0.2</v>
      </c>
      <c r="Q10" s="176"/>
      <c r="R10" s="176">
        <f>R8/R4</f>
        <v>0.16581185781473406</v>
      </c>
      <c r="S10" s="177"/>
    </row>
    <row r="11" spans="1:19" x14ac:dyDescent="0.25">
      <c r="A11" t="s">
        <v>1182</v>
      </c>
      <c r="B11" s="3">
        <f t="shared" ref="B11:P11" si="4">B19/B4</f>
        <v>9.9543178085961595E-2</v>
      </c>
      <c r="C11" s="3">
        <f t="shared" si="4"/>
        <v>9.9762644794759214E-2</v>
      </c>
      <c r="D11" s="3">
        <f t="shared" si="4"/>
        <v>9.3063431384494258E-2</v>
      </c>
      <c r="E11" s="3">
        <f t="shared" si="4"/>
        <v>6.9640627191123447E-2</v>
      </c>
      <c r="F11" s="3">
        <f t="shared" si="4"/>
        <v>7.9999083940733837E-2</v>
      </c>
      <c r="G11" s="3">
        <f t="shared" si="4"/>
        <v>9.077140891480559E-2</v>
      </c>
      <c r="H11" s="3">
        <f t="shared" si="4"/>
        <v>7.7755826103415568E-2</v>
      </c>
      <c r="I11" s="3">
        <f t="shared" si="4"/>
        <v>7.7904231306840988E-2</v>
      </c>
      <c r="J11" s="3">
        <f t="shared" si="4"/>
        <v>8.2572331999018492E-2</v>
      </c>
      <c r="K11" s="3">
        <f t="shared" si="4"/>
        <v>9.3421452057434198E-2</v>
      </c>
      <c r="L11" s="3">
        <f t="shared" si="4"/>
        <v>7.6113853793918537E-2</v>
      </c>
      <c r="M11" s="3">
        <f t="shared" si="4"/>
        <v>0.10621776465407</v>
      </c>
      <c r="N11" s="3">
        <f t="shared" si="4"/>
        <v>0.12438757505666723</v>
      </c>
      <c r="O11" s="3">
        <f t="shared" si="4"/>
        <v>6.5231810309012664E-2</v>
      </c>
      <c r="P11" s="3">
        <f t="shared" si="4"/>
        <v>6.2598565531079259E-2</v>
      </c>
      <c r="Q11" s="3"/>
      <c r="R11" s="3">
        <f>R19/R4</f>
        <v>8.2504092510059815E-2</v>
      </c>
    </row>
    <row r="12" spans="1:19" s="137" customFormat="1" x14ac:dyDescent="0.25">
      <c r="A12" s="178" t="s">
        <v>1183</v>
      </c>
      <c r="B12" s="179">
        <f t="shared" ref="B12:P12" si="5">B4/B13</f>
        <v>84563.274999999994</v>
      </c>
      <c r="C12" s="179">
        <f t="shared" si="5"/>
        <v>83895.659285714282</v>
      </c>
      <c r="D12" s="179">
        <f t="shared" si="5"/>
        <v>120044.93499999998</v>
      </c>
      <c r="E12" s="179">
        <f t="shared" si="5"/>
        <v>102147.12714285713</v>
      </c>
      <c r="F12" s="179">
        <f t="shared" si="5"/>
        <v>108668.36933333332</v>
      </c>
      <c r="G12" s="179">
        <f t="shared" si="5"/>
        <v>94084.973750000005</v>
      </c>
      <c r="H12" s="179">
        <f t="shared" si="5"/>
        <v>101381.28199999998</v>
      </c>
      <c r="I12" s="179">
        <f t="shared" si="5"/>
        <v>131403.90230769233</v>
      </c>
      <c r="J12" s="179">
        <f t="shared" si="5"/>
        <v>116679.68692307694</v>
      </c>
      <c r="K12" s="179">
        <f t="shared" si="5"/>
        <v>107477.14307692311</v>
      </c>
      <c r="L12" s="179">
        <f t="shared" si="5"/>
        <v>121632.10769230769</v>
      </c>
      <c r="M12" s="179">
        <f t="shared" si="5"/>
        <v>97743.38</v>
      </c>
      <c r="N12" s="179">
        <f t="shared" si="5"/>
        <v>105102.8609090909</v>
      </c>
      <c r="O12" s="179">
        <f t="shared" si="5"/>
        <v>161455.09299999999</v>
      </c>
      <c r="P12" s="179">
        <f t="shared" si="5"/>
        <v>159034.7766666667</v>
      </c>
      <c r="Q12" s="176"/>
      <c r="R12" s="181">
        <f>AVERAGE(E12:P12)</f>
        <v>117234.22523349569</v>
      </c>
      <c r="S12" s="177"/>
    </row>
    <row r="13" spans="1:19" x14ac:dyDescent="0.25">
      <c r="A13" s="7" t="s">
        <v>1184</v>
      </c>
      <c r="B13" s="75">
        <f>'Parts - 130'!B13+'Parts - 230'!B13+'Parts - 330'!B13+'Parts - 430'!B13</f>
        <v>14</v>
      </c>
      <c r="C13" s="75">
        <f>'Parts - 130'!C13+'Parts - 230'!C13+'Parts - 330'!C13+'Parts - 430'!C13</f>
        <v>14</v>
      </c>
      <c r="D13" s="75">
        <f>'Parts - 130'!D13+'Parts - 230'!D13+'Parts - 330'!D13+'Parts - 430'!D13</f>
        <v>14</v>
      </c>
      <c r="E13" s="75">
        <f>'Parts - 130'!E13+'Parts - 230'!E13+'Parts - 330'!E13+'Parts - 430'!E13</f>
        <v>14</v>
      </c>
      <c r="F13" s="75">
        <f>'Parts - 130'!F13+'Parts - 230'!F13+'Parts - 330'!F13+'Parts - 430'!F13</f>
        <v>15</v>
      </c>
      <c r="G13" s="75">
        <f>'Parts - 130'!G13+'Parts - 230'!G13+'Parts - 330'!G13+'Parts - 430'!G13</f>
        <v>16</v>
      </c>
      <c r="H13" s="75">
        <f>'Parts - 130'!H13+'Parts - 230'!H13+'Parts - 330'!H13+'Parts - 430'!H13</f>
        <v>15</v>
      </c>
      <c r="I13" s="75">
        <f>'Parts - 130'!I13+'Parts - 230'!I13+'Parts - 330'!I13+'Parts - 430'!I13</f>
        <v>13</v>
      </c>
      <c r="J13" s="75">
        <f>'Parts - 130'!J13+'Parts - 230'!J13+'Parts - 330'!J13+'Parts - 430'!J13</f>
        <v>13</v>
      </c>
      <c r="K13" s="75">
        <f>'Parts - 130'!K13+'Parts - 230'!K13+'Parts - 330'!K13+'Parts - 430'!K13</f>
        <v>13</v>
      </c>
      <c r="L13" s="75">
        <f>'Parts - 130'!L13+'Parts - 230'!L13+'Parts - 330'!L13+'Parts - 430'!L13</f>
        <v>13</v>
      </c>
      <c r="M13" s="75">
        <f>'Parts - 130'!M13+'Parts - 230'!M13+'Parts - 330'!M13+'Parts - 430'!M13</f>
        <v>12</v>
      </c>
      <c r="N13" s="75">
        <f>'Parts - 130'!N13+'Parts - 230'!N13+'Parts - 330'!N13+'Parts - 430'!N13</f>
        <v>11</v>
      </c>
      <c r="O13" s="75">
        <f>'Parts - 130'!O13+'Parts - 230'!O13+'Parts - 330'!O13+'Parts - 430'!O13</f>
        <v>10</v>
      </c>
      <c r="P13" s="75">
        <f>'Parts - 130'!P13+'Parts - 230'!P13+'Parts - 330'!P13+'Parts - 430'!P13</f>
        <v>9</v>
      </c>
      <c r="Q13" s="3"/>
      <c r="R13" s="83">
        <f>AVERAGE(E13:P13)</f>
        <v>12.833333333333334</v>
      </c>
    </row>
    <row r="14" spans="1:19" x14ac:dyDescent="0.25">
      <c r="B14" s="3"/>
      <c r="C14" s="3"/>
      <c r="D14" s="3"/>
      <c r="E14" s="3"/>
      <c r="F14" s="3"/>
      <c r="G14" s="6"/>
      <c r="H14" s="45"/>
      <c r="I14" s="3"/>
      <c r="J14" s="3"/>
      <c r="K14" s="3"/>
      <c r="L14" s="3"/>
      <c r="M14" s="3"/>
      <c r="N14" s="3"/>
      <c r="O14" s="3"/>
      <c r="P14" s="3"/>
      <c r="Q14" s="3"/>
      <c r="R14" s="3"/>
    </row>
    <row r="15" spans="1:19" x14ac:dyDescent="0.25">
      <c r="A15" t="s">
        <v>1185</v>
      </c>
      <c r="B15" s="6">
        <f>'Parts - 130'!B15+'Parts - 230'!B15+'Parts - 330'!B15+'Parts - 430'!B15</f>
        <v>50835.69</v>
      </c>
      <c r="C15" s="6">
        <f>'Parts - 130'!C15+'Parts - 230'!C15+'Parts - 330'!C15+'Parts - 430'!C15</f>
        <v>0</v>
      </c>
      <c r="D15" s="6">
        <f>'Parts - 130'!D15+'Parts - 230'!D15+'Parts - 330'!D15+'Parts - 430'!D15</f>
        <v>100968.75</v>
      </c>
      <c r="E15" s="6">
        <f>'Parts - 130'!E15+'Parts - 230'!E15+'Parts - 330'!E15+'Parts - 430'!E15</f>
        <v>0</v>
      </c>
      <c r="F15" s="6">
        <f>'Parts - 130'!F15+'Parts - 230'!F15+'Parts - 330'!F15+'Parts - 430'!F15</f>
        <v>0</v>
      </c>
      <c r="G15" s="6">
        <f>'Parts - 130'!G15+'Parts - 230'!G15+'Parts - 330'!G15+'Parts - 430'!G15</f>
        <v>158305.54999999999</v>
      </c>
      <c r="H15" s="6">
        <f>'Parts - 130'!H15+'Parts - 230'!H15+'Parts - 330'!H15+'Parts - 430'!H15</f>
        <v>0</v>
      </c>
      <c r="I15" s="6">
        <f>'Parts - 130'!I15+'Parts - 230'!I15+'Parts - 330'!I15+'Parts - 430'!I15</f>
        <v>0</v>
      </c>
      <c r="J15" s="6">
        <f>'Parts - 130'!J15+'Parts - 230'!J15+'Parts - 330'!J15+'Parts - 430'!J15</f>
        <v>112125</v>
      </c>
      <c r="K15" s="6">
        <f>'Parts - 130'!K15+'Parts - 230'!K15+'Parts - 330'!K15+'Parts - 430'!K15</f>
        <v>0</v>
      </c>
      <c r="L15" s="6">
        <f>'Parts - 130'!L15+'Parts - 230'!L15+'Parts - 330'!L15+'Parts - 430'!L15</f>
        <v>0</v>
      </c>
      <c r="M15" s="6">
        <f>'Parts - 130'!M15+'Parts - 230'!M15+'Parts - 330'!M15+'Parts - 430'!M15</f>
        <v>108000</v>
      </c>
      <c r="N15" s="6">
        <f>'Parts - 130'!N15+'Parts - 230'!N15+'Parts - 330'!N15+'Parts - 430'!N15</f>
        <v>0</v>
      </c>
      <c r="O15" s="6">
        <f>'Parts - 130'!O15+'Parts - 230'!O15+'Parts - 330'!O15+'Parts - 430'!O15</f>
        <v>0</v>
      </c>
      <c r="P15" s="6">
        <f>'Parts - 130'!P15+'Parts - 230'!P15+'Parts - 330'!P15+'Parts - 430'!P15</f>
        <v>122625</v>
      </c>
      <c r="Q15" s="3"/>
      <c r="R15" s="6">
        <f t="shared" ref="R15:R19" si="6">SUM(E15:P15)</f>
        <v>501055.55</v>
      </c>
    </row>
    <row r="16" spans="1:19" x14ac:dyDescent="0.25">
      <c r="A16" s="7" t="s">
        <v>1186</v>
      </c>
      <c r="B16" s="6">
        <f>'Parts - 130'!B16+'Parts - 230'!B16+'Parts - 330'!B16+'Parts - 430'!B16</f>
        <v>225653.55000000002</v>
      </c>
      <c r="C16" s="6">
        <f>'Parts - 130'!C16+'Parts - 230'!C16+'Parts - 330'!C16+'Parts - 430'!C16</f>
        <v>209744.87</v>
      </c>
      <c r="D16" s="6">
        <f>'Parts - 130'!D16+'Parts - 230'!D16+'Parts - 330'!D16+'Parts - 430'!D16</f>
        <v>437050.03000000014</v>
      </c>
      <c r="E16" s="6">
        <f>'Parts - 130'!E16+'Parts - 230'!E16+'Parts - 330'!E16+'Parts - 430'!E16</f>
        <v>233454.56999999998</v>
      </c>
      <c r="F16" s="6">
        <f>'Parts - 130'!F16+'Parts - 230'!F16+'Parts - 330'!F16+'Parts - 430'!F16</f>
        <v>249262.66</v>
      </c>
      <c r="G16" s="6">
        <f>'Parts - 130'!G16+'Parts - 230'!G16+'Parts - 330'!G16+'Parts - 430'!G16</f>
        <v>435376.72000000003</v>
      </c>
      <c r="H16" s="6">
        <f>'Parts - 130'!H16+'Parts - 230'!H16+'Parts - 330'!H16+'Parts - 430'!H16</f>
        <v>265233.52999999997</v>
      </c>
      <c r="I16" s="6">
        <f>'Parts - 130'!I16+'Parts - 230'!I16+'Parts - 330'!I16+'Parts - 430'!I16</f>
        <v>266030.30000000005</v>
      </c>
      <c r="J16" s="6">
        <f>'Parts - 130'!J16+'Parts - 230'!J16+'Parts - 330'!J16+'Parts - 430'!J16</f>
        <v>374300.31</v>
      </c>
      <c r="K16" s="6">
        <f>'Parts - 130'!K16+'Parts - 230'!K16+'Parts - 330'!K16+'Parts - 430'!K16</f>
        <v>254952.01999999996</v>
      </c>
      <c r="L16" s="6">
        <f>'Parts - 130'!L16+'Parts - 230'!L16+'Parts - 330'!L16+'Parts - 430'!L16</f>
        <v>333713.92000000004</v>
      </c>
      <c r="M16" s="6">
        <f>'Parts - 130'!M16+'Parts - 230'!M16+'Parts - 330'!M16+'Parts - 430'!M16</f>
        <v>328297.55</v>
      </c>
      <c r="N16" s="6">
        <f>'Parts - 130'!N16+'Parts - 230'!N16+'Parts - 330'!N16+'Parts - 430'!N16</f>
        <v>200493.9599999999</v>
      </c>
      <c r="O16" s="6">
        <f>'Parts - 130'!O16+'Parts - 230'!O16+'Parts - 330'!O16+'Parts - 430'!O16</f>
        <v>279581.93</v>
      </c>
      <c r="P16" s="6">
        <f>'Parts - 130'!P16+'Parts - 230'!P16+'Parts - 330'!P16+'Parts - 430'!P16</f>
        <v>376121.5</v>
      </c>
      <c r="R16" s="6">
        <f>SUM(E16:P16)</f>
        <v>3596818.97</v>
      </c>
      <c r="S16" s="120"/>
    </row>
    <row r="17" spans="1:21" x14ac:dyDescent="0.25">
      <c r="A17" s="7" t="s">
        <v>1187</v>
      </c>
      <c r="B17" s="6"/>
      <c r="C17" s="6"/>
      <c r="D17" s="6"/>
      <c r="E17" s="6">
        <f>E16-E18</f>
        <v>184929.40286349997</v>
      </c>
      <c r="F17" s="6">
        <f t="shared" ref="F17:P17" si="7">F16-F18</f>
        <v>201328.78147400002</v>
      </c>
      <c r="G17" s="6">
        <f t="shared" si="7"/>
        <v>388563.12297500001</v>
      </c>
      <c r="H17" s="6">
        <f t="shared" si="7"/>
        <v>205662.73397999996</v>
      </c>
      <c r="I17" s="6">
        <f t="shared" si="7"/>
        <v>204182.41485000006</v>
      </c>
      <c r="J17" s="6">
        <f t="shared" si="7"/>
        <v>319324.58603000001</v>
      </c>
      <c r="K17" s="6">
        <f t="shared" si="7"/>
        <v>192247.00826699997</v>
      </c>
      <c r="L17" s="6">
        <f t="shared" si="7"/>
        <v>279880.41548800003</v>
      </c>
      <c r="M17" s="6">
        <f t="shared" si="7"/>
        <v>277899.34773624997</v>
      </c>
      <c r="N17" s="6">
        <f t="shared" si="7"/>
        <v>154248.70119999989</v>
      </c>
      <c r="O17" s="6">
        <f t="shared" si="7"/>
        <v>214999.8928</v>
      </c>
      <c r="P17" s="6">
        <f t="shared" si="7"/>
        <v>318868.9804</v>
      </c>
      <c r="R17" s="6">
        <f t="shared" si="6"/>
        <v>2942135.3880637502</v>
      </c>
    </row>
    <row r="18" spans="1:21" x14ac:dyDescent="0.25">
      <c r="A18" s="7" t="s">
        <v>1188</v>
      </c>
      <c r="B18" s="6"/>
      <c r="C18" s="6"/>
      <c r="D18" s="6"/>
      <c r="E18" s="6">
        <f>E8*E9</f>
        <v>48525.167136500015</v>
      </c>
      <c r="F18" s="6">
        <f t="shared" ref="F18:P18" si="8">F8*F9</f>
        <v>47933.878525999993</v>
      </c>
      <c r="G18" s="6">
        <f t="shared" si="8"/>
        <v>46813.59702500001</v>
      </c>
      <c r="H18" s="6">
        <f t="shared" si="8"/>
        <v>59570.796020000009</v>
      </c>
      <c r="I18" s="6">
        <f t="shared" si="8"/>
        <v>61847.885149999995</v>
      </c>
      <c r="J18" s="6">
        <f t="shared" si="8"/>
        <v>54975.723969999992</v>
      </c>
      <c r="K18" s="6">
        <f t="shared" si="8"/>
        <v>62705.011733000007</v>
      </c>
      <c r="L18" s="6">
        <f t="shared" si="8"/>
        <v>53833.504512</v>
      </c>
      <c r="M18" s="6">
        <f t="shared" si="8"/>
        <v>50398.202263750005</v>
      </c>
      <c r="N18" s="6">
        <f t="shared" si="8"/>
        <v>46245.258800000003</v>
      </c>
      <c r="O18" s="6">
        <f t="shared" si="8"/>
        <v>64582.037199999999</v>
      </c>
      <c r="P18" s="6">
        <f t="shared" si="8"/>
        <v>57252.519600000014</v>
      </c>
      <c r="R18" s="6">
        <f t="shared" si="6"/>
        <v>654683.58193625009</v>
      </c>
    </row>
    <row r="19" spans="1:21" x14ac:dyDescent="0.25">
      <c r="A19" s="7" t="s">
        <v>1076</v>
      </c>
      <c r="B19" s="6">
        <f>'Parts - 130'!B19+'Parts - 230'!B19+'Parts - 330'!B19+'Parts - 430'!B19</f>
        <v>117847.76000000001</v>
      </c>
      <c r="C19" s="6">
        <f>'Parts - 130'!C19+'Parts - 230'!C19+'Parts - 330'!C19+'Parts - 430'!C19</f>
        <v>117175.14</v>
      </c>
      <c r="D19" s="6">
        <f>'Parts - 130'!D19+'Parts - 230'!D19+'Parts - 330'!D19+'Parts - 430'!D19</f>
        <v>156405.11000000002</v>
      </c>
      <c r="E19" s="6">
        <f>'Parts - 130'!E19+'Parts - 230'!E19+'Parts - 330'!E19+'Parts - 430'!E19</f>
        <v>99590.260000000009</v>
      </c>
      <c r="F19" s="6">
        <f>'Parts - 130'!F19+'Parts - 230'!F19+'Parts - 330'!F19+'Parts - 430'!F19</f>
        <v>130400.54999999999</v>
      </c>
      <c r="G19" s="6">
        <f>'Parts - 130'!G19+'Parts - 230'!G19+'Parts - 330'!G19+'Parts - 430'!G19</f>
        <v>136643.61000000002</v>
      </c>
      <c r="H19" s="6">
        <f>'Parts - 130'!H19+'Parts - 230'!H19+'Parts - 330'!H19+'Parts - 430'!H19</f>
        <v>118244.78000000001</v>
      </c>
      <c r="I19" s="6">
        <f>'Parts - 130'!I19+'Parts - 230'!I19+'Parts - 330'!I19+'Parts - 430'!I19</f>
        <v>133079.96</v>
      </c>
      <c r="J19" s="6">
        <f>'Parts - 130'!J19+'Parts - 230'!J19+'Parts - 330'!J19+'Parts - 430'!J19</f>
        <v>125248.67999999998</v>
      </c>
      <c r="K19" s="6">
        <f>'Parts - 130'!K19+'Parts - 230'!K19+'Parts - 330'!K19+'Parts - 430'!K19</f>
        <v>130528.71999999999</v>
      </c>
      <c r="L19" s="6">
        <f>'Parts - 130'!L19+'Parts - 230'!L19+'Parts - 330'!L19+'Parts - 430'!L19</f>
        <v>120352.55</v>
      </c>
      <c r="M19" s="6">
        <f>'Parts - 130'!M19+'Parts - 230'!M19+'Parts - 330'!M19+'Parts - 430'!M19</f>
        <v>124585</v>
      </c>
      <c r="N19" s="6">
        <f>'Parts - 130'!N19+'Parts - 230'!N19+'Parts - 330'!N19+'Parts - 430'!N19</f>
        <v>143808.39000000001</v>
      </c>
      <c r="O19" s="6">
        <f>'Parts - 130'!O19+'Parts - 230'!O19+'Parts - 330'!O19+'Parts - 430'!O19</f>
        <v>105320.07999999999</v>
      </c>
      <c r="P19" s="6">
        <f>'Parts - 130'!P19+'Parts - 230'!P19+'Parts - 330'!P19+'Parts - 430'!P19</f>
        <v>89598.14</v>
      </c>
      <c r="R19" s="6">
        <f t="shared" si="6"/>
        <v>1457400.72</v>
      </c>
    </row>
    <row r="20" spans="1:21" ht="15.75" thickBot="1" x14ac:dyDescent="0.3">
      <c r="A20" s="9" t="s">
        <v>1078</v>
      </c>
      <c r="B20" s="10">
        <f t="shared" ref="B20:P20" si="9">B16-B19</f>
        <v>107805.79000000001</v>
      </c>
      <c r="C20" s="10">
        <f t="shared" si="9"/>
        <v>92569.73</v>
      </c>
      <c r="D20" s="10">
        <f t="shared" si="9"/>
        <v>280644.92000000016</v>
      </c>
      <c r="E20" s="10">
        <f t="shared" si="9"/>
        <v>133864.30999999997</v>
      </c>
      <c r="F20" s="10">
        <f t="shared" si="9"/>
        <v>118862.11000000002</v>
      </c>
      <c r="G20" s="10">
        <f>G16-G19</f>
        <v>298733.11</v>
      </c>
      <c r="H20" s="10">
        <f t="shared" si="9"/>
        <v>146988.74999999994</v>
      </c>
      <c r="I20" s="10">
        <f t="shared" si="9"/>
        <v>132950.34000000005</v>
      </c>
      <c r="J20" s="10">
        <f t="shared" si="9"/>
        <v>249051.63</v>
      </c>
      <c r="K20" s="10">
        <f t="shared" si="9"/>
        <v>124423.29999999997</v>
      </c>
      <c r="L20" s="10">
        <f t="shared" si="9"/>
        <v>213361.37000000005</v>
      </c>
      <c r="M20" s="10">
        <f t="shared" si="9"/>
        <v>203712.55</v>
      </c>
      <c r="N20" s="10">
        <f t="shared" si="9"/>
        <v>56685.569999999891</v>
      </c>
      <c r="O20" s="10">
        <f t="shared" si="9"/>
        <v>174261.85</v>
      </c>
      <c r="P20" s="10">
        <f t="shared" si="9"/>
        <v>286523.36</v>
      </c>
      <c r="R20" s="10">
        <f>SUM(E20:P20)</f>
        <v>2139418.25</v>
      </c>
      <c r="S20" s="120"/>
    </row>
    <row r="21" spans="1:21" ht="15.75" thickTop="1" x14ac:dyDescent="0.25"/>
    <row r="23" spans="1:21" ht="15.75" x14ac:dyDescent="0.25">
      <c r="A23" s="11" t="s">
        <v>1174</v>
      </c>
      <c r="B23" s="5">
        <v>45292</v>
      </c>
      <c r="C23" s="5">
        <v>45323</v>
      </c>
      <c r="D23" s="5">
        <v>45352</v>
      </c>
      <c r="E23" s="5">
        <v>45383</v>
      </c>
      <c r="F23" s="5">
        <v>45413</v>
      </c>
      <c r="G23" s="5">
        <v>45444</v>
      </c>
      <c r="H23" s="5">
        <v>45474</v>
      </c>
      <c r="I23" s="5">
        <v>45505</v>
      </c>
      <c r="J23" s="5">
        <v>45536</v>
      </c>
      <c r="K23" s="5">
        <v>45566</v>
      </c>
      <c r="L23" s="5">
        <v>45597</v>
      </c>
      <c r="M23" s="5">
        <v>45627</v>
      </c>
      <c r="N23" s="5">
        <v>45658</v>
      </c>
      <c r="O23" s="5">
        <v>45689</v>
      </c>
      <c r="P23" s="5">
        <v>45717</v>
      </c>
      <c r="Q23" s="5"/>
      <c r="R23" s="5" t="s">
        <v>955</v>
      </c>
    </row>
    <row r="24" spans="1:21" x14ac:dyDescent="0.25">
      <c r="A24" s="4"/>
      <c r="B24" s="5" t="s">
        <v>958</v>
      </c>
      <c r="C24" s="5" t="s">
        <v>959</v>
      </c>
      <c r="D24" s="5" t="s">
        <v>959</v>
      </c>
      <c r="E24" s="5" t="s">
        <v>959</v>
      </c>
      <c r="F24" s="5" t="s">
        <v>959</v>
      </c>
      <c r="G24" s="5" t="s">
        <v>959</v>
      </c>
      <c r="H24" s="5" t="s">
        <v>959</v>
      </c>
      <c r="I24" s="5" t="s">
        <v>959</v>
      </c>
      <c r="J24" s="5" t="s">
        <v>959</v>
      </c>
      <c r="K24" s="5" t="s">
        <v>959</v>
      </c>
      <c r="L24" s="5" t="s">
        <v>959</v>
      </c>
      <c r="M24" s="5" t="s">
        <v>959</v>
      </c>
      <c r="N24" s="5" t="s">
        <v>959</v>
      </c>
      <c r="O24" s="5" t="s">
        <v>959</v>
      </c>
      <c r="P24" s="5" t="s">
        <v>959</v>
      </c>
      <c r="Q24" s="5"/>
      <c r="R24" s="5" t="s">
        <v>961</v>
      </c>
    </row>
    <row r="26" spans="1:21" x14ac:dyDescent="0.25">
      <c r="A26" s="7" t="s">
        <v>1175</v>
      </c>
      <c r="B26" s="179">
        <f>'Parts - 130'!B26+'Parts - 230'!B26+'Parts - 330'!B26+'Parts - 430'!B26</f>
        <v>1251188.06</v>
      </c>
      <c r="C26" s="6">
        <f>O4</f>
        <v>1614550.93</v>
      </c>
      <c r="D26" s="6">
        <f>P4</f>
        <v>1431312.9900000002</v>
      </c>
      <c r="E26" s="6">
        <f>'Parts - 130'!E26+'Parts - 230'!E26+'Parts - 330'!E26+'Parts - 430'!E26</f>
        <v>1429855.7934155795</v>
      </c>
      <c r="F26" s="6">
        <f>'Parts - 130'!F26+'Parts - 230'!F26+'Parts - 330'!F26+'Parts - 430'!F26</f>
        <v>1624836.1288813401</v>
      </c>
      <c r="G26" s="6">
        <f>'Parts - 130'!G26+'Parts - 230'!G26+'Parts - 330'!G26+'Parts - 430'!G26</f>
        <v>1332365.625682699</v>
      </c>
      <c r="H26" s="6">
        <f>'Parts - 130'!H26+'Parts - 230'!H26+'Parts - 330'!H26+'Parts - 430'!H26</f>
        <v>1624836.1288813401</v>
      </c>
      <c r="I26" s="6">
        <f>'Parts - 130'!I26+'Parts - 230'!I26+'Parts - 330'!I26+'Parts - 430'!I26</f>
        <v>1592339.4063037136</v>
      </c>
      <c r="J26" s="6">
        <f>'Parts - 130'!J26+'Parts - 230'!J26+'Parts - 330'!J26+'Parts - 430'!J26</f>
        <v>1494849.2385708331</v>
      </c>
      <c r="K26" s="6">
        <f>'Parts - 130'!K26+'Parts - 230'!K26+'Parts - 330'!K26+'Parts - 430'!K26</f>
        <v>1559842.6837260865</v>
      </c>
      <c r="L26" s="6">
        <f>'Parts - 130'!L26+'Parts - 230'!L26+'Parts - 330'!L26+'Parts - 430'!L26</f>
        <v>1527345.9611484599</v>
      </c>
      <c r="M26" s="6">
        <f>'Parts - 130'!M26+'Parts - 230'!M26+'Parts - 330'!M26+'Parts - 430'!M26</f>
        <v>1429855.7934155795</v>
      </c>
      <c r="N26" s="6">
        <f>'Parts - 130'!N26+'Parts - 230'!N26+'Parts - 330'!N26+'Parts - 430'!N26</f>
        <v>1429855.7934155795</v>
      </c>
      <c r="O26" s="6">
        <f>'Parts - 130'!O26+'Parts - 230'!O26+'Parts - 330'!O26+'Parts - 430'!O26</f>
        <v>1364862.3482603258</v>
      </c>
      <c r="P26" s="6">
        <f>'Parts - 130'!P26+'Parts - 230'!P26+'Parts - 330'!P26+'Parts - 430'!P26</f>
        <v>1527345.9611484599</v>
      </c>
      <c r="Q26" s="8"/>
      <c r="R26" s="6">
        <f>SUM(E26:P26)</f>
        <v>17938190.862849999</v>
      </c>
      <c r="S26" s="244">
        <f>(R26-R4)/R4</f>
        <v>1.5488834403544177E-2</v>
      </c>
      <c r="U26" s="7"/>
    </row>
    <row r="27" spans="1:21" x14ac:dyDescent="0.25">
      <c r="A27" t="s">
        <v>1176</v>
      </c>
      <c r="B27" s="3">
        <f>(B38-B37)/B26</f>
        <v>0.17667499959998012</v>
      </c>
      <c r="C27" s="3">
        <f>O5</f>
        <v>0.17316389641545715</v>
      </c>
      <c r="D27" s="3">
        <f>P5</f>
        <v>0.17710766392192107</v>
      </c>
      <c r="E27" s="3">
        <f t="shared" ref="E27:P27" si="10">E38/E26</f>
        <v>0.17571591813663531</v>
      </c>
      <c r="F27" s="3">
        <f t="shared" si="10"/>
        <v>0.17571591813663531</v>
      </c>
      <c r="G27" s="3">
        <f t="shared" si="10"/>
        <v>0.17571591813663531</v>
      </c>
      <c r="H27" s="3">
        <f t="shared" si="10"/>
        <v>0.17571591813663531</v>
      </c>
      <c r="I27" s="3">
        <f t="shared" si="10"/>
        <v>0.17571591813663531</v>
      </c>
      <c r="J27" s="3">
        <f t="shared" si="10"/>
        <v>0.17571591813663534</v>
      </c>
      <c r="K27" s="3">
        <f t="shared" si="10"/>
        <v>0.17571591813663534</v>
      </c>
      <c r="L27" s="3">
        <f t="shared" si="10"/>
        <v>0.17571591813663534</v>
      </c>
      <c r="M27" s="3">
        <f t="shared" si="10"/>
        <v>0.17571591813663531</v>
      </c>
      <c r="N27" s="3">
        <f t="shared" si="10"/>
        <v>0.17571591813663531</v>
      </c>
      <c r="O27" s="3">
        <f t="shared" si="10"/>
        <v>0.17571591813663531</v>
      </c>
      <c r="P27" s="3">
        <f t="shared" si="10"/>
        <v>0.17571591813663534</v>
      </c>
      <c r="Q27" s="3"/>
      <c r="R27" s="3">
        <f>R38/R26</f>
        <v>0.17571591813663529</v>
      </c>
    </row>
    <row r="28" spans="1:21" x14ac:dyDescent="0.25">
      <c r="A28" t="s">
        <v>1177</v>
      </c>
      <c r="B28" s="45">
        <f>B26-B30</f>
        <v>1000950.4480000001</v>
      </c>
      <c r="C28" s="3"/>
      <c r="D28" s="3"/>
      <c r="E28" s="45">
        <f>E26-E30</f>
        <v>1192825.8915761593</v>
      </c>
      <c r="F28" s="45">
        <f t="shared" ref="F28:P28" si="11">F26-F30</f>
        <v>1355483.9677001806</v>
      </c>
      <c r="G28" s="45">
        <f t="shared" si="11"/>
        <v>1111496.8535141484</v>
      </c>
      <c r="H28" s="45">
        <f t="shared" si="11"/>
        <v>1355483.9677001806</v>
      </c>
      <c r="I28" s="45">
        <f t="shared" si="11"/>
        <v>1328374.2883461774</v>
      </c>
      <c r="J28" s="45">
        <f t="shared" si="11"/>
        <v>1247045.2502841665</v>
      </c>
      <c r="K28" s="45">
        <f t="shared" si="11"/>
        <v>1301264.6089921736</v>
      </c>
      <c r="L28" s="45">
        <f t="shared" si="11"/>
        <v>1274154.9296381702</v>
      </c>
      <c r="M28" s="45">
        <f t="shared" si="11"/>
        <v>1192825.8915761593</v>
      </c>
      <c r="N28" s="45">
        <f t="shared" si="11"/>
        <v>1192825.8915761593</v>
      </c>
      <c r="O28" s="45">
        <f t="shared" si="11"/>
        <v>1138606.532868152</v>
      </c>
      <c r="P28" s="45">
        <f t="shared" si="11"/>
        <v>1274154.9296381702</v>
      </c>
      <c r="Q28" s="3"/>
      <c r="R28" s="45">
        <f>SUM(E28:P28)</f>
        <v>14964543.003409998</v>
      </c>
    </row>
    <row r="29" spans="1:21" x14ac:dyDescent="0.25">
      <c r="A29" t="s">
        <v>1178</v>
      </c>
      <c r="B29" s="3">
        <f>B39/B28</f>
        <v>0.17084374949997513</v>
      </c>
      <c r="C29" s="3"/>
      <c r="D29" s="3"/>
      <c r="E29" s="3">
        <f>E39/E28</f>
        <v>0.1698694802508475</v>
      </c>
      <c r="F29" s="3">
        <f t="shared" ref="F29:P29" si="12">F39/F28</f>
        <v>0.16986948025084753</v>
      </c>
      <c r="G29" s="3">
        <f t="shared" si="12"/>
        <v>0.1698694802508475</v>
      </c>
      <c r="H29" s="3">
        <f t="shared" si="12"/>
        <v>0.16986948025084753</v>
      </c>
      <c r="I29" s="3">
        <f t="shared" si="12"/>
        <v>0.16986948025084747</v>
      </c>
      <c r="J29" s="3">
        <f t="shared" si="12"/>
        <v>0.1698694802508475</v>
      </c>
      <c r="K29" s="3">
        <f t="shared" si="12"/>
        <v>0.16986948025084753</v>
      </c>
      <c r="L29" s="3">
        <f t="shared" si="12"/>
        <v>0.16986948025084753</v>
      </c>
      <c r="M29" s="3">
        <f t="shared" si="12"/>
        <v>0.1698694802508475</v>
      </c>
      <c r="N29" s="3">
        <f t="shared" si="12"/>
        <v>0.1698694802508475</v>
      </c>
      <c r="O29" s="3">
        <f t="shared" si="12"/>
        <v>0.1698694802508475</v>
      </c>
      <c r="P29" s="3">
        <f t="shared" si="12"/>
        <v>0.16986948025084753</v>
      </c>
      <c r="Q29" s="3"/>
      <c r="R29" s="3">
        <f>R39/R28</f>
        <v>0.16986948025084747</v>
      </c>
    </row>
    <row r="30" spans="1:21" x14ac:dyDescent="0.25">
      <c r="A30" t="s">
        <v>1179</v>
      </c>
      <c r="B30" s="45">
        <f>'Parts - 130'!B30+'Parts - 230'!B30+'Parts - 330'!B30+'Parts - 430'!B30</f>
        <v>250237.61199999999</v>
      </c>
      <c r="C30" s="3"/>
      <c r="D30" s="3"/>
      <c r="E30" s="45">
        <f>'Parts - 130'!E30+'Parts - 230'!E30+'Parts - 330'!E30+'Parts - 430'!E30</f>
        <v>237029.90183942029</v>
      </c>
      <c r="F30" s="45">
        <f>'Parts - 130'!F30+'Parts - 230'!F30+'Parts - 330'!F30+'Parts - 430'!F30</f>
        <v>269352.16118115943</v>
      </c>
      <c r="G30" s="45">
        <f>'Parts - 130'!G30+'Parts - 230'!G30+'Parts - 330'!G30+'Parts - 430'!G30</f>
        <v>220868.7721685507</v>
      </c>
      <c r="H30" s="45">
        <f>'Parts - 130'!H30+'Parts - 230'!H30+'Parts - 330'!H30+'Parts - 430'!H30</f>
        <v>269352.16118115943</v>
      </c>
      <c r="I30" s="45">
        <f>'Parts - 130'!I30+'Parts - 230'!I30+'Parts - 330'!I30+'Parts - 430'!I30</f>
        <v>263965.11795753625</v>
      </c>
      <c r="J30" s="45">
        <f>'Parts - 130'!J30+'Parts - 230'!J30+'Parts - 330'!J30+'Parts - 430'!J30</f>
        <v>247803.98828666663</v>
      </c>
      <c r="K30" s="45">
        <f>'Parts - 130'!K30+'Parts - 230'!K30+'Parts - 330'!K30+'Parts - 430'!K30</f>
        <v>258578.07473391303</v>
      </c>
      <c r="L30" s="45">
        <f>'Parts - 130'!L30+'Parts - 230'!L30+'Parts - 330'!L30+'Parts - 430'!L30</f>
        <v>253191.03151028985</v>
      </c>
      <c r="M30" s="45">
        <f>'Parts - 130'!M30+'Parts - 230'!M30+'Parts - 330'!M30+'Parts - 430'!M30</f>
        <v>237029.90183942029</v>
      </c>
      <c r="N30" s="45">
        <f>'Parts - 130'!N30+'Parts - 230'!N30+'Parts - 330'!N30+'Parts - 430'!N30</f>
        <v>237029.90183942029</v>
      </c>
      <c r="O30" s="45">
        <f>'Parts - 130'!O30+'Parts - 230'!O30+'Parts - 330'!O30+'Parts - 430'!O30</f>
        <v>226255.81539217388</v>
      </c>
      <c r="P30" s="45">
        <f>'Parts - 130'!P30+'Parts - 230'!P30+'Parts - 330'!P30+'Parts - 430'!P30</f>
        <v>253191.03151028985</v>
      </c>
      <c r="Q30" s="3"/>
      <c r="R30" s="45">
        <f>SUM(E30:P30)</f>
        <v>2973647.8594399993</v>
      </c>
      <c r="S30" s="120"/>
    </row>
    <row r="31" spans="1:21" x14ac:dyDescent="0.25">
      <c r="A31" t="s">
        <v>1180</v>
      </c>
      <c r="B31" s="3">
        <f>('Parts - 130'!B31+'Parts - 230'!B31+'Parts - 330'!B31+'Parts - 430'!B31)/4</f>
        <v>0.2</v>
      </c>
      <c r="C31" s="3"/>
      <c r="D31" s="3"/>
      <c r="E31" s="3">
        <f>('Parts - 130'!E31+'Parts - 230'!E31+'Parts - 330'!E31+'Parts - 430'!E31)/4</f>
        <v>0.20513744862515568</v>
      </c>
      <c r="F31" s="3">
        <f>('Parts - 130'!F31+'Parts - 230'!F31+'Parts - 330'!F31+'Parts - 430'!F31)/4</f>
        <v>0.20513744862515568</v>
      </c>
      <c r="G31" s="3">
        <f>('Parts - 130'!G31+'Parts - 230'!G31+'Parts - 330'!G31+'Parts - 430'!G31)/4</f>
        <v>0.20513744862515568</v>
      </c>
      <c r="H31" s="3">
        <f>('Parts - 130'!H31+'Parts - 230'!H31+'Parts - 330'!H31+'Parts - 430'!H31)/4</f>
        <v>0.20513744862515568</v>
      </c>
      <c r="I31" s="3">
        <f>('Parts - 130'!I31+'Parts - 230'!I31+'Parts - 330'!I31+'Parts - 430'!I31)/4</f>
        <v>0.20513744862515568</v>
      </c>
      <c r="J31" s="3">
        <f>('Parts - 130'!J31+'Parts - 230'!J31+'Parts - 330'!J31+'Parts - 430'!J31)/4</f>
        <v>0.20513744862515568</v>
      </c>
      <c r="K31" s="3">
        <f>('Parts - 130'!K31+'Parts - 230'!K31+'Parts - 330'!K31+'Parts - 430'!K31)/4</f>
        <v>0.20513744862515568</v>
      </c>
      <c r="L31" s="3">
        <f>('Parts - 130'!L31+'Parts - 230'!L31+'Parts - 330'!L31+'Parts - 430'!L31)/4</f>
        <v>0.20513744862515568</v>
      </c>
      <c r="M31" s="3">
        <f>('Parts - 130'!M31+'Parts - 230'!M31+'Parts - 330'!M31+'Parts - 430'!M31)/4</f>
        <v>0.20513744862515568</v>
      </c>
      <c r="N31" s="3">
        <f>('Parts - 130'!N31+'Parts - 230'!N31+'Parts - 330'!N31+'Parts - 430'!N31)/4</f>
        <v>0.20513744862515568</v>
      </c>
      <c r="O31" s="3">
        <f>('Parts - 130'!O31+'Parts - 230'!O31+'Parts - 330'!O31+'Parts - 430'!O31)/4</f>
        <v>0.20513744862515568</v>
      </c>
      <c r="P31" s="3">
        <f>('Parts - 130'!P31+'Parts - 230'!P31+'Parts - 330'!P31+'Parts - 430'!P31)/4</f>
        <v>0.20513744862515568</v>
      </c>
      <c r="Q31" s="3"/>
      <c r="R31" s="3">
        <f>R40/R30</f>
        <v>0.20513744862515573</v>
      </c>
    </row>
    <row r="32" spans="1:21" x14ac:dyDescent="0.25">
      <c r="A32" t="s">
        <v>1181</v>
      </c>
      <c r="B32" s="176">
        <f>B30/B26</f>
        <v>0.19999999999999998</v>
      </c>
      <c r="C32" s="3"/>
      <c r="D32" s="3"/>
      <c r="E32" s="3">
        <f>E30/E26</f>
        <v>0.16577189317337604</v>
      </c>
      <c r="F32" s="3">
        <f t="shared" ref="F32:P32" si="13">F30/F26</f>
        <v>0.16577189317337607</v>
      </c>
      <c r="G32" s="3">
        <f t="shared" si="13"/>
        <v>0.16577189317337604</v>
      </c>
      <c r="H32" s="3">
        <f t="shared" si="13"/>
        <v>0.16577189317337607</v>
      </c>
      <c r="I32" s="3">
        <f t="shared" si="13"/>
        <v>0.16577189317337604</v>
      </c>
      <c r="J32" s="3">
        <f t="shared" si="13"/>
        <v>0.16577189317337601</v>
      </c>
      <c r="K32" s="3">
        <f t="shared" si="13"/>
        <v>0.16577189317337607</v>
      </c>
      <c r="L32" s="3">
        <f t="shared" si="13"/>
        <v>0.16577189317337604</v>
      </c>
      <c r="M32" s="3">
        <f t="shared" si="13"/>
        <v>0.16577189317337604</v>
      </c>
      <c r="N32" s="3">
        <f t="shared" si="13"/>
        <v>0.16577189317337604</v>
      </c>
      <c r="O32" s="3">
        <f t="shared" si="13"/>
        <v>0.16577189317337604</v>
      </c>
      <c r="P32" s="3">
        <f t="shared" si="13"/>
        <v>0.16577189317337604</v>
      </c>
      <c r="Q32" s="3"/>
      <c r="R32" s="3">
        <f>R30/R26</f>
        <v>0.16577189317337598</v>
      </c>
    </row>
    <row r="33" spans="1:19" x14ac:dyDescent="0.25">
      <c r="A33" t="s">
        <v>1182</v>
      </c>
      <c r="B33" s="3">
        <f>B41/B26</f>
        <v>0.15191852933762812</v>
      </c>
      <c r="C33" s="3">
        <f t="shared" ref="C33:D35" si="14">O11</f>
        <v>6.5231810309012664E-2</v>
      </c>
      <c r="D33" s="3">
        <f t="shared" si="14"/>
        <v>6.2598565531079259E-2</v>
      </c>
      <c r="E33" s="3">
        <f>E41/E26</f>
        <v>7.2292933522140779E-2</v>
      </c>
      <c r="F33" s="3">
        <f t="shared" ref="F33:P33" si="15">F41/F26</f>
        <v>6.3617781499483897E-2</v>
      </c>
      <c r="G33" s="3">
        <f t="shared" si="15"/>
        <v>7.7582660365224251E-2</v>
      </c>
      <c r="H33" s="3">
        <f t="shared" si="15"/>
        <v>6.3617781499483897E-2</v>
      </c>
      <c r="I33" s="3">
        <f t="shared" si="15"/>
        <v>6.4916103570901926E-2</v>
      </c>
      <c r="J33" s="3">
        <f t="shared" si="15"/>
        <v>6.9149762499439008E-2</v>
      </c>
      <c r="K33" s="3">
        <f t="shared" si="15"/>
        <v>6.6268522395295723E-2</v>
      </c>
      <c r="L33" s="3">
        <f t="shared" si="15"/>
        <v>6.7678490956897749E-2</v>
      </c>
      <c r="M33" s="3">
        <f t="shared" si="15"/>
        <v>7.2292933522140779E-2</v>
      </c>
      <c r="N33" s="3">
        <f t="shared" si="15"/>
        <v>7.2292933522140779E-2</v>
      </c>
      <c r="O33" s="3">
        <f t="shared" si="15"/>
        <v>7.5735454166052249E-2</v>
      </c>
      <c r="P33" s="3">
        <f t="shared" si="15"/>
        <v>6.7678490956897749E-2</v>
      </c>
      <c r="Q33" s="3"/>
      <c r="R33" s="3">
        <f>R41/R26</f>
        <v>6.9149762499439008E-2</v>
      </c>
    </row>
    <row r="34" spans="1:19" x14ac:dyDescent="0.25">
      <c r="A34" s="7" t="s">
        <v>1183</v>
      </c>
      <c r="B34" s="179">
        <f>B26/B35</f>
        <v>96245.235384615386</v>
      </c>
      <c r="C34" s="6">
        <f t="shared" si="14"/>
        <v>161455.09299999999</v>
      </c>
      <c r="D34" s="6">
        <f t="shared" si="14"/>
        <v>159034.7766666667</v>
      </c>
      <c r="E34" s="6">
        <f>E26/E35</f>
        <v>158872.86593506439</v>
      </c>
      <c r="F34" s="6">
        <f t="shared" ref="F34:P34" si="16">F26/F35</f>
        <v>162483.61288813403</v>
      </c>
      <c r="G34" s="6">
        <f t="shared" si="16"/>
        <v>133236.5625682699</v>
      </c>
      <c r="H34" s="6">
        <f t="shared" si="16"/>
        <v>147712.37535284911</v>
      </c>
      <c r="I34" s="6">
        <f t="shared" si="16"/>
        <v>144758.12784579213</v>
      </c>
      <c r="J34" s="6">
        <f t="shared" si="16"/>
        <v>135895.38532462119</v>
      </c>
      <c r="K34" s="6">
        <f t="shared" si="16"/>
        <v>141803.88033873515</v>
      </c>
      <c r="L34" s="6">
        <f t="shared" si="16"/>
        <v>138849.63283167817</v>
      </c>
      <c r="M34" s="6">
        <f t="shared" si="16"/>
        <v>129986.89031050722</v>
      </c>
      <c r="N34" s="6">
        <f t="shared" si="16"/>
        <v>129986.89031050722</v>
      </c>
      <c r="O34" s="6">
        <f t="shared" si="16"/>
        <v>124078.39529639325</v>
      </c>
      <c r="P34" s="6">
        <f t="shared" si="16"/>
        <v>138849.63283167817</v>
      </c>
      <c r="Q34" s="3"/>
      <c r="R34" s="45">
        <f>R26/R35/12</f>
        <v>140142.11611601562</v>
      </c>
    </row>
    <row r="35" spans="1:19" x14ac:dyDescent="0.25">
      <c r="A35" s="7" t="s">
        <v>1184</v>
      </c>
      <c r="B35" s="75">
        <f>'Parts - 130'!B35+'Parts - 230'!B35+'Parts - 330'!B35+'Parts - 430'!B35</f>
        <v>13</v>
      </c>
      <c r="C35" s="75">
        <f t="shared" si="14"/>
        <v>10</v>
      </c>
      <c r="D35" s="75">
        <f t="shared" si="14"/>
        <v>9</v>
      </c>
      <c r="E35" s="60">
        <f>'Parts - 130'!E35+'Parts - 230'!E35+'Parts - 330'!E35+'Parts - 430'!E35</f>
        <v>9</v>
      </c>
      <c r="F35" s="60">
        <f>'Parts - 130'!F35+'Parts - 230'!F35+'Parts - 330'!F35+'Parts - 430'!F35</f>
        <v>10</v>
      </c>
      <c r="G35" s="60">
        <f>'Parts - 130'!G35+'Parts - 230'!G35+'Parts - 330'!G35+'Parts - 430'!G35</f>
        <v>10</v>
      </c>
      <c r="H35" s="60">
        <f>'Parts - 130'!H35+'Parts - 230'!H35+'Parts - 330'!H35+'Parts - 430'!H35</f>
        <v>11</v>
      </c>
      <c r="I35" s="60">
        <f>'Parts - 130'!I35+'Parts - 230'!I35+'Parts - 330'!I35+'Parts - 430'!I35</f>
        <v>11</v>
      </c>
      <c r="J35" s="60">
        <f>'Parts - 130'!J35+'Parts - 230'!J35+'Parts - 330'!J35+'Parts - 430'!J35</f>
        <v>11</v>
      </c>
      <c r="K35" s="60">
        <f>'Parts - 130'!K35+'Parts - 230'!K35+'Parts - 330'!K35+'Parts - 430'!K35</f>
        <v>11</v>
      </c>
      <c r="L35" s="60">
        <f>'Parts - 130'!L35+'Parts - 230'!L35+'Parts - 330'!L35+'Parts - 430'!L35</f>
        <v>11</v>
      </c>
      <c r="M35" s="60">
        <f>'Parts - 130'!M35+'Parts - 230'!M35+'Parts - 330'!M35+'Parts - 430'!M35</f>
        <v>11</v>
      </c>
      <c r="N35" s="60">
        <f>'Parts - 130'!N35+'Parts - 230'!N35+'Parts - 330'!N35+'Parts - 430'!N35</f>
        <v>11</v>
      </c>
      <c r="O35" s="60">
        <f>'Parts - 130'!O35+'Parts - 230'!O35+'Parts - 330'!O35+'Parts - 430'!O35</f>
        <v>11</v>
      </c>
      <c r="P35" s="60">
        <f>'Parts - 130'!P35+'Parts - 230'!P35+'Parts - 330'!P35+'Parts - 430'!P35</f>
        <v>11</v>
      </c>
      <c r="Q35" s="60"/>
      <c r="R35" s="60">
        <f>AVERAGE(E35:P35)</f>
        <v>10.666666666666666</v>
      </c>
    </row>
    <row r="36" spans="1:19" x14ac:dyDescent="0.25">
      <c r="B36" s="3"/>
      <c r="C36" s="3"/>
      <c r="D36" s="3"/>
      <c r="E36" s="6"/>
      <c r="F36" s="6"/>
      <c r="G36" s="6"/>
      <c r="H36" s="6"/>
      <c r="I36" s="6"/>
      <c r="J36" s="6"/>
      <c r="K36" s="6"/>
      <c r="L36" s="6"/>
      <c r="M36" s="6"/>
      <c r="N36" s="6"/>
      <c r="O36" s="6"/>
      <c r="P36" s="6"/>
      <c r="Q36" s="3"/>
      <c r="R36" s="6"/>
    </row>
    <row r="37" spans="1:19" x14ac:dyDescent="0.25">
      <c r="A37" t="s">
        <v>1185</v>
      </c>
      <c r="B37" s="6">
        <f>'Parts - 130'!B37+'Parts - 230'!B37+'Parts - 330'!B37+'Parts - 430'!B37</f>
        <v>0</v>
      </c>
      <c r="C37" s="6">
        <f>O15</f>
        <v>0</v>
      </c>
      <c r="D37" s="6">
        <f>P15</f>
        <v>122625</v>
      </c>
      <c r="E37" s="6">
        <f>'Parts - 130'!E37+'Parts - 230'!E37+'Parts - 330'!E37+'Parts - 430'!E37</f>
        <v>0</v>
      </c>
      <c r="F37" s="6">
        <f>'Parts - 130'!F37+'Parts - 230'!F37+'Parts - 330'!F37+'Parts - 430'!F37</f>
        <v>0</v>
      </c>
      <c r="G37" s="6">
        <f>'Parts - 130'!G37+'Parts - 230'!G37+'Parts - 330'!G37+'Parts - 430'!G37</f>
        <v>109687.5</v>
      </c>
      <c r="H37" s="6">
        <f>'Parts - 130'!H37+'Parts - 230'!H37+'Parts - 330'!H37+'Parts - 430'!H37</f>
        <v>0</v>
      </c>
      <c r="I37" s="6">
        <f>'Parts - 130'!I37+'Parts - 230'!I37+'Parts - 330'!I37+'Parts - 430'!I37</f>
        <v>0</v>
      </c>
      <c r="J37" s="6">
        <f>'Parts - 130'!J37+'Parts - 230'!J37+'Parts - 330'!J37+'Parts - 430'!J37</f>
        <v>106875</v>
      </c>
      <c r="K37" s="6">
        <f>'Parts - 130'!K37+'Parts - 230'!K37+'Parts - 330'!K37+'Parts - 430'!K37</f>
        <v>0</v>
      </c>
      <c r="L37" s="6">
        <f>'Parts - 130'!L37+'Parts - 230'!L37+'Parts - 330'!L37+'Parts - 430'!L37</f>
        <v>0</v>
      </c>
      <c r="M37" s="6">
        <f>'Parts - 130'!M37+'Parts - 230'!M37+'Parts - 330'!M37+'Parts - 430'!M37</f>
        <v>104375.00000000001</v>
      </c>
      <c r="N37" s="6">
        <f>'Parts - 130'!N37+'Parts - 230'!N37+'Parts - 330'!N37+'Parts - 430'!N37</f>
        <v>0</v>
      </c>
      <c r="O37" s="6">
        <f>'Parts - 130'!O37+'Parts - 230'!O37+'Parts - 330'!O37+'Parts - 430'!O37</f>
        <v>0</v>
      </c>
      <c r="P37" s="6">
        <f>'Parts - 130'!P37+'Parts - 230'!P37+'Parts - 330'!P37+'Parts - 430'!P37</f>
        <v>103125</v>
      </c>
      <c r="Q37" s="3"/>
      <c r="R37" s="6">
        <f t="shared" ref="R37:R41" si="17">SUM(E37:P37)</f>
        <v>424062.5</v>
      </c>
    </row>
    <row r="38" spans="1:19" x14ac:dyDescent="0.25">
      <c r="A38" s="7" t="s">
        <v>1186</v>
      </c>
      <c r="B38" s="6">
        <f>'Parts - 130'!B38+'Parts - 230'!B38+'Parts - 330'!B38+'Parts - 430'!B38</f>
        <v>221053.64999999991</v>
      </c>
      <c r="C38" s="6">
        <f>O16</f>
        <v>279581.93</v>
      </c>
      <c r="D38" s="6">
        <f>P16</f>
        <v>376121.5</v>
      </c>
      <c r="E38" s="6">
        <f>'Parts - 130'!E38+'Parts - 230'!E38+'Parts - 330'!E38+'Parts - 430'!E38</f>
        <v>251248.42354300572</v>
      </c>
      <c r="F38" s="6">
        <f>'Parts - 130'!F38+'Parts - 230'!F38+'Parts - 330'!F38+'Parts - 430'!F38</f>
        <v>285509.572207961</v>
      </c>
      <c r="G38" s="6">
        <f>'Parts - 130'!G38+'Parts - 230'!G38+'Parts - 330'!G38+'Parts - 430'!G38</f>
        <v>234117.84921052805</v>
      </c>
      <c r="H38" s="6">
        <f>'Parts - 130'!H38+'Parts - 230'!H38+'Parts - 330'!H38+'Parts - 430'!H38</f>
        <v>285509.572207961</v>
      </c>
      <c r="I38" s="6">
        <f>'Parts - 130'!I38+'Parts - 230'!I38+'Parts - 330'!I38+'Parts - 430'!I38</f>
        <v>279799.3807638018</v>
      </c>
      <c r="J38" s="6">
        <f>'Parts - 130'!J38+'Parts - 230'!J38+'Parts - 330'!J38+'Parts - 430'!J38</f>
        <v>262668.80643132416</v>
      </c>
      <c r="K38" s="6">
        <f>'Parts - 130'!K38+'Parts - 230'!K38+'Parts - 330'!K38+'Parts - 430'!K38</f>
        <v>274089.18931964261</v>
      </c>
      <c r="L38" s="6">
        <f>'Parts - 130'!L38+'Parts - 230'!L38+'Parts - 330'!L38+'Parts - 430'!L38</f>
        <v>268378.99787548342</v>
      </c>
      <c r="M38" s="6">
        <f>'Parts - 130'!M38+'Parts - 230'!M38+'Parts - 330'!M38+'Parts - 430'!M38</f>
        <v>251248.42354300572</v>
      </c>
      <c r="N38" s="6">
        <f>'Parts - 130'!N38+'Parts - 230'!N38+'Parts - 330'!N38+'Parts - 430'!N38</f>
        <v>251248.42354300572</v>
      </c>
      <c r="O38" s="6">
        <f>'Parts - 130'!O38+'Parts - 230'!O38+'Parts - 330'!O38+'Parts - 430'!O38</f>
        <v>239828.04065468727</v>
      </c>
      <c r="P38" s="6">
        <f>'Parts - 130'!P38+'Parts - 230'!P38+'Parts - 330'!P38+'Parts - 430'!P38</f>
        <v>268378.99787548342</v>
      </c>
      <c r="R38" s="6">
        <f>SUM(E38:P38)</f>
        <v>3152025.6771758897</v>
      </c>
    </row>
    <row r="39" spans="1:19" x14ac:dyDescent="0.25">
      <c r="A39" s="7" t="s">
        <v>1187</v>
      </c>
      <c r="B39" s="6">
        <f>B38-B40</f>
        <v>171006.12759999989</v>
      </c>
      <c r="C39" s="6"/>
      <c r="D39" s="6"/>
      <c r="E39" s="6">
        <f>E38-E40</f>
        <v>202624.71423179595</v>
      </c>
      <c r="F39" s="6">
        <f t="shared" ref="F39:P39" si="18">F38-F40</f>
        <v>230255.35708158626</v>
      </c>
      <c r="G39" s="6">
        <f t="shared" si="18"/>
        <v>188809.39280690075</v>
      </c>
      <c r="H39" s="6">
        <f t="shared" si="18"/>
        <v>230255.35708158626</v>
      </c>
      <c r="I39" s="6">
        <f t="shared" si="18"/>
        <v>225650.24993995455</v>
      </c>
      <c r="J39" s="6">
        <f t="shared" si="18"/>
        <v>211834.92851505941</v>
      </c>
      <c r="K39" s="6">
        <f t="shared" si="18"/>
        <v>221045.14279832286</v>
      </c>
      <c r="L39" s="6">
        <f t="shared" si="18"/>
        <v>216440.03565669115</v>
      </c>
      <c r="M39" s="6">
        <f t="shared" si="18"/>
        <v>202624.71423179595</v>
      </c>
      <c r="N39" s="6">
        <f t="shared" si="18"/>
        <v>202624.71423179595</v>
      </c>
      <c r="O39" s="6">
        <f t="shared" si="18"/>
        <v>193414.4999485325</v>
      </c>
      <c r="P39" s="6">
        <f t="shared" si="18"/>
        <v>216440.03565669115</v>
      </c>
      <c r="R39" s="6">
        <f t="shared" si="17"/>
        <v>2542019.1421807124</v>
      </c>
    </row>
    <row r="40" spans="1:19" x14ac:dyDescent="0.25">
      <c r="A40" s="7" t="s">
        <v>1188</v>
      </c>
      <c r="B40" s="6">
        <f>B30*B31</f>
        <v>50047.522400000002</v>
      </c>
      <c r="C40" s="6"/>
      <c r="D40" s="6"/>
      <c r="E40" s="6">
        <f>E30*E31</f>
        <v>48623.709311209772</v>
      </c>
      <c r="F40" s="6">
        <f t="shared" ref="F40:P40" si="19">F30*F31</f>
        <v>55254.215126374744</v>
      </c>
      <c r="G40" s="6">
        <f t="shared" si="19"/>
        <v>45308.456403627286</v>
      </c>
      <c r="H40" s="6">
        <f t="shared" si="19"/>
        <v>55254.215126374744</v>
      </c>
      <c r="I40" s="6">
        <f t="shared" si="19"/>
        <v>54149.130823847248</v>
      </c>
      <c r="J40" s="6">
        <f t="shared" si="19"/>
        <v>50833.877916264755</v>
      </c>
      <c r="K40" s="6">
        <f t="shared" si="19"/>
        <v>53044.046521319753</v>
      </c>
      <c r="L40" s="6">
        <f t="shared" si="19"/>
        <v>51938.962218792258</v>
      </c>
      <c r="M40" s="6">
        <f t="shared" si="19"/>
        <v>48623.709311209772</v>
      </c>
      <c r="N40" s="6">
        <f t="shared" si="19"/>
        <v>48623.709311209772</v>
      </c>
      <c r="O40" s="6">
        <f t="shared" si="19"/>
        <v>46413.540706154774</v>
      </c>
      <c r="P40" s="6">
        <f t="shared" si="19"/>
        <v>51938.962218792258</v>
      </c>
      <c r="R40" s="6">
        <f t="shared" si="17"/>
        <v>610006.53499517718</v>
      </c>
    </row>
    <row r="41" spans="1:19" x14ac:dyDescent="0.25">
      <c r="A41" s="7" t="s">
        <v>1076</v>
      </c>
      <c r="B41" s="6">
        <f>'Parts - 130'!B41+'Parts - 230'!B41+'Parts - 330'!B41+'Parts - 430'!B41</f>
        <v>190078.65000000002</v>
      </c>
      <c r="C41" s="6">
        <f>O19</f>
        <v>105320.07999999999</v>
      </c>
      <c r="D41" s="6">
        <f>P19</f>
        <v>89598.14</v>
      </c>
      <c r="E41" s="6">
        <f>E57</f>
        <v>103368.46981964035</v>
      </c>
      <c r="F41" s="6">
        <f t="shared" ref="F41:P41" si="20">F57</f>
        <v>103368.46981964035</v>
      </c>
      <c r="G41" s="6">
        <f t="shared" si="20"/>
        <v>103368.46981964035</v>
      </c>
      <c r="H41" s="6">
        <f t="shared" si="20"/>
        <v>103368.46981964035</v>
      </c>
      <c r="I41" s="6">
        <f t="shared" si="20"/>
        <v>103368.46981964035</v>
      </c>
      <c r="J41" s="6">
        <f t="shared" si="20"/>
        <v>103368.46981964035</v>
      </c>
      <c r="K41" s="6">
        <f t="shared" si="20"/>
        <v>103368.46981964035</v>
      </c>
      <c r="L41" s="6">
        <f t="shared" si="20"/>
        <v>103368.46981964035</v>
      </c>
      <c r="M41" s="6">
        <f t="shared" si="20"/>
        <v>103368.46981964035</v>
      </c>
      <c r="N41" s="6">
        <f t="shared" si="20"/>
        <v>103368.46981964035</v>
      </c>
      <c r="O41" s="6">
        <f t="shared" si="20"/>
        <v>103368.46981964035</v>
      </c>
      <c r="P41" s="6">
        <f t="shared" si="20"/>
        <v>103368.46981964035</v>
      </c>
      <c r="R41" s="6">
        <f t="shared" si="17"/>
        <v>1240421.6378356842</v>
      </c>
      <c r="S41" s="122">
        <f>(R41-R19)/R19</f>
        <v>-0.14888086659125277</v>
      </c>
    </row>
    <row r="42" spans="1:19" ht="15.75" thickBot="1" x14ac:dyDescent="0.3">
      <c r="A42" s="9" t="s">
        <v>1078</v>
      </c>
      <c r="B42" s="10">
        <f>B38-B41</f>
        <v>30974.999999999884</v>
      </c>
      <c r="C42" s="10">
        <f>O20</f>
        <v>174261.85</v>
      </c>
      <c r="D42" s="10">
        <f>P20</f>
        <v>286523.36</v>
      </c>
      <c r="E42" s="10">
        <f>E38+E37-E41</f>
        <v>147879.95372336538</v>
      </c>
      <c r="F42" s="10">
        <f t="shared" ref="F42:P42" si="21">F38+F37-F41</f>
        <v>182141.10238832067</v>
      </c>
      <c r="G42" s="10">
        <f t="shared" si="21"/>
        <v>240436.87939088774</v>
      </c>
      <c r="H42" s="10">
        <f t="shared" si="21"/>
        <v>182141.10238832067</v>
      </c>
      <c r="I42" s="10">
        <f t="shared" si="21"/>
        <v>176430.91094416147</v>
      </c>
      <c r="J42" s="10">
        <f t="shared" si="21"/>
        <v>266175.33661168383</v>
      </c>
      <c r="K42" s="10">
        <f t="shared" si="21"/>
        <v>170720.71950000228</v>
      </c>
      <c r="L42" s="10">
        <f t="shared" si="21"/>
        <v>165010.52805584308</v>
      </c>
      <c r="M42" s="10">
        <f t="shared" si="21"/>
        <v>252254.95372336538</v>
      </c>
      <c r="N42" s="10">
        <f t="shared" si="21"/>
        <v>147879.95372336538</v>
      </c>
      <c r="O42" s="10">
        <f t="shared" si="21"/>
        <v>136459.57083504694</v>
      </c>
      <c r="P42" s="10">
        <f t="shared" si="21"/>
        <v>268135.52805584308</v>
      </c>
      <c r="R42" s="10">
        <f>SUM(E42:P42)</f>
        <v>2335666.539340206</v>
      </c>
      <c r="S42" s="120"/>
    </row>
    <row r="43" spans="1:19" ht="15.75" thickTop="1" x14ac:dyDescent="0.25"/>
    <row r="44" spans="1:19" x14ac:dyDescent="0.25">
      <c r="R44" s="7">
        <f>R42-'Parts - 130'!R42-'Parts - 230'!R42-'Parts - 330'!R42-'Parts - 430'!R42</f>
        <v>4.6566128730773926E-10</v>
      </c>
    </row>
    <row r="45" spans="1:19" x14ac:dyDescent="0.25">
      <c r="A45" t="s">
        <v>1189</v>
      </c>
      <c r="E45">
        <v>2024</v>
      </c>
      <c r="F45">
        <v>2023</v>
      </c>
      <c r="G45">
        <v>2022</v>
      </c>
      <c r="H45">
        <v>2021</v>
      </c>
      <c r="I45">
        <v>2020</v>
      </c>
      <c r="J45">
        <v>2019</v>
      </c>
      <c r="K45">
        <v>2018</v>
      </c>
    </row>
    <row r="46" spans="1:19" x14ac:dyDescent="0.25">
      <c r="A46" s="36" t="s">
        <v>1190</v>
      </c>
      <c r="E46" s="6">
        <f>'Parts - 130'!R4+'LEX - Parts'!R4</f>
        <v>9322298.6600000001</v>
      </c>
      <c r="F46" s="6">
        <v>9545881.9399999995</v>
      </c>
      <c r="G46" s="6">
        <v>9589651.6899999995</v>
      </c>
      <c r="H46" s="6">
        <v>8832500.4399999995</v>
      </c>
      <c r="I46" s="6">
        <v>10818990.57</v>
      </c>
      <c r="J46" s="6">
        <v>11774184.82</v>
      </c>
      <c r="K46" s="6">
        <v>11037456.93</v>
      </c>
      <c r="S46" s="163" t="s">
        <v>1191</v>
      </c>
    </row>
    <row r="47" spans="1:19" x14ac:dyDescent="0.25">
      <c r="E47" s="3">
        <f t="shared" ref="E47:J47" si="22">(E46-F46)/F46</f>
        <v>-2.3421961575192007E-2</v>
      </c>
      <c r="F47" s="3">
        <f t="shared" si="22"/>
        <v>-4.5642690073553656E-3</v>
      </c>
      <c r="G47" s="3">
        <f t="shared" si="22"/>
        <v>8.5723318684601174E-2</v>
      </c>
      <c r="H47" s="3">
        <f t="shared" si="22"/>
        <v>-0.18361141154040223</v>
      </c>
      <c r="I47" s="3">
        <f t="shared" si="22"/>
        <v>-8.1126147126336687E-2</v>
      </c>
      <c r="J47" s="3">
        <f t="shared" si="22"/>
        <v>6.6747974164008864E-2</v>
      </c>
      <c r="S47" s="163" t="s">
        <v>1192</v>
      </c>
    </row>
    <row r="48" spans="1:19" x14ac:dyDescent="0.25">
      <c r="A48">
        <v>230</v>
      </c>
      <c r="E48" s="6">
        <f>'Parts - 230'!R4</f>
        <v>4431220.07</v>
      </c>
      <c r="F48" s="6">
        <v>4804783.04</v>
      </c>
      <c r="G48" s="6">
        <v>4115743.22</v>
      </c>
      <c r="H48" s="6">
        <v>4076775.12</v>
      </c>
      <c r="I48" s="6">
        <v>4149390.9</v>
      </c>
      <c r="J48" s="6">
        <v>3987460.78</v>
      </c>
      <c r="K48" s="6">
        <v>4156729.35</v>
      </c>
    </row>
    <row r="49" spans="1:18" x14ac:dyDescent="0.25">
      <c r="E49" s="3">
        <f t="shared" ref="E49:J49" si="23">(E48-F48)/F48</f>
        <v>-7.7748145314798595E-2</v>
      </c>
      <c r="F49" s="3">
        <f t="shared" si="23"/>
        <v>0.16741564844271306</v>
      </c>
      <c r="G49" s="3">
        <f t="shared" si="23"/>
        <v>9.5585601003177461E-3</v>
      </c>
      <c r="H49" s="3">
        <f t="shared" si="23"/>
        <v>-1.7500346858137613E-2</v>
      </c>
      <c r="I49" s="3">
        <f t="shared" si="23"/>
        <v>4.0609833910391496E-2</v>
      </c>
      <c r="J49" s="3">
        <f t="shared" si="23"/>
        <v>-4.0721575966931864E-2</v>
      </c>
      <c r="K49" s="3"/>
    </row>
    <row r="50" spans="1:18" x14ac:dyDescent="0.25">
      <c r="A50">
        <v>330</v>
      </c>
      <c r="E50" s="6">
        <f>'Parts - 330'!R4</f>
        <v>1727011.5700000003</v>
      </c>
      <c r="F50" s="6">
        <v>1589680.69</v>
      </c>
      <c r="G50" s="6">
        <v>1572456.57</v>
      </c>
      <c r="H50" s="6">
        <v>1429282.54</v>
      </c>
      <c r="I50" s="6">
        <v>1551986.7</v>
      </c>
      <c r="J50" s="6">
        <v>1339537.42</v>
      </c>
      <c r="K50" s="6">
        <v>1283422.33</v>
      </c>
      <c r="R50" s="7"/>
    </row>
    <row r="51" spans="1:18" x14ac:dyDescent="0.25">
      <c r="E51" s="3">
        <f t="shared" ref="E51:J51" si="24">(E50-F50)/F50</f>
        <v>8.6388971611651363E-2</v>
      </c>
      <c r="F51" s="3">
        <f t="shared" si="24"/>
        <v>1.0953637975514885E-2</v>
      </c>
      <c r="G51" s="3">
        <f t="shared" si="24"/>
        <v>0.10017195760328816</v>
      </c>
      <c r="H51" s="3">
        <f t="shared" si="24"/>
        <v>-7.9062636297076466E-2</v>
      </c>
      <c r="I51" s="3">
        <f t="shared" si="24"/>
        <v>0.15859898859712335</v>
      </c>
      <c r="J51" s="3">
        <f t="shared" si="24"/>
        <v>4.3723012050133056E-2</v>
      </c>
      <c r="K51" s="3"/>
    </row>
    <row r="52" spans="1:18" x14ac:dyDescent="0.25">
      <c r="A52">
        <v>430</v>
      </c>
      <c r="E52" s="6">
        <f>'Parts - 430'!R4</f>
        <v>2506944.1299999994</v>
      </c>
      <c r="F52" s="6">
        <v>2699124.84</v>
      </c>
      <c r="G52" s="6">
        <v>802277.42</v>
      </c>
      <c r="H52" s="6"/>
    </row>
    <row r="53" spans="1:18" x14ac:dyDescent="0.25">
      <c r="E53" s="3">
        <f>(E52-F52)/F52</f>
        <v>-7.1201119396908083E-2</v>
      </c>
      <c r="F53" s="3">
        <f>(F52-G52)/G52</f>
        <v>2.3643285635534896</v>
      </c>
      <c r="G53" s="6"/>
      <c r="H53" s="3"/>
    </row>
    <row r="54" spans="1:18" x14ac:dyDescent="0.25">
      <c r="A54" t="s">
        <v>1193</v>
      </c>
      <c r="E54" s="6">
        <f t="shared" ref="E54:K54" si="25">E46+E48+E50+E52</f>
        <v>17987474.43</v>
      </c>
      <c r="F54" s="6">
        <f t="shared" si="25"/>
        <v>18639470.509999998</v>
      </c>
      <c r="G54" s="6">
        <f t="shared" si="25"/>
        <v>16080128.9</v>
      </c>
      <c r="H54" s="6">
        <f t="shared" si="25"/>
        <v>14338558.099999998</v>
      </c>
      <c r="I54" s="6">
        <f t="shared" si="25"/>
        <v>16520368.17</v>
      </c>
      <c r="J54" s="6">
        <f t="shared" si="25"/>
        <v>17101183.02</v>
      </c>
      <c r="K54" s="6">
        <f t="shared" si="25"/>
        <v>16477608.609999999</v>
      </c>
      <c r="L54" s="7"/>
    </row>
    <row r="55" spans="1:18" x14ac:dyDescent="0.25">
      <c r="E55" s="3">
        <f t="shared" ref="E55:J55" si="26">(E54-F54)/F54</f>
        <v>-3.497932409883666E-2</v>
      </c>
      <c r="F55" s="3">
        <f t="shared" si="26"/>
        <v>0.15916175958017337</v>
      </c>
      <c r="G55" s="3">
        <f t="shared" si="26"/>
        <v>0.12146066486280813</v>
      </c>
      <c r="H55" s="3">
        <f t="shared" si="26"/>
        <v>-0.13206788417476303</v>
      </c>
      <c r="I55" s="3">
        <f t="shared" si="26"/>
        <v>-3.396343102817688E-2</v>
      </c>
      <c r="J55" s="3">
        <f t="shared" si="26"/>
        <v>3.7843744487386519E-2</v>
      </c>
      <c r="R55" s="15"/>
    </row>
    <row r="56" spans="1:18" x14ac:dyDescent="0.25">
      <c r="R56" s="15"/>
    </row>
    <row r="57" spans="1:18" x14ac:dyDescent="0.25">
      <c r="A57" s="7" t="s">
        <v>1076</v>
      </c>
      <c r="E57" s="7">
        <f>'Parts - 130'!E48+'Parts - 230'!E48+'Parts - 330'!E48+'Parts - 430'!E48</f>
        <v>103368.46981964035</v>
      </c>
      <c r="F57" s="7">
        <f>'Parts - 130'!F48+'Parts - 230'!F48+'Parts - 330'!F48+'Parts - 430'!F48</f>
        <v>103368.46981964035</v>
      </c>
      <c r="G57" s="7">
        <f>'Parts - 130'!G48+'Parts - 230'!G48+'Parts - 330'!G48+'Parts - 430'!G48</f>
        <v>103368.46981964035</v>
      </c>
      <c r="H57" s="7">
        <f>'Parts - 130'!H48+'Parts - 230'!H48+'Parts - 330'!H48+'Parts - 430'!H48</f>
        <v>103368.46981964035</v>
      </c>
      <c r="I57" s="7">
        <f>'Parts - 130'!I48+'Parts - 230'!I48+'Parts - 330'!I48+'Parts - 430'!I48</f>
        <v>103368.46981964035</v>
      </c>
      <c r="J57" s="7">
        <f>'Parts - 130'!J48+'Parts - 230'!J48+'Parts - 330'!J48+'Parts - 430'!J48</f>
        <v>103368.46981964035</v>
      </c>
      <c r="K57" s="7">
        <f>'Parts - 130'!K48+'Parts - 230'!K48+'Parts - 330'!K48+'Parts - 430'!K48</f>
        <v>103368.46981964035</v>
      </c>
      <c r="L57" s="7">
        <f>'Parts - 130'!L48+'Parts - 230'!L48+'Parts - 330'!L48+'Parts - 430'!L48</f>
        <v>103368.46981964035</v>
      </c>
      <c r="M57" s="7">
        <f>'Parts - 130'!M48+'Parts - 230'!M48+'Parts - 330'!M48+'Parts - 430'!M48</f>
        <v>103368.46981964035</v>
      </c>
      <c r="N57" s="7">
        <f>'Parts - 130'!N48+'Parts - 230'!N48+'Parts - 330'!N48+'Parts - 430'!N48</f>
        <v>103368.46981964035</v>
      </c>
      <c r="O57" s="7">
        <f>'Parts - 130'!O48+'Parts - 230'!O48+'Parts - 330'!O48+'Parts - 430'!O48</f>
        <v>103368.46981964035</v>
      </c>
      <c r="P57" s="7">
        <f>'Parts - 130'!P48+'Parts - 230'!P48+'Parts - 330'!P48+'Parts - 430'!P48</f>
        <v>103368.46981964035</v>
      </c>
      <c r="R57" s="6">
        <f>SUM(E57:P57)</f>
        <v>1240421.6378356842</v>
      </c>
    </row>
    <row r="59" spans="1:18" x14ac:dyDescent="0.25">
      <c r="A59" t="s">
        <v>1319</v>
      </c>
      <c r="E59" s="7">
        <f>E16-E15</f>
        <v>233454.56999999998</v>
      </c>
      <c r="F59" s="7">
        <f t="shared" ref="F59:P59" si="27">F16-F15</f>
        <v>249262.66</v>
      </c>
      <c r="G59" s="7">
        <f t="shared" si="27"/>
        <v>277071.17000000004</v>
      </c>
      <c r="H59" s="7">
        <f t="shared" si="27"/>
        <v>265233.52999999997</v>
      </c>
      <c r="I59" s="7">
        <f t="shared" si="27"/>
        <v>266030.30000000005</v>
      </c>
      <c r="J59" s="7">
        <f t="shared" si="27"/>
        <v>262175.31</v>
      </c>
      <c r="K59" s="7">
        <f t="shared" si="27"/>
        <v>254952.01999999996</v>
      </c>
      <c r="L59" s="7">
        <f t="shared" si="27"/>
        <v>333713.92000000004</v>
      </c>
      <c r="M59" s="7">
        <f t="shared" si="27"/>
        <v>220297.55</v>
      </c>
      <c r="N59" s="7">
        <f t="shared" si="27"/>
        <v>200493.9599999999</v>
      </c>
      <c r="O59" s="7">
        <f t="shared" si="27"/>
        <v>279581.93</v>
      </c>
      <c r="P59" s="7">
        <f t="shared" si="27"/>
        <v>253496.5</v>
      </c>
      <c r="R59" s="6">
        <f>SUM(E59:P59)</f>
        <v>3095763.42</v>
      </c>
    </row>
    <row r="60" spans="1:18" x14ac:dyDescent="0.25">
      <c r="A60" t="s">
        <v>1320</v>
      </c>
      <c r="E60" s="7">
        <f>E38</f>
        <v>251248.42354300572</v>
      </c>
      <c r="F60" s="7">
        <f t="shared" ref="F60:P60" si="28">F38</f>
        <v>285509.572207961</v>
      </c>
      <c r="G60" s="7">
        <f t="shared" si="28"/>
        <v>234117.84921052805</v>
      </c>
      <c r="H60" s="7">
        <f t="shared" si="28"/>
        <v>285509.572207961</v>
      </c>
      <c r="I60" s="7">
        <f t="shared" si="28"/>
        <v>279799.3807638018</v>
      </c>
      <c r="J60" s="7">
        <f t="shared" si="28"/>
        <v>262668.80643132416</v>
      </c>
      <c r="K60" s="7">
        <f t="shared" si="28"/>
        <v>274089.18931964261</v>
      </c>
      <c r="L60" s="7">
        <f t="shared" si="28"/>
        <v>268378.99787548342</v>
      </c>
      <c r="M60" s="7">
        <f t="shared" si="28"/>
        <v>251248.42354300572</v>
      </c>
      <c r="N60" s="7">
        <f t="shared" si="28"/>
        <v>251248.42354300572</v>
      </c>
      <c r="O60" s="7">
        <f t="shared" si="28"/>
        <v>239828.04065468727</v>
      </c>
      <c r="P60" s="7">
        <f t="shared" si="28"/>
        <v>268378.99787548342</v>
      </c>
      <c r="R60" s="6">
        <f>SUM(E60:P60)</f>
        <v>3152025.6771758897</v>
      </c>
    </row>
    <row r="61" spans="1:18" x14ac:dyDescent="0.25">
      <c r="A61" t="s">
        <v>1321</v>
      </c>
      <c r="E61" s="7">
        <f>E16</f>
        <v>233454.56999999998</v>
      </c>
      <c r="F61" s="7">
        <f t="shared" ref="F61:P61" si="29">F16</f>
        <v>249262.66</v>
      </c>
      <c r="G61" s="7">
        <f t="shared" si="29"/>
        <v>435376.72000000003</v>
      </c>
      <c r="H61" s="7">
        <f t="shared" si="29"/>
        <v>265233.52999999997</v>
      </c>
      <c r="I61" s="7">
        <f t="shared" si="29"/>
        <v>266030.30000000005</v>
      </c>
      <c r="J61" s="7">
        <f t="shared" si="29"/>
        <v>374300.31</v>
      </c>
      <c r="K61" s="7">
        <f t="shared" si="29"/>
        <v>254952.01999999996</v>
      </c>
      <c r="L61" s="7">
        <f t="shared" si="29"/>
        <v>333713.92000000004</v>
      </c>
      <c r="M61" s="7">
        <f t="shared" si="29"/>
        <v>328297.55</v>
      </c>
      <c r="N61" s="7">
        <f t="shared" si="29"/>
        <v>200493.9599999999</v>
      </c>
      <c r="O61" s="7">
        <f t="shared" si="29"/>
        <v>279581.93</v>
      </c>
      <c r="P61" s="7">
        <f t="shared" si="29"/>
        <v>376121.5</v>
      </c>
      <c r="R61" s="6">
        <f>SUM(E61:P61)</f>
        <v>3596818.97</v>
      </c>
    </row>
    <row r="62" spans="1:18" x14ac:dyDescent="0.25">
      <c r="A62" t="s">
        <v>1322</v>
      </c>
      <c r="E62" s="7">
        <f>E38+E37</f>
        <v>251248.42354300572</v>
      </c>
      <c r="F62" s="7">
        <f t="shared" ref="F62:P62" si="30">F38+F37</f>
        <v>285509.572207961</v>
      </c>
      <c r="G62" s="7">
        <f t="shared" si="30"/>
        <v>343805.34921052807</v>
      </c>
      <c r="H62" s="7">
        <f t="shared" si="30"/>
        <v>285509.572207961</v>
      </c>
      <c r="I62" s="7">
        <f t="shared" si="30"/>
        <v>279799.3807638018</v>
      </c>
      <c r="J62" s="7">
        <f t="shared" si="30"/>
        <v>369543.80643132416</v>
      </c>
      <c r="K62" s="7">
        <f t="shared" si="30"/>
        <v>274089.18931964261</v>
      </c>
      <c r="L62" s="7">
        <f t="shared" si="30"/>
        <v>268378.99787548342</v>
      </c>
      <c r="M62" s="7">
        <f t="shared" si="30"/>
        <v>355623.42354300572</v>
      </c>
      <c r="N62" s="7">
        <f t="shared" si="30"/>
        <v>251248.42354300572</v>
      </c>
      <c r="O62" s="7">
        <f t="shared" si="30"/>
        <v>239828.04065468727</v>
      </c>
      <c r="P62" s="7">
        <f t="shared" si="30"/>
        <v>371503.99787548342</v>
      </c>
      <c r="R62" s="6">
        <f>SUM(E62:P62)</f>
        <v>3576088.1771758897</v>
      </c>
    </row>
    <row r="79" spans="2:7" x14ac:dyDescent="0.25">
      <c r="B79" s="127"/>
      <c r="C79" s="127"/>
      <c r="D79" s="127"/>
      <c r="E79" s="127"/>
      <c r="F79" s="127"/>
      <c r="G79" s="127"/>
    </row>
    <row r="100" spans="1:1" x14ac:dyDescent="0.25">
      <c r="A100" s="34"/>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8DCDA-20CC-4ED3-92EB-12525DA1F04F}">
  <sheetPr>
    <tabColor theme="9" tint="0.79998168889431442"/>
  </sheetPr>
  <dimension ref="A1:AA53"/>
  <sheetViews>
    <sheetView zoomScale="85" zoomScaleNormal="85" workbookViewId="0">
      <selection activeCell="W26" sqref="W26"/>
    </sheetView>
  </sheetViews>
  <sheetFormatPr defaultRowHeight="15" x14ac:dyDescent="0.25"/>
  <cols>
    <col min="1" max="1" width="34" bestFit="1" customWidth="1"/>
    <col min="2" max="2" width="8.5703125" hidden="1" customWidth="1"/>
    <col min="3" max="4" width="9.5703125" hidden="1" customWidth="1"/>
    <col min="5" max="5" width="9.5703125" bestFit="1" customWidth="1"/>
    <col min="6" max="6" width="12" bestFit="1" customWidth="1"/>
    <col min="7" max="16" width="11.28515625" bestFit="1" customWidth="1"/>
    <col min="17" max="17" width="2.85546875" customWidth="1"/>
    <col min="18" max="18" width="12.85546875" customWidth="1"/>
    <col min="19" max="19" width="11.28515625" style="34" bestFit="1" customWidth="1"/>
    <col min="20" max="20" width="12.140625" bestFit="1" customWidth="1"/>
    <col min="21" max="21" width="11.28515625" bestFit="1" customWidth="1"/>
  </cols>
  <sheetData>
    <row r="1" spans="1:21" ht="15.75" x14ac:dyDescent="0.25">
      <c r="A1" s="11" t="s">
        <v>1174</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1"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1" x14ac:dyDescent="0.25">
      <c r="T3" s="7">
        <f>SUM(B4:M4)</f>
        <v>8908392.8399999999</v>
      </c>
    </row>
    <row r="4" spans="1:21" x14ac:dyDescent="0.25">
      <c r="A4" s="7" t="s">
        <v>1175</v>
      </c>
      <c r="B4" s="6">
        <f>'[3]NS PARTS 130'!$B$13</f>
        <v>609437.39999999991</v>
      </c>
      <c r="C4" s="6">
        <f>'[4]NS PARTS 130'!$B$13</f>
        <v>570926.15999999992</v>
      </c>
      <c r="D4" s="6">
        <f>'[5]NS PARTS 130'!$B$13</f>
        <v>825979.88</v>
      </c>
      <c r="E4" s="6">
        <f>'[6]NS PARTS 130'!$B$13</f>
        <v>712151.96999999986</v>
      </c>
      <c r="F4" s="6">
        <f>'[7]NS PARTS 130'!$B$13</f>
        <v>829819.05999999994</v>
      </c>
      <c r="G4" s="6">
        <f>'[8]NS PARTS 130'!$B$13</f>
        <v>728620.07</v>
      </c>
      <c r="H4" s="6">
        <f>'[9]NS PARTS 130'!$B$13</f>
        <v>733409.30999999982</v>
      </c>
      <c r="I4" s="6">
        <f>'[10]NS PARTS 130'!$B$13</f>
        <v>881153.66000000015</v>
      </c>
      <c r="J4" s="6">
        <f>'[11]NS PARTS 130'!$B$13</f>
        <v>837580.72000000009</v>
      </c>
      <c r="K4" s="6">
        <f>'[12]NS PARTS 130'!$B$13</f>
        <v>745951.53</v>
      </c>
      <c r="L4" s="6">
        <f>'[13]NS PARTS 130'!$B$13</f>
        <v>807556.37</v>
      </c>
      <c r="M4" s="6">
        <f>'[14]NS PARTS 130'!$B$13</f>
        <v>625806.71</v>
      </c>
      <c r="N4" s="6">
        <f>'[15]NS PARTS 130'!$B$13</f>
        <v>605897.56999999995</v>
      </c>
      <c r="O4" s="6">
        <f>'[16]NS PARTS 130'!$B$13</f>
        <v>780498.1</v>
      </c>
      <c r="P4" s="6">
        <f>'[17]NS PARTS 130'!$B$13</f>
        <v>710966.16000000015</v>
      </c>
      <c r="Q4" s="8"/>
      <c r="R4" s="6">
        <f>SUM(E4:P4)</f>
        <v>8999411.2300000004</v>
      </c>
      <c r="T4" s="7">
        <f>AVERAGE(D4:O4)</f>
        <v>759535.41249999998</v>
      </c>
      <c r="U4" t="s">
        <v>1194</v>
      </c>
    </row>
    <row r="5" spans="1:21" x14ac:dyDescent="0.25">
      <c r="A5" t="s">
        <v>1176</v>
      </c>
      <c r="B5" s="3">
        <f>(B16-B15)/B4</f>
        <v>0.16390508688833341</v>
      </c>
      <c r="C5" s="3">
        <f t="shared" ref="C5:P5" si="0">(C16-C15)/C4</f>
        <v>0.19176535893888627</v>
      </c>
      <c r="D5" s="3">
        <f t="shared" si="0"/>
        <v>0.17067231710293004</v>
      </c>
      <c r="E5" s="3">
        <f>(E16-E15)/E4</f>
        <v>0.17361520463111266</v>
      </c>
      <c r="F5" s="3">
        <f t="shared" si="0"/>
        <v>0.14522060990018715</v>
      </c>
      <c r="G5" s="3">
        <f>(G16-G15)/G4</f>
        <v>0.19299799139488427</v>
      </c>
      <c r="H5" s="3">
        <f t="shared" si="0"/>
        <v>0.18891418217748016</v>
      </c>
      <c r="I5" s="3">
        <f t="shared" si="0"/>
        <v>0.13827697203232406</v>
      </c>
      <c r="J5" s="3">
        <f>(J16-J15)/J4</f>
        <v>0.18514037667915756</v>
      </c>
      <c r="K5" s="3">
        <f t="shared" si="0"/>
        <v>0.18048093553746042</v>
      </c>
      <c r="L5" s="3">
        <f t="shared" si="0"/>
        <v>0.17577081337368436</v>
      </c>
      <c r="M5" s="3">
        <f t="shared" si="0"/>
        <v>0.17738139944200987</v>
      </c>
      <c r="N5" s="3">
        <f t="shared" si="0"/>
        <v>0.1704724942204339</v>
      </c>
      <c r="O5" s="3">
        <f t="shared" si="0"/>
        <v>0.17186406988050323</v>
      </c>
      <c r="P5" s="3">
        <f t="shared" si="0"/>
        <v>0.18039771400652882</v>
      </c>
      <c r="Q5" s="3"/>
      <c r="R5" s="3">
        <f>R16/R4</f>
        <v>0.19489306302096829</v>
      </c>
      <c r="T5" s="44">
        <f>AVERAGE(E5:O5)</f>
        <v>0.17273954993356705</v>
      </c>
    </row>
    <row r="6" spans="1:21" x14ac:dyDescent="0.25">
      <c r="A6" t="s">
        <v>1177</v>
      </c>
      <c r="B6" s="3"/>
      <c r="C6" s="3"/>
      <c r="D6" s="3"/>
      <c r="E6" s="45">
        <f>E4-E8</f>
        <v>546071.20999999985</v>
      </c>
      <c r="F6" s="45">
        <f t="shared" ref="F6:O6" si="1">F4-F8</f>
        <v>635881</v>
      </c>
      <c r="G6" s="45">
        <f t="shared" si="1"/>
        <v>589473.48</v>
      </c>
      <c r="H6" s="45">
        <f t="shared" si="1"/>
        <v>564325.23999999976</v>
      </c>
      <c r="I6" s="45">
        <f t="shared" si="1"/>
        <v>668245.14000000013</v>
      </c>
      <c r="J6" s="45">
        <f t="shared" si="1"/>
        <v>676495.35000000009</v>
      </c>
      <c r="K6" s="45">
        <f t="shared" si="1"/>
        <v>567221.20000000007</v>
      </c>
      <c r="L6" s="45">
        <f t="shared" si="1"/>
        <v>623428.30000000005</v>
      </c>
      <c r="M6" s="45">
        <f t="shared" si="1"/>
        <v>495185.13999999996</v>
      </c>
      <c r="N6" s="45">
        <f t="shared" si="1"/>
        <v>484718.05599999998</v>
      </c>
      <c r="O6" s="45">
        <f t="shared" si="1"/>
        <v>624398.48</v>
      </c>
      <c r="P6" s="45">
        <f>P4-P8</f>
        <v>568772.92800000007</v>
      </c>
      <c r="Q6" s="45"/>
      <c r="R6" s="45">
        <f>SUM(E6:P6)</f>
        <v>7044215.5239999993</v>
      </c>
      <c r="S6" s="34" t="s">
        <v>1195</v>
      </c>
      <c r="T6" s="44"/>
    </row>
    <row r="7" spans="1:21" x14ac:dyDescent="0.25">
      <c r="A7" t="s">
        <v>1178</v>
      </c>
      <c r="B7" s="3"/>
      <c r="C7" s="3"/>
      <c r="D7" s="3"/>
      <c r="E7" s="3">
        <f>E17/E6</f>
        <v>0.16729376788789138</v>
      </c>
      <c r="F7" s="3">
        <f t="shared" ref="F7:P7" si="2">F17/F6</f>
        <v>0.12964184937433257</v>
      </c>
      <c r="G7" s="3">
        <f>G17/G6</f>
        <v>0.29506078973561284</v>
      </c>
      <c r="H7" s="3">
        <f t="shared" si="2"/>
        <v>0.19065623714260951</v>
      </c>
      <c r="I7" s="3">
        <f t="shared" si="2"/>
        <v>0.1512051364803042</v>
      </c>
      <c r="J7" s="3">
        <f t="shared" si="2"/>
        <v>0.23046941404105734</v>
      </c>
      <c r="K7" s="3">
        <f t="shared" si="2"/>
        <v>0.18025435968190179</v>
      </c>
      <c r="L7" s="3">
        <f t="shared" si="2"/>
        <v>0.17528963696707381</v>
      </c>
      <c r="M7" s="3">
        <f t="shared" si="2"/>
        <v>0.257177901598582</v>
      </c>
      <c r="N7" s="3">
        <f t="shared" si="2"/>
        <v>0.16309061777554237</v>
      </c>
      <c r="O7" s="3">
        <f t="shared" si="2"/>
        <v>0.16483008735062904</v>
      </c>
      <c r="P7" s="3">
        <f t="shared" si="2"/>
        <v>0.26173542422891127</v>
      </c>
      <c r="Q7" s="3"/>
      <c r="R7" s="3">
        <f>R17/R6</f>
        <v>0.19618696401260194</v>
      </c>
      <c r="T7" s="44"/>
    </row>
    <row r="8" spans="1:21" x14ac:dyDescent="0.25">
      <c r="A8" t="s">
        <v>1179</v>
      </c>
      <c r="B8" s="3"/>
      <c r="C8" s="3"/>
      <c r="D8" s="3"/>
      <c r="E8" s="6">
        <v>166080.76</v>
      </c>
      <c r="F8" s="6">
        <v>193938.06</v>
      </c>
      <c r="G8" s="6">
        <v>139146.59</v>
      </c>
      <c r="H8" s="6">
        <v>169084.07</v>
      </c>
      <c r="I8" s="6">
        <v>212908.52</v>
      </c>
      <c r="J8" s="6">
        <v>161085.37</v>
      </c>
      <c r="K8" s="6">
        <v>178730.33</v>
      </c>
      <c r="L8" s="6">
        <v>184128.07</v>
      </c>
      <c r="M8" s="6">
        <v>130621.57</v>
      </c>
      <c r="N8" s="6">
        <f>N4*N10</f>
        <v>121179.514</v>
      </c>
      <c r="O8" s="6">
        <f>O4*O10</f>
        <v>156099.62</v>
      </c>
      <c r="P8" s="6">
        <f>P4*P10</f>
        <v>142193.23200000005</v>
      </c>
      <c r="Q8" s="6"/>
      <c r="R8" s="6">
        <f>SUM(E8:P8)</f>
        <v>1955195.706</v>
      </c>
      <c r="T8" s="7">
        <f>AVERAGE(E8:O8)</f>
        <v>164818.40672727273</v>
      </c>
      <c r="U8" t="s">
        <v>1194</v>
      </c>
    </row>
    <row r="9" spans="1:21" x14ac:dyDescent="0.25">
      <c r="A9" t="s">
        <v>1180</v>
      </c>
      <c r="B9" s="3"/>
      <c r="C9" s="3"/>
      <c r="D9" s="3"/>
      <c r="E9" s="3">
        <v>0.19439999999999999</v>
      </c>
      <c r="F9" s="3">
        <v>0.1963</v>
      </c>
      <c r="G9" s="3">
        <v>0.2157</v>
      </c>
      <c r="H9" s="3">
        <v>0.18310000000000001</v>
      </c>
      <c r="I9" s="3">
        <v>9.7699999999999995E-2</v>
      </c>
      <c r="J9" s="3">
        <v>0.2732</v>
      </c>
      <c r="K9" s="3">
        <v>0.1812</v>
      </c>
      <c r="L9" s="3">
        <v>0.1774</v>
      </c>
      <c r="M9" s="3">
        <v>0.2056</v>
      </c>
      <c r="N9" s="3">
        <v>0.2</v>
      </c>
      <c r="O9" s="3">
        <v>0.2</v>
      </c>
      <c r="P9" s="3">
        <v>0.2</v>
      </c>
      <c r="Q9" s="3"/>
      <c r="R9" s="3">
        <f>R18/R8</f>
        <v>0.190231372416895</v>
      </c>
      <c r="T9" s="44">
        <f>AVERAGE(E18:O18)/T8</f>
        <v>0.18946522192997292</v>
      </c>
    </row>
    <row r="10" spans="1:21" x14ac:dyDescent="0.25">
      <c r="A10" t="s">
        <v>1181</v>
      </c>
      <c r="B10" s="3"/>
      <c r="C10" s="3"/>
      <c r="D10" s="3"/>
      <c r="E10" s="3">
        <f>E8/E4</f>
        <v>0.2332097178640116</v>
      </c>
      <c r="F10" s="3">
        <f t="shared" ref="F10:L10" si="3">F8/F4</f>
        <v>0.23371126230819525</v>
      </c>
      <c r="G10" s="3">
        <f>G8/G4</f>
        <v>0.19097276582018941</v>
      </c>
      <c r="H10" s="3">
        <f t="shared" si="3"/>
        <v>0.23054530082253802</v>
      </c>
      <c r="I10" s="3">
        <f t="shared" si="3"/>
        <v>0.24162473546327884</v>
      </c>
      <c r="J10" s="3">
        <f t="shared" si="3"/>
        <v>0.19232220388262994</v>
      </c>
      <c r="K10" s="3">
        <f t="shared" si="3"/>
        <v>0.23960046036771315</v>
      </c>
      <c r="L10" s="3">
        <f t="shared" si="3"/>
        <v>0.22800646102265282</v>
      </c>
      <c r="M10" s="3">
        <f>M8/M4</f>
        <v>0.20872510299546007</v>
      </c>
      <c r="N10" s="3">
        <v>0.2</v>
      </c>
      <c r="O10" s="3">
        <v>0.2</v>
      </c>
      <c r="P10" s="3">
        <v>0.2</v>
      </c>
      <c r="Q10" s="3"/>
      <c r="R10" s="3">
        <f>R8/R4</f>
        <v>0.21725818012207893</v>
      </c>
      <c r="T10" s="44"/>
    </row>
    <row r="11" spans="1:21" x14ac:dyDescent="0.25">
      <c r="A11" t="s">
        <v>1182</v>
      </c>
      <c r="B11" s="3">
        <f>'[3]NS PARTS 130'!$B$28</f>
        <v>0.11424090480827073</v>
      </c>
      <c r="C11" s="3">
        <f>'[4]NS PARTS 130'!$B$28</f>
        <v>0.12490611745659019</v>
      </c>
      <c r="D11" s="3">
        <f>'[5]NS PARTS 130'!$B$28</f>
        <v>0.12013125549740994</v>
      </c>
      <c r="E11" s="3">
        <f>'[6]NS PARTS 130'!$B$28</f>
        <v>8.9298046876146425E-2</v>
      </c>
      <c r="F11" s="3">
        <f>'[7]NS PARTS 130'!$B$28</f>
        <v>9.5529235011786784E-2</v>
      </c>
      <c r="G11" s="3">
        <f>'[8]NS PARTS 130'!$B$28</f>
        <v>0.11747522958021181</v>
      </c>
      <c r="H11" s="3">
        <f>'[9]NS PARTS 130'!$B$28</f>
        <v>8.9716518597234618E-2</v>
      </c>
      <c r="I11" s="3">
        <f>'[10]NS PARTS 130'!$B$28</f>
        <v>9.1475974803305007E-2</v>
      </c>
      <c r="J11" s="3">
        <f>'[11]NS PARTS 130'!$B$28</f>
        <v>9.4545705397803298E-2</v>
      </c>
      <c r="K11" s="3">
        <f>'[12]NS PARTS 130'!$B$28</f>
        <v>0.1018161729623371</v>
      </c>
      <c r="L11" s="3">
        <f>'[13]NS PARTS 130'!$B$28</f>
        <v>9.1515196641938454E-2</v>
      </c>
      <c r="M11" s="3">
        <f>'[14]NS PARTS 130'!$B$28</f>
        <v>0.11778930909833166</v>
      </c>
      <c r="N11" s="3">
        <f>'[15]NS PARTS 130'!$B$28</f>
        <v>0.12098896518102888</v>
      </c>
      <c r="O11" s="3">
        <f>'[16]NS PARTS 130'!$B$28</f>
        <v>8.1622504910646154E-2</v>
      </c>
      <c r="P11" s="3">
        <f>'[17]NS PARTS 130'!$B$28</f>
        <v>7.317397497512397E-2</v>
      </c>
      <c r="Q11" s="3"/>
      <c r="R11" s="3">
        <f>R19/R4</f>
        <v>9.6301616611423585E-2</v>
      </c>
    </row>
    <row r="12" spans="1:21" x14ac:dyDescent="0.25">
      <c r="A12" s="7" t="s">
        <v>1183</v>
      </c>
      <c r="B12" s="6">
        <f t="shared" ref="B12:P12" si="4">B4/B13</f>
        <v>76179.674999999988</v>
      </c>
      <c r="C12" s="6">
        <f t="shared" si="4"/>
        <v>71365.76999999999</v>
      </c>
      <c r="D12" s="6">
        <f t="shared" si="4"/>
        <v>103247.485</v>
      </c>
      <c r="E12" s="6">
        <f t="shared" si="4"/>
        <v>89018.996249999982</v>
      </c>
      <c r="F12" s="6">
        <f t="shared" si="4"/>
        <v>92202.117777777778</v>
      </c>
      <c r="G12" s="6">
        <f t="shared" si="4"/>
        <v>80957.785555555543</v>
      </c>
      <c r="H12" s="6">
        <f t="shared" si="4"/>
        <v>91676.163749999978</v>
      </c>
      <c r="I12" s="6">
        <f t="shared" si="4"/>
        <v>125879.09428571431</v>
      </c>
      <c r="J12" s="6">
        <f t="shared" si="4"/>
        <v>119654.38857142859</v>
      </c>
      <c r="K12" s="6">
        <f t="shared" si="4"/>
        <v>106564.50428571428</v>
      </c>
      <c r="L12" s="6">
        <f t="shared" si="4"/>
        <v>115365.19571428571</v>
      </c>
      <c r="M12" s="6">
        <f t="shared" si="4"/>
        <v>104301.11833333333</v>
      </c>
      <c r="N12" s="6">
        <f t="shared" si="4"/>
        <v>100982.92833333333</v>
      </c>
      <c r="O12" s="6">
        <f t="shared" si="4"/>
        <v>156099.62</v>
      </c>
      <c r="P12" s="6">
        <f t="shared" si="4"/>
        <v>177741.54000000004</v>
      </c>
      <c r="Q12" s="3"/>
      <c r="R12" s="83">
        <f>AVERAGE(E12:P12)</f>
        <v>113370.28773809523</v>
      </c>
      <c r="T12" s="15">
        <f>T4/T13</f>
        <v>105758.09541139241</v>
      </c>
      <c r="U12" s="15"/>
    </row>
    <row r="13" spans="1:21" x14ac:dyDescent="0.25">
      <c r="A13" s="7" t="s">
        <v>1184</v>
      </c>
      <c r="B13" s="60">
        <f>'[3]NS PARTS 130'!$B$33</f>
        <v>8</v>
      </c>
      <c r="C13" s="60">
        <f>'[4]NS PARTS 130'!$B$33</f>
        <v>8</v>
      </c>
      <c r="D13" s="60">
        <f>'[5]NS PARTS 130'!$B$33</f>
        <v>8</v>
      </c>
      <c r="E13" s="60">
        <f>'[6]NS PARTS 130'!$B$33</f>
        <v>8</v>
      </c>
      <c r="F13" s="60">
        <f>'[7]NS PARTS 130'!$B$33</f>
        <v>9</v>
      </c>
      <c r="G13" s="60">
        <f>'[8]NS PARTS 130'!$B$33</f>
        <v>9</v>
      </c>
      <c r="H13" s="60">
        <f>'[9]NS PARTS 130'!$B$33</f>
        <v>8</v>
      </c>
      <c r="I13" s="60">
        <f>'[10]NS PARTS 130'!$B$33</f>
        <v>7</v>
      </c>
      <c r="J13" s="60">
        <f>'[11]NS PARTS 130'!$B$33</f>
        <v>7</v>
      </c>
      <c r="K13" s="60">
        <f>'[12]NS PARTS 130'!$B$33</f>
        <v>7</v>
      </c>
      <c r="L13" s="60">
        <f>'[13]NS PARTS 130'!$B$33</f>
        <v>7</v>
      </c>
      <c r="M13" s="60">
        <f>'[14]NS PARTS 130'!$B$33</f>
        <v>6</v>
      </c>
      <c r="N13" s="60">
        <f>M13</f>
        <v>6</v>
      </c>
      <c r="O13" s="60">
        <v>5</v>
      </c>
      <c r="P13" s="60">
        <v>4</v>
      </c>
      <c r="Q13" s="3"/>
      <c r="R13" s="83">
        <f>AVERAGE(E13:P13)</f>
        <v>6.916666666666667</v>
      </c>
      <c r="T13" s="121">
        <f>AVERAGE(E13:O13)</f>
        <v>7.1818181818181817</v>
      </c>
      <c r="U13" s="121"/>
    </row>
    <row r="14" spans="1:21" x14ac:dyDescent="0.25">
      <c r="B14" s="3"/>
      <c r="C14" s="3"/>
      <c r="D14" s="3"/>
      <c r="E14" s="3"/>
      <c r="F14" s="3"/>
      <c r="G14" s="45"/>
      <c r="H14" s="3"/>
      <c r="I14" s="3"/>
      <c r="J14" s="3"/>
      <c r="K14" s="3"/>
      <c r="L14" s="3"/>
      <c r="M14" s="3"/>
      <c r="N14" s="3"/>
      <c r="O14" s="3"/>
      <c r="P14" s="3"/>
      <c r="Q14" s="3"/>
      <c r="R14" s="3"/>
    </row>
    <row r="15" spans="1:21" x14ac:dyDescent="0.25">
      <c r="A15" t="s">
        <v>1185</v>
      </c>
      <c r="B15" s="45">
        <f>'[3]NS PARTS 130'!$B$23</f>
        <v>20334.27</v>
      </c>
      <c r="C15" s="45">
        <f>'[4]NS PARTS 130'!$B$23</f>
        <v>0</v>
      </c>
      <c r="D15" s="45">
        <f>'[5]NS PARTS 130'!$B$23</f>
        <v>40387.5</v>
      </c>
      <c r="E15" s="45">
        <f>'[6]NS PARTS 130'!$B$23</f>
        <v>0</v>
      </c>
      <c r="F15" s="45">
        <f>'[7]NS PARTS 130'!$B$23</f>
        <v>0</v>
      </c>
      <c r="G15" s="45">
        <f>'[8]NS PARTS 130'!$B$23</f>
        <v>63322.22</v>
      </c>
      <c r="H15" s="45">
        <f>'[9]NS PARTS 130'!$B$23</f>
        <v>0</v>
      </c>
      <c r="I15" s="45">
        <f>'[10]NS PARTS 130'!$B$23</f>
        <v>0</v>
      </c>
      <c r="J15" s="45">
        <f>'[11]NS PARTS 130'!$B$23</f>
        <v>44850</v>
      </c>
      <c r="K15" s="45">
        <f>'[12]NS PARTS 130'!$B$23</f>
        <v>0</v>
      </c>
      <c r="L15" s="45">
        <f>'[13]NS PARTS 130'!$B$23</f>
        <v>0</v>
      </c>
      <c r="M15" s="45">
        <f>'[14]NS PARTS 130'!$B$23</f>
        <v>43200</v>
      </c>
      <c r="N15" s="45">
        <f>'[15]NS PARTS 130'!$B$23</f>
        <v>0</v>
      </c>
      <c r="O15" s="45">
        <f>'[16]NS PARTS 130'!$B$23</f>
        <v>0</v>
      </c>
      <c r="P15" s="45">
        <f>'[17]NS PARTS 130'!$B$23</f>
        <v>49050</v>
      </c>
      <c r="Q15" s="3"/>
      <c r="R15" s="6">
        <f>SUM(E15:P15)</f>
        <v>200422.22</v>
      </c>
    </row>
    <row r="16" spans="1:21" x14ac:dyDescent="0.25">
      <c r="A16" s="7" t="s">
        <v>1186</v>
      </c>
      <c r="B16" s="45">
        <f>'[3]NS PARTS 130'!$B$24</f>
        <v>120224.15999999999</v>
      </c>
      <c r="C16" s="45">
        <f>'[4]NS PARTS 130'!$B$24</f>
        <v>109483.86</v>
      </c>
      <c r="D16" s="45">
        <f>'[5]NS PARTS 130'!$B$24</f>
        <v>181359.40000000011</v>
      </c>
      <c r="E16" s="45">
        <f>'[6]NS PARTS 130'!$B$24</f>
        <v>123640.40999999997</v>
      </c>
      <c r="F16" s="45">
        <f>'[7]NS PARTS 130'!$B$24</f>
        <v>120506.82999999997</v>
      </c>
      <c r="G16" s="45">
        <f>'[8]NS PARTS 130'!$B$24</f>
        <v>203944.42999999996</v>
      </c>
      <c r="H16" s="45">
        <f>'[9]NS PARTS 130'!$B$24</f>
        <v>138551.41999999998</v>
      </c>
      <c r="I16" s="45">
        <f>'[10]NS PARTS 130'!$B$24</f>
        <v>121843.26000000001</v>
      </c>
      <c r="J16" s="45">
        <f>'[11]NS PARTS 130'!$B$24</f>
        <v>199920.01</v>
      </c>
      <c r="K16" s="45">
        <f>'[12]NS PARTS 130'!$B$24</f>
        <v>134630.02999999997</v>
      </c>
      <c r="L16" s="45">
        <f>'[13]NS PARTS 130'!$B$24</f>
        <v>141944.84</v>
      </c>
      <c r="M16" s="45">
        <f>'[14]NS PARTS 130'!$B$24</f>
        <v>154206.47000000003</v>
      </c>
      <c r="N16" s="45">
        <f>'[15]NS PARTS 130'!$B$24</f>
        <v>103288.86999999994</v>
      </c>
      <c r="O16" s="45">
        <f>'[16]NS PARTS 130'!$B$24</f>
        <v>134139.57999999999</v>
      </c>
      <c r="P16" s="45">
        <f>'[17]NS PARTS 130'!$B$24</f>
        <v>177306.67000000004</v>
      </c>
      <c r="R16" s="6">
        <f>SUM(E16:P16)</f>
        <v>1753922.8199999998</v>
      </c>
      <c r="S16" s="34" t="s">
        <v>1196</v>
      </c>
    </row>
    <row r="17" spans="1:21" x14ac:dyDescent="0.25">
      <c r="A17" s="7" t="s">
        <v>1187</v>
      </c>
      <c r="B17" s="45"/>
      <c r="C17" s="45"/>
      <c r="D17" s="45"/>
      <c r="E17" s="45">
        <f>E16-E18</f>
        <v>91354.310255999968</v>
      </c>
      <c r="F17" s="45">
        <f>F16-F18</f>
        <v>82436.788821999973</v>
      </c>
      <c r="G17" s="45">
        <f t="shared" ref="G17:N17" si="5">G16-G18</f>
        <v>173930.51053699997</v>
      </c>
      <c r="H17" s="45">
        <f t="shared" si="5"/>
        <v>107592.12678299999</v>
      </c>
      <c r="I17" s="45">
        <f t="shared" si="5"/>
        <v>101042.09759600001</v>
      </c>
      <c r="J17" s="45">
        <f t="shared" si="5"/>
        <v>155911.48691600002</v>
      </c>
      <c r="K17" s="45">
        <f t="shared" si="5"/>
        <v>102244.09420399996</v>
      </c>
      <c r="L17" s="45">
        <f t="shared" si="5"/>
        <v>109280.52038199999</v>
      </c>
      <c r="M17" s="45">
        <f t="shared" si="5"/>
        <v>127350.67520800003</v>
      </c>
      <c r="N17" s="45">
        <f t="shared" si="5"/>
        <v>79052.967199999941</v>
      </c>
      <c r="O17" s="45">
        <f>O16-O18</f>
        <v>102919.65599999999</v>
      </c>
      <c r="P17" s="45">
        <f>P16-P18</f>
        <v>148868.02360000001</v>
      </c>
      <c r="R17" s="6">
        <f>SUM(E17:P17)</f>
        <v>1381983.2575039999</v>
      </c>
    </row>
    <row r="18" spans="1:21" x14ac:dyDescent="0.25">
      <c r="A18" s="7" t="s">
        <v>1188</v>
      </c>
      <c r="B18" s="45"/>
      <c r="C18" s="45"/>
      <c r="D18" s="45"/>
      <c r="E18" s="45">
        <f>E8*E9</f>
        <v>32286.099743999999</v>
      </c>
      <c r="F18" s="45">
        <f t="shared" ref="F18:O18" si="6">F8*F9</f>
        <v>38070.041177999999</v>
      </c>
      <c r="G18" s="45">
        <f t="shared" si="6"/>
        <v>30013.919462999998</v>
      </c>
      <c r="H18" s="45">
        <f t="shared" si="6"/>
        <v>30959.293217000002</v>
      </c>
      <c r="I18" s="45">
        <f t="shared" si="6"/>
        <v>20801.162403999999</v>
      </c>
      <c r="J18" s="45">
        <f t="shared" si="6"/>
        <v>44008.523084</v>
      </c>
      <c r="K18" s="45">
        <f t="shared" si="6"/>
        <v>32385.935795999998</v>
      </c>
      <c r="L18" s="45">
        <f t="shared" si="6"/>
        <v>32664.319618000001</v>
      </c>
      <c r="M18" s="45">
        <f t="shared" si="6"/>
        <v>26855.794792000001</v>
      </c>
      <c r="N18" s="45">
        <f t="shared" si="6"/>
        <v>24235.9028</v>
      </c>
      <c r="O18" s="45">
        <f t="shared" si="6"/>
        <v>31219.923999999999</v>
      </c>
      <c r="P18" s="45">
        <f>P8*P9</f>
        <v>28438.646400000012</v>
      </c>
      <c r="R18" s="6">
        <f>SUM(E18:P18)</f>
        <v>371939.56249599997</v>
      </c>
      <c r="S18" s="34" t="s">
        <v>1197</v>
      </c>
    </row>
    <row r="19" spans="1:21" x14ac:dyDescent="0.25">
      <c r="A19" s="7" t="s">
        <v>1076</v>
      </c>
      <c r="B19" s="6">
        <f t="shared" ref="B19:P19" si="7">B4*B11</f>
        <v>69622.680000000008</v>
      </c>
      <c r="C19" s="6">
        <f t="shared" si="7"/>
        <v>71312.17</v>
      </c>
      <c r="D19" s="6">
        <f t="shared" si="7"/>
        <v>99226</v>
      </c>
      <c r="E19" s="6">
        <f>E4*E11</f>
        <v>63593.780000000013</v>
      </c>
      <c r="F19" s="6">
        <f t="shared" si="7"/>
        <v>79271.98</v>
      </c>
      <c r="G19" s="6">
        <f t="shared" si="7"/>
        <v>85594.81</v>
      </c>
      <c r="H19" s="6">
        <f t="shared" si="7"/>
        <v>65798.929999999993</v>
      </c>
      <c r="I19" s="6">
        <f t="shared" si="7"/>
        <v>80604.39</v>
      </c>
      <c r="J19" s="6">
        <f t="shared" si="7"/>
        <v>79189.659999999974</v>
      </c>
      <c r="K19" s="6">
        <f t="shared" si="7"/>
        <v>75949.929999999993</v>
      </c>
      <c r="L19" s="6">
        <f t="shared" si="7"/>
        <v>73903.680000000008</v>
      </c>
      <c r="M19" s="6">
        <f t="shared" si="7"/>
        <v>73713.34</v>
      </c>
      <c r="N19" s="6">
        <f t="shared" si="7"/>
        <v>73306.92</v>
      </c>
      <c r="O19" s="6">
        <f t="shared" si="7"/>
        <v>63706.209999999992</v>
      </c>
      <c r="P19" s="6">
        <f t="shared" si="7"/>
        <v>52024.219999999994</v>
      </c>
      <c r="R19" s="6">
        <f>SUM(E19:P19)</f>
        <v>866657.85</v>
      </c>
      <c r="T19" s="7">
        <f>AVERAGE(E19:O19)</f>
        <v>74057.602727272722</v>
      </c>
    </row>
    <row r="20" spans="1:21" ht="15.75" thickBot="1" x14ac:dyDescent="0.3">
      <c r="A20" s="9" t="s">
        <v>1078</v>
      </c>
      <c r="B20" s="10">
        <f t="shared" ref="B20:P20" si="8">B16-B19</f>
        <v>50601.479999999981</v>
      </c>
      <c r="C20" s="10">
        <f t="shared" si="8"/>
        <v>38171.69</v>
      </c>
      <c r="D20" s="10">
        <f t="shared" si="8"/>
        <v>82133.400000000111</v>
      </c>
      <c r="E20" s="10">
        <f>E16-E19</f>
        <v>60046.629999999961</v>
      </c>
      <c r="F20" s="10">
        <f t="shared" si="8"/>
        <v>41234.849999999977</v>
      </c>
      <c r="G20" s="10">
        <f>G16-G19</f>
        <v>118349.61999999997</v>
      </c>
      <c r="H20" s="10">
        <f t="shared" si="8"/>
        <v>72752.489999999991</v>
      </c>
      <c r="I20" s="10">
        <f t="shared" si="8"/>
        <v>41238.87000000001</v>
      </c>
      <c r="J20" s="10">
        <f t="shared" si="8"/>
        <v>120730.35000000003</v>
      </c>
      <c r="K20" s="10">
        <f t="shared" si="8"/>
        <v>58680.099999999977</v>
      </c>
      <c r="L20" s="10">
        <f t="shared" si="8"/>
        <v>68041.159999999989</v>
      </c>
      <c r="M20" s="10">
        <f>M16-M19</f>
        <v>80493.130000000034</v>
      </c>
      <c r="N20" s="10">
        <f t="shared" si="8"/>
        <v>29981.949999999939</v>
      </c>
      <c r="O20" s="10">
        <f t="shared" si="8"/>
        <v>70433.37</v>
      </c>
      <c r="P20" s="10">
        <f t="shared" si="8"/>
        <v>125282.45000000004</v>
      </c>
      <c r="R20" s="10">
        <f>R16-R19</f>
        <v>887264.96999999986</v>
      </c>
      <c r="T20" s="7">
        <f>SUM(E20:O20)</f>
        <v>761982.5199999999</v>
      </c>
    </row>
    <row r="21" spans="1:21" ht="15.75" thickTop="1" x14ac:dyDescent="0.25">
      <c r="E21" s="7"/>
      <c r="F21" s="7"/>
      <c r="G21" s="7"/>
      <c r="H21" s="7"/>
      <c r="I21" s="7"/>
      <c r="J21" s="7"/>
      <c r="K21" s="7"/>
      <c r="L21" s="7"/>
      <c r="M21" s="7"/>
      <c r="N21" s="7"/>
      <c r="O21" s="7"/>
      <c r="P21" s="7"/>
    </row>
    <row r="23" spans="1:21" ht="15.75" x14ac:dyDescent="0.25">
      <c r="A23" s="11" t="s">
        <v>1174</v>
      </c>
      <c r="B23" s="5">
        <v>45292</v>
      </c>
      <c r="C23" s="5">
        <v>45323</v>
      </c>
      <c r="D23" s="5">
        <v>45352</v>
      </c>
      <c r="E23" s="5">
        <v>45383</v>
      </c>
      <c r="F23" s="5">
        <v>45413</v>
      </c>
      <c r="G23" s="5">
        <v>45444</v>
      </c>
      <c r="H23" s="5">
        <v>45474</v>
      </c>
      <c r="I23" s="5">
        <v>45505</v>
      </c>
      <c r="J23" s="5">
        <v>45536</v>
      </c>
      <c r="K23" s="5">
        <v>45566</v>
      </c>
      <c r="L23" s="5">
        <v>45597</v>
      </c>
      <c r="M23" s="5">
        <v>45627</v>
      </c>
      <c r="N23" s="5">
        <v>45658</v>
      </c>
      <c r="O23" s="5">
        <v>45689</v>
      </c>
      <c r="P23" s="5">
        <v>45717</v>
      </c>
      <c r="Q23" s="5"/>
      <c r="R23" s="5" t="s">
        <v>955</v>
      </c>
    </row>
    <row r="24" spans="1:21" x14ac:dyDescent="0.25">
      <c r="A24" s="4"/>
      <c r="B24" s="5" t="s">
        <v>958</v>
      </c>
      <c r="C24" s="5" t="s">
        <v>959</v>
      </c>
      <c r="D24" s="5" t="s">
        <v>959</v>
      </c>
      <c r="E24" s="5" t="s">
        <v>959</v>
      </c>
      <c r="F24" s="5" t="s">
        <v>959</v>
      </c>
      <c r="G24" s="5" t="s">
        <v>959</v>
      </c>
      <c r="H24" s="5" t="s">
        <v>959</v>
      </c>
      <c r="I24" s="5" t="s">
        <v>959</v>
      </c>
      <c r="J24" s="5" t="s">
        <v>959</v>
      </c>
      <c r="K24" s="5" t="s">
        <v>959</v>
      </c>
      <c r="L24" s="5" t="s">
        <v>959</v>
      </c>
      <c r="M24" s="5" t="s">
        <v>959</v>
      </c>
      <c r="N24" s="5" t="s">
        <v>959</v>
      </c>
      <c r="O24" s="5" t="s">
        <v>959</v>
      </c>
      <c r="P24" s="5" t="s">
        <v>959</v>
      </c>
      <c r="Q24" s="5"/>
      <c r="R24" s="5" t="s">
        <v>961</v>
      </c>
    </row>
    <row r="26" spans="1:21" x14ac:dyDescent="0.25">
      <c r="A26" s="7" t="s">
        <v>1175</v>
      </c>
      <c r="B26" s="6">
        <f>'[15]NS PARTS 130'!$B$13</f>
        <v>605897.56999999995</v>
      </c>
      <c r="C26" s="6">
        <f>O4</f>
        <v>780498.1</v>
      </c>
      <c r="D26" s="6">
        <f>P4</f>
        <v>710966.16000000015</v>
      </c>
      <c r="E26" s="6">
        <f>E28+E30</f>
        <v>728104.53900688386</v>
      </c>
      <c r="F26" s="6">
        <f>F28+F30</f>
        <v>827391.52159873163</v>
      </c>
      <c r="G26" s="6">
        <f>G28+G30</f>
        <v>678461.04771096003</v>
      </c>
      <c r="H26" s="6">
        <f t="shared" ref="H26:O26" si="9">H28+H30</f>
        <v>827391.52159873163</v>
      </c>
      <c r="I26" s="6">
        <f t="shared" si="9"/>
        <v>810843.69116675714</v>
      </c>
      <c r="J26" s="6">
        <f t="shared" si="9"/>
        <v>761200.1998708332</v>
      </c>
      <c r="K26" s="6">
        <f t="shared" si="9"/>
        <v>794295.86073478241</v>
      </c>
      <c r="L26" s="6">
        <f t="shared" si="9"/>
        <v>777748.03030280792</v>
      </c>
      <c r="M26" s="6">
        <f t="shared" si="9"/>
        <v>728104.53900688386</v>
      </c>
      <c r="N26" s="6">
        <f t="shared" si="9"/>
        <v>728104.53900688386</v>
      </c>
      <c r="O26" s="6">
        <f t="shared" si="9"/>
        <v>695008.87814293464</v>
      </c>
      <c r="P26" s="6">
        <f>P28+P30</f>
        <v>777748.03030280792</v>
      </c>
      <c r="Q26" s="8"/>
      <c r="R26" s="6">
        <f>SUM(E26:P26)</f>
        <v>9134402.3984499983</v>
      </c>
      <c r="S26" s="34" t="s">
        <v>1198</v>
      </c>
      <c r="T26" s="7"/>
    </row>
    <row r="27" spans="1:21" x14ac:dyDescent="0.25">
      <c r="A27" t="s">
        <v>1176</v>
      </c>
      <c r="B27" s="3">
        <f>(B38-B37)/B26</f>
        <v>0.1704724942204339</v>
      </c>
      <c r="C27" s="3">
        <f>O5</f>
        <v>0.17186406988050323</v>
      </c>
      <c r="D27" s="3">
        <f>P5</f>
        <v>0.18039771400652882</v>
      </c>
      <c r="E27" s="3">
        <f>$T$5</f>
        <v>0.17273954993356705</v>
      </c>
      <c r="F27" s="3">
        <f t="shared" ref="F27:P27" si="10">$T$5</f>
        <v>0.17273954993356705</v>
      </c>
      <c r="G27" s="3">
        <f t="shared" si="10"/>
        <v>0.17273954993356705</v>
      </c>
      <c r="H27" s="3">
        <f t="shared" si="10"/>
        <v>0.17273954993356705</v>
      </c>
      <c r="I27" s="3">
        <f t="shared" si="10"/>
        <v>0.17273954993356705</v>
      </c>
      <c r="J27" s="3">
        <f t="shared" si="10"/>
        <v>0.17273954993356705</v>
      </c>
      <c r="K27" s="3">
        <f t="shared" si="10"/>
        <v>0.17273954993356705</v>
      </c>
      <c r="L27" s="3">
        <f t="shared" si="10"/>
        <v>0.17273954993356705</v>
      </c>
      <c r="M27" s="3">
        <f t="shared" si="10"/>
        <v>0.17273954993356705</v>
      </c>
      <c r="N27" s="3">
        <f t="shared" si="10"/>
        <v>0.17273954993356705</v>
      </c>
      <c r="O27" s="3">
        <f t="shared" si="10"/>
        <v>0.17273954993356705</v>
      </c>
      <c r="P27" s="3">
        <f t="shared" si="10"/>
        <v>0.17273954993356705</v>
      </c>
      <c r="Q27" s="3"/>
      <c r="R27" s="3">
        <f>R38/R26</f>
        <v>0.17273954993356702</v>
      </c>
    </row>
    <row r="28" spans="1:21" x14ac:dyDescent="0.25">
      <c r="A28" t="s">
        <v>1177</v>
      </c>
      <c r="B28" s="45">
        <f>B26-B30</f>
        <v>484718.05599999998</v>
      </c>
      <c r="C28" s="3"/>
      <c r="D28" s="3"/>
      <c r="E28" s="45">
        <f>$R$28*E46/12</f>
        <v>569917.87192362302</v>
      </c>
      <c r="F28" s="45">
        <f t="shared" ref="F28:P28" si="11">$R$28*F46/12</f>
        <v>647633.94536775339</v>
      </c>
      <c r="G28" s="45">
        <f t="shared" si="11"/>
        <v>531059.83520155784</v>
      </c>
      <c r="H28" s="45">
        <f t="shared" si="11"/>
        <v>647633.94536775339</v>
      </c>
      <c r="I28" s="45">
        <f t="shared" si="11"/>
        <v>634681.26646039844</v>
      </c>
      <c r="J28" s="45">
        <f t="shared" si="11"/>
        <v>595823.22973833315</v>
      </c>
      <c r="K28" s="45">
        <f t="shared" si="11"/>
        <v>621728.58755304327</v>
      </c>
      <c r="L28" s="45">
        <f t="shared" si="11"/>
        <v>608775.90864568832</v>
      </c>
      <c r="M28" s="45">
        <f t="shared" si="11"/>
        <v>569917.87192362302</v>
      </c>
      <c r="N28" s="45">
        <f t="shared" si="11"/>
        <v>569917.87192362302</v>
      </c>
      <c r="O28" s="45">
        <f t="shared" si="11"/>
        <v>544012.5141089129</v>
      </c>
      <c r="P28" s="45">
        <f t="shared" si="11"/>
        <v>608775.90864568832</v>
      </c>
      <c r="Q28" s="3"/>
      <c r="R28" s="45">
        <f>R6*(1+1.5%)</f>
        <v>7149878.7568599982</v>
      </c>
      <c r="S28" s="34" t="s">
        <v>1326</v>
      </c>
    </row>
    <row r="29" spans="1:21" x14ac:dyDescent="0.25">
      <c r="A29" t="s">
        <v>1178</v>
      </c>
      <c r="B29" s="3">
        <f>B39/B28</f>
        <v>0.16309061777554237</v>
      </c>
      <c r="C29" s="3"/>
      <c r="D29" s="3"/>
      <c r="E29" s="3">
        <f>E39/E28</f>
        <v>0.17087276931583403</v>
      </c>
      <c r="F29" s="3">
        <f t="shared" ref="F29:R29" si="12">F39/F28</f>
        <v>0.17087276931583406</v>
      </c>
      <c r="G29" s="3">
        <f t="shared" si="12"/>
        <v>0.17087276931583406</v>
      </c>
      <c r="H29" s="3">
        <f t="shared" si="12"/>
        <v>0.17087276931583406</v>
      </c>
      <c r="I29" s="3">
        <f t="shared" si="12"/>
        <v>0.17087276931583403</v>
      </c>
      <c r="J29" s="3">
        <f t="shared" si="12"/>
        <v>0.17087276931583406</v>
      </c>
      <c r="K29" s="3">
        <f t="shared" si="12"/>
        <v>0.17087276931583406</v>
      </c>
      <c r="L29" s="3">
        <f t="shared" si="12"/>
        <v>0.17087276931583406</v>
      </c>
      <c r="M29" s="3">
        <f t="shared" si="12"/>
        <v>0.17087276931583403</v>
      </c>
      <c r="N29" s="3">
        <f t="shared" si="12"/>
        <v>0.17087276931583403</v>
      </c>
      <c r="O29" s="3">
        <f>O39/O28</f>
        <v>0.17087276931583403</v>
      </c>
      <c r="P29" s="3">
        <f t="shared" si="12"/>
        <v>0.17087276931583406</v>
      </c>
      <c r="Q29" s="3"/>
      <c r="R29" s="3">
        <f t="shared" si="12"/>
        <v>0.17087276931583406</v>
      </c>
      <c r="S29" s="34" t="s">
        <v>1199</v>
      </c>
    </row>
    <row r="30" spans="1:21" x14ac:dyDescent="0.25">
      <c r="A30" t="s">
        <v>1179</v>
      </c>
      <c r="B30" s="6">
        <f>B26*B32</f>
        <v>121179.514</v>
      </c>
      <c r="C30" s="3"/>
      <c r="D30" s="3"/>
      <c r="E30" s="45">
        <f>$R$30*E46/12</f>
        <v>158186.66708326087</v>
      </c>
      <c r="F30" s="45">
        <f t="shared" ref="F30:P30" si="13">$R$30*F46/12</f>
        <v>179757.57623097824</v>
      </c>
      <c r="G30" s="45">
        <f t="shared" si="13"/>
        <v>147401.21250940216</v>
      </c>
      <c r="H30" s="45">
        <f t="shared" si="13"/>
        <v>179757.57623097824</v>
      </c>
      <c r="I30" s="45">
        <f t="shared" si="13"/>
        <v>176162.4247063587</v>
      </c>
      <c r="J30" s="45">
        <f t="shared" si="13"/>
        <v>165376.97013249999</v>
      </c>
      <c r="K30" s="45">
        <f t="shared" si="13"/>
        <v>172567.27318173912</v>
      </c>
      <c r="L30" s="45">
        <f t="shared" si="13"/>
        <v>168972.12165711957</v>
      </c>
      <c r="M30" s="45">
        <f t="shared" si="13"/>
        <v>158186.66708326087</v>
      </c>
      <c r="N30" s="45">
        <f t="shared" si="13"/>
        <v>158186.66708326087</v>
      </c>
      <c r="O30" s="45">
        <f t="shared" si="13"/>
        <v>150996.36403402171</v>
      </c>
      <c r="P30" s="45">
        <f t="shared" si="13"/>
        <v>168972.12165711957</v>
      </c>
      <c r="Q30" s="3"/>
      <c r="R30" s="45">
        <f>R8*(1+1.5%)</f>
        <v>1984523.6415899999</v>
      </c>
      <c r="S30" s="34" t="s">
        <v>1326</v>
      </c>
      <c r="U30" s="7"/>
    </row>
    <row r="31" spans="1:21" x14ac:dyDescent="0.25">
      <c r="A31" t="s">
        <v>1180</v>
      </c>
      <c r="B31" s="3">
        <v>0.2</v>
      </c>
      <c r="C31" s="3"/>
      <c r="D31" s="3"/>
      <c r="E31" s="3">
        <f>$T$9-1%</f>
        <v>0.17946522192997291</v>
      </c>
      <c r="F31" s="3">
        <f t="shared" ref="F31:P31" si="14">$T$9-1%</f>
        <v>0.17946522192997291</v>
      </c>
      <c r="G31" s="3">
        <f t="shared" si="14"/>
        <v>0.17946522192997291</v>
      </c>
      <c r="H31" s="3">
        <f t="shared" si="14"/>
        <v>0.17946522192997291</v>
      </c>
      <c r="I31" s="3">
        <f t="shared" si="14"/>
        <v>0.17946522192997291</v>
      </c>
      <c r="J31" s="3">
        <f t="shared" si="14"/>
        <v>0.17946522192997291</v>
      </c>
      <c r="K31" s="3">
        <f t="shared" si="14"/>
        <v>0.17946522192997291</v>
      </c>
      <c r="L31" s="3">
        <f t="shared" si="14"/>
        <v>0.17946522192997291</v>
      </c>
      <c r="M31" s="3">
        <f t="shared" si="14"/>
        <v>0.17946522192997291</v>
      </c>
      <c r="N31" s="3">
        <f t="shared" si="14"/>
        <v>0.17946522192997291</v>
      </c>
      <c r="O31" s="3">
        <f>$T$9-1%</f>
        <v>0.17946522192997291</v>
      </c>
      <c r="P31" s="3">
        <f t="shared" si="14"/>
        <v>0.17946522192997291</v>
      </c>
      <c r="Q31" s="3"/>
      <c r="R31" s="3">
        <f>R40/R30</f>
        <v>0.17946522192997294</v>
      </c>
      <c r="S31" s="34" t="s">
        <v>1200</v>
      </c>
      <c r="U31" s="3"/>
    </row>
    <row r="32" spans="1:21" x14ac:dyDescent="0.25">
      <c r="A32" t="s">
        <v>1181</v>
      </c>
      <c r="B32" s="3">
        <v>0.2</v>
      </c>
      <c r="C32" s="3"/>
      <c r="D32" s="3"/>
      <c r="E32" s="3">
        <f>E30/E26</f>
        <v>0.21725818012207898</v>
      </c>
      <c r="F32" s="3">
        <f t="shared" ref="F32:P32" si="15">F30/F26</f>
        <v>0.21725818012207898</v>
      </c>
      <c r="G32" s="3">
        <f t="shared" si="15"/>
        <v>0.21725818012207895</v>
      </c>
      <c r="H32" s="3">
        <f t="shared" si="15"/>
        <v>0.21725818012207898</v>
      </c>
      <c r="I32" s="3">
        <f t="shared" si="15"/>
        <v>0.21725818012207898</v>
      </c>
      <c r="J32" s="3">
        <f t="shared" si="15"/>
        <v>0.21725818012207898</v>
      </c>
      <c r="K32" s="3">
        <f t="shared" si="15"/>
        <v>0.21725818012207898</v>
      </c>
      <c r="L32" s="3">
        <f t="shared" si="15"/>
        <v>0.21725818012207895</v>
      </c>
      <c r="M32" s="3">
        <f t="shared" si="15"/>
        <v>0.21725818012207898</v>
      </c>
      <c r="N32" s="3">
        <f t="shared" si="15"/>
        <v>0.21725818012207898</v>
      </c>
      <c r="O32" s="3">
        <f t="shared" si="15"/>
        <v>0.21725818012207895</v>
      </c>
      <c r="P32" s="3">
        <f t="shared" si="15"/>
        <v>0.21725818012207895</v>
      </c>
      <c r="Q32" s="3"/>
      <c r="R32" s="3">
        <f>R30/R26</f>
        <v>0.21725818012207898</v>
      </c>
      <c r="S32" s="34" t="s">
        <v>1201</v>
      </c>
    </row>
    <row r="33" spans="1:27" x14ac:dyDescent="0.25">
      <c r="A33" t="s">
        <v>1182</v>
      </c>
      <c r="B33" s="3">
        <f>'[15]NS PARTS 130'!$B$28</f>
        <v>0.12098896518102888</v>
      </c>
      <c r="C33" s="3">
        <f t="shared" ref="C33:D35" si="16">O11</f>
        <v>8.1622504910646154E-2</v>
      </c>
      <c r="D33" s="3">
        <f t="shared" si="16"/>
        <v>7.317397497512397E-2</v>
      </c>
      <c r="E33" s="3">
        <f>E41/E26</f>
        <v>7.3465636254714292E-2</v>
      </c>
      <c r="F33" s="3">
        <f>F41/F26</f>
        <v>6.4649759904148577E-2</v>
      </c>
      <c r="G33" s="3">
        <f t="shared" ref="G33:P33" si="17">G41/G26</f>
        <v>7.8841170614815326E-2</v>
      </c>
      <c r="H33" s="3">
        <f t="shared" si="17"/>
        <v>6.4649759904148577E-2</v>
      </c>
      <c r="I33" s="3">
        <f t="shared" si="17"/>
        <v>6.596914275933527E-2</v>
      </c>
      <c r="J33" s="3">
        <f t="shared" si="17"/>
        <v>7.0271478156683234E-2</v>
      </c>
      <c r="K33" s="3">
        <f t="shared" si="17"/>
        <v>6.7343499900154771E-2</v>
      </c>
      <c r="L33" s="3">
        <f t="shared" si="17"/>
        <v>6.8776340323562307E-2</v>
      </c>
      <c r="M33" s="3">
        <f t="shared" si="17"/>
        <v>7.3465636254714292E-2</v>
      </c>
      <c r="N33" s="3">
        <f t="shared" si="17"/>
        <v>7.3465636254714292E-2</v>
      </c>
      <c r="O33" s="3">
        <f t="shared" si="17"/>
        <v>7.6963999885891157E-2</v>
      </c>
      <c r="P33" s="3">
        <f t="shared" si="17"/>
        <v>6.8776340323562307E-2</v>
      </c>
      <c r="Q33" s="3"/>
      <c r="R33" s="3">
        <f>R41/R26</f>
        <v>7.027147815668322E-2</v>
      </c>
      <c r="S33" s="34" t="s">
        <v>1202</v>
      </c>
    </row>
    <row r="34" spans="1:27" x14ac:dyDescent="0.25">
      <c r="A34" s="7" t="s">
        <v>1183</v>
      </c>
      <c r="B34" s="6">
        <f>N12</f>
        <v>100982.92833333333</v>
      </c>
      <c r="C34" s="6">
        <f t="shared" si="16"/>
        <v>156099.62</v>
      </c>
      <c r="D34" s="6">
        <f t="shared" si="16"/>
        <v>177741.54000000004</v>
      </c>
      <c r="E34" s="6">
        <f>E26/E35</f>
        <v>182026.13475172097</v>
      </c>
      <c r="F34" s="6">
        <f t="shared" ref="F34:P34" si="18">F26/F35</f>
        <v>165478.30431974633</v>
      </c>
      <c r="G34" s="6">
        <f t="shared" si="18"/>
        <v>135692.20954219199</v>
      </c>
      <c r="H34" s="6">
        <f t="shared" si="18"/>
        <v>137898.58693312193</v>
      </c>
      <c r="I34" s="6">
        <f t="shared" si="18"/>
        <v>135140.61519445953</v>
      </c>
      <c r="J34" s="6">
        <f t="shared" si="18"/>
        <v>126866.6999784722</v>
      </c>
      <c r="K34" s="6">
        <f t="shared" si="18"/>
        <v>132382.64345579708</v>
      </c>
      <c r="L34" s="6">
        <f t="shared" si="18"/>
        <v>129624.67171713465</v>
      </c>
      <c r="M34" s="6">
        <f t="shared" si="18"/>
        <v>121350.75650114731</v>
      </c>
      <c r="N34" s="6">
        <f t="shared" si="18"/>
        <v>121350.75650114731</v>
      </c>
      <c r="O34" s="6">
        <f t="shared" si="18"/>
        <v>115834.81302382244</v>
      </c>
      <c r="P34" s="6">
        <f t="shared" si="18"/>
        <v>129624.67171713465</v>
      </c>
      <c r="Q34" s="3"/>
      <c r="R34" s="6">
        <f>R26/R35/12</f>
        <v>134329.44703602939</v>
      </c>
      <c r="S34" s="34" t="s">
        <v>1203</v>
      </c>
    </row>
    <row r="35" spans="1:27" x14ac:dyDescent="0.25">
      <c r="A35" s="7" t="s">
        <v>1184</v>
      </c>
      <c r="B35" s="60">
        <f>N13</f>
        <v>6</v>
      </c>
      <c r="C35" s="75">
        <f t="shared" si="16"/>
        <v>5</v>
      </c>
      <c r="D35" s="75">
        <f t="shared" si="16"/>
        <v>4</v>
      </c>
      <c r="E35" s="75">
        <v>4</v>
      </c>
      <c r="F35" s="75">
        <v>5</v>
      </c>
      <c r="G35" s="75">
        <v>5</v>
      </c>
      <c r="H35" s="75">
        <v>6</v>
      </c>
      <c r="I35" s="75">
        <v>6</v>
      </c>
      <c r="J35" s="75">
        <v>6</v>
      </c>
      <c r="K35" s="75">
        <v>6</v>
      </c>
      <c r="L35" s="75">
        <v>6</v>
      </c>
      <c r="M35" s="75">
        <v>6</v>
      </c>
      <c r="N35" s="75">
        <v>6</v>
      </c>
      <c r="O35" s="75">
        <v>6</v>
      </c>
      <c r="P35" s="75">
        <v>6</v>
      </c>
      <c r="Q35" s="3"/>
      <c r="R35" s="83">
        <f>AVERAGE(E35:P35)</f>
        <v>5.666666666666667</v>
      </c>
      <c r="S35" s="163" t="s">
        <v>1204</v>
      </c>
    </row>
    <row r="36" spans="1:27" x14ac:dyDescent="0.25">
      <c r="B36" s="3"/>
      <c r="C36" s="3"/>
      <c r="D36" s="3"/>
      <c r="E36" s="3"/>
      <c r="F36" s="3"/>
      <c r="G36" s="3"/>
      <c r="H36" s="3"/>
      <c r="I36" s="3"/>
      <c r="J36" s="3"/>
      <c r="K36" s="3"/>
      <c r="L36" s="3"/>
      <c r="M36" s="3"/>
      <c r="N36" s="3"/>
      <c r="O36" s="3"/>
      <c r="P36" s="3"/>
      <c r="Q36" s="3"/>
      <c r="R36" s="3"/>
    </row>
    <row r="37" spans="1:27" x14ac:dyDescent="0.25">
      <c r="A37" t="s">
        <v>1185</v>
      </c>
      <c r="B37" s="45">
        <f>'[15]NS PARTS 130'!$B$23</f>
        <v>0</v>
      </c>
      <c r="C37" s="6">
        <f>O15</f>
        <v>0</v>
      </c>
      <c r="D37" s="6">
        <f>P15</f>
        <v>49050</v>
      </c>
      <c r="E37" s="6">
        <v>0</v>
      </c>
      <c r="F37" s="6">
        <v>0</v>
      </c>
      <c r="G37" s="6">
        <f>'FEF Incentive Forecast FY2025'!D31*G35/'Parts - Group '!G35</f>
        <v>54843.75</v>
      </c>
      <c r="H37" s="6">
        <v>0</v>
      </c>
      <c r="I37" s="6">
        <v>0</v>
      </c>
      <c r="J37" s="6">
        <f>'FEF Incentive Forecast FY2025'!H31*J35/'Parts - Group '!J35</f>
        <v>58295.454545454544</v>
      </c>
      <c r="K37" s="6">
        <v>0</v>
      </c>
      <c r="L37" s="6">
        <v>0</v>
      </c>
      <c r="M37" s="6">
        <f>'FEF Incentive Forecast FY2025'!L31*M35/'Parts - Group '!M35</f>
        <v>56931.818181818184</v>
      </c>
      <c r="N37" s="6">
        <v>0</v>
      </c>
      <c r="O37" s="6">
        <v>0</v>
      </c>
      <c r="P37" s="6">
        <f>'FEF Incentive Forecast FY2025'!P31*P35/'Parts - Group '!P35</f>
        <v>56250</v>
      </c>
      <c r="Q37" s="3"/>
      <c r="R37" s="6">
        <f>SUM(E37:P37)</f>
        <v>226321.02272727274</v>
      </c>
      <c r="AA37">
        <v>100</v>
      </c>
    </row>
    <row r="38" spans="1:27" x14ac:dyDescent="0.25">
      <c r="A38" s="7" t="s">
        <v>1186</v>
      </c>
      <c r="B38" s="45">
        <f>'[15]NS PARTS 130'!$B$24</f>
        <v>103288.86999999994</v>
      </c>
      <c r="C38" s="6">
        <f>O16</f>
        <v>134139.57999999999</v>
      </c>
      <c r="D38" s="6">
        <f>P16</f>
        <v>177306.67000000004</v>
      </c>
      <c r="E38" s="6">
        <f>E26*E27</f>
        <v>125772.45037263643</v>
      </c>
      <c r="F38" s="6">
        <f t="shared" ref="F38:O38" si="19">F26*F27</f>
        <v>142923.23905981414</v>
      </c>
      <c r="G38" s="6">
        <f t="shared" si="19"/>
        <v>117197.0560290476</v>
      </c>
      <c r="H38" s="6">
        <f t="shared" si="19"/>
        <v>142923.23905981414</v>
      </c>
      <c r="I38" s="6">
        <f t="shared" si="19"/>
        <v>140064.77427861787</v>
      </c>
      <c r="J38" s="6">
        <f t="shared" si="19"/>
        <v>131489.37993502902</v>
      </c>
      <c r="K38" s="6">
        <f t="shared" si="19"/>
        <v>137206.30949742158</v>
      </c>
      <c r="L38" s="6">
        <f t="shared" si="19"/>
        <v>134347.84471622531</v>
      </c>
      <c r="M38" s="6">
        <f t="shared" si="19"/>
        <v>125772.45037263643</v>
      </c>
      <c r="N38" s="6">
        <f t="shared" si="19"/>
        <v>125772.45037263643</v>
      </c>
      <c r="O38" s="6">
        <f t="shared" si="19"/>
        <v>120055.52081024388</v>
      </c>
      <c r="P38" s="6">
        <f>P26*P27</f>
        <v>134347.84471622531</v>
      </c>
      <c r="R38" s="6">
        <f>SUM(E38:P38)</f>
        <v>1577872.5592203478</v>
      </c>
      <c r="S38" s="120"/>
    </row>
    <row r="39" spans="1:27" x14ac:dyDescent="0.25">
      <c r="A39" s="7" t="s">
        <v>1187</v>
      </c>
      <c r="B39" s="45">
        <f>B38-B40</f>
        <v>79052.967199999941</v>
      </c>
      <c r="C39" s="6"/>
      <c r="D39" s="6"/>
      <c r="E39" s="6">
        <f>E38-E40</f>
        <v>97383.445058176279</v>
      </c>
      <c r="F39" s="6">
        <f t="shared" ref="F39:P39" si="20">F38-F40</f>
        <v>110663.0057479276</v>
      </c>
      <c r="G39" s="6">
        <f t="shared" si="20"/>
        <v>90743.664713300648</v>
      </c>
      <c r="H39" s="6">
        <f t="shared" si="20"/>
        <v>110663.0057479276</v>
      </c>
      <c r="I39" s="6">
        <f t="shared" si="20"/>
        <v>108449.74563296906</v>
      </c>
      <c r="J39" s="6">
        <f t="shared" si="20"/>
        <v>101809.9652880934</v>
      </c>
      <c r="K39" s="6">
        <f t="shared" si="20"/>
        <v>106236.48551801051</v>
      </c>
      <c r="L39" s="6">
        <f t="shared" si="20"/>
        <v>104023.22540305197</v>
      </c>
      <c r="M39" s="6">
        <f t="shared" si="20"/>
        <v>97383.445058176279</v>
      </c>
      <c r="N39" s="6">
        <f t="shared" si="20"/>
        <v>97383.445058176279</v>
      </c>
      <c r="O39" s="6">
        <f>O38-O40</f>
        <v>92956.924828259187</v>
      </c>
      <c r="P39" s="6">
        <f t="shared" si="20"/>
        <v>104023.22540305197</v>
      </c>
      <c r="R39" s="6">
        <f>SUM(E39:P39)</f>
        <v>1221719.5834571209</v>
      </c>
    </row>
    <row r="40" spans="1:27" x14ac:dyDescent="0.25">
      <c r="A40" s="7" t="s">
        <v>1188</v>
      </c>
      <c r="B40" s="236">
        <f>B30*B31</f>
        <v>24235.9028</v>
      </c>
      <c r="C40" s="12"/>
      <c r="D40" s="12"/>
      <c r="E40" s="12">
        <f>E30*E31</f>
        <v>28389.005314460152</v>
      </c>
      <c r="F40" s="12">
        <f t="shared" ref="F40:P40" si="21">F30*F31</f>
        <v>32260.233311886535</v>
      </c>
      <c r="G40" s="12">
        <f t="shared" si="21"/>
        <v>26453.391315746958</v>
      </c>
      <c r="H40" s="12">
        <f t="shared" si="21"/>
        <v>32260.233311886535</v>
      </c>
      <c r="I40" s="12">
        <f t="shared" si="21"/>
        <v>31615.028645648807</v>
      </c>
      <c r="J40" s="12">
        <f t="shared" si="21"/>
        <v>29679.414646935613</v>
      </c>
      <c r="K40" s="12">
        <f t="shared" si="21"/>
        <v>30969.823979411074</v>
      </c>
      <c r="L40" s="12">
        <f t="shared" si="21"/>
        <v>30324.619313173345</v>
      </c>
      <c r="M40" s="12">
        <f t="shared" si="21"/>
        <v>28389.005314460152</v>
      </c>
      <c r="N40" s="12">
        <f t="shared" si="21"/>
        <v>28389.005314460152</v>
      </c>
      <c r="O40" s="12">
        <f>O30*O31</f>
        <v>27098.595981984687</v>
      </c>
      <c r="P40" s="12">
        <f t="shared" si="21"/>
        <v>30324.619313173345</v>
      </c>
      <c r="R40" s="12">
        <f>SUM(E40:P40)</f>
        <v>356152.97576322738</v>
      </c>
      <c r="S40" s="120"/>
      <c r="AA40" s="168"/>
    </row>
    <row r="41" spans="1:27" x14ac:dyDescent="0.25">
      <c r="A41" s="7" t="s">
        <v>1076</v>
      </c>
      <c r="B41" s="12">
        <f>B26*B33</f>
        <v>73306.92</v>
      </c>
      <c r="C41" s="12">
        <f>O19</f>
        <v>63706.209999999992</v>
      </c>
      <c r="D41" s="12">
        <f>P19</f>
        <v>52024.219999999994</v>
      </c>
      <c r="E41" s="12">
        <f>E48</f>
        <v>53490.663218086163</v>
      </c>
      <c r="F41" s="12">
        <f>F48</f>
        <v>53490.663218086163</v>
      </c>
      <c r="G41" s="12">
        <f t="shared" ref="G41:P41" si="22">G48</f>
        <v>53490.663218086163</v>
      </c>
      <c r="H41" s="12">
        <f t="shared" si="22"/>
        <v>53490.663218086163</v>
      </c>
      <c r="I41" s="12">
        <f t="shared" si="22"/>
        <v>53490.663218086163</v>
      </c>
      <c r="J41" s="12">
        <f t="shared" si="22"/>
        <v>53490.663218086163</v>
      </c>
      <c r="K41" s="12">
        <f t="shared" si="22"/>
        <v>53490.663218086163</v>
      </c>
      <c r="L41" s="12">
        <f t="shared" si="22"/>
        <v>53490.663218086163</v>
      </c>
      <c r="M41" s="12">
        <f t="shared" si="22"/>
        <v>53490.663218086163</v>
      </c>
      <c r="N41" s="12">
        <f t="shared" si="22"/>
        <v>53490.663218086163</v>
      </c>
      <c r="O41" s="12">
        <f t="shared" si="22"/>
        <v>53490.663218086163</v>
      </c>
      <c r="P41" s="12">
        <f t="shared" si="22"/>
        <v>53490.663218086163</v>
      </c>
      <c r="R41" s="12">
        <f>SUM(E41:P41)</f>
        <v>641887.9586170339</v>
      </c>
    </row>
    <row r="42" spans="1:27" ht="15.75" thickBot="1" x14ac:dyDescent="0.3">
      <c r="A42" s="9" t="s">
        <v>1078</v>
      </c>
      <c r="B42" s="10">
        <f>B38-B41</f>
        <v>29981.949999999939</v>
      </c>
      <c r="C42" s="10">
        <f>O20</f>
        <v>70433.37</v>
      </c>
      <c r="D42" s="10">
        <f>P20</f>
        <v>125282.45000000004</v>
      </c>
      <c r="E42" s="10">
        <f>E38+E37-E41</f>
        <v>72281.787154550271</v>
      </c>
      <c r="F42" s="10">
        <f t="shared" ref="F42:P42" si="23">F38+F37-F41</f>
        <v>89432.575841727972</v>
      </c>
      <c r="G42" s="10">
        <f t="shared" si="23"/>
        <v>118550.14281096142</v>
      </c>
      <c r="H42" s="10">
        <f t="shared" si="23"/>
        <v>89432.575841727972</v>
      </c>
      <c r="I42" s="10">
        <f t="shared" si="23"/>
        <v>86574.111060531708</v>
      </c>
      <c r="J42" s="10">
        <f t="shared" si="23"/>
        <v>136294.17126239737</v>
      </c>
      <c r="K42" s="10">
        <f t="shared" si="23"/>
        <v>83715.646279335415</v>
      </c>
      <c r="L42" s="10">
        <f t="shared" si="23"/>
        <v>80857.181498139151</v>
      </c>
      <c r="M42" s="10">
        <f t="shared" si="23"/>
        <v>129213.60533636845</v>
      </c>
      <c r="N42" s="10">
        <f t="shared" si="23"/>
        <v>72281.787154550271</v>
      </c>
      <c r="O42" s="10">
        <f t="shared" si="23"/>
        <v>66564.857592157714</v>
      </c>
      <c r="P42" s="10">
        <f t="shared" si="23"/>
        <v>137107.18149813917</v>
      </c>
      <c r="R42" s="10">
        <f>R37+R38-R41</f>
        <v>1162305.6233305866</v>
      </c>
      <c r="S42" s="122">
        <f>(R42-T20)/T3</f>
        <v>4.4937746967452626E-2</v>
      </c>
    </row>
    <row r="43" spans="1:27" ht="15.75" thickTop="1" x14ac:dyDescent="0.25"/>
    <row r="44" spans="1:27" x14ac:dyDescent="0.25">
      <c r="Q44" s="34"/>
      <c r="R44" t="s">
        <v>1205</v>
      </c>
      <c r="S44" s="120"/>
    </row>
    <row r="45" spans="1:27" x14ac:dyDescent="0.25">
      <c r="A45" t="s">
        <v>1206</v>
      </c>
      <c r="B45" s="121"/>
      <c r="C45" s="121">
        <f t="shared" ref="C45:P45" si="24">C4/$R$45</f>
        <v>0.76128468239805047</v>
      </c>
      <c r="D45" s="121">
        <f t="shared" si="24"/>
        <v>1.1013785576281527</v>
      </c>
      <c r="E45" s="121">
        <f>E4/$R$45</f>
        <v>0.94959808165139237</v>
      </c>
      <c r="F45" s="121">
        <f t="shared" si="24"/>
        <v>1.1064977991899141</v>
      </c>
      <c r="G45" s="121">
        <f t="shared" si="24"/>
        <v>0.97155698484510733</v>
      </c>
      <c r="H45" s="121">
        <f t="shared" si="24"/>
        <v>0.97794305594811637</v>
      </c>
      <c r="I45" s="121">
        <f t="shared" si="24"/>
        <v>1.1749484104861825</v>
      </c>
      <c r="J45" s="121">
        <f t="shared" si="24"/>
        <v>1.1168473562464374</v>
      </c>
      <c r="K45" s="121">
        <f t="shared" si="24"/>
        <v>0.99466711001715158</v>
      </c>
      <c r="L45" s="121">
        <f t="shared" si="24"/>
        <v>1.0768122705289465</v>
      </c>
      <c r="M45" s="121">
        <f t="shared" si="24"/>
        <v>0.83446353634403247</v>
      </c>
      <c r="N45" s="121">
        <f t="shared" si="24"/>
        <v>0.80791627965199664</v>
      </c>
      <c r="O45" s="121">
        <f t="shared" si="24"/>
        <v>1.0407322168785922</v>
      </c>
      <c r="P45" s="121">
        <f t="shared" si="24"/>
        <v>0.94801689821212898</v>
      </c>
      <c r="Q45" s="34"/>
      <c r="R45" s="7">
        <f>AVERAGE($E$4:$P$4)</f>
        <v>749950.93583333341</v>
      </c>
      <c r="S45" s="120"/>
    </row>
    <row r="46" spans="1:27" x14ac:dyDescent="0.25">
      <c r="A46" s="137" t="s">
        <v>1345</v>
      </c>
      <c r="B46" s="137"/>
      <c r="C46" s="137"/>
      <c r="D46" s="137"/>
      <c r="E46" s="282">
        <v>0.95652173913043481</v>
      </c>
      <c r="F46" s="282">
        <v>1.0869565217391304</v>
      </c>
      <c r="G46" s="282">
        <v>0.89130434782608692</v>
      </c>
      <c r="H46" s="282">
        <v>1.0869565217391304</v>
      </c>
      <c r="I46" s="282">
        <v>1.0652173913043479</v>
      </c>
      <c r="J46" s="282">
        <v>1</v>
      </c>
      <c r="K46" s="282">
        <v>1.0434782608695652</v>
      </c>
      <c r="L46" s="282">
        <v>1.0217391304347827</v>
      </c>
      <c r="M46" s="282">
        <v>0.95652173913043481</v>
      </c>
      <c r="N46" s="282">
        <v>0.95652173913043481</v>
      </c>
      <c r="O46" s="282">
        <v>0.91304347826086951</v>
      </c>
      <c r="P46" s="282">
        <v>1.0217391304347827</v>
      </c>
    </row>
    <row r="48" spans="1:27" x14ac:dyDescent="0.25">
      <c r="A48" s="7" t="s">
        <v>1076</v>
      </c>
      <c r="E48" s="7">
        <f>SUMIFS('[18]Summary - Selling Expenses'!Z:Z,'[18]Summary - Selling Expenses'!$C:$C,130,'[18]Summary - Selling Expenses'!$E:$E,3)</f>
        <v>53490.663218086163</v>
      </c>
      <c r="F48" s="7">
        <f>SUMIFS('[18]Summary - Selling Expenses'!AA:AA,'[18]Summary - Selling Expenses'!$C:$C,130,'[18]Summary - Selling Expenses'!$E:$E,3)</f>
        <v>53490.663218086163</v>
      </c>
      <c r="G48" s="7">
        <f>SUMIFS('[18]Summary - Selling Expenses'!AB:AB,'[18]Summary - Selling Expenses'!$C:$C,130,'[18]Summary - Selling Expenses'!$E:$E,3)</f>
        <v>53490.663218086163</v>
      </c>
      <c r="H48" s="7">
        <f>SUMIFS('[18]Summary - Selling Expenses'!AC:AC,'[18]Summary - Selling Expenses'!$C:$C,130,'[18]Summary - Selling Expenses'!$E:$E,3)</f>
        <v>53490.663218086163</v>
      </c>
      <c r="I48" s="7">
        <f>SUMIFS('[18]Summary - Selling Expenses'!AD:AD,'[18]Summary - Selling Expenses'!$C:$C,130,'[18]Summary - Selling Expenses'!$E:$E,3)</f>
        <v>53490.663218086163</v>
      </c>
      <c r="J48" s="7">
        <f>SUMIFS('[18]Summary - Selling Expenses'!AE:AE,'[18]Summary - Selling Expenses'!$C:$C,130,'[18]Summary - Selling Expenses'!$E:$E,3)</f>
        <v>53490.663218086163</v>
      </c>
      <c r="K48" s="7">
        <f>SUMIFS('[18]Summary - Selling Expenses'!AF:AF,'[18]Summary - Selling Expenses'!$C:$C,130,'[18]Summary - Selling Expenses'!$E:$E,3)</f>
        <v>53490.663218086163</v>
      </c>
      <c r="L48" s="7">
        <f>SUMIFS('[18]Summary - Selling Expenses'!AG:AG,'[18]Summary - Selling Expenses'!$C:$C,130,'[18]Summary - Selling Expenses'!$E:$E,3)</f>
        <v>53490.663218086163</v>
      </c>
      <c r="M48" s="7">
        <f>SUMIFS('[18]Summary - Selling Expenses'!AH:AH,'[18]Summary - Selling Expenses'!$C:$C,130,'[18]Summary - Selling Expenses'!$E:$E,3)</f>
        <v>53490.663218086163</v>
      </c>
      <c r="N48" s="7">
        <f>SUMIFS('[18]Summary - Selling Expenses'!AI:AI,'[18]Summary - Selling Expenses'!$C:$C,130,'[18]Summary - Selling Expenses'!$E:$E,3)</f>
        <v>53490.663218086163</v>
      </c>
      <c r="O48" s="7">
        <f>SUMIFS('[18]Summary - Selling Expenses'!AJ:AJ,'[18]Summary - Selling Expenses'!$C:$C,130,'[18]Summary - Selling Expenses'!$E:$E,3)</f>
        <v>53490.663218086163</v>
      </c>
      <c r="P48" s="7">
        <f>SUMIFS('[18]Summary - Selling Expenses'!AK:AK,'[18]Summary - Selling Expenses'!$C:$C,130,'[18]Summary - Selling Expenses'!$E:$E,3)</f>
        <v>53490.663218086163</v>
      </c>
      <c r="Q48" s="7"/>
      <c r="R48" s="7">
        <f>SUM(E48:P48)</f>
        <v>641887.9586170339</v>
      </c>
    </row>
    <row r="49" spans="1:19" x14ac:dyDescent="0.25">
      <c r="R49" s="7">
        <f>R48-SUMIFS('[18]Summary - Selling Expenses'!$AL:$AL,'[18]Summary - Selling Expenses'!$C:$C,130)</f>
        <v>0</v>
      </c>
      <c r="S49" s="34" t="s">
        <v>1093</v>
      </c>
    </row>
    <row r="50" spans="1:19" x14ac:dyDescent="0.25">
      <c r="A50" t="s">
        <v>1319</v>
      </c>
      <c r="E50" s="7">
        <f>E16-E15</f>
        <v>123640.40999999997</v>
      </c>
      <c r="F50" s="7">
        <f t="shared" ref="F50:P50" si="25">F16-F15</f>
        <v>120506.82999999997</v>
      </c>
      <c r="G50" s="7">
        <f t="shared" si="25"/>
        <v>140622.20999999996</v>
      </c>
      <c r="H50" s="7">
        <f t="shared" si="25"/>
        <v>138551.41999999998</v>
      </c>
      <c r="I50" s="7">
        <f t="shared" si="25"/>
        <v>121843.26000000001</v>
      </c>
      <c r="J50" s="7">
        <f t="shared" si="25"/>
        <v>155070.01</v>
      </c>
      <c r="K50" s="7">
        <f t="shared" si="25"/>
        <v>134630.02999999997</v>
      </c>
      <c r="L50" s="7">
        <f t="shared" si="25"/>
        <v>141944.84</v>
      </c>
      <c r="M50" s="7">
        <f t="shared" si="25"/>
        <v>111006.47000000003</v>
      </c>
      <c r="N50" s="7">
        <f t="shared" si="25"/>
        <v>103288.86999999994</v>
      </c>
      <c r="O50" s="7">
        <f t="shared" si="25"/>
        <v>134139.57999999999</v>
      </c>
      <c r="P50" s="7">
        <f t="shared" si="25"/>
        <v>128256.67000000004</v>
      </c>
      <c r="R50" s="6">
        <f>SUM(E50:P50)</f>
        <v>1553500.6</v>
      </c>
    </row>
    <row r="51" spans="1:19" x14ac:dyDescent="0.25">
      <c r="A51" t="s">
        <v>1320</v>
      </c>
      <c r="E51" s="7">
        <f>E38</f>
        <v>125772.45037263643</v>
      </c>
      <c r="F51" s="7">
        <f t="shared" ref="F51:P51" si="26">F38</f>
        <v>142923.23905981414</v>
      </c>
      <c r="G51" s="7">
        <f t="shared" si="26"/>
        <v>117197.0560290476</v>
      </c>
      <c r="H51" s="7">
        <f t="shared" si="26"/>
        <v>142923.23905981414</v>
      </c>
      <c r="I51" s="7">
        <f t="shared" si="26"/>
        <v>140064.77427861787</v>
      </c>
      <c r="J51" s="7">
        <f t="shared" si="26"/>
        <v>131489.37993502902</v>
      </c>
      <c r="K51" s="7">
        <f t="shared" si="26"/>
        <v>137206.30949742158</v>
      </c>
      <c r="L51" s="7">
        <f t="shared" si="26"/>
        <v>134347.84471622531</v>
      </c>
      <c r="M51" s="7">
        <f t="shared" si="26"/>
        <v>125772.45037263643</v>
      </c>
      <c r="N51" s="7">
        <f t="shared" si="26"/>
        <v>125772.45037263643</v>
      </c>
      <c r="O51" s="7">
        <f t="shared" si="26"/>
        <v>120055.52081024388</v>
      </c>
      <c r="P51" s="7">
        <f t="shared" si="26"/>
        <v>134347.84471622531</v>
      </c>
      <c r="R51" s="6">
        <f>SUM(E51:P51)</f>
        <v>1577872.5592203478</v>
      </c>
    </row>
    <row r="52" spans="1:19" x14ac:dyDescent="0.25">
      <c r="A52" t="s">
        <v>1321</v>
      </c>
      <c r="E52" s="7">
        <f>E16</f>
        <v>123640.40999999997</v>
      </c>
      <c r="F52" s="7">
        <f t="shared" ref="F52:P52" si="27">F16</f>
        <v>120506.82999999997</v>
      </c>
      <c r="G52" s="7">
        <f t="shared" si="27"/>
        <v>203944.42999999996</v>
      </c>
      <c r="H52" s="7">
        <f t="shared" si="27"/>
        <v>138551.41999999998</v>
      </c>
      <c r="I52" s="7">
        <f t="shared" si="27"/>
        <v>121843.26000000001</v>
      </c>
      <c r="J52" s="7">
        <f t="shared" si="27"/>
        <v>199920.01</v>
      </c>
      <c r="K52" s="7">
        <f t="shared" si="27"/>
        <v>134630.02999999997</v>
      </c>
      <c r="L52" s="7">
        <f t="shared" si="27"/>
        <v>141944.84</v>
      </c>
      <c r="M52" s="7">
        <f t="shared" si="27"/>
        <v>154206.47000000003</v>
      </c>
      <c r="N52" s="7">
        <f t="shared" si="27"/>
        <v>103288.86999999994</v>
      </c>
      <c r="O52" s="7">
        <f t="shared" si="27"/>
        <v>134139.57999999999</v>
      </c>
      <c r="P52" s="7">
        <f t="shared" si="27"/>
        <v>177306.67000000004</v>
      </c>
      <c r="R52" s="6">
        <f>SUM(E52:P52)</f>
        <v>1753922.8199999998</v>
      </c>
    </row>
    <row r="53" spans="1:19" x14ac:dyDescent="0.25">
      <c r="A53" t="s">
        <v>1322</v>
      </c>
      <c r="E53" s="7">
        <f>E38+E37</f>
        <v>125772.45037263643</v>
      </c>
      <c r="F53" s="7">
        <f t="shared" ref="F53:P53" si="28">F38+F37</f>
        <v>142923.23905981414</v>
      </c>
      <c r="G53" s="7">
        <f t="shared" si="28"/>
        <v>172040.80602904758</v>
      </c>
      <c r="H53" s="7">
        <f t="shared" si="28"/>
        <v>142923.23905981414</v>
      </c>
      <c r="I53" s="7">
        <f t="shared" si="28"/>
        <v>140064.77427861787</v>
      </c>
      <c r="J53" s="7">
        <f t="shared" si="28"/>
        <v>189784.83448048355</v>
      </c>
      <c r="K53" s="7">
        <f t="shared" si="28"/>
        <v>137206.30949742158</v>
      </c>
      <c r="L53" s="7">
        <f t="shared" si="28"/>
        <v>134347.84471622531</v>
      </c>
      <c r="M53" s="7">
        <f t="shared" si="28"/>
        <v>182704.26855445461</v>
      </c>
      <c r="N53" s="7">
        <f t="shared" si="28"/>
        <v>125772.45037263643</v>
      </c>
      <c r="O53" s="7">
        <f t="shared" si="28"/>
        <v>120055.52081024388</v>
      </c>
      <c r="P53" s="7">
        <f t="shared" si="28"/>
        <v>190597.84471622531</v>
      </c>
      <c r="R53" s="6">
        <f>SUM(E53:P53)</f>
        <v>1804193.5819476207</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7E188-75BE-41D8-B139-523D59DC097D}">
  <sheetPr>
    <tabColor theme="9" tint="0.79998168889431442"/>
  </sheetPr>
  <dimension ref="A1:U53"/>
  <sheetViews>
    <sheetView zoomScale="85" zoomScaleNormal="85" workbookViewId="0">
      <selection activeCell="P20" sqref="P20"/>
    </sheetView>
  </sheetViews>
  <sheetFormatPr defaultRowHeight="15" x14ac:dyDescent="0.25"/>
  <cols>
    <col min="1" max="1" width="31" bestFit="1" customWidth="1"/>
    <col min="2" max="2" width="12.7109375" hidden="1" customWidth="1"/>
    <col min="3" max="3" width="11.85546875" hidden="1" customWidth="1"/>
    <col min="4" max="4" width="11.140625" hidden="1" customWidth="1"/>
    <col min="5" max="5" width="12.7109375" bestFit="1" customWidth="1"/>
    <col min="6" max="6" width="11.85546875" bestFit="1" customWidth="1"/>
    <col min="7" max="16" width="11.140625" bestFit="1" customWidth="1"/>
    <col min="17" max="17" width="2.85546875" customWidth="1"/>
    <col min="18" max="18" width="12.85546875" customWidth="1"/>
    <col min="19" max="19" width="12.7109375" style="34" bestFit="1" customWidth="1"/>
    <col min="20" max="20" width="10.28515625" bestFit="1" customWidth="1"/>
    <col min="21" max="21" width="11.28515625" bestFit="1" customWidth="1"/>
  </cols>
  <sheetData>
    <row r="1" spans="1:21" ht="15.75" x14ac:dyDescent="0.25">
      <c r="A1" s="11" t="s">
        <v>1174</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1"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1" x14ac:dyDescent="0.25">
      <c r="T3" s="7">
        <f>SUM(B4:M4)</f>
        <v>4364966.34</v>
      </c>
    </row>
    <row r="4" spans="1:21" x14ac:dyDescent="0.25">
      <c r="A4" s="7" t="s">
        <v>1175</v>
      </c>
      <c r="B4" s="6">
        <f>'[3]NW PARTS 230'!$B$13</f>
        <v>259892.12000000002</v>
      </c>
      <c r="C4" s="6">
        <f>'[4]NW PARTS 230'!$B$13</f>
        <v>317597.94</v>
      </c>
      <c r="D4" s="6">
        <f>'[5]NW PARTS 230'!$B$13</f>
        <v>456433.36999999994</v>
      </c>
      <c r="E4" s="6">
        <f>'[6]NW PARTS 230'!$B$13</f>
        <v>348232.8</v>
      </c>
      <c r="F4" s="6">
        <f>'[7]NW PARTS 230'!$B$13</f>
        <v>437420.31</v>
      </c>
      <c r="G4" s="6">
        <f>'[8]NW PARTS 230'!$B$13</f>
        <v>402926.61</v>
      </c>
      <c r="H4" s="6">
        <f>'[9]NW PARTS 230'!$B$13</f>
        <v>387111.64</v>
      </c>
      <c r="I4" s="6">
        <f>'[10]NW PARTS 230'!$B$13</f>
        <v>464903.80000000005</v>
      </c>
      <c r="J4" s="6">
        <f>'[11]NW PARTS 230'!$B$13</f>
        <v>317045.29000000004</v>
      </c>
      <c r="K4" s="6">
        <f>'[12]NW PARTS 230'!$B$13</f>
        <v>328331.71000000008</v>
      </c>
      <c r="L4" s="6">
        <f>'[13]NW PARTS 230'!$B$13</f>
        <v>380639.67</v>
      </c>
      <c r="M4" s="6">
        <f>'[14]NW PARTS 230'!$B$13</f>
        <v>264431.08</v>
      </c>
      <c r="N4" s="6">
        <f>'[15]NW PARTS 230'!$B$13</f>
        <v>240738.16999999998</v>
      </c>
      <c r="O4" s="6">
        <f>'[16]NW PARTS 230'!$B$13</f>
        <v>424470.97</v>
      </c>
      <c r="P4" s="6">
        <f>'[17]NW PARTS 230'!$B$13</f>
        <v>434968.02</v>
      </c>
      <c r="Q4" s="8"/>
      <c r="R4" s="6">
        <f>SUM(E4:P4)</f>
        <v>4431220.07</v>
      </c>
      <c r="T4" s="7">
        <f>AVERAGE(D4:O4)</f>
        <v>371057.11833333335</v>
      </c>
      <c r="U4" t="s">
        <v>1194</v>
      </c>
    </row>
    <row r="5" spans="1:21" x14ac:dyDescent="0.25">
      <c r="A5" t="s">
        <v>1176</v>
      </c>
      <c r="B5" s="3">
        <f t="shared" ref="B5:P5" si="0">(B16-B15)/B4</f>
        <v>0.19542908803852921</v>
      </c>
      <c r="C5" s="3">
        <f t="shared" si="0"/>
        <v>0.19968344253114478</v>
      </c>
      <c r="D5" s="3">
        <f t="shared" si="0"/>
        <v>0.2476217284463666</v>
      </c>
      <c r="E5" s="3">
        <f t="shared" si="0"/>
        <v>0.17277051443746824</v>
      </c>
      <c r="F5" s="3">
        <f t="shared" si="0"/>
        <v>0.16538681068558525</v>
      </c>
      <c r="G5" s="3">
        <f>(G16-G15)/G4</f>
        <v>0.18481842139937107</v>
      </c>
      <c r="H5" s="3">
        <f t="shared" si="0"/>
        <v>0.18019817228952353</v>
      </c>
      <c r="I5" s="3">
        <f t="shared" si="0"/>
        <v>0.18900903799882904</v>
      </c>
      <c r="J5" s="3">
        <f>(J16-J15)/J4</f>
        <v>0.19685200180706033</v>
      </c>
      <c r="K5" s="3">
        <f t="shared" si="0"/>
        <v>0.19229026035895219</v>
      </c>
      <c r="L5" s="3">
        <f t="shared" si="0"/>
        <v>0.1909005963566541</v>
      </c>
      <c r="M5" s="3">
        <f t="shared" si="0"/>
        <v>0.20668421427617351</v>
      </c>
      <c r="N5" s="3">
        <f t="shared" si="0"/>
        <v>0.18821763910558928</v>
      </c>
      <c r="O5" s="3">
        <f t="shared" si="0"/>
        <v>0.18786215226921174</v>
      </c>
      <c r="P5" s="3">
        <f t="shared" si="0"/>
        <v>0.19169508139931751</v>
      </c>
      <c r="Q5" s="3"/>
      <c r="R5" s="3">
        <f>R16/R4</f>
        <v>0.20899742855696171</v>
      </c>
      <c r="T5" s="44">
        <f>AVERAGE(E5:O5)</f>
        <v>0.18681725645312897</v>
      </c>
    </row>
    <row r="6" spans="1:21" x14ac:dyDescent="0.25">
      <c r="A6" t="s">
        <v>1177</v>
      </c>
      <c r="B6" s="3"/>
      <c r="C6" s="3"/>
      <c r="D6" s="3"/>
      <c r="E6" s="45">
        <f>E4-E8</f>
        <v>314720.28999999998</v>
      </c>
      <c r="F6" s="45">
        <f t="shared" ref="F6:P6" si="1">F4-F8</f>
        <v>394911.29</v>
      </c>
      <c r="G6" s="45">
        <f t="shared" si="1"/>
        <v>357471.06</v>
      </c>
      <c r="H6" s="45">
        <f t="shared" si="1"/>
        <v>335962.37</v>
      </c>
      <c r="I6" s="45">
        <f t="shared" si="1"/>
        <v>418023.64</v>
      </c>
      <c r="J6" s="45">
        <f t="shared" si="1"/>
        <v>273909.88</v>
      </c>
      <c r="K6" s="45">
        <f t="shared" si="1"/>
        <v>288404.40000000008</v>
      </c>
      <c r="L6" s="45">
        <f t="shared" si="1"/>
        <v>336940.70999999996</v>
      </c>
      <c r="M6" s="45">
        <f t="shared" si="1"/>
        <v>238512.36000000002</v>
      </c>
      <c r="N6" s="45">
        <f t="shared" si="1"/>
        <v>192590.53599999999</v>
      </c>
      <c r="O6" s="45">
        <f t="shared" si="1"/>
        <v>339576.77599999995</v>
      </c>
      <c r="P6" s="45">
        <f t="shared" si="1"/>
        <v>347974.41600000003</v>
      </c>
      <c r="Q6" s="3"/>
      <c r="R6" s="45">
        <f>SUM(E6:P6)</f>
        <v>3838997.7279999997</v>
      </c>
      <c r="T6" s="44"/>
    </row>
    <row r="7" spans="1:21" x14ac:dyDescent="0.25">
      <c r="A7" t="s">
        <v>1178</v>
      </c>
      <c r="B7" s="3"/>
      <c r="C7" s="3"/>
      <c r="D7" s="3"/>
      <c r="E7" s="3">
        <f>E17/E6</f>
        <v>0.16832701382233728</v>
      </c>
      <c r="F7" s="3">
        <f t="shared" ref="F7:M7" si="2">F17/F6</f>
        <v>0.15980953812690446</v>
      </c>
      <c r="G7" s="3">
        <f t="shared" si="2"/>
        <v>0.26899078859698472</v>
      </c>
      <c r="H7" s="3">
        <f t="shared" si="2"/>
        <v>0.17858407560346717</v>
      </c>
      <c r="I7" s="3">
        <f t="shared" si="2"/>
        <v>0.18620637282618757</v>
      </c>
      <c r="J7" s="3">
        <f t="shared" si="2"/>
        <v>0.27569081443502502</v>
      </c>
      <c r="K7" s="3">
        <f t="shared" si="2"/>
        <v>0.18709733333472023</v>
      </c>
      <c r="L7" s="3">
        <f t="shared" si="2"/>
        <v>0.18812523660913522</v>
      </c>
      <c r="M7" s="3">
        <f t="shared" si="2"/>
        <v>0.29657010023296054</v>
      </c>
      <c r="N7" s="3">
        <f>N17/N6</f>
        <v>0.18527204888198659</v>
      </c>
      <c r="O7" s="3">
        <f>O17/O6</f>
        <v>0.18482769033651467</v>
      </c>
      <c r="P7" s="3">
        <f>P17/P6</f>
        <v>0.26009817112531619</v>
      </c>
      <c r="Q7" s="3"/>
      <c r="R7" s="3">
        <f>R17/R6</f>
        <v>0.20907235499150578</v>
      </c>
      <c r="T7" s="44"/>
    </row>
    <row r="8" spans="1:21" x14ac:dyDescent="0.25">
      <c r="A8" t="s">
        <v>1179</v>
      </c>
      <c r="B8" s="3"/>
      <c r="C8" s="3"/>
      <c r="D8" s="3"/>
      <c r="E8" s="6">
        <v>33512.51</v>
      </c>
      <c r="F8" s="6">
        <v>42509.02</v>
      </c>
      <c r="G8" s="6">
        <v>45455.55</v>
      </c>
      <c r="H8" s="6">
        <v>51149.27</v>
      </c>
      <c r="I8" s="6">
        <v>46880.160000000003</v>
      </c>
      <c r="J8" s="6">
        <v>43135.41</v>
      </c>
      <c r="K8" s="6">
        <v>39927.31</v>
      </c>
      <c r="L8" s="6">
        <v>43698.96</v>
      </c>
      <c r="M8" s="6">
        <v>25918.720000000001</v>
      </c>
      <c r="N8" s="6">
        <f>N4*N10</f>
        <v>48147.633999999998</v>
      </c>
      <c r="O8" s="6">
        <f>O4*O10</f>
        <v>84894.194000000003</v>
      </c>
      <c r="P8" s="6">
        <f>P4*P10</f>
        <v>86993.604000000007</v>
      </c>
      <c r="Q8" s="3"/>
      <c r="R8" s="45">
        <f>SUM(E8:P8)</f>
        <v>592222.34200000006</v>
      </c>
      <c r="T8" s="7">
        <f>AVERAGE(E8:O8)</f>
        <v>45929.885272727282</v>
      </c>
      <c r="U8" t="s">
        <v>1194</v>
      </c>
    </row>
    <row r="9" spans="1:21" x14ac:dyDescent="0.25">
      <c r="A9" t="s">
        <v>1180</v>
      </c>
      <c r="B9" s="3"/>
      <c r="C9" s="3"/>
      <c r="D9" s="3"/>
      <c r="E9" s="3">
        <v>0.2145</v>
      </c>
      <c r="F9" s="3">
        <v>0.2172</v>
      </c>
      <c r="G9" s="3">
        <v>0.21940000000000001</v>
      </c>
      <c r="H9" s="3">
        <v>0.1908</v>
      </c>
      <c r="I9" s="3">
        <v>0.214</v>
      </c>
      <c r="J9" s="3">
        <v>0.21609999999999999</v>
      </c>
      <c r="K9" s="3">
        <v>0.2298</v>
      </c>
      <c r="L9" s="3">
        <v>0.21229999999999999</v>
      </c>
      <c r="M9" s="3">
        <v>0.21290000000000001</v>
      </c>
      <c r="N9" s="3">
        <v>0.2</v>
      </c>
      <c r="O9" s="3">
        <v>0.2</v>
      </c>
      <c r="P9" s="3">
        <v>0.2</v>
      </c>
      <c r="Q9" s="3"/>
      <c r="R9" s="3">
        <f>R18/R8</f>
        <v>0.20851172852239336</v>
      </c>
      <c r="T9" s="44">
        <f>AVERAGE(E18:O18)/T8</f>
        <v>0.20997733387050518</v>
      </c>
    </row>
    <row r="10" spans="1:21" x14ac:dyDescent="0.25">
      <c r="A10" t="s">
        <v>1181</v>
      </c>
      <c r="B10" s="3"/>
      <c r="C10" s="3"/>
      <c r="D10" s="3"/>
      <c r="E10" s="3">
        <f>E8/E4</f>
        <v>9.6235937568201507E-2</v>
      </c>
      <c r="F10" s="3">
        <f t="shared" ref="F10:M10" si="3">F8/F4</f>
        <v>9.7181175698037428E-2</v>
      </c>
      <c r="G10" s="3">
        <f t="shared" si="3"/>
        <v>0.11281347240878432</v>
      </c>
      <c r="H10" s="3">
        <f t="shared" si="3"/>
        <v>0.13213053991349885</v>
      </c>
      <c r="I10" s="3">
        <f t="shared" si="3"/>
        <v>0.10083841001084526</v>
      </c>
      <c r="J10" s="3">
        <f>J8/J4</f>
        <v>0.13605441039669758</v>
      </c>
      <c r="K10" s="3">
        <f>K8/K4</f>
        <v>0.12160662154745878</v>
      </c>
      <c r="L10" s="3">
        <f>L8/L4</f>
        <v>0.11480400873613621</v>
      </c>
      <c r="M10" s="3">
        <f t="shared" si="3"/>
        <v>9.8016919947534156E-2</v>
      </c>
      <c r="N10" s="3">
        <v>0.2</v>
      </c>
      <c r="O10" s="3">
        <v>0.2</v>
      </c>
      <c r="P10" s="3">
        <v>0.2</v>
      </c>
      <c r="Q10" s="3"/>
      <c r="R10" s="3">
        <f>R8/R4</f>
        <v>0.13364769355722836</v>
      </c>
      <c r="T10" s="44"/>
    </row>
    <row r="11" spans="1:21" x14ac:dyDescent="0.25">
      <c r="A11" t="s">
        <v>1182</v>
      </c>
      <c r="B11" s="3">
        <f>'[3]NW PARTS 230'!$B$28</f>
        <v>0.13236453648536939</v>
      </c>
      <c r="C11" s="3">
        <f>'[4]NW PARTS 230'!$B$28</f>
        <v>0.10124634309655788</v>
      </c>
      <c r="D11" s="3">
        <f>'[5]NW PARTS 230'!$B$28</f>
        <v>8.9382640887978912E-2</v>
      </c>
      <c r="E11" s="3">
        <f>'[6]NW PARTS 230'!$B$28</f>
        <v>8.1181611841273996E-2</v>
      </c>
      <c r="F11" s="3">
        <f>'[7]NW PARTS 230'!$B$28</f>
        <v>8.2751233018878337E-2</v>
      </c>
      <c r="G11" s="3">
        <f>'[8]NW PARTS 230'!$B$28</f>
        <v>9.2539730746499974E-2</v>
      </c>
      <c r="H11" s="3">
        <f>'[9]NW PARTS 230'!$B$28</f>
        <v>9.7498954048501354E-2</v>
      </c>
      <c r="I11" s="3">
        <f>'[10]NW PARTS 230'!$B$28</f>
        <v>8.0439222049809009E-2</v>
      </c>
      <c r="J11" s="3">
        <f>'[11]NW PARTS 230'!$B$28</f>
        <v>0.10115551629863354</v>
      </c>
      <c r="K11" s="3">
        <f>'[12]NW PARTS 230'!$B$28</f>
        <v>0.11459435337512783</v>
      </c>
      <c r="L11" s="3">
        <f>'[13]NW PARTS 230'!$B$28</f>
        <v>8.4213792009645239E-2</v>
      </c>
      <c r="M11" s="3">
        <f>'[14]NW PARTS 230'!$B$28</f>
        <v>0.13288301813841247</v>
      </c>
      <c r="N11" s="3">
        <f>'[15]NW PARTS 230'!$B$28</f>
        <v>0.22186834767415575</v>
      </c>
      <c r="O11" s="3">
        <f>'[16]NW PARTS 230'!$B$28</f>
        <v>6.0796265996706449E-2</v>
      </c>
      <c r="P11" s="3">
        <f>'[17]NW PARTS 230'!$B$28</f>
        <v>6.2125394873857619E-2</v>
      </c>
      <c r="Q11" s="3"/>
      <c r="R11" s="3">
        <f>R19/R4</f>
        <v>9.4787373085715415E-2</v>
      </c>
    </row>
    <row r="12" spans="1:21" x14ac:dyDescent="0.25">
      <c r="A12" s="7" t="s">
        <v>1183</v>
      </c>
      <c r="B12" s="6">
        <f t="shared" ref="B12:P12" si="4">B4/B13</f>
        <v>64973.030000000006</v>
      </c>
      <c r="C12" s="6">
        <f t="shared" si="4"/>
        <v>79399.485000000001</v>
      </c>
      <c r="D12" s="6">
        <f t="shared" si="4"/>
        <v>114108.34249999998</v>
      </c>
      <c r="E12" s="6">
        <f t="shared" si="4"/>
        <v>87058.2</v>
      </c>
      <c r="F12" s="6">
        <f t="shared" si="4"/>
        <v>109355.0775</v>
      </c>
      <c r="G12" s="6">
        <f t="shared" si="4"/>
        <v>80585.322</v>
      </c>
      <c r="H12" s="6">
        <f t="shared" si="4"/>
        <v>77422.328000000009</v>
      </c>
      <c r="I12" s="6">
        <f t="shared" si="4"/>
        <v>116225.95000000001</v>
      </c>
      <c r="J12" s="6">
        <f t="shared" si="4"/>
        <v>79261.322500000009</v>
      </c>
      <c r="K12" s="6">
        <f t="shared" si="4"/>
        <v>82082.92750000002</v>
      </c>
      <c r="L12" s="6">
        <f t="shared" si="4"/>
        <v>95159.917499999996</v>
      </c>
      <c r="M12" s="6">
        <f t="shared" si="4"/>
        <v>66107.77</v>
      </c>
      <c r="N12" s="6">
        <f t="shared" si="4"/>
        <v>80246.056666666656</v>
      </c>
      <c r="O12" s="6">
        <f t="shared" si="4"/>
        <v>141490.32333333333</v>
      </c>
      <c r="P12" s="6">
        <f t="shared" si="4"/>
        <v>144989.34</v>
      </c>
      <c r="Q12" s="3"/>
      <c r="R12" s="45">
        <f>AVERAGE(E12:P12)</f>
        <v>96665.377916666665</v>
      </c>
      <c r="T12" s="15">
        <f>T4/T13</f>
        <v>92764.279583333337</v>
      </c>
      <c r="U12" s="15"/>
    </row>
    <row r="13" spans="1:21" x14ac:dyDescent="0.25">
      <c r="A13" s="7" t="s">
        <v>1184</v>
      </c>
      <c r="B13" s="60">
        <f>'[3]NW PARTS 230'!$B$33</f>
        <v>4</v>
      </c>
      <c r="C13" s="60">
        <f>'[4]NW PARTS 230'!$B$33</f>
        <v>4</v>
      </c>
      <c r="D13" s="60">
        <f>'[5]NW PARTS 230'!$B$33</f>
        <v>4</v>
      </c>
      <c r="E13" s="60">
        <f>'[6]NW PARTS 230'!$B$33</f>
        <v>4</v>
      </c>
      <c r="F13" s="60">
        <f>'[7]NW PARTS 230'!$B$33</f>
        <v>4</v>
      </c>
      <c r="G13" s="60">
        <f>'[8]NW PARTS 230'!$B$33</f>
        <v>5</v>
      </c>
      <c r="H13" s="60">
        <f>'[9]NW PARTS 230'!$B$33</f>
        <v>5</v>
      </c>
      <c r="I13" s="60">
        <f>'[10]NW PARTS 230'!$B$33</f>
        <v>4</v>
      </c>
      <c r="J13" s="60">
        <f>'[11]NW PARTS 230'!$B$33</f>
        <v>4</v>
      </c>
      <c r="K13" s="60">
        <f>'[12]NW PARTS 230'!$B$33</f>
        <v>4</v>
      </c>
      <c r="L13" s="60">
        <f>'[13]NW PARTS 230'!$B$33</f>
        <v>4</v>
      </c>
      <c r="M13" s="60">
        <f>'[14]NW PARTS 230'!$B$33</f>
        <v>4</v>
      </c>
      <c r="N13" s="60">
        <f>'[15]NW PARTS 230'!$B$33</f>
        <v>3</v>
      </c>
      <c r="O13" s="60">
        <f>'[16]NW PARTS 230'!$B$33</f>
        <v>3</v>
      </c>
      <c r="P13" s="60">
        <v>3</v>
      </c>
      <c r="Q13" s="3"/>
      <c r="R13" s="83">
        <f>AVERAGE(E13:P13)</f>
        <v>3.9166666666666665</v>
      </c>
      <c r="S13" s="164"/>
      <c r="T13" s="121">
        <f>AVERAGE(E13:O13)</f>
        <v>4</v>
      </c>
      <c r="U13" s="121"/>
    </row>
    <row r="14" spans="1:21" x14ac:dyDescent="0.25">
      <c r="B14" s="3"/>
      <c r="C14" s="3"/>
      <c r="D14" s="3"/>
      <c r="E14" s="3"/>
      <c r="F14" s="3"/>
      <c r="G14" s="3"/>
      <c r="H14" s="3"/>
      <c r="I14" s="3"/>
      <c r="J14" s="3"/>
      <c r="K14" s="3"/>
      <c r="L14" s="3"/>
      <c r="M14" s="3"/>
      <c r="N14" s="3"/>
      <c r="O14" s="3"/>
      <c r="P14" s="3"/>
      <c r="Q14" s="3"/>
      <c r="R14" s="3"/>
    </row>
    <row r="15" spans="1:21" x14ac:dyDescent="0.25">
      <c r="A15" t="s">
        <v>1185</v>
      </c>
      <c r="B15" s="45">
        <f>'[3]NW PARTS 230'!$B$23</f>
        <v>10167.14</v>
      </c>
      <c r="C15" s="45">
        <f>'[4]NW PARTS 230'!$B$23</f>
        <v>0</v>
      </c>
      <c r="D15" s="45">
        <f>'[5]NW PARTS 230'!$B$23</f>
        <v>20193.75</v>
      </c>
      <c r="E15" s="45">
        <f>'[6]NW PARTS 230'!$B$23</f>
        <v>0</v>
      </c>
      <c r="F15" s="45">
        <f>'[7]NW PARTS 230'!$B$23</f>
        <v>0</v>
      </c>
      <c r="G15" s="45">
        <f>'[8]NW PARTS 230'!$B$23</f>
        <v>31661.11</v>
      </c>
      <c r="H15" s="45">
        <f>'[9]NW PARTS 230'!$B$23</f>
        <v>0</v>
      </c>
      <c r="I15" s="45">
        <f>'[10]NW PARTS 230'!$B$23</f>
        <v>0</v>
      </c>
      <c r="J15" s="45">
        <f>'[11]NW PARTS 230'!$B$23</f>
        <v>22425</v>
      </c>
      <c r="K15" s="45">
        <f>'[12]NW PARTS 230'!$B$23</f>
        <v>0</v>
      </c>
      <c r="L15" s="45">
        <f>'[13]NW PARTS 230'!$B$23</f>
        <v>0</v>
      </c>
      <c r="M15" s="45">
        <f>'[14]NW PARTS 230'!$B$23</f>
        <v>21600</v>
      </c>
      <c r="N15" s="45">
        <f>'[15]NW PARTS 230'!$B$23</f>
        <v>0</v>
      </c>
      <c r="O15" s="45">
        <f>'[16]NW PARTS 230'!$B$23</f>
        <v>0</v>
      </c>
      <c r="P15" s="45">
        <f>'[17]NW PARTS 230'!$B$23</f>
        <v>24525</v>
      </c>
      <c r="Q15" s="3"/>
      <c r="R15" s="6">
        <f>SUM(E15:P15)</f>
        <v>100211.11</v>
      </c>
    </row>
    <row r="16" spans="1:21" x14ac:dyDescent="0.25">
      <c r="A16" s="7" t="s">
        <v>1186</v>
      </c>
      <c r="B16" s="45">
        <f>'[3]NW PARTS 230'!$B$24</f>
        <v>60957.62</v>
      </c>
      <c r="C16" s="45">
        <f>'[4]NW PARTS 230'!$B$24</f>
        <v>63419.049999999974</v>
      </c>
      <c r="D16" s="45">
        <f>'[5]NW PARTS 230'!$B$24</f>
        <v>133216.56999999995</v>
      </c>
      <c r="E16" s="45">
        <f>'[6]NW PARTS 230'!$B$24</f>
        <v>60164.359999999993</v>
      </c>
      <c r="F16" s="45">
        <f>'[7]NW PARTS 230'!$B$24</f>
        <v>72343.550000000017</v>
      </c>
      <c r="G16" s="45">
        <f>'[8]NW PARTS 230'!$B$24</f>
        <v>106129.37000000004</v>
      </c>
      <c r="H16" s="45">
        <f>'[9]NW PARTS 230'!$B$24</f>
        <v>69756.810000000012</v>
      </c>
      <c r="I16" s="45">
        <f>'[10]NW PARTS 230'!$B$24</f>
        <v>87871.020000000019</v>
      </c>
      <c r="J16" s="45">
        <f>'[11]NW PARTS 230'!$B$24</f>
        <v>84835.999999999971</v>
      </c>
      <c r="K16" s="45">
        <f>'[12]NW PARTS 230'!$B$24</f>
        <v>63134.99</v>
      </c>
      <c r="L16" s="45">
        <f>'[13]NW PARTS 230'!$B$24</f>
        <v>72664.340000000011</v>
      </c>
      <c r="M16" s="45">
        <f>'[14]NW PARTS 230'!$B$24</f>
        <v>76253.729999999981</v>
      </c>
      <c r="N16" s="45">
        <f>'[15]NW PARTS 230'!$B$24</f>
        <v>45311.17</v>
      </c>
      <c r="O16" s="45">
        <f>'[16]NW PARTS 230'!$B$24</f>
        <v>79742.03</v>
      </c>
      <c r="P16" s="45">
        <f>'[17]NW PARTS 230'!$B$24</f>
        <v>107906.22999999997</v>
      </c>
      <c r="R16" s="6">
        <f>SUM(E16:P16)</f>
        <v>926113.6</v>
      </c>
    </row>
    <row r="17" spans="1:20" x14ac:dyDescent="0.25">
      <c r="A17" s="7" t="s">
        <v>1187</v>
      </c>
      <c r="B17" s="45"/>
      <c r="C17" s="45"/>
      <c r="D17" s="45"/>
      <c r="E17" s="45">
        <f>E16-E18</f>
        <v>52975.926604999993</v>
      </c>
      <c r="F17" s="45">
        <f t="shared" ref="F17:P17" si="5">F16-F18</f>
        <v>63110.590856000017</v>
      </c>
      <c r="G17" s="45">
        <f t="shared" si="5"/>
        <v>96156.42233000003</v>
      </c>
      <c r="H17" s="45">
        <f t="shared" si="5"/>
        <v>59997.529284000011</v>
      </c>
      <c r="I17" s="45">
        <f t="shared" si="5"/>
        <v>77838.665760000018</v>
      </c>
      <c r="J17" s="45">
        <f t="shared" si="5"/>
        <v>75514.437898999968</v>
      </c>
      <c r="K17" s="45">
        <f t="shared" si="5"/>
        <v>53959.694162</v>
      </c>
      <c r="L17" s="45">
        <f t="shared" si="5"/>
        <v>63387.050792000009</v>
      </c>
      <c r="M17" s="45">
        <f t="shared" si="5"/>
        <v>70735.634511999975</v>
      </c>
      <c r="N17" s="45">
        <f t="shared" si="5"/>
        <v>35681.643199999999</v>
      </c>
      <c r="O17" s="45">
        <f t="shared" si="5"/>
        <v>62763.191200000001</v>
      </c>
      <c r="P17" s="45">
        <f t="shared" si="5"/>
        <v>90507.509199999971</v>
      </c>
      <c r="R17" s="6">
        <f>SUM(E17:P17)</f>
        <v>802628.29580000008</v>
      </c>
    </row>
    <row r="18" spans="1:20" x14ac:dyDescent="0.25">
      <c r="A18" s="7" t="s">
        <v>1188</v>
      </c>
      <c r="B18" s="45"/>
      <c r="C18" s="45"/>
      <c r="D18" s="45"/>
      <c r="E18" s="45">
        <f>E8*E9</f>
        <v>7188.433395</v>
      </c>
      <c r="F18" s="45">
        <f t="shared" ref="F18:P18" si="6">F8*F9</f>
        <v>9232.9591440000004</v>
      </c>
      <c r="G18" s="45">
        <f t="shared" si="6"/>
        <v>9972.9476700000014</v>
      </c>
      <c r="H18" s="45">
        <f t="shared" si="6"/>
        <v>9759.2807159999993</v>
      </c>
      <c r="I18" s="45">
        <f t="shared" si="6"/>
        <v>10032.354240000001</v>
      </c>
      <c r="J18" s="45">
        <f t="shared" si="6"/>
        <v>9321.5621009999995</v>
      </c>
      <c r="K18" s="45">
        <f t="shared" si="6"/>
        <v>9175.295838</v>
      </c>
      <c r="L18" s="45">
        <f t="shared" si="6"/>
        <v>9277.2892080000001</v>
      </c>
      <c r="M18" s="45">
        <f t="shared" si="6"/>
        <v>5518.0954880000008</v>
      </c>
      <c r="N18" s="45">
        <f t="shared" si="6"/>
        <v>9629.5267999999996</v>
      </c>
      <c r="O18" s="45">
        <f t="shared" si="6"/>
        <v>16978.838800000001</v>
      </c>
      <c r="P18" s="45">
        <f t="shared" si="6"/>
        <v>17398.720800000003</v>
      </c>
      <c r="R18" s="6">
        <f>SUM(E18:P18)</f>
        <v>123485.30420000001</v>
      </c>
    </row>
    <row r="19" spans="1:20" x14ac:dyDescent="0.25">
      <c r="A19" s="7" t="s">
        <v>1076</v>
      </c>
      <c r="B19" s="6">
        <f t="shared" ref="B19:P19" si="7">B4*B11</f>
        <v>34400.5</v>
      </c>
      <c r="C19" s="6">
        <f t="shared" si="7"/>
        <v>32155.63</v>
      </c>
      <c r="D19" s="6">
        <f t="shared" si="7"/>
        <v>40797.22</v>
      </c>
      <c r="E19" s="6">
        <f t="shared" si="7"/>
        <v>28270.1</v>
      </c>
      <c r="F19" s="6">
        <f t="shared" si="7"/>
        <v>36197.07</v>
      </c>
      <c r="G19" s="6">
        <f t="shared" si="7"/>
        <v>37286.720000000001</v>
      </c>
      <c r="H19" s="6">
        <f t="shared" si="7"/>
        <v>37742.980000000003</v>
      </c>
      <c r="I19" s="6">
        <f t="shared" si="7"/>
        <v>37396.5</v>
      </c>
      <c r="J19" s="6">
        <f t="shared" si="7"/>
        <v>32070.880000000001</v>
      </c>
      <c r="K19" s="6">
        <f t="shared" si="7"/>
        <v>37624.959999999999</v>
      </c>
      <c r="L19" s="6">
        <f t="shared" si="7"/>
        <v>32055.11</v>
      </c>
      <c r="M19" s="6">
        <f t="shared" si="7"/>
        <v>35138.400000000001</v>
      </c>
      <c r="N19" s="6">
        <f t="shared" si="7"/>
        <v>53412.180000000008</v>
      </c>
      <c r="O19" s="6">
        <f t="shared" si="7"/>
        <v>25806.25</v>
      </c>
      <c r="P19" s="6">
        <f t="shared" si="7"/>
        <v>27022.559999999998</v>
      </c>
      <c r="R19" s="6">
        <f>SUM(E19:P19)</f>
        <v>420023.71</v>
      </c>
      <c r="T19" s="7">
        <f>AVERAGE(E19:O19)</f>
        <v>35727.377272727274</v>
      </c>
    </row>
    <row r="20" spans="1:20" ht="15.75" thickBot="1" x14ac:dyDescent="0.3">
      <c r="A20" s="9" t="s">
        <v>1078</v>
      </c>
      <c r="B20" s="10">
        <f t="shared" ref="B20:P20" si="8">B16-B19</f>
        <v>26557.120000000003</v>
      </c>
      <c r="C20" s="10">
        <f t="shared" si="8"/>
        <v>31263.419999999973</v>
      </c>
      <c r="D20" s="10">
        <f t="shared" si="8"/>
        <v>92419.349999999948</v>
      </c>
      <c r="E20" s="10">
        <f>E16-E19</f>
        <v>31894.259999999995</v>
      </c>
      <c r="F20" s="10">
        <f t="shared" si="8"/>
        <v>36146.480000000018</v>
      </c>
      <c r="G20" s="10">
        <f>G16-G19</f>
        <v>68842.650000000038</v>
      </c>
      <c r="H20" s="10">
        <f t="shared" si="8"/>
        <v>32013.830000000009</v>
      </c>
      <c r="I20" s="10">
        <f t="shared" si="8"/>
        <v>50474.520000000019</v>
      </c>
      <c r="J20" s="10">
        <f t="shared" si="8"/>
        <v>52765.119999999966</v>
      </c>
      <c r="K20" s="10">
        <f t="shared" si="8"/>
        <v>25510.03</v>
      </c>
      <c r="L20" s="10">
        <f t="shared" si="8"/>
        <v>40609.23000000001</v>
      </c>
      <c r="M20" s="10">
        <f t="shared" si="8"/>
        <v>41115.32999999998</v>
      </c>
      <c r="N20" s="10">
        <f t="shared" si="8"/>
        <v>-8101.0100000000093</v>
      </c>
      <c r="O20" s="10">
        <f t="shared" si="8"/>
        <v>53935.78</v>
      </c>
      <c r="P20" s="10">
        <f t="shared" si="8"/>
        <v>80883.669999999969</v>
      </c>
      <c r="R20" s="10">
        <f>R16-R19</f>
        <v>506089.88999999996</v>
      </c>
      <c r="T20" s="7">
        <f>SUM(E20:O20)</f>
        <v>425206.22000000009</v>
      </c>
    </row>
    <row r="21" spans="1:20" ht="15.75" thickTop="1" x14ac:dyDescent="0.25">
      <c r="E21" s="7"/>
      <c r="F21" s="7"/>
      <c r="G21" s="7"/>
      <c r="H21" s="7"/>
      <c r="I21" s="7"/>
      <c r="J21" s="7"/>
      <c r="K21" s="7"/>
      <c r="L21" s="7"/>
      <c r="M21" s="7"/>
      <c r="N21" s="7"/>
      <c r="O21" s="7"/>
      <c r="P21" s="7"/>
    </row>
    <row r="23" spans="1:20" ht="15.75" x14ac:dyDescent="0.25">
      <c r="A23" s="11" t="s">
        <v>1174</v>
      </c>
      <c r="B23" s="5">
        <v>45292</v>
      </c>
      <c r="C23" s="5">
        <v>45323</v>
      </c>
      <c r="D23" s="5">
        <v>45352</v>
      </c>
      <c r="E23" s="5">
        <v>45383</v>
      </c>
      <c r="F23" s="5">
        <v>45413</v>
      </c>
      <c r="G23" s="5">
        <v>45444</v>
      </c>
      <c r="H23" s="5">
        <v>45474</v>
      </c>
      <c r="I23" s="5">
        <v>45505</v>
      </c>
      <c r="J23" s="5">
        <v>45536</v>
      </c>
      <c r="K23" s="5">
        <v>45566</v>
      </c>
      <c r="L23" s="5">
        <v>45597</v>
      </c>
      <c r="M23" s="5">
        <v>45627</v>
      </c>
      <c r="N23" s="5">
        <v>45658</v>
      </c>
      <c r="O23" s="5">
        <v>45689</v>
      </c>
      <c r="P23" s="5">
        <v>45717</v>
      </c>
      <c r="Q23" s="5"/>
      <c r="R23" s="5" t="s">
        <v>955</v>
      </c>
    </row>
    <row r="24" spans="1:20" x14ac:dyDescent="0.25">
      <c r="A24" s="4"/>
      <c r="B24" s="5" t="s">
        <v>958</v>
      </c>
      <c r="C24" s="5" t="s">
        <v>959</v>
      </c>
      <c r="D24" s="5" t="s">
        <v>959</v>
      </c>
      <c r="E24" s="5" t="s">
        <v>959</v>
      </c>
      <c r="F24" s="5" t="s">
        <v>959</v>
      </c>
      <c r="G24" s="5" t="s">
        <v>959</v>
      </c>
      <c r="H24" s="5" t="s">
        <v>959</v>
      </c>
      <c r="I24" s="5" t="s">
        <v>959</v>
      </c>
      <c r="J24" s="5" t="s">
        <v>959</v>
      </c>
      <c r="K24" s="5" t="s">
        <v>959</v>
      </c>
      <c r="L24" s="5" t="s">
        <v>959</v>
      </c>
      <c r="M24" s="5" t="s">
        <v>959</v>
      </c>
      <c r="N24" s="5" t="s">
        <v>959</v>
      </c>
      <c r="O24" s="5" t="s">
        <v>959</v>
      </c>
      <c r="P24" s="5" t="s">
        <v>959</v>
      </c>
      <c r="Q24" s="5"/>
      <c r="R24" s="5" t="s">
        <v>961</v>
      </c>
    </row>
    <row r="26" spans="1:20" x14ac:dyDescent="0.25">
      <c r="A26" s="7" t="s">
        <v>1175</v>
      </c>
      <c r="B26" s="6">
        <f>'[15]NW PARTS 230'!$B$13</f>
        <v>240738.16999999998</v>
      </c>
      <c r="C26" s="6">
        <f>O4</f>
        <v>424470.97</v>
      </c>
      <c r="D26" s="6">
        <f>P4</f>
        <v>434968.02</v>
      </c>
      <c r="E26" s="6">
        <f>E28+E30</f>
        <v>358511.39189528977</v>
      </c>
      <c r="F26" s="6">
        <f>F28+F30</f>
        <v>407399.30897192017</v>
      </c>
      <c r="G26" s="6">
        <f>G28+G30</f>
        <v>334067.43335697451</v>
      </c>
      <c r="H26" s="6">
        <f t="shared" ref="H26:O26" si="9">H28+H30</f>
        <v>407399.30897192017</v>
      </c>
      <c r="I26" s="6">
        <f t="shared" si="9"/>
        <v>399251.32279248181</v>
      </c>
      <c r="J26" s="6">
        <f t="shared" si="9"/>
        <v>374807.3642541666</v>
      </c>
      <c r="K26" s="6">
        <f t="shared" si="9"/>
        <v>391103.33661304344</v>
      </c>
      <c r="L26" s="6">
        <f t="shared" si="9"/>
        <v>382955.35043360502</v>
      </c>
      <c r="M26" s="6">
        <f t="shared" si="9"/>
        <v>358511.39189528977</v>
      </c>
      <c r="N26" s="6">
        <f t="shared" si="9"/>
        <v>358511.39189528977</v>
      </c>
      <c r="O26" s="6">
        <f t="shared" si="9"/>
        <v>342215.41953641298</v>
      </c>
      <c r="P26" s="6">
        <f>P28+P30</f>
        <v>382955.35043360502</v>
      </c>
      <c r="Q26" s="8"/>
      <c r="R26" s="6">
        <f>SUM(E26:P26)</f>
        <v>4497688.3710499983</v>
      </c>
      <c r="S26" s="34" t="s">
        <v>1198</v>
      </c>
    </row>
    <row r="27" spans="1:20" x14ac:dyDescent="0.25">
      <c r="A27" t="s">
        <v>1176</v>
      </c>
      <c r="B27" s="3">
        <f>(B38-B37)/B26</f>
        <v>0.18821763910558928</v>
      </c>
      <c r="C27" s="3">
        <f>O5</f>
        <v>0.18786215226921174</v>
      </c>
      <c r="D27" s="3">
        <f>P5</f>
        <v>0.19169508139931751</v>
      </c>
      <c r="E27" s="3">
        <f>$T$5</f>
        <v>0.18681725645312897</v>
      </c>
      <c r="F27" s="3">
        <f t="shared" ref="F27:P27" si="10">$T$5</f>
        <v>0.18681725645312897</v>
      </c>
      <c r="G27" s="3">
        <f t="shared" si="10"/>
        <v>0.18681725645312897</v>
      </c>
      <c r="H27" s="3">
        <f t="shared" si="10"/>
        <v>0.18681725645312897</v>
      </c>
      <c r="I27" s="3">
        <f t="shared" si="10"/>
        <v>0.18681725645312897</v>
      </c>
      <c r="J27" s="3">
        <f t="shared" si="10"/>
        <v>0.18681725645312897</v>
      </c>
      <c r="K27" s="3">
        <f t="shared" si="10"/>
        <v>0.18681725645312897</v>
      </c>
      <c r="L27" s="3">
        <f t="shared" si="10"/>
        <v>0.18681725645312897</v>
      </c>
      <c r="M27" s="3">
        <f t="shared" si="10"/>
        <v>0.18681725645312897</v>
      </c>
      <c r="N27" s="3">
        <f t="shared" si="10"/>
        <v>0.18681725645312897</v>
      </c>
      <c r="O27" s="3">
        <f t="shared" si="10"/>
        <v>0.18681725645312897</v>
      </c>
      <c r="P27" s="3">
        <f t="shared" si="10"/>
        <v>0.18681725645312897</v>
      </c>
      <c r="Q27" s="3"/>
      <c r="R27" s="3">
        <f>R38/R26</f>
        <v>0.18681725645312905</v>
      </c>
      <c r="S27" s="34" t="s">
        <v>1199</v>
      </c>
    </row>
    <row r="28" spans="1:20" x14ac:dyDescent="0.25">
      <c r="A28" t="s">
        <v>1177</v>
      </c>
      <c r="B28" s="45">
        <f>B26-B30</f>
        <v>192590.53599999999</v>
      </c>
      <c r="C28" s="3"/>
      <c r="D28" s="3"/>
      <c r="E28" s="45">
        <f>$R$28*E46/12</f>
        <v>310597.17125449266</v>
      </c>
      <c r="F28" s="45">
        <f t="shared" ref="F28:P28" si="11">$R$28*F46/12</f>
        <v>352951.33097101439</v>
      </c>
      <c r="G28" s="45">
        <f t="shared" si="11"/>
        <v>289420.09139623179</v>
      </c>
      <c r="H28" s="45">
        <f t="shared" si="11"/>
        <v>352951.33097101439</v>
      </c>
      <c r="I28" s="45">
        <f t="shared" si="11"/>
        <v>345892.30435159412</v>
      </c>
      <c r="J28" s="45">
        <f t="shared" si="11"/>
        <v>324715.22449333325</v>
      </c>
      <c r="K28" s="45">
        <f t="shared" si="11"/>
        <v>338833.27773217385</v>
      </c>
      <c r="L28" s="45">
        <f t="shared" si="11"/>
        <v>331774.25111275358</v>
      </c>
      <c r="M28" s="45">
        <f t="shared" si="11"/>
        <v>310597.17125449266</v>
      </c>
      <c r="N28" s="45">
        <f t="shared" si="11"/>
        <v>310597.17125449266</v>
      </c>
      <c r="O28" s="45">
        <f t="shared" si="11"/>
        <v>296479.11801565211</v>
      </c>
      <c r="P28" s="45">
        <f t="shared" si="11"/>
        <v>331774.25111275358</v>
      </c>
      <c r="Q28" s="3"/>
      <c r="R28" s="45">
        <f>R6*(1+1.5%)</f>
        <v>3896582.6939199991</v>
      </c>
      <c r="S28" s="34" t="s">
        <v>1326</v>
      </c>
    </row>
    <row r="29" spans="1:20" x14ac:dyDescent="0.25">
      <c r="A29" t="s">
        <v>1178</v>
      </c>
      <c r="B29" s="3">
        <f>B39/B28</f>
        <v>0.18527204888198659</v>
      </c>
      <c r="C29" s="3"/>
      <c r="D29" s="3"/>
      <c r="E29" s="3">
        <f>E39/E28</f>
        <v>0.18478711931286029</v>
      </c>
      <c r="F29" s="3">
        <f t="shared" ref="F29:R29" si="12">F39/F28</f>
        <v>0.18478711931286029</v>
      </c>
      <c r="G29" s="3">
        <f t="shared" si="12"/>
        <v>0.18478711931286029</v>
      </c>
      <c r="H29" s="3">
        <f t="shared" si="12"/>
        <v>0.18478711931286029</v>
      </c>
      <c r="I29" s="3">
        <f t="shared" si="12"/>
        <v>0.18478711931286029</v>
      </c>
      <c r="J29" s="3">
        <f t="shared" si="12"/>
        <v>0.18478711931286032</v>
      </c>
      <c r="K29" s="3">
        <f t="shared" si="12"/>
        <v>0.18478711931286032</v>
      </c>
      <c r="L29" s="3">
        <f t="shared" si="12"/>
        <v>0.18478711931286029</v>
      </c>
      <c r="M29" s="3">
        <f t="shared" si="12"/>
        <v>0.18478711931286029</v>
      </c>
      <c r="N29" s="3">
        <f t="shared" si="12"/>
        <v>0.18478711931286029</v>
      </c>
      <c r="O29" s="3">
        <f t="shared" si="12"/>
        <v>0.18478711931286032</v>
      </c>
      <c r="P29" s="3">
        <f t="shared" si="12"/>
        <v>0.18478711931286029</v>
      </c>
      <c r="Q29" s="3"/>
      <c r="R29" s="3">
        <f t="shared" si="12"/>
        <v>0.18478711931286029</v>
      </c>
      <c r="S29" s="34" t="s">
        <v>1199</v>
      </c>
    </row>
    <row r="30" spans="1:20" x14ac:dyDescent="0.25">
      <c r="A30" t="s">
        <v>1179</v>
      </c>
      <c r="B30" s="6">
        <f>B26*B32</f>
        <v>48147.633999999998</v>
      </c>
      <c r="C30" s="3"/>
      <c r="D30" s="3"/>
      <c r="E30" s="45">
        <f>$R$30*E46/12</f>
        <v>47914.220640797103</v>
      </c>
      <c r="F30" s="45">
        <f t="shared" ref="F30:P30" si="13">$R$30*F46/12</f>
        <v>54447.978000905794</v>
      </c>
      <c r="G30" s="45">
        <f t="shared" si="13"/>
        <v>44647.34196074275</v>
      </c>
      <c r="H30" s="45">
        <f t="shared" si="13"/>
        <v>54447.978000905794</v>
      </c>
      <c r="I30" s="45">
        <f t="shared" si="13"/>
        <v>53359.018440887681</v>
      </c>
      <c r="J30" s="45">
        <f t="shared" si="13"/>
        <v>50092.139760833328</v>
      </c>
      <c r="K30" s="45">
        <f t="shared" si="13"/>
        <v>52270.058880869561</v>
      </c>
      <c r="L30" s="45">
        <f t="shared" si="13"/>
        <v>51181.099320851448</v>
      </c>
      <c r="M30" s="45">
        <f t="shared" si="13"/>
        <v>47914.220640797103</v>
      </c>
      <c r="N30" s="45">
        <f t="shared" si="13"/>
        <v>47914.220640797103</v>
      </c>
      <c r="O30" s="45">
        <f t="shared" si="13"/>
        <v>45736.301520760862</v>
      </c>
      <c r="P30" s="45">
        <f t="shared" si="13"/>
        <v>51181.099320851448</v>
      </c>
      <c r="Q30" s="3"/>
      <c r="R30" s="45">
        <f>R8*(1+1.5%)</f>
        <v>601105.67712999997</v>
      </c>
      <c r="S30" s="34" t="s">
        <v>1326</v>
      </c>
    </row>
    <row r="31" spans="1:20" x14ac:dyDescent="0.25">
      <c r="A31" t="s">
        <v>1180</v>
      </c>
      <c r="B31" s="3">
        <v>0.2</v>
      </c>
      <c r="C31" s="3"/>
      <c r="D31" s="3"/>
      <c r="E31" s="3">
        <f>$T$9-1%</f>
        <v>0.19997733387050518</v>
      </c>
      <c r="F31" s="3">
        <f t="shared" ref="F31:P31" si="14">$T$9-1%</f>
        <v>0.19997733387050518</v>
      </c>
      <c r="G31" s="3">
        <f t="shared" si="14"/>
        <v>0.19997733387050518</v>
      </c>
      <c r="H31" s="3">
        <f t="shared" si="14"/>
        <v>0.19997733387050518</v>
      </c>
      <c r="I31" s="3">
        <f t="shared" si="14"/>
        <v>0.19997733387050518</v>
      </c>
      <c r="J31" s="3">
        <f t="shared" si="14"/>
        <v>0.19997733387050518</v>
      </c>
      <c r="K31" s="3">
        <f t="shared" si="14"/>
        <v>0.19997733387050518</v>
      </c>
      <c r="L31" s="3">
        <f t="shared" si="14"/>
        <v>0.19997733387050518</v>
      </c>
      <c r="M31" s="3">
        <f t="shared" si="14"/>
        <v>0.19997733387050518</v>
      </c>
      <c r="N31" s="3">
        <f t="shared" si="14"/>
        <v>0.19997733387050518</v>
      </c>
      <c r="O31" s="3">
        <f t="shared" si="14"/>
        <v>0.19997733387050518</v>
      </c>
      <c r="P31" s="3">
        <f t="shared" si="14"/>
        <v>0.19997733387050518</v>
      </c>
      <c r="Q31" s="3"/>
      <c r="R31" s="3">
        <f>R40/R30</f>
        <v>0.19997733387050518</v>
      </c>
      <c r="S31" s="34" t="s">
        <v>1207</v>
      </c>
    </row>
    <row r="32" spans="1:20" x14ac:dyDescent="0.25">
      <c r="A32" t="s">
        <v>1181</v>
      </c>
      <c r="B32" s="3">
        <v>0.2</v>
      </c>
      <c r="C32" s="3">
        <f>O11</f>
        <v>6.0796265996706449E-2</v>
      </c>
      <c r="D32" s="3">
        <f>P11</f>
        <v>6.2125394873857619E-2</v>
      </c>
      <c r="E32" s="3">
        <f>E30/E26</f>
        <v>0.13364769355722839</v>
      </c>
      <c r="F32" s="3">
        <f t="shared" ref="F32:P32" si="15">F30/F26</f>
        <v>0.13364769355722839</v>
      </c>
      <c r="G32" s="3">
        <f t="shared" si="15"/>
        <v>0.13364769355722839</v>
      </c>
      <c r="H32" s="3">
        <f t="shared" si="15"/>
        <v>0.13364769355722839</v>
      </c>
      <c r="I32" s="3">
        <f t="shared" si="15"/>
        <v>0.13364769355722839</v>
      </c>
      <c r="J32" s="3">
        <f t="shared" si="15"/>
        <v>0.13364769355722836</v>
      </c>
      <c r="K32" s="3">
        <f t="shared" si="15"/>
        <v>0.13364769355722836</v>
      </c>
      <c r="L32" s="3">
        <f t="shared" si="15"/>
        <v>0.13364769355722839</v>
      </c>
      <c r="M32" s="3">
        <f t="shared" si="15"/>
        <v>0.13364769355722839</v>
      </c>
      <c r="N32" s="3">
        <f t="shared" si="15"/>
        <v>0.13364769355722839</v>
      </c>
      <c r="O32" s="3">
        <f t="shared" si="15"/>
        <v>0.13364769355722836</v>
      </c>
      <c r="P32" s="3">
        <f t="shared" si="15"/>
        <v>0.13364769355722839</v>
      </c>
      <c r="Q32" s="3"/>
      <c r="R32" s="3">
        <f>R30/R26</f>
        <v>0.13364769355722841</v>
      </c>
      <c r="S32" s="34" t="s">
        <v>1201</v>
      </c>
    </row>
    <row r="33" spans="1:19" x14ac:dyDescent="0.25">
      <c r="A33" t="s">
        <v>1182</v>
      </c>
      <c r="B33" s="3">
        <f>'[15]NW PARTS 230'!$B$28</f>
        <v>0.22186834767415575</v>
      </c>
      <c r="C33" s="3">
        <f>O16</f>
        <v>79742.03</v>
      </c>
      <c r="D33" s="3">
        <f>P16</f>
        <v>107906.22999999997</v>
      </c>
      <c r="E33" s="3">
        <f>E41/E26</f>
        <v>7.6786438814974531E-2</v>
      </c>
      <c r="F33" s="3">
        <f t="shared" ref="F33:P33" si="16">F41/F26</f>
        <v>6.757206615717759E-2</v>
      </c>
      <c r="G33" s="3">
        <f t="shared" si="16"/>
        <v>8.2404958728265351E-2</v>
      </c>
      <c r="H33" s="3">
        <f t="shared" si="16"/>
        <v>6.757206615717759E-2</v>
      </c>
      <c r="I33" s="3">
        <f t="shared" si="16"/>
        <v>6.8951087915487333E-2</v>
      </c>
      <c r="J33" s="3">
        <f t="shared" si="16"/>
        <v>7.3447897996932146E-2</v>
      </c>
      <c r="K33" s="3">
        <f t="shared" si="16"/>
        <v>7.0387568913726634E-2</v>
      </c>
      <c r="L33" s="3">
        <f t="shared" si="16"/>
        <v>7.1885176762954861E-2</v>
      </c>
      <c r="M33" s="3">
        <f t="shared" si="16"/>
        <v>7.6786438814974531E-2</v>
      </c>
      <c r="N33" s="3">
        <f t="shared" si="16"/>
        <v>7.6786438814974531E-2</v>
      </c>
      <c r="O33" s="3">
        <f t="shared" si="16"/>
        <v>8.0442935901401877E-2</v>
      </c>
      <c r="P33" s="3">
        <f t="shared" si="16"/>
        <v>7.1885176762954861E-2</v>
      </c>
      <c r="Q33" s="3"/>
      <c r="R33" s="3">
        <f>R41/R26</f>
        <v>7.344789799693216E-2</v>
      </c>
      <c r="S33" s="34" t="s">
        <v>1202</v>
      </c>
    </row>
    <row r="34" spans="1:19" x14ac:dyDescent="0.25">
      <c r="A34" s="7" t="s">
        <v>1183</v>
      </c>
      <c r="B34" s="6">
        <f>B26/B35</f>
        <v>80246.056666666656</v>
      </c>
      <c r="C34" s="6">
        <f>O19</f>
        <v>25806.25</v>
      </c>
      <c r="D34" s="6">
        <f>P19</f>
        <v>27022.559999999998</v>
      </c>
      <c r="E34" s="6">
        <f>E26/E35</f>
        <v>119503.79729842993</v>
      </c>
      <c r="F34" s="6">
        <f t="shared" ref="F34:P34" si="17">F26/F35</f>
        <v>135799.76965730672</v>
      </c>
      <c r="G34" s="6">
        <f t="shared" si="17"/>
        <v>111355.81111899151</v>
      </c>
      <c r="H34" s="6">
        <f t="shared" si="17"/>
        <v>135799.76965730672</v>
      </c>
      <c r="I34" s="6">
        <f t="shared" si="17"/>
        <v>133083.7742641606</v>
      </c>
      <c r="J34" s="6">
        <f t="shared" si="17"/>
        <v>124935.7880847222</v>
      </c>
      <c r="K34" s="6">
        <f t="shared" si="17"/>
        <v>130367.77887101448</v>
      </c>
      <c r="L34" s="6">
        <f t="shared" si="17"/>
        <v>127651.78347786835</v>
      </c>
      <c r="M34" s="6">
        <f t="shared" si="17"/>
        <v>119503.79729842993</v>
      </c>
      <c r="N34" s="6">
        <f t="shared" si="17"/>
        <v>119503.79729842993</v>
      </c>
      <c r="O34" s="6">
        <f t="shared" si="17"/>
        <v>114071.80651213766</v>
      </c>
      <c r="P34" s="6">
        <f t="shared" si="17"/>
        <v>127651.78347786835</v>
      </c>
      <c r="Q34" s="3"/>
      <c r="R34" s="6">
        <f>R26/R35/12</f>
        <v>124935.78808472218</v>
      </c>
      <c r="S34" s="34" t="s">
        <v>1208</v>
      </c>
    </row>
    <row r="35" spans="1:19" x14ac:dyDescent="0.25">
      <c r="A35" s="7" t="s">
        <v>1184</v>
      </c>
      <c r="B35" s="60">
        <f>'[15]NW PARTS 230'!$B$33</f>
        <v>3</v>
      </c>
      <c r="C35" s="75">
        <f>O20</f>
        <v>53935.78</v>
      </c>
      <c r="D35" s="75">
        <f>P20</f>
        <v>80883.669999999969</v>
      </c>
      <c r="E35" s="75">
        <v>3</v>
      </c>
      <c r="F35" s="75">
        <v>3</v>
      </c>
      <c r="G35" s="75">
        <v>3</v>
      </c>
      <c r="H35" s="75">
        <v>3</v>
      </c>
      <c r="I35" s="75">
        <v>3</v>
      </c>
      <c r="J35" s="75">
        <v>3</v>
      </c>
      <c r="K35" s="75">
        <v>3</v>
      </c>
      <c r="L35" s="75">
        <v>3</v>
      </c>
      <c r="M35" s="75">
        <v>3</v>
      </c>
      <c r="N35" s="75">
        <v>3</v>
      </c>
      <c r="O35" s="75">
        <v>3</v>
      </c>
      <c r="P35" s="75">
        <v>3</v>
      </c>
      <c r="Q35" s="3"/>
      <c r="R35" s="83">
        <f>AVERAGE(E35:P35)</f>
        <v>3</v>
      </c>
    </row>
    <row r="36" spans="1:19" x14ac:dyDescent="0.25">
      <c r="B36" s="3"/>
      <c r="C36" s="3"/>
      <c r="D36" s="3"/>
      <c r="E36" s="3"/>
      <c r="F36" s="3"/>
      <c r="G36" s="3"/>
      <c r="H36" s="3"/>
      <c r="I36" s="3"/>
      <c r="J36" s="3"/>
      <c r="K36" s="3"/>
      <c r="L36" s="3"/>
      <c r="M36" s="3"/>
      <c r="N36" s="3"/>
      <c r="O36" s="3"/>
      <c r="P36" s="3"/>
      <c r="Q36" s="3"/>
      <c r="R36" s="3"/>
    </row>
    <row r="37" spans="1:19" x14ac:dyDescent="0.25">
      <c r="A37" t="s">
        <v>1185</v>
      </c>
      <c r="B37" s="45">
        <f>'[15]NW PARTS 230'!$B$23</f>
        <v>0</v>
      </c>
      <c r="C37" s="6">
        <f>O15</f>
        <v>0</v>
      </c>
      <c r="D37" s="6">
        <f>P15</f>
        <v>24525</v>
      </c>
      <c r="E37" s="6">
        <v>0</v>
      </c>
      <c r="F37" s="6">
        <v>0</v>
      </c>
      <c r="G37" s="6">
        <f>'FEF Incentive Forecast FY2025'!D31*G35/'Parts - Group '!G35</f>
        <v>32906.25</v>
      </c>
      <c r="H37" s="6">
        <v>0</v>
      </c>
      <c r="I37" s="6">
        <v>0</v>
      </c>
      <c r="J37" s="6">
        <f>'FEF Incentive Forecast FY2025'!H31*J35/'Parts - Group '!J35</f>
        <v>29147.727272727272</v>
      </c>
      <c r="K37" s="6">
        <v>0</v>
      </c>
      <c r="L37" s="6">
        <v>0</v>
      </c>
      <c r="M37" s="6">
        <f>'FEF Incentive Forecast FY2025'!L31*M35/'Parts - Group '!M35</f>
        <v>28465.909090909092</v>
      </c>
      <c r="N37" s="6">
        <v>0</v>
      </c>
      <c r="O37" s="6">
        <v>0</v>
      </c>
      <c r="P37" s="6">
        <f>'FEF Incentive Forecast FY2025'!P31*P35/'Parts - Group '!P35</f>
        <v>28125</v>
      </c>
      <c r="Q37" s="3"/>
      <c r="R37" s="6">
        <f>SUM(E37:P37)</f>
        <v>118644.88636363637</v>
      </c>
    </row>
    <row r="38" spans="1:19" x14ac:dyDescent="0.25">
      <c r="A38" s="7" t="s">
        <v>1186</v>
      </c>
      <c r="B38" s="45">
        <f>'[15]NW PARTS 230'!$B$24</f>
        <v>45311.17</v>
      </c>
      <c r="C38" s="6">
        <f>O16</f>
        <v>79742.03</v>
      </c>
      <c r="D38" s="6">
        <f>P16</f>
        <v>107906.22999999997</v>
      </c>
      <c r="E38" s="6">
        <f>E26*E27</f>
        <v>66976.11464107057</v>
      </c>
      <c r="F38" s="6">
        <f t="shared" ref="F38:P38" si="18">F26*F27</f>
        <v>76109.221183034737</v>
      </c>
      <c r="G38" s="6">
        <f t="shared" si="18"/>
        <v>62409.561370088479</v>
      </c>
      <c r="H38" s="6">
        <f t="shared" si="18"/>
        <v>76109.221183034737</v>
      </c>
      <c r="I38" s="6">
        <f t="shared" si="18"/>
        <v>74587.036759374052</v>
      </c>
      <c r="J38" s="6">
        <f t="shared" si="18"/>
        <v>70020.483488391968</v>
      </c>
      <c r="K38" s="6">
        <f t="shared" si="18"/>
        <v>73064.852335713367</v>
      </c>
      <c r="L38" s="6">
        <f t="shared" si="18"/>
        <v>71542.667912052668</v>
      </c>
      <c r="M38" s="6">
        <f t="shared" si="18"/>
        <v>66976.11464107057</v>
      </c>
      <c r="N38" s="6">
        <f t="shared" si="18"/>
        <v>66976.11464107057</v>
      </c>
      <c r="O38" s="6">
        <f t="shared" si="18"/>
        <v>63931.745793749185</v>
      </c>
      <c r="P38" s="6">
        <f t="shared" si="18"/>
        <v>71542.667912052668</v>
      </c>
      <c r="R38" s="6">
        <f>SUM(E38:P38)</f>
        <v>840245.80186070374</v>
      </c>
    </row>
    <row r="39" spans="1:19" x14ac:dyDescent="0.25">
      <c r="A39" s="7" t="s">
        <v>1187</v>
      </c>
      <c r="B39" s="45">
        <f>B38-B40</f>
        <v>35681.643199999999</v>
      </c>
      <c r="C39" s="6"/>
      <c r="D39" s="6"/>
      <c r="E39" s="6">
        <f>E38-E40</f>
        <v>57394.356542840833</v>
      </c>
      <c r="F39" s="6">
        <f t="shared" ref="F39:P39" si="19">F38-F40</f>
        <v>65220.859707773678</v>
      </c>
      <c r="G39" s="6">
        <f t="shared" si="19"/>
        <v>53481.10496037441</v>
      </c>
      <c r="H39" s="6">
        <f t="shared" si="19"/>
        <v>65220.859707773678</v>
      </c>
      <c r="I39" s="6">
        <f t="shared" si="19"/>
        <v>63916.442513618211</v>
      </c>
      <c r="J39" s="6">
        <f t="shared" si="19"/>
        <v>60003.190931151796</v>
      </c>
      <c r="K39" s="6">
        <f t="shared" si="19"/>
        <v>62612.025319462751</v>
      </c>
      <c r="L39" s="6">
        <f t="shared" si="19"/>
        <v>61307.60812530727</v>
      </c>
      <c r="M39" s="6">
        <f t="shared" si="19"/>
        <v>57394.356542840833</v>
      </c>
      <c r="N39" s="6">
        <f t="shared" si="19"/>
        <v>57394.356542840833</v>
      </c>
      <c r="O39" s="6">
        <f t="shared" si="19"/>
        <v>54785.522154529899</v>
      </c>
      <c r="P39" s="6">
        <f t="shared" si="19"/>
        <v>61307.60812530727</v>
      </c>
      <c r="R39" s="6">
        <f>SUM(E39:P39)</f>
        <v>720038.29117382143</v>
      </c>
    </row>
    <row r="40" spans="1:19" x14ac:dyDescent="0.25">
      <c r="A40" s="7" t="s">
        <v>1188</v>
      </c>
      <c r="B40" s="45">
        <f>B30*B31</f>
        <v>9629.5267999999996</v>
      </c>
      <c r="C40" s="6"/>
      <c r="D40" s="6"/>
      <c r="E40" s="12">
        <f>E30*E31</f>
        <v>9581.7580982297332</v>
      </c>
      <c r="F40" s="12">
        <f t="shared" ref="F40:P40" si="20">F30*F31</f>
        <v>10888.361475261059</v>
      </c>
      <c r="G40" s="12">
        <f t="shared" si="20"/>
        <v>8928.4564097140683</v>
      </c>
      <c r="H40" s="12">
        <f t="shared" si="20"/>
        <v>10888.361475261059</v>
      </c>
      <c r="I40" s="12">
        <f t="shared" si="20"/>
        <v>10670.594245755838</v>
      </c>
      <c r="J40" s="12">
        <f t="shared" si="20"/>
        <v>10017.292557240175</v>
      </c>
      <c r="K40" s="12">
        <f t="shared" si="20"/>
        <v>10452.827016250616</v>
      </c>
      <c r="L40" s="12">
        <f t="shared" si="20"/>
        <v>10235.059786745396</v>
      </c>
      <c r="M40" s="12">
        <f t="shared" si="20"/>
        <v>9581.7580982297332</v>
      </c>
      <c r="N40" s="12">
        <f t="shared" si="20"/>
        <v>9581.7580982297332</v>
      </c>
      <c r="O40" s="12">
        <f t="shared" si="20"/>
        <v>9146.2236392192881</v>
      </c>
      <c r="P40" s="12">
        <f t="shared" si="20"/>
        <v>10235.059786745396</v>
      </c>
      <c r="R40" s="12">
        <f>SUM(E40:P40)</f>
        <v>120207.51068688209</v>
      </c>
    </row>
    <row r="41" spans="1:19" x14ac:dyDescent="0.25">
      <c r="A41" s="7" t="s">
        <v>1076</v>
      </c>
      <c r="B41" s="6">
        <f>B26*B33</f>
        <v>53412.180000000008</v>
      </c>
      <c r="C41" s="6">
        <f>O19</f>
        <v>25806.25</v>
      </c>
      <c r="D41" s="6">
        <f>P19</f>
        <v>27022.559999999998</v>
      </c>
      <c r="E41" s="12">
        <f>E48</f>
        <v>27528.813058239022</v>
      </c>
      <c r="F41" s="12">
        <f t="shared" ref="F41:P41" si="21">F48</f>
        <v>27528.813058239022</v>
      </c>
      <c r="G41" s="12">
        <f t="shared" si="21"/>
        <v>27528.813058239022</v>
      </c>
      <c r="H41" s="12">
        <f t="shared" si="21"/>
        <v>27528.813058239022</v>
      </c>
      <c r="I41" s="12">
        <f t="shared" si="21"/>
        <v>27528.813058239022</v>
      </c>
      <c r="J41" s="12">
        <f t="shared" si="21"/>
        <v>27528.813058239022</v>
      </c>
      <c r="K41" s="12">
        <f t="shared" si="21"/>
        <v>27528.813058239022</v>
      </c>
      <c r="L41" s="12">
        <f t="shared" si="21"/>
        <v>27528.813058239022</v>
      </c>
      <c r="M41" s="12">
        <f t="shared" si="21"/>
        <v>27528.813058239022</v>
      </c>
      <c r="N41" s="12">
        <f t="shared" si="21"/>
        <v>27528.813058239022</v>
      </c>
      <c r="O41" s="12">
        <f t="shared" si="21"/>
        <v>27528.813058239022</v>
      </c>
      <c r="P41" s="12">
        <f t="shared" si="21"/>
        <v>27528.813058239022</v>
      </c>
      <c r="R41" s="12">
        <f>SUM(E41:P41)</f>
        <v>330345.75669886824</v>
      </c>
    </row>
    <row r="42" spans="1:19" ht="15.75" thickBot="1" x14ac:dyDescent="0.3">
      <c r="A42" s="9" t="s">
        <v>1078</v>
      </c>
      <c r="B42" s="10">
        <f>B38-B41</f>
        <v>-8101.0100000000093</v>
      </c>
      <c r="C42" s="10">
        <f>O20</f>
        <v>53935.78</v>
      </c>
      <c r="D42" s="10">
        <f>P20</f>
        <v>80883.669999999969</v>
      </c>
      <c r="E42" s="10">
        <f>E38+E37-E41</f>
        <v>39447.301582831547</v>
      </c>
      <c r="F42" s="10">
        <f t="shared" ref="F42:P42" si="22">F38+F37-F41</f>
        <v>48580.408124795715</v>
      </c>
      <c r="G42" s="10">
        <f t="shared" si="22"/>
        <v>67786.998311849457</v>
      </c>
      <c r="H42" s="10">
        <f t="shared" si="22"/>
        <v>48580.408124795715</v>
      </c>
      <c r="I42" s="10">
        <f t="shared" si="22"/>
        <v>47058.22370113503</v>
      </c>
      <c r="J42" s="10">
        <f t="shared" si="22"/>
        <v>71639.397702880204</v>
      </c>
      <c r="K42" s="10">
        <f t="shared" si="22"/>
        <v>45536.039277474345</v>
      </c>
      <c r="L42" s="10">
        <f t="shared" si="22"/>
        <v>44013.854853813646</v>
      </c>
      <c r="M42" s="10">
        <f t="shared" si="22"/>
        <v>67913.210673740628</v>
      </c>
      <c r="N42" s="10">
        <f t="shared" si="22"/>
        <v>39447.301582831547</v>
      </c>
      <c r="O42" s="10">
        <f t="shared" si="22"/>
        <v>36402.932735510163</v>
      </c>
      <c r="P42" s="10">
        <f t="shared" si="22"/>
        <v>72138.854853813653</v>
      </c>
      <c r="R42" s="10">
        <f>R37+R38-R41</f>
        <v>628544.93152547185</v>
      </c>
      <c r="S42" s="244">
        <f>(R42-T20)/T3</f>
        <v>4.6584256483744563E-2</v>
      </c>
    </row>
    <row r="43" spans="1:19" ht="15.75" thickTop="1" x14ac:dyDescent="0.25"/>
    <row r="44" spans="1:19" x14ac:dyDescent="0.25">
      <c r="Q44" s="34"/>
      <c r="R44" t="s">
        <v>1205</v>
      </c>
      <c r="S44" s="120"/>
    </row>
    <row r="45" spans="1:19" x14ac:dyDescent="0.25">
      <c r="A45" t="s">
        <v>1206</v>
      </c>
      <c r="B45" s="121">
        <f t="shared" ref="B45:D45" si="23">B4/$R$45</f>
        <v>0.70380287837972355</v>
      </c>
      <c r="C45" s="121">
        <f t="shared" si="23"/>
        <v>0.86007357337140788</v>
      </c>
      <c r="D45" s="121">
        <f t="shared" si="23"/>
        <v>1.2360479401782452</v>
      </c>
      <c r="E45" s="121">
        <f>E4/$R$45</f>
        <v>0.94303454443416979</v>
      </c>
      <c r="F45" s="121">
        <f t="shared" ref="F45:P45" si="24">F4/$R$45</f>
        <v>1.1845594750612329</v>
      </c>
      <c r="G45" s="121">
        <f t="shared" si="24"/>
        <v>1.0911485423020302</v>
      </c>
      <c r="H45" s="121">
        <f t="shared" si="24"/>
        <v>1.048320689701155</v>
      </c>
      <c r="I45" s="121">
        <f t="shared" si="24"/>
        <v>1.2589863540674928</v>
      </c>
      <c r="J45" s="121">
        <f t="shared" si="24"/>
        <v>0.85857696523747695</v>
      </c>
      <c r="K45" s="121">
        <f t="shared" si="24"/>
        <v>0.88914124276386952</v>
      </c>
      <c r="L45" s="121">
        <f t="shared" si="24"/>
        <v>1.0307942209694856</v>
      </c>
      <c r="M45" s="121">
        <f t="shared" si="24"/>
        <v>0.71609464433573033</v>
      </c>
      <c r="N45" s="121">
        <f t="shared" si="24"/>
        <v>0.65193287500162445</v>
      </c>
      <c r="O45" s="121">
        <f t="shared" si="24"/>
        <v>1.1494919140858648</v>
      </c>
      <c r="P45" s="121">
        <f t="shared" si="24"/>
        <v>1.1779185320398677</v>
      </c>
      <c r="Q45" s="34"/>
      <c r="R45" s="7">
        <f>AVERAGE($E$4:$P$4)</f>
        <v>369268.33916666667</v>
      </c>
      <c r="S45" s="120"/>
    </row>
    <row r="46" spans="1:19" x14ac:dyDescent="0.25">
      <c r="A46" s="137" t="s">
        <v>1345</v>
      </c>
      <c r="B46" s="137"/>
      <c r="C46" s="137"/>
      <c r="D46" s="137"/>
      <c r="E46" s="282">
        <v>0.95652173913043481</v>
      </c>
      <c r="F46" s="282">
        <v>1.0869565217391304</v>
      </c>
      <c r="G46" s="282">
        <v>0.89130434782608692</v>
      </c>
      <c r="H46" s="282">
        <v>1.0869565217391304</v>
      </c>
      <c r="I46" s="282">
        <v>1.0652173913043479</v>
      </c>
      <c r="J46" s="282">
        <v>1</v>
      </c>
      <c r="K46" s="282">
        <v>1.0434782608695652</v>
      </c>
      <c r="L46" s="282">
        <v>1.0217391304347827</v>
      </c>
      <c r="M46" s="282">
        <v>0.95652173913043481</v>
      </c>
      <c r="N46" s="282">
        <v>0.95652173913043481</v>
      </c>
      <c r="O46" s="282">
        <v>0.91304347826086951</v>
      </c>
      <c r="P46" s="282">
        <v>1.0217391304347827</v>
      </c>
      <c r="R46" s="6"/>
    </row>
    <row r="47" spans="1:19" x14ac:dyDescent="0.25">
      <c r="R47" s="6"/>
    </row>
    <row r="48" spans="1:19" x14ac:dyDescent="0.25">
      <c r="A48" s="7" t="s">
        <v>1076</v>
      </c>
      <c r="E48" s="7">
        <f>SUMIFS('[18]Summary - Selling Expenses'!Z:Z,'[18]Summary - Selling Expenses'!$C:$C,230,'[18]Summary - Selling Expenses'!$E:$E,3)</f>
        <v>27528.813058239022</v>
      </c>
      <c r="F48" s="7">
        <f>SUMIFS('[18]Summary - Selling Expenses'!AA:AA,'[18]Summary - Selling Expenses'!$C:$C,230,'[18]Summary - Selling Expenses'!$E:$E,3)</f>
        <v>27528.813058239022</v>
      </c>
      <c r="G48" s="7">
        <f>SUMIFS('[18]Summary - Selling Expenses'!AB:AB,'[18]Summary - Selling Expenses'!$C:$C,230,'[18]Summary - Selling Expenses'!$E:$E,3)</f>
        <v>27528.813058239022</v>
      </c>
      <c r="H48" s="7">
        <f>SUMIFS('[18]Summary - Selling Expenses'!AC:AC,'[18]Summary - Selling Expenses'!$C:$C,230,'[18]Summary - Selling Expenses'!$E:$E,3)</f>
        <v>27528.813058239022</v>
      </c>
      <c r="I48" s="7">
        <f>SUMIFS('[18]Summary - Selling Expenses'!AD:AD,'[18]Summary - Selling Expenses'!$C:$C,230,'[18]Summary - Selling Expenses'!$E:$E,3)</f>
        <v>27528.813058239022</v>
      </c>
      <c r="J48" s="7">
        <f>SUMIFS('[18]Summary - Selling Expenses'!AE:AE,'[18]Summary - Selling Expenses'!$C:$C,230,'[18]Summary - Selling Expenses'!$E:$E,3)</f>
        <v>27528.813058239022</v>
      </c>
      <c r="K48" s="7">
        <f>SUMIFS('[18]Summary - Selling Expenses'!AF:AF,'[18]Summary - Selling Expenses'!$C:$C,230,'[18]Summary - Selling Expenses'!$E:$E,3)</f>
        <v>27528.813058239022</v>
      </c>
      <c r="L48" s="7">
        <f>SUMIFS('[18]Summary - Selling Expenses'!AG:AG,'[18]Summary - Selling Expenses'!$C:$C,230,'[18]Summary - Selling Expenses'!$E:$E,3)</f>
        <v>27528.813058239022</v>
      </c>
      <c r="M48" s="7">
        <f>SUMIFS('[18]Summary - Selling Expenses'!AH:AH,'[18]Summary - Selling Expenses'!$C:$C,230,'[18]Summary - Selling Expenses'!$E:$E,3)</f>
        <v>27528.813058239022</v>
      </c>
      <c r="N48" s="7">
        <f>SUMIFS('[18]Summary - Selling Expenses'!AI:AI,'[18]Summary - Selling Expenses'!$C:$C,230,'[18]Summary - Selling Expenses'!$E:$E,3)</f>
        <v>27528.813058239022</v>
      </c>
      <c r="O48" s="7">
        <f>SUMIFS('[18]Summary - Selling Expenses'!AJ:AJ,'[18]Summary - Selling Expenses'!$C:$C,230,'[18]Summary - Selling Expenses'!$E:$E,3)</f>
        <v>27528.813058239022</v>
      </c>
      <c r="P48" s="7">
        <f>SUMIFS('[18]Summary - Selling Expenses'!AK:AK,'[18]Summary - Selling Expenses'!$C:$C,230,'[18]Summary - Selling Expenses'!$E:$E,3)</f>
        <v>27528.813058239022</v>
      </c>
      <c r="R48" s="6">
        <f>SUM(E48:P48)</f>
        <v>330345.75669886824</v>
      </c>
    </row>
    <row r="49" spans="1:19" x14ac:dyDescent="0.25">
      <c r="R49" s="6">
        <f>R48-SUMIFS('[18]Summary - Selling Expenses'!$AL:$AL,'[18]Summary - Selling Expenses'!$C:$C,230,'[18]Summary - Selling Expenses'!$D:$D,'[18]Summary - Selling Expenses'!$D$357)</f>
        <v>0</v>
      </c>
      <c r="S49" s="34" t="s">
        <v>1093</v>
      </c>
    </row>
    <row r="50" spans="1:19" x14ac:dyDescent="0.25">
      <c r="A50" t="s">
        <v>1319</v>
      </c>
      <c r="E50" s="7">
        <f>E16-E15</f>
        <v>60164.359999999993</v>
      </c>
      <c r="F50" s="7">
        <f t="shared" ref="F50:P50" si="25">F16-F15</f>
        <v>72343.550000000017</v>
      </c>
      <c r="G50" s="7">
        <f t="shared" si="25"/>
        <v>74468.260000000038</v>
      </c>
      <c r="H50" s="7">
        <f t="shared" si="25"/>
        <v>69756.810000000012</v>
      </c>
      <c r="I50" s="7">
        <f t="shared" si="25"/>
        <v>87871.020000000019</v>
      </c>
      <c r="J50" s="7">
        <f t="shared" si="25"/>
        <v>62410.999999999971</v>
      </c>
      <c r="K50" s="7">
        <f t="shared" si="25"/>
        <v>63134.99</v>
      </c>
      <c r="L50" s="7">
        <f t="shared" si="25"/>
        <v>72664.340000000011</v>
      </c>
      <c r="M50" s="7">
        <f t="shared" si="25"/>
        <v>54653.729999999981</v>
      </c>
      <c r="N50" s="7">
        <f t="shared" si="25"/>
        <v>45311.17</v>
      </c>
      <c r="O50" s="7">
        <f t="shared" si="25"/>
        <v>79742.03</v>
      </c>
      <c r="P50" s="7">
        <f t="shared" si="25"/>
        <v>83381.229999999967</v>
      </c>
      <c r="R50" s="6">
        <f>SUM(E50:P50)</f>
        <v>825902.49</v>
      </c>
    </row>
    <row r="51" spans="1:19" x14ac:dyDescent="0.25">
      <c r="A51" t="s">
        <v>1320</v>
      </c>
      <c r="E51" s="7">
        <f>E38</f>
        <v>66976.11464107057</v>
      </c>
      <c r="F51" s="7">
        <f t="shared" ref="F51:P51" si="26">F38</f>
        <v>76109.221183034737</v>
      </c>
      <c r="G51" s="7">
        <f t="shared" si="26"/>
        <v>62409.561370088479</v>
      </c>
      <c r="H51" s="7">
        <f t="shared" si="26"/>
        <v>76109.221183034737</v>
      </c>
      <c r="I51" s="7">
        <f t="shared" si="26"/>
        <v>74587.036759374052</v>
      </c>
      <c r="J51" s="7">
        <f t="shared" si="26"/>
        <v>70020.483488391968</v>
      </c>
      <c r="K51" s="7">
        <f t="shared" si="26"/>
        <v>73064.852335713367</v>
      </c>
      <c r="L51" s="7">
        <f t="shared" si="26"/>
        <v>71542.667912052668</v>
      </c>
      <c r="M51" s="7">
        <f t="shared" si="26"/>
        <v>66976.11464107057</v>
      </c>
      <c r="N51" s="7">
        <f t="shared" si="26"/>
        <v>66976.11464107057</v>
      </c>
      <c r="O51" s="7">
        <f t="shared" si="26"/>
        <v>63931.745793749185</v>
      </c>
      <c r="P51" s="7">
        <f t="shared" si="26"/>
        <v>71542.667912052668</v>
      </c>
      <c r="R51" s="6">
        <f>SUM(E51:P51)</f>
        <v>840245.80186070374</v>
      </c>
    </row>
    <row r="52" spans="1:19" x14ac:dyDescent="0.25">
      <c r="A52" t="s">
        <v>1321</v>
      </c>
      <c r="E52" s="7">
        <f>E16</f>
        <v>60164.359999999993</v>
      </c>
      <c r="F52" s="7">
        <f t="shared" ref="F52:P52" si="27">F16</f>
        <v>72343.550000000017</v>
      </c>
      <c r="G52" s="7">
        <f t="shared" si="27"/>
        <v>106129.37000000004</v>
      </c>
      <c r="H52" s="7">
        <f t="shared" si="27"/>
        <v>69756.810000000012</v>
      </c>
      <c r="I52" s="7">
        <f t="shared" si="27"/>
        <v>87871.020000000019</v>
      </c>
      <c r="J52" s="7">
        <f t="shared" si="27"/>
        <v>84835.999999999971</v>
      </c>
      <c r="K52" s="7">
        <f t="shared" si="27"/>
        <v>63134.99</v>
      </c>
      <c r="L52" s="7">
        <f t="shared" si="27"/>
        <v>72664.340000000011</v>
      </c>
      <c r="M52" s="7">
        <f t="shared" si="27"/>
        <v>76253.729999999981</v>
      </c>
      <c r="N52" s="7">
        <f t="shared" si="27"/>
        <v>45311.17</v>
      </c>
      <c r="O52" s="7">
        <f t="shared" si="27"/>
        <v>79742.03</v>
      </c>
      <c r="P52" s="7">
        <f t="shared" si="27"/>
        <v>107906.22999999997</v>
      </c>
      <c r="R52" s="6">
        <f>SUM(E52:P52)</f>
        <v>926113.6</v>
      </c>
    </row>
    <row r="53" spans="1:19" x14ac:dyDescent="0.25">
      <c r="A53" t="s">
        <v>1322</v>
      </c>
      <c r="E53" s="7">
        <f>E38+E37</f>
        <v>66976.11464107057</v>
      </c>
      <c r="F53" s="7">
        <f t="shared" ref="F53:P53" si="28">F38+F37</f>
        <v>76109.221183034737</v>
      </c>
      <c r="G53" s="7">
        <f t="shared" si="28"/>
        <v>95315.811370088486</v>
      </c>
      <c r="H53" s="7">
        <f t="shared" si="28"/>
        <v>76109.221183034737</v>
      </c>
      <c r="I53" s="7">
        <f t="shared" si="28"/>
        <v>74587.036759374052</v>
      </c>
      <c r="J53" s="7">
        <f t="shared" si="28"/>
        <v>99168.210761119233</v>
      </c>
      <c r="K53" s="7">
        <f t="shared" si="28"/>
        <v>73064.852335713367</v>
      </c>
      <c r="L53" s="7">
        <f t="shared" si="28"/>
        <v>71542.667912052668</v>
      </c>
      <c r="M53" s="7">
        <f t="shared" si="28"/>
        <v>95442.023731979658</v>
      </c>
      <c r="N53" s="7">
        <f t="shared" si="28"/>
        <v>66976.11464107057</v>
      </c>
      <c r="O53" s="7">
        <f t="shared" si="28"/>
        <v>63931.745793749185</v>
      </c>
      <c r="P53" s="7">
        <f t="shared" si="28"/>
        <v>99667.667912052668</v>
      </c>
      <c r="R53" s="6">
        <f>SUM(E53:P53)</f>
        <v>958890.68822434009</v>
      </c>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A81ED-5B38-4D6B-8FA9-732F447D21A8}">
  <sheetPr>
    <tabColor theme="9" tint="0.79998168889431442"/>
  </sheetPr>
  <dimension ref="A1:U53"/>
  <sheetViews>
    <sheetView zoomScale="85" zoomScaleNormal="85" workbookViewId="0">
      <selection activeCell="R19" sqref="R19"/>
    </sheetView>
  </sheetViews>
  <sheetFormatPr defaultRowHeight="15" x14ac:dyDescent="0.25"/>
  <cols>
    <col min="1" max="1" width="31" bestFit="1" customWidth="1"/>
    <col min="2" max="2" width="12.7109375" hidden="1" customWidth="1"/>
    <col min="3" max="3" width="11.85546875" hidden="1" customWidth="1"/>
    <col min="4" max="4" width="11.140625" hidden="1" customWidth="1"/>
    <col min="5" max="5" width="12.7109375" bestFit="1" customWidth="1"/>
    <col min="6" max="6" width="11.85546875" bestFit="1" customWidth="1"/>
    <col min="7" max="16" width="11.140625" bestFit="1" customWidth="1"/>
    <col min="17" max="17" width="2.85546875" customWidth="1"/>
    <col min="18" max="18" width="12.85546875" customWidth="1"/>
    <col min="19" max="19" width="10.140625" bestFit="1" customWidth="1"/>
    <col min="20" max="21" width="11.28515625" bestFit="1" customWidth="1"/>
  </cols>
  <sheetData>
    <row r="1" spans="1:21" ht="15.75" x14ac:dyDescent="0.25">
      <c r="A1" s="11" t="s">
        <v>1174</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c r="S1" s="34"/>
    </row>
    <row r="2" spans="1:21"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c r="S2" s="34"/>
    </row>
    <row r="3" spans="1:21" x14ac:dyDescent="0.25">
      <c r="S3" s="34"/>
      <c r="T3" s="7">
        <f>SUM(B4:M4)</f>
        <v>1665089.2700000003</v>
      </c>
    </row>
    <row r="4" spans="1:21" x14ac:dyDescent="0.25">
      <c r="A4" s="7" t="s">
        <v>1175</v>
      </c>
      <c r="B4" s="6">
        <f>'[3]NW PARTS 330'!$B$13</f>
        <v>100497.56</v>
      </c>
      <c r="C4" s="6">
        <f>'[4]NW PARTS 330'!$B$13</f>
        <v>114352.12000000001</v>
      </c>
      <c r="D4" s="6">
        <f>'[5]NW PARTS 330'!$B$13</f>
        <v>165812.49000000002</v>
      </c>
      <c r="E4" s="6">
        <f>'[6]NW PARTS 330'!$B$13</f>
        <v>130479.73999999999</v>
      </c>
      <c r="F4" s="6">
        <f>'[7]NW PARTS 330'!$B$13</f>
        <v>127818.69</v>
      </c>
      <c r="G4" s="6">
        <f>'[8]NW PARTS 330'!$B$13</f>
        <v>145667.81000000003</v>
      </c>
      <c r="H4" s="6">
        <f>'[9]NW PARTS 330'!$B$13</f>
        <v>116778.06</v>
      </c>
      <c r="I4" s="6">
        <f>'[10]NW PARTS 330'!$B$13</f>
        <v>163077.84</v>
      </c>
      <c r="J4" s="6">
        <f>'[11]NW PARTS 330'!$B$13</f>
        <v>146866.43999999997</v>
      </c>
      <c r="K4" s="6">
        <f>'[12]NW PARTS 330'!$B$13</f>
        <v>150272.51999999999</v>
      </c>
      <c r="L4" s="6">
        <f>'[13]NW PARTS 330'!$B$13</f>
        <v>153403.40999999997</v>
      </c>
      <c r="M4" s="6">
        <f>'[14]NW PARTS 330'!$B$13</f>
        <v>150062.59</v>
      </c>
      <c r="N4" s="6">
        <f>'[15]NW PARTS 330'!$B$13</f>
        <v>145681.57999999999</v>
      </c>
      <c r="O4" s="6">
        <f>'[16]NW PARTS 330'!$B$13</f>
        <v>153480.26999999999</v>
      </c>
      <c r="P4" s="6">
        <f>'[17]NW PARTS 330'!$B$13</f>
        <v>143422.62</v>
      </c>
      <c r="Q4" s="8"/>
      <c r="R4" s="6">
        <f>SUM(E4:P4)</f>
        <v>1727011.5700000003</v>
      </c>
      <c r="S4" s="34"/>
      <c r="T4" s="7">
        <f>AVERAGE(D4:O4)</f>
        <v>145783.45333333334</v>
      </c>
      <c r="U4" t="s">
        <v>1194</v>
      </c>
    </row>
    <row r="5" spans="1:21" x14ac:dyDescent="0.25">
      <c r="A5" t="s">
        <v>1176</v>
      </c>
      <c r="B5" s="3">
        <f t="shared" ref="B5:P5" si="0">(B16-B15)/B4</f>
        <v>0.1506519163251327</v>
      </c>
      <c r="C5" s="3">
        <f t="shared" si="0"/>
        <v>0.18774125044642812</v>
      </c>
      <c r="D5" s="3">
        <f t="shared" si="0"/>
        <v>0.20365413968513463</v>
      </c>
      <c r="E5" s="3">
        <f>(E16-E15)/E4</f>
        <v>0.1560531926259203</v>
      </c>
      <c r="F5" s="3">
        <f t="shared" si="0"/>
        <v>0.16082937479644016</v>
      </c>
      <c r="G5" s="3">
        <f t="shared" si="0"/>
        <v>0.18652885630668845</v>
      </c>
      <c r="H5" s="3">
        <f>(H16-H15)/H4</f>
        <v>0.12409711207738848</v>
      </c>
      <c r="I5" s="3">
        <f t="shared" si="0"/>
        <v>0.16838020420187072</v>
      </c>
      <c r="J5" s="3">
        <f t="shared" si="0"/>
        <v>0.13173601811278327</v>
      </c>
      <c r="K5" s="3">
        <f t="shared" si="0"/>
        <v>0.18358113645794985</v>
      </c>
      <c r="L5" s="3">
        <f t="shared" si="0"/>
        <v>0.16480044348427453</v>
      </c>
      <c r="M5" s="3">
        <f t="shared" si="0"/>
        <v>0.18734282808260203</v>
      </c>
      <c r="N5" s="3">
        <f t="shared" si="0"/>
        <v>0.16990123253742848</v>
      </c>
      <c r="O5" s="3">
        <f t="shared" si="0"/>
        <v>0.18048932282957283</v>
      </c>
      <c r="P5" s="3">
        <f t="shared" si="0"/>
        <v>0.158465868215209</v>
      </c>
      <c r="Q5" s="3"/>
      <c r="R5" s="3">
        <f>(R16-R15)/R4</f>
        <v>0.16534368093434373</v>
      </c>
      <c r="S5" s="34"/>
      <c r="T5" s="44">
        <f>AVERAGE(E5:O5)</f>
        <v>0.16488542922844718</v>
      </c>
    </row>
    <row r="6" spans="1:21" x14ac:dyDescent="0.25">
      <c r="A6" t="s">
        <v>1177</v>
      </c>
      <c r="B6" s="3"/>
      <c r="C6" s="3"/>
      <c r="D6" s="3"/>
      <c r="E6" s="45">
        <f>E4-E8</f>
        <v>127417.73</v>
      </c>
      <c r="F6" s="45">
        <f t="shared" ref="F6:O6" si="1">F4-F8</f>
        <v>114869.94</v>
      </c>
      <c r="G6" s="45">
        <f t="shared" si="1"/>
        <v>138536.09000000003</v>
      </c>
      <c r="H6" s="45">
        <f t="shared" si="1"/>
        <v>114464.36</v>
      </c>
      <c r="I6" s="45">
        <f t="shared" si="1"/>
        <v>158518.16</v>
      </c>
      <c r="J6" s="45">
        <f t="shared" si="1"/>
        <v>144058.29999999996</v>
      </c>
      <c r="K6" s="45">
        <f t="shared" si="1"/>
        <v>142056.04999999999</v>
      </c>
      <c r="L6" s="45">
        <f t="shared" si="1"/>
        <v>149691.73999999996</v>
      </c>
      <c r="M6" s="45">
        <f t="shared" si="1"/>
        <v>140351.29999999999</v>
      </c>
      <c r="N6" s="45">
        <f t="shared" si="1"/>
        <v>116545.264</v>
      </c>
      <c r="O6" s="45">
        <f t="shared" si="1"/>
        <v>122784.21599999999</v>
      </c>
      <c r="P6" s="45">
        <f>P4-P8</f>
        <v>114738.09599999999</v>
      </c>
      <c r="Q6" s="3"/>
      <c r="R6" s="45">
        <f>SUM(E6:P6)</f>
        <v>1584031.2459999998</v>
      </c>
      <c r="S6" s="34"/>
      <c r="T6" s="44"/>
    </row>
    <row r="7" spans="1:21" x14ac:dyDescent="0.25">
      <c r="A7" t="s">
        <v>1178</v>
      </c>
      <c r="B7" s="3"/>
      <c r="C7" s="3"/>
      <c r="D7" s="3"/>
      <c r="E7" s="3">
        <f>E17/E6</f>
        <v>0.15311784959597066</v>
      </c>
      <c r="F7" s="3">
        <f t="shared" ref="F7:P7" si="2">F17/F6</f>
        <v>0.15844290943305098</v>
      </c>
      <c r="G7" s="3">
        <f t="shared" si="2"/>
        <v>0.64274653142007976</v>
      </c>
      <c r="H7" s="3">
        <f t="shared" si="2"/>
        <v>0.1204788768311813</v>
      </c>
      <c r="I7" s="3">
        <f t="shared" si="2"/>
        <v>0.16325669487962768</v>
      </c>
      <c r="J7" s="3">
        <f t="shared" si="2"/>
        <v>0.38908088797382734</v>
      </c>
      <c r="K7" s="3">
        <f t="shared" si="2"/>
        <v>0.1769169195116998</v>
      </c>
      <c r="L7" s="3">
        <f t="shared" si="2"/>
        <v>0.16272259804047967</v>
      </c>
      <c r="M7" s="3">
        <f t="shared" si="2"/>
        <v>0.32737910419782362</v>
      </c>
      <c r="N7" s="3">
        <f t="shared" si="2"/>
        <v>0.16237654067178559</v>
      </c>
      <c r="O7" s="3">
        <f t="shared" si="2"/>
        <v>0.17561165353696603</v>
      </c>
      <c r="P7" s="3">
        <f t="shared" si="2"/>
        <v>0.36182999934041082</v>
      </c>
      <c r="Q7" s="3"/>
      <c r="R7" s="3">
        <f>R17/R6</f>
        <v>0.25246631972372091</v>
      </c>
      <c r="S7" s="34"/>
      <c r="T7" s="44"/>
    </row>
    <row r="8" spans="1:21" x14ac:dyDescent="0.25">
      <c r="A8" t="s">
        <v>1179</v>
      </c>
      <c r="B8" s="3"/>
      <c r="C8" s="3"/>
      <c r="D8" s="3"/>
      <c r="E8" s="6">
        <v>3062.01</v>
      </c>
      <c r="F8" s="6">
        <v>12948.75</v>
      </c>
      <c r="G8" s="6">
        <v>7131.72</v>
      </c>
      <c r="H8" s="6">
        <v>2313.6999999999998</v>
      </c>
      <c r="I8" s="6">
        <v>4559.68</v>
      </c>
      <c r="J8" s="6">
        <v>2808.14</v>
      </c>
      <c r="K8" s="6">
        <v>8216.4699999999993</v>
      </c>
      <c r="L8" s="6">
        <v>3711.67</v>
      </c>
      <c r="M8" s="6">
        <v>9711.2900000000009</v>
      </c>
      <c r="N8" s="6">
        <f>N4*N10</f>
        <v>29136.315999999999</v>
      </c>
      <c r="O8" s="6">
        <f>O4*O10</f>
        <v>30696.054</v>
      </c>
      <c r="P8" s="6">
        <f>P4*P10</f>
        <v>28684.524000000001</v>
      </c>
      <c r="Q8" s="3"/>
      <c r="R8" s="45">
        <f>SUM(E8:P8)</f>
        <v>142980.32399999999</v>
      </c>
      <c r="S8" s="34"/>
      <c r="T8" s="7">
        <f>AVERAGE(E8:O8)</f>
        <v>10390.527272727273</v>
      </c>
      <c r="U8" t="s">
        <v>1194</v>
      </c>
    </row>
    <row r="9" spans="1:21" x14ac:dyDescent="0.25">
      <c r="A9" t="s">
        <v>1180</v>
      </c>
      <c r="B9" s="3"/>
      <c r="C9" s="3"/>
      <c r="D9" s="3"/>
      <c r="E9" s="3">
        <v>0.2782</v>
      </c>
      <c r="F9" s="3">
        <v>0.182</v>
      </c>
      <c r="G9" s="3">
        <v>0.20330000000000001</v>
      </c>
      <c r="H9" s="3">
        <v>0.30309999999999998</v>
      </c>
      <c r="I9" s="3">
        <v>0.34649999999999997</v>
      </c>
      <c r="J9" s="3">
        <v>0.2394</v>
      </c>
      <c r="K9" s="3">
        <v>0.29880000000000001</v>
      </c>
      <c r="L9" s="3">
        <v>0.24859999999999999</v>
      </c>
      <c r="M9" s="3">
        <v>0.38769999999999999</v>
      </c>
      <c r="N9" s="3">
        <v>0.2</v>
      </c>
      <c r="O9" s="3">
        <v>0.2</v>
      </c>
      <c r="P9" s="3">
        <v>0.2</v>
      </c>
      <c r="Q9" s="3"/>
      <c r="R9" s="3">
        <f>R18/R8</f>
        <v>0.22701117249531483</v>
      </c>
      <c r="S9" s="34"/>
      <c r="T9" s="44">
        <f>AVERAGE(E18:O18)/T8</f>
        <v>0.23379009723016944</v>
      </c>
    </row>
    <row r="10" spans="1:21" x14ac:dyDescent="0.25">
      <c r="A10" t="s">
        <v>1181</v>
      </c>
      <c r="B10" s="3"/>
      <c r="C10" s="3"/>
      <c r="D10" s="3"/>
      <c r="E10" s="3">
        <f>E8/E4</f>
        <v>2.3467321440094842E-2</v>
      </c>
      <c r="F10" s="3">
        <f t="shared" ref="F10:M10" si="3">F8/F4</f>
        <v>0.10130560718467697</v>
      </c>
      <c r="G10" s="3">
        <f>G8/G4</f>
        <v>4.8958791925271611E-2</v>
      </c>
      <c r="H10" s="3">
        <f>H8/H4</f>
        <v>1.9812797027112798E-2</v>
      </c>
      <c r="I10" s="3">
        <f t="shared" si="3"/>
        <v>2.7960144676922385E-2</v>
      </c>
      <c r="J10" s="3">
        <f>J8/J4</f>
        <v>1.9120365414998827E-2</v>
      </c>
      <c r="K10" s="3">
        <f t="shared" si="3"/>
        <v>5.467712925823031E-2</v>
      </c>
      <c r="L10" s="3">
        <f>L8/L4</f>
        <v>2.4195485615345843E-2</v>
      </c>
      <c r="M10" s="3">
        <f t="shared" si="3"/>
        <v>6.4714929950229441E-2</v>
      </c>
      <c r="N10" s="3">
        <v>0.2</v>
      </c>
      <c r="O10" s="3">
        <v>0.2</v>
      </c>
      <c r="P10" s="3">
        <v>0.2</v>
      </c>
      <c r="Q10" s="3"/>
      <c r="R10" s="3">
        <f>R8/R4</f>
        <v>8.2790599949483817E-2</v>
      </c>
      <c r="S10" s="34"/>
      <c r="T10" s="44"/>
    </row>
    <row r="11" spans="1:21" x14ac:dyDescent="0.25">
      <c r="A11" t="s">
        <v>1182</v>
      </c>
      <c r="B11" s="3">
        <f>'[3]NW PARTS 330'!$B$28</f>
        <v>7.2679276989411484E-2</v>
      </c>
      <c r="C11" s="3">
        <f>'[4]NW PARTS 330'!$B$28</f>
        <v>5.6842234319748511E-2</v>
      </c>
      <c r="D11" s="3">
        <f>'[5]NW PARTS 330'!$B$28</f>
        <v>4.6299346930982088E-2</v>
      </c>
      <c r="E11" s="3">
        <f>'[6]NW PARTS 330'!$B$28</f>
        <v>4.5677819407058902E-2</v>
      </c>
      <c r="F11" s="3">
        <f>'[7]NW PARTS 330'!$B$28</f>
        <v>5.505204285852093E-2</v>
      </c>
      <c r="G11" s="3">
        <f>'[8]NW PARTS 330'!$B$28</f>
        <v>3.2007689276031544E-2</v>
      </c>
      <c r="H11" s="3">
        <f>'[9]NW PARTS 330'!$B$28</f>
        <v>5.7321383828434894E-2</v>
      </c>
      <c r="I11" s="3">
        <f>'[10]NW PARTS 330'!$B$28</f>
        <v>4.0723129519007611E-2</v>
      </c>
      <c r="J11" s="3">
        <f>'[11]NW PARTS 330'!$B$28</f>
        <v>4.4690127982948323E-2</v>
      </c>
      <c r="K11" s="3">
        <f>'[12]NW PARTS 330'!$B$28</f>
        <v>4.4780975257485534E-2</v>
      </c>
      <c r="L11" s="3">
        <f>'[13]NW PARTS 330'!$B$28</f>
        <v>4.1580496809034438E-2</v>
      </c>
      <c r="M11" s="3">
        <f>'[14]NW PARTS 330'!$B$28</f>
        <v>4.9245851347760959E-2</v>
      </c>
      <c r="N11" s="3">
        <f>'[15]NW PARTS 330'!$B$28</f>
        <v>4.9024179995851229E-2</v>
      </c>
      <c r="O11" s="3">
        <f>'[16]NW PARTS 330'!$B$28</f>
        <v>4.5813706217743826E-2</v>
      </c>
      <c r="P11" s="3">
        <f>'[17]NW PARTS 330'!$B$28</f>
        <v>5.0062465739365243E-2</v>
      </c>
      <c r="Q11" s="3"/>
      <c r="R11" s="3">
        <f>R19/R4</f>
        <v>4.5980589464145856E-2</v>
      </c>
      <c r="S11" s="34"/>
    </row>
    <row r="12" spans="1:21" x14ac:dyDescent="0.25">
      <c r="A12" s="7" t="s">
        <v>1183</v>
      </c>
      <c r="B12" s="6">
        <f t="shared" ref="B12:P12" si="4">B4/B13</f>
        <v>100497.56</v>
      </c>
      <c r="C12" s="6">
        <f t="shared" si="4"/>
        <v>114352.12000000001</v>
      </c>
      <c r="D12" s="6">
        <f t="shared" si="4"/>
        <v>165812.49000000002</v>
      </c>
      <c r="E12" s="6">
        <f t="shared" si="4"/>
        <v>130479.73999999999</v>
      </c>
      <c r="F12" s="6">
        <f t="shared" si="4"/>
        <v>127818.69</v>
      </c>
      <c r="G12" s="6">
        <f t="shared" si="4"/>
        <v>145667.81000000003</v>
      </c>
      <c r="H12" s="6">
        <f t="shared" si="4"/>
        <v>116778.06</v>
      </c>
      <c r="I12" s="6">
        <f t="shared" si="4"/>
        <v>163077.84</v>
      </c>
      <c r="J12" s="6">
        <f t="shared" si="4"/>
        <v>146866.43999999997</v>
      </c>
      <c r="K12" s="6">
        <f t="shared" si="4"/>
        <v>150272.51999999999</v>
      </c>
      <c r="L12" s="6">
        <f t="shared" si="4"/>
        <v>153403.40999999997</v>
      </c>
      <c r="M12" s="6">
        <f t="shared" si="4"/>
        <v>150062.59</v>
      </c>
      <c r="N12" s="6">
        <f t="shared" si="4"/>
        <v>145681.57999999999</v>
      </c>
      <c r="O12" s="6">
        <f t="shared" si="4"/>
        <v>153480.26999999999</v>
      </c>
      <c r="P12" s="6">
        <f t="shared" si="4"/>
        <v>143422.62</v>
      </c>
      <c r="Q12" s="3"/>
      <c r="R12" s="45">
        <f>AVERAGE(E12:P12)</f>
        <v>143917.63083333336</v>
      </c>
      <c r="S12" s="34"/>
      <c r="T12" s="15">
        <f>T4/T13</f>
        <v>145783.45333333334</v>
      </c>
      <c r="U12" s="15"/>
    </row>
    <row r="13" spans="1:21" x14ac:dyDescent="0.25">
      <c r="A13" s="7" t="s">
        <v>1184</v>
      </c>
      <c r="B13" s="60">
        <f>'[3]NW PARTS 330'!$B$33</f>
        <v>1</v>
      </c>
      <c r="C13" s="60">
        <f>'[4]NW PARTS 330'!$B$33</f>
        <v>1</v>
      </c>
      <c r="D13" s="60">
        <f>'[5]NW PARTS 330'!$B$33</f>
        <v>1</v>
      </c>
      <c r="E13" s="60">
        <f>'[6]NW PARTS 330'!$B$33</f>
        <v>1</v>
      </c>
      <c r="F13" s="60">
        <f>'[7]NW PARTS 330'!$B$33</f>
        <v>1</v>
      </c>
      <c r="G13" s="60">
        <f>'[8]NW PARTS 330'!$B$33</f>
        <v>1</v>
      </c>
      <c r="H13" s="60">
        <f>'[9]NW PARTS 330'!$B$33</f>
        <v>1</v>
      </c>
      <c r="I13" s="60">
        <f>'[10]NW PARTS 330'!$B$33</f>
        <v>1</v>
      </c>
      <c r="J13" s="60">
        <f>'[11]NW PARTS 330'!$B$33</f>
        <v>1</v>
      </c>
      <c r="K13" s="60">
        <f>'[12]NW PARTS 330'!$B$33</f>
        <v>1</v>
      </c>
      <c r="L13" s="60">
        <f>'[13]NW PARTS 330'!$B$33</f>
        <v>1</v>
      </c>
      <c r="M13" s="60">
        <f>'[14]NW PARTS 330'!$B$33</f>
        <v>1</v>
      </c>
      <c r="N13" s="60">
        <f>'[15]NW PARTS 330'!$B$33</f>
        <v>1</v>
      </c>
      <c r="O13" s="60">
        <f>'[16]NW PARTS 330'!$B$33</f>
        <v>1</v>
      </c>
      <c r="P13" s="60">
        <f>'[17]NW PARTS 330'!$B$33</f>
        <v>1</v>
      </c>
      <c r="Q13" s="3"/>
      <c r="R13" s="83">
        <f>AVERAGE(E13:P13)</f>
        <v>1</v>
      </c>
      <c r="S13" s="34"/>
      <c r="T13" s="121">
        <f>AVERAGE(E13:O13)</f>
        <v>1</v>
      </c>
      <c r="U13" s="121"/>
    </row>
    <row r="14" spans="1:21" x14ac:dyDescent="0.25">
      <c r="B14" s="3"/>
      <c r="C14" s="3"/>
      <c r="D14" s="3"/>
      <c r="E14" s="3"/>
      <c r="F14" s="3"/>
      <c r="G14" s="3"/>
      <c r="H14" s="3"/>
      <c r="I14" s="3"/>
      <c r="J14" s="3"/>
      <c r="K14" s="3"/>
      <c r="L14" s="3"/>
      <c r="M14" s="3"/>
      <c r="N14" s="3"/>
      <c r="O14" s="3"/>
      <c r="P14" s="3"/>
      <c r="Q14" s="3"/>
      <c r="R14" s="3"/>
      <c r="S14" s="34"/>
    </row>
    <row r="15" spans="1:21" x14ac:dyDescent="0.25">
      <c r="A15" t="s">
        <v>1185</v>
      </c>
      <c r="B15" s="45">
        <f>'[3]NW PARTS 330'!$B$23</f>
        <v>10167.14</v>
      </c>
      <c r="C15" s="45">
        <f>'[4]NW PARTS 330'!$B$23</f>
        <v>0</v>
      </c>
      <c r="D15" s="45">
        <f>'[5]NW PARTS 330'!$B$23</f>
        <v>20193.75</v>
      </c>
      <c r="E15" s="45">
        <f>'[6]NW PARTS 330'!$B$23</f>
        <v>0</v>
      </c>
      <c r="F15" s="45">
        <f>'[7]NW PARTS 330'!$B$23</f>
        <v>0</v>
      </c>
      <c r="G15" s="45">
        <f>'[8]NW PARTS 330'!$B$23</f>
        <v>63322.22</v>
      </c>
      <c r="H15" s="45">
        <f>'[9]NW PARTS 330'!$B$23</f>
        <v>0</v>
      </c>
      <c r="I15" s="45">
        <f>'[10]NW PARTS 330'!$B$23</f>
        <v>0</v>
      </c>
      <c r="J15" s="45">
        <f>'[11]NW PARTS 330'!$B$23</f>
        <v>37375</v>
      </c>
      <c r="K15" s="45">
        <f>'[12]NW PARTS 330'!$B$23</f>
        <v>0</v>
      </c>
      <c r="L15" s="45">
        <f>'[13]NW PARTS 330'!$B$23</f>
        <v>0</v>
      </c>
      <c r="M15" s="45">
        <f>'[14]NW PARTS 330'!$B$23</f>
        <v>21600</v>
      </c>
      <c r="N15" s="45">
        <f>'[15]NW PARTS 330'!$B$23</f>
        <v>0</v>
      </c>
      <c r="O15" s="45">
        <f>'[16]NW PARTS 330'!$B$23</f>
        <v>0</v>
      </c>
      <c r="P15" s="45">
        <f>'[17]NW PARTS 330'!$B$23</f>
        <v>24525</v>
      </c>
      <c r="Q15" s="3"/>
      <c r="R15" s="6">
        <f>SUM(E15:P15)</f>
        <v>146822.22</v>
      </c>
      <c r="S15" s="34"/>
    </row>
    <row r="16" spans="1:21" x14ac:dyDescent="0.25">
      <c r="A16" s="7" t="s">
        <v>1186</v>
      </c>
      <c r="B16" s="45">
        <f>'[3]NW PARTS 330'!$B$24</f>
        <v>25307.29</v>
      </c>
      <c r="C16" s="45">
        <f>'[4]NW PARTS 330'!$B$24</f>
        <v>21468.610000000004</v>
      </c>
      <c r="D16" s="45">
        <f>'[5]NW PARTS 330'!$B$24</f>
        <v>53962.149999999994</v>
      </c>
      <c r="E16" s="45">
        <f>'[6]NW PARTS 330'!$B$24</f>
        <v>20361.779999999995</v>
      </c>
      <c r="F16" s="45">
        <f>'[7]NW PARTS 330'!$B$24</f>
        <v>20557</v>
      </c>
      <c r="G16" s="45">
        <f>'[8]NW PARTS 330'!$B$24</f>
        <v>90493.47</v>
      </c>
      <c r="H16" s="45">
        <f>'[9]NW PARTS 330'!$B$24</f>
        <v>14491.819999999996</v>
      </c>
      <c r="I16" s="45">
        <f>'[10]NW PARTS 330'!$B$24</f>
        <v>27459.08</v>
      </c>
      <c r="J16" s="45">
        <f>'[11]NW PARTS 330'!$B$24</f>
        <v>56722.599999999991</v>
      </c>
      <c r="K16" s="45">
        <f>'[12]NW PARTS 330'!$B$24</f>
        <v>27587.199999999997</v>
      </c>
      <c r="L16" s="45">
        <f>'[13]NW PARTS 330'!$B$24</f>
        <v>25280.94999999999</v>
      </c>
      <c r="M16" s="45">
        <f>'[14]NW PARTS 330'!$B$24</f>
        <v>49713.149999999994</v>
      </c>
      <c r="N16" s="45">
        <f>'[15]NW PARTS 330'!$B$24</f>
        <v>24751.479999999989</v>
      </c>
      <c r="O16" s="45">
        <f>'[16]NW PARTS 330'!$B$24</f>
        <v>27701.55</v>
      </c>
      <c r="P16" s="45">
        <f>'[17]NW PARTS 330'!$B$24</f>
        <v>47252.59</v>
      </c>
      <c r="R16" s="6">
        <f>SUM(E16:P16)</f>
        <v>432372.67000000004</v>
      </c>
      <c r="S16" s="34"/>
    </row>
    <row r="17" spans="1:20" x14ac:dyDescent="0.25">
      <c r="A17" s="7" t="s">
        <v>1187</v>
      </c>
      <c r="B17" s="45"/>
      <c r="C17" s="45"/>
      <c r="D17" s="45"/>
      <c r="E17" s="45">
        <f>E16-E18</f>
        <v>19509.928817999997</v>
      </c>
      <c r="F17" s="45">
        <f t="shared" ref="F17:P17" si="5">F16-F18</f>
        <v>18200.327499999999</v>
      </c>
      <c r="G17" s="45">
        <f>G16-G18</f>
        <v>89043.591324000008</v>
      </c>
      <c r="H17" s="45">
        <f t="shared" si="5"/>
        <v>13790.537529999996</v>
      </c>
      <c r="I17" s="45">
        <f t="shared" si="5"/>
        <v>25879.150880000001</v>
      </c>
      <c r="J17" s="45">
        <f t="shared" si="5"/>
        <v>56050.331283999993</v>
      </c>
      <c r="K17" s="45">
        <f t="shared" si="5"/>
        <v>25132.118763999999</v>
      </c>
      <c r="L17" s="45">
        <f t="shared" si="5"/>
        <v>24358.228837999988</v>
      </c>
      <c r="M17" s="45">
        <f t="shared" si="5"/>
        <v>45948.082866999997</v>
      </c>
      <c r="N17" s="45">
        <f t="shared" si="5"/>
        <v>18924.216799999987</v>
      </c>
      <c r="O17" s="45">
        <f t="shared" si="5"/>
        <v>21562.339199999999</v>
      </c>
      <c r="P17" s="45">
        <f t="shared" si="5"/>
        <v>41515.685199999993</v>
      </c>
      <c r="R17" s="6">
        <f>SUM(E17:P17)</f>
        <v>399914.53900499997</v>
      </c>
      <c r="S17" s="34"/>
    </row>
    <row r="18" spans="1:20" x14ac:dyDescent="0.25">
      <c r="A18" s="7" t="s">
        <v>1188</v>
      </c>
      <c r="B18" s="45"/>
      <c r="C18" s="45"/>
      <c r="D18" s="45"/>
      <c r="E18" s="45">
        <f>E8*E9</f>
        <v>851.85118200000011</v>
      </c>
      <c r="F18" s="45">
        <f t="shared" ref="F18:P18" si="6">F8*F9</f>
        <v>2356.6725000000001</v>
      </c>
      <c r="G18" s="45">
        <f t="shared" si="6"/>
        <v>1449.878676</v>
      </c>
      <c r="H18" s="45">
        <f t="shared" si="6"/>
        <v>701.28246999999988</v>
      </c>
      <c r="I18" s="45">
        <f t="shared" si="6"/>
        <v>1579.92912</v>
      </c>
      <c r="J18" s="45">
        <f t="shared" si="6"/>
        <v>672.26871599999993</v>
      </c>
      <c r="K18" s="45">
        <f t="shared" si="6"/>
        <v>2455.081236</v>
      </c>
      <c r="L18" s="45">
        <f t="shared" si="6"/>
        <v>922.72116199999994</v>
      </c>
      <c r="M18" s="45">
        <f t="shared" si="6"/>
        <v>3765.067133</v>
      </c>
      <c r="N18" s="45">
        <f t="shared" si="6"/>
        <v>5827.2632000000003</v>
      </c>
      <c r="O18" s="45">
        <f t="shared" si="6"/>
        <v>6139.2108000000007</v>
      </c>
      <c r="P18" s="45">
        <f t="shared" si="6"/>
        <v>5736.9048000000003</v>
      </c>
      <c r="R18" s="6">
        <f>SUM(E18:P18)</f>
        <v>32458.130995</v>
      </c>
      <c r="S18" s="34"/>
    </row>
    <row r="19" spans="1:20" x14ac:dyDescent="0.25">
      <c r="A19" s="7" t="s">
        <v>1076</v>
      </c>
      <c r="B19" s="6">
        <f t="shared" ref="B19:P19" si="7">B4*B11</f>
        <v>7304.09</v>
      </c>
      <c r="C19" s="6">
        <f t="shared" si="7"/>
        <v>6500.0300000000007</v>
      </c>
      <c r="D19" s="6">
        <f t="shared" si="7"/>
        <v>7677.0099999999993</v>
      </c>
      <c r="E19" s="6">
        <f t="shared" si="7"/>
        <v>5960.0299999999988</v>
      </c>
      <c r="F19" s="6">
        <f t="shared" si="7"/>
        <v>7036.6800000000012</v>
      </c>
      <c r="G19" s="6">
        <f t="shared" si="7"/>
        <v>4662.4900000000016</v>
      </c>
      <c r="H19" s="6">
        <f t="shared" si="7"/>
        <v>6693.8799999999992</v>
      </c>
      <c r="I19" s="6">
        <f t="shared" si="7"/>
        <v>6641.04</v>
      </c>
      <c r="J19" s="6">
        <f t="shared" si="7"/>
        <v>6563.48</v>
      </c>
      <c r="K19" s="6">
        <f t="shared" si="7"/>
        <v>6729.3499999999995</v>
      </c>
      <c r="L19" s="6">
        <f t="shared" si="7"/>
        <v>6378.59</v>
      </c>
      <c r="M19" s="6">
        <f t="shared" si="7"/>
        <v>7389.96</v>
      </c>
      <c r="N19" s="6">
        <f t="shared" si="7"/>
        <v>7141.92</v>
      </c>
      <c r="O19" s="6">
        <f t="shared" si="7"/>
        <v>7031.5000000000009</v>
      </c>
      <c r="P19" s="6">
        <f t="shared" si="7"/>
        <v>7180.09</v>
      </c>
      <c r="R19" s="6">
        <f>SUM(E19:P19)</f>
        <v>79409.010000000009</v>
      </c>
      <c r="S19" s="34"/>
      <c r="T19" s="7">
        <f>AVERAGE(E19:O19)</f>
        <v>6566.2654545454561</v>
      </c>
    </row>
    <row r="20" spans="1:20" ht="15.75" thickBot="1" x14ac:dyDescent="0.3">
      <c r="A20" s="9" t="s">
        <v>1078</v>
      </c>
      <c r="B20" s="10">
        <f t="shared" ref="B20:P20" si="8">B16-B19</f>
        <v>18003.2</v>
      </c>
      <c r="C20" s="10">
        <f t="shared" si="8"/>
        <v>14968.580000000004</v>
      </c>
      <c r="D20" s="10">
        <f t="shared" si="8"/>
        <v>46285.139999999992</v>
      </c>
      <c r="E20" s="10">
        <f t="shared" si="8"/>
        <v>14401.749999999996</v>
      </c>
      <c r="F20" s="10">
        <f t="shared" si="8"/>
        <v>13520.32</v>
      </c>
      <c r="G20" s="10">
        <f>G16-G19</f>
        <v>85830.98</v>
      </c>
      <c r="H20" s="10">
        <f t="shared" si="8"/>
        <v>7797.9399999999969</v>
      </c>
      <c r="I20" s="10">
        <f t="shared" si="8"/>
        <v>20818.04</v>
      </c>
      <c r="J20" s="10">
        <f t="shared" si="8"/>
        <v>50159.119999999995</v>
      </c>
      <c r="K20" s="10">
        <f t="shared" si="8"/>
        <v>20857.849999999999</v>
      </c>
      <c r="L20" s="10">
        <f t="shared" si="8"/>
        <v>18902.35999999999</v>
      </c>
      <c r="M20" s="10">
        <f t="shared" si="8"/>
        <v>42323.189999999995</v>
      </c>
      <c r="N20" s="10">
        <f t="shared" si="8"/>
        <v>17609.55999999999</v>
      </c>
      <c r="O20" s="10">
        <f t="shared" si="8"/>
        <v>20670.05</v>
      </c>
      <c r="P20" s="10">
        <f t="shared" si="8"/>
        <v>40072.5</v>
      </c>
      <c r="R20" s="10">
        <f>R16-R19</f>
        <v>352963.66000000003</v>
      </c>
      <c r="S20" s="34"/>
      <c r="T20" s="7">
        <f>SUM(E20:O20)</f>
        <v>312891.15999999997</v>
      </c>
    </row>
    <row r="21" spans="1:20" ht="15.75" thickTop="1" x14ac:dyDescent="0.25">
      <c r="E21" s="7"/>
      <c r="F21" s="7"/>
      <c r="G21" s="7"/>
      <c r="H21" s="7"/>
      <c r="I21" s="7"/>
      <c r="J21" s="7"/>
      <c r="K21" s="7"/>
      <c r="L21" s="7"/>
      <c r="M21" s="7"/>
      <c r="N21" s="7"/>
      <c r="O21" s="7"/>
      <c r="P21" s="7"/>
      <c r="S21" s="34"/>
    </row>
    <row r="22" spans="1:20" x14ac:dyDescent="0.25">
      <c r="S22" s="34"/>
    </row>
    <row r="23" spans="1:20" ht="15.75" x14ac:dyDescent="0.25">
      <c r="A23" s="11" t="s">
        <v>1174</v>
      </c>
      <c r="B23" s="5">
        <v>45292</v>
      </c>
      <c r="C23" s="5">
        <v>45323</v>
      </c>
      <c r="D23" s="5">
        <v>45352</v>
      </c>
      <c r="E23" s="5">
        <v>45383</v>
      </c>
      <c r="F23" s="5">
        <v>45413</v>
      </c>
      <c r="G23" s="5">
        <v>45444</v>
      </c>
      <c r="H23" s="5">
        <v>45474</v>
      </c>
      <c r="I23" s="5">
        <v>45505</v>
      </c>
      <c r="J23" s="5">
        <v>45536</v>
      </c>
      <c r="K23" s="5">
        <v>45566</v>
      </c>
      <c r="L23" s="5">
        <v>45597</v>
      </c>
      <c r="M23" s="5">
        <v>45627</v>
      </c>
      <c r="N23" s="5">
        <v>45658</v>
      </c>
      <c r="O23" s="5">
        <v>45689</v>
      </c>
      <c r="P23" s="5">
        <v>45717</v>
      </c>
      <c r="Q23" s="5"/>
      <c r="R23" s="5" t="s">
        <v>955</v>
      </c>
      <c r="S23" s="34"/>
    </row>
    <row r="24" spans="1:20" x14ac:dyDescent="0.25">
      <c r="A24" s="4"/>
      <c r="B24" s="5" t="s">
        <v>958</v>
      </c>
      <c r="C24" s="5" t="s">
        <v>959</v>
      </c>
      <c r="D24" s="5" t="s">
        <v>959</v>
      </c>
      <c r="E24" s="5" t="s">
        <v>959</v>
      </c>
      <c r="F24" s="5" t="s">
        <v>959</v>
      </c>
      <c r="G24" s="5" t="s">
        <v>959</v>
      </c>
      <c r="H24" s="5" t="s">
        <v>959</v>
      </c>
      <c r="I24" s="5" t="s">
        <v>959</v>
      </c>
      <c r="J24" s="5" t="s">
        <v>959</v>
      </c>
      <c r="K24" s="5" t="s">
        <v>959</v>
      </c>
      <c r="L24" s="5" t="s">
        <v>959</v>
      </c>
      <c r="M24" s="5" t="s">
        <v>959</v>
      </c>
      <c r="N24" s="5" t="s">
        <v>959</v>
      </c>
      <c r="O24" s="5" t="s">
        <v>959</v>
      </c>
      <c r="P24" s="5" t="s">
        <v>959</v>
      </c>
      <c r="Q24" s="5"/>
      <c r="R24" s="5" t="s">
        <v>961</v>
      </c>
      <c r="S24" s="34"/>
    </row>
    <row r="25" spans="1:20" x14ac:dyDescent="0.25">
      <c r="S25" s="34"/>
    </row>
    <row r="26" spans="1:20" x14ac:dyDescent="0.25">
      <c r="A26" s="7" t="s">
        <v>1175</v>
      </c>
      <c r="B26" s="6">
        <f>'[15]NW PARTS 230'!$B$13</f>
        <v>240738.16999999998</v>
      </c>
      <c r="C26" s="6">
        <f>O4</f>
        <v>153480.26999999999</v>
      </c>
      <c r="D26" s="6">
        <f>P4</f>
        <v>143422.62</v>
      </c>
      <c r="E26" s="6">
        <f>E28+E30</f>
        <v>140413.54938695653</v>
      </c>
      <c r="F26" s="6">
        <f>F28+F30</f>
        <v>159560.85157608695</v>
      </c>
      <c r="G26" s="6">
        <f>G28+G30</f>
        <v>130839.89829239128</v>
      </c>
      <c r="H26" s="6">
        <f t="shared" ref="H26:P26" si="9">H28+H30</f>
        <v>159560.85157608695</v>
      </c>
      <c r="I26" s="6">
        <f t="shared" si="9"/>
        <v>156369.63454456523</v>
      </c>
      <c r="J26" s="6">
        <f t="shared" si="9"/>
        <v>146795.98345</v>
      </c>
      <c r="K26" s="6">
        <f t="shared" si="9"/>
        <v>153178.41751304347</v>
      </c>
      <c r="L26" s="6">
        <f t="shared" si="9"/>
        <v>149987.20048152175</v>
      </c>
      <c r="M26" s="6">
        <f t="shared" si="9"/>
        <v>140413.54938695653</v>
      </c>
      <c r="N26" s="6">
        <f t="shared" si="9"/>
        <v>140413.54938695653</v>
      </c>
      <c r="O26" s="6">
        <f t="shared" si="9"/>
        <v>134031.11532391302</v>
      </c>
      <c r="P26" s="6">
        <f t="shared" si="9"/>
        <v>149987.20048152175</v>
      </c>
      <c r="Q26" s="8"/>
      <c r="R26" s="6">
        <f>SUM(E26:P26)</f>
        <v>1761551.8014</v>
      </c>
      <c r="S26" s="34" t="s">
        <v>1198</v>
      </c>
    </row>
    <row r="27" spans="1:20" x14ac:dyDescent="0.25">
      <c r="A27" t="s">
        <v>1176</v>
      </c>
      <c r="B27" s="3">
        <f>(B38-B37)/B26</f>
        <v>0.18821763910558928</v>
      </c>
      <c r="C27" s="3">
        <f>O5</f>
        <v>0.18048932282957283</v>
      </c>
      <c r="D27" s="3">
        <f>P5</f>
        <v>0.158465868215209</v>
      </c>
      <c r="E27" s="3">
        <f>$T$5</f>
        <v>0.16488542922844718</v>
      </c>
      <c r="F27" s="3">
        <f t="shared" ref="F27:P27" si="10">$T$5</f>
        <v>0.16488542922844718</v>
      </c>
      <c r="G27" s="3">
        <f t="shared" si="10"/>
        <v>0.16488542922844718</v>
      </c>
      <c r="H27" s="3">
        <f t="shared" si="10"/>
        <v>0.16488542922844718</v>
      </c>
      <c r="I27" s="3">
        <f t="shared" si="10"/>
        <v>0.16488542922844718</v>
      </c>
      <c r="J27" s="3">
        <f t="shared" si="10"/>
        <v>0.16488542922844718</v>
      </c>
      <c r="K27" s="3">
        <f t="shared" si="10"/>
        <v>0.16488542922844718</v>
      </c>
      <c r="L27" s="3">
        <f t="shared" si="10"/>
        <v>0.16488542922844718</v>
      </c>
      <c r="M27" s="3">
        <f t="shared" si="10"/>
        <v>0.16488542922844718</v>
      </c>
      <c r="N27" s="3">
        <f t="shared" si="10"/>
        <v>0.16488542922844718</v>
      </c>
      <c r="O27" s="3">
        <f t="shared" si="10"/>
        <v>0.16488542922844718</v>
      </c>
      <c r="P27" s="3">
        <f t="shared" si="10"/>
        <v>0.16488542922844718</v>
      </c>
      <c r="Q27" s="3"/>
      <c r="R27" s="3">
        <f>R38/R26</f>
        <v>0.16488542922844715</v>
      </c>
      <c r="S27" s="34" t="s">
        <v>1199</v>
      </c>
    </row>
    <row r="28" spans="1:20" x14ac:dyDescent="0.25">
      <c r="A28" t="s">
        <v>1177</v>
      </c>
      <c r="B28" s="45">
        <f>B26-B30</f>
        <v>192590.53599999999</v>
      </c>
      <c r="C28" s="3"/>
      <c r="D28" s="3"/>
      <c r="E28" s="45">
        <f>$R$28*E46/12</f>
        <v>128788.6273921739</v>
      </c>
      <c r="F28" s="45">
        <f t="shared" ref="F28:P28" si="11">$R$28*F46/12</f>
        <v>146350.71294565217</v>
      </c>
      <c r="G28" s="45">
        <f t="shared" si="11"/>
        <v>120007.58461543477</v>
      </c>
      <c r="H28" s="45">
        <f t="shared" si="11"/>
        <v>146350.71294565217</v>
      </c>
      <c r="I28" s="45">
        <f t="shared" si="11"/>
        <v>143423.69868673914</v>
      </c>
      <c r="J28" s="45">
        <f t="shared" si="11"/>
        <v>134642.65591</v>
      </c>
      <c r="K28" s="45">
        <f t="shared" si="11"/>
        <v>140496.68442782608</v>
      </c>
      <c r="L28" s="45">
        <f t="shared" si="11"/>
        <v>137569.67016891306</v>
      </c>
      <c r="M28" s="45">
        <f t="shared" si="11"/>
        <v>128788.6273921739</v>
      </c>
      <c r="N28" s="45">
        <f t="shared" si="11"/>
        <v>128788.6273921739</v>
      </c>
      <c r="O28" s="45">
        <f t="shared" si="11"/>
        <v>122934.59887434781</v>
      </c>
      <c r="P28" s="45">
        <f t="shared" si="11"/>
        <v>137569.67016891306</v>
      </c>
      <c r="Q28" s="3"/>
      <c r="R28" s="45">
        <f>R6*(1+2%)</f>
        <v>1615711.8709199999</v>
      </c>
      <c r="S28" s="34" t="s">
        <v>1209</v>
      </c>
    </row>
    <row r="29" spans="1:20" x14ac:dyDescent="0.25">
      <c r="A29" t="s">
        <v>1178</v>
      </c>
      <c r="B29" s="3">
        <f>B39/B28</f>
        <v>0.18527204888198659</v>
      </c>
      <c r="C29" s="3"/>
      <c r="D29" s="3"/>
      <c r="E29" s="3">
        <f>E39/E28</f>
        <v>0.15956848327976941</v>
      </c>
      <c r="F29" s="3">
        <f t="shared" ref="F29:R29" si="12">F39/F28</f>
        <v>0.15956848327976941</v>
      </c>
      <c r="G29" s="3">
        <f t="shared" si="12"/>
        <v>0.15956848327976941</v>
      </c>
      <c r="H29" s="3">
        <f t="shared" si="12"/>
        <v>0.15956848327976941</v>
      </c>
      <c r="I29" s="3">
        <f t="shared" si="12"/>
        <v>0.15956848327976944</v>
      </c>
      <c r="J29" s="3">
        <f t="shared" si="12"/>
        <v>0.15956848327976941</v>
      </c>
      <c r="K29" s="3">
        <f t="shared" si="12"/>
        <v>0.15956848327976941</v>
      </c>
      <c r="L29" s="3">
        <f t="shared" si="12"/>
        <v>0.15956848327976944</v>
      </c>
      <c r="M29" s="3">
        <f t="shared" si="12"/>
        <v>0.15956848327976941</v>
      </c>
      <c r="N29" s="3">
        <f t="shared" si="12"/>
        <v>0.15956848327976941</v>
      </c>
      <c r="O29" s="3">
        <f t="shared" si="12"/>
        <v>0.15956848327976941</v>
      </c>
      <c r="P29" s="3">
        <f t="shared" si="12"/>
        <v>0.15956848327976944</v>
      </c>
      <c r="Q29" s="3"/>
      <c r="R29" s="3">
        <f t="shared" si="12"/>
        <v>0.15956848327976939</v>
      </c>
      <c r="S29" s="34" t="s">
        <v>1199</v>
      </c>
    </row>
    <row r="30" spans="1:20" x14ac:dyDescent="0.25">
      <c r="A30" t="s">
        <v>1179</v>
      </c>
      <c r="B30" s="6">
        <f>B26*B32</f>
        <v>48147.633999999998</v>
      </c>
      <c r="C30" s="3"/>
      <c r="D30" s="3"/>
      <c r="E30" s="45">
        <f>$R$30*E46/12</f>
        <v>11624.921994782611</v>
      </c>
      <c r="F30" s="45">
        <f t="shared" ref="F30:P30" si="13">$R$30*F46/12</f>
        <v>13210.138630434783</v>
      </c>
      <c r="G30" s="45">
        <f t="shared" si="13"/>
        <v>10832.313676956523</v>
      </c>
      <c r="H30" s="45">
        <f t="shared" si="13"/>
        <v>13210.138630434783</v>
      </c>
      <c r="I30" s="45">
        <f t="shared" si="13"/>
        <v>12945.935857826089</v>
      </c>
      <c r="J30" s="45">
        <f t="shared" si="13"/>
        <v>12153.32754</v>
      </c>
      <c r="K30" s="45">
        <f t="shared" si="13"/>
        <v>12681.733085217391</v>
      </c>
      <c r="L30" s="45">
        <f t="shared" si="13"/>
        <v>12417.530312608696</v>
      </c>
      <c r="M30" s="45">
        <f t="shared" si="13"/>
        <v>11624.921994782611</v>
      </c>
      <c r="N30" s="45">
        <f t="shared" si="13"/>
        <v>11624.921994782611</v>
      </c>
      <c r="O30" s="45">
        <f t="shared" si="13"/>
        <v>11096.516449565219</v>
      </c>
      <c r="P30" s="45">
        <f t="shared" si="13"/>
        <v>12417.530312608696</v>
      </c>
      <c r="Q30" s="3"/>
      <c r="R30" s="45">
        <f>R8*(1+2%)</f>
        <v>145839.93048000001</v>
      </c>
      <c r="S30" s="34" t="s">
        <v>1209</v>
      </c>
    </row>
    <row r="31" spans="1:20" x14ac:dyDescent="0.25">
      <c r="A31" t="s">
        <v>1180</v>
      </c>
      <c r="B31" s="3">
        <v>0.2</v>
      </c>
      <c r="C31" s="3"/>
      <c r="D31" s="3"/>
      <c r="E31" s="3">
        <f>$T$9-1%</f>
        <v>0.22379009723016943</v>
      </c>
      <c r="F31" s="3">
        <f t="shared" ref="F31:P31" si="14">$T$9-1%</f>
        <v>0.22379009723016943</v>
      </c>
      <c r="G31" s="3">
        <f t="shared" si="14"/>
        <v>0.22379009723016943</v>
      </c>
      <c r="H31" s="3">
        <f>$T$9-1%</f>
        <v>0.22379009723016943</v>
      </c>
      <c r="I31" s="3">
        <f t="shared" si="14"/>
        <v>0.22379009723016943</v>
      </c>
      <c r="J31" s="3">
        <f t="shared" si="14"/>
        <v>0.22379009723016943</v>
      </c>
      <c r="K31" s="3">
        <f t="shared" si="14"/>
        <v>0.22379009723016943</v>
      </c>
      <c r="L31" s="3">
        <f t="shared" si="14"/>
        <v>0.22379009723016943</v>
      </c>
      <c r="M31" s="3">
        <f t="shared" si="14"/>
        <v>0.22379009723016943</v>
      </c>
      <c r="N31" s="3">
        <f t="shared" si="14"/>
        <v>0.22379009723016943</v>
      </c>
      <c r="O31" s="3">
        <f t="shared" si="14"/>
        <v>0.22379009723016943</v>
      </c>
      <c r="P31" s="3">
        <f t="shared" si="14"/>
        <v>0.22379009723016943</v>
      </c>
      <c r="Q31" s="3"/>
      <c r="R31" s="3">
        <f>R40/R30</f>
        <v>0.22379009723016943</v>
      </c>
      <c r="S31" s="34" t="s">
        <v>1210</v>
      </c>
    </row>
    <row r="32" spans="1:20" x14ac:dyDescent="0.25">
      <c r="A32" t="s">
        <v>1181</v>
      </c>
      <c r="B32" s="3">
        <v>0.2</v>
      </c>
      <c r="C32" s="3">
        <f>O11</f>
        <v>4.5813706217743826E-2</v>
      </c>
      <c r="D32" s="3">
        <f>P11</f>
        <v>5.0062465739365243E-2</v>
      </c>
      <c r="E32" s="3">
        <f>E30/E26</f>
        <v>8.2790599949483859E-2</v>
      </c>
      <c r="F32" s="3">
        <f t="shared" ref="F32:P32" si="15">F30/F26</f>
        <v>8.2790599949483845E-2</v>
      </c>
      <c r="G32" s="3">
        <f t="shared" si="15"/>
        <v>8.2790599949483859E-2</v>
      </c>
      <c r="H32" s="3">
        <f t="shared" si="15"/>
        <v>8.2790599949483845E-2</v>
      </c>
      <c r="I32" s="3">
        <f t="shared" si="15"/>
        <v>8.2790599949483845E-2</v>
      </c>
      <c r="J32" s="3">
        <f t="shared" si="15"/>
        <v>8.2790599949483831E-2</v>
      </c>
      <c r="K32" s="3">
        <f t="shared" si="15"/>
        <v>8.2790599949483831E-2</v>
      </c>
      <c r="L32" s="3">
        <f t="shared" si="15"/>
        <v>8.2790599949483831E-2</v>
      </c>
      <c r="M32" s="3">
        <f t="shared" si="15"/>
        <v>8.2790599949483859E-2</v>
      </c>
      <c r="N32" s="3">
        <f t="shared" si="15"/>
        <v>8.2790599949483859E-2</v>
      </c>
      <c r="O32" s="3">
        <f t="shared" si="15"/>
        <v>8.2790599949483859E-2</v>
      </c>
      <c r="P32" s="3">
        <f t="shared" si="15"/>
        <v>8.2790599949483831E-2</v>
      </c>
      <c r="Q32" s="3"/>
      <c r="R32" s="3">
        <f>R30/R26</f>
        <v>8.2790599949483845E-2</v>
      </c>
      <c r="S32" s="34" t="s">
        <v>1201</v>
      </c>
    </row>
    <row r="33" spans="1:19" x14ac:dyDescent="0.25">
      <c r="A33" t="s">
        <v>1182</v>
      </c>
      <c r="B33" s="3">
        <f>'[15]NW PARTS 230'!$B$28</f>
        <v>0.22186834767415575</v>
      </c>
      <c r="C33" s="3">
        <f>O16</f>
        <v>27701.55</v>
      </c>
      <c r="D33" s="3">
        <f>P16</f>
        <v>47252.59</v>
      </c>
      <c r="E33" s="3">
        <f>E41/E26</f>
        <v>7.7962256163124077E-2</v>
      </c>
      <c r="F33" s="3">
        <f t="shared" ref="F33:P33" si="16">F41/F26</f>
        <v>6.8606785423549199E-2</v>
      </c>
      <c r="G33" s="3">
        <f t="shared" si="16"/>
        <v>8.3666811492133175E-2</v>
      </c>
      <c r="H33" s="3">
        <f t="shared" si="16"/>
        <v>6.8606785423549199E-2</v>
      </c>
      <c r="I33" s="3">
        <f t="shared" si="16"/>
        <v>7.0006923901580809E-2</v>
      </c>
      <c r="J33" s="3">
        <f t="shared" si="16"/>
        <v>7.4572592851683911E-2</v>
      </c>
      <c r="K33" s="3">
        <f t="shared" si="16"/>
        <v>7.1465401482863747E-2</v>
      </c>
      <c r="L33" s="3">
        <f t="shared" si="16"/>
        <v>7.2985941939945939E-2</v>
      </c>
      <c r="M33" s="3">
        <f t="shared" si="16"/>
        <v>7.7962256163124077E-2</v>
      </c>
      <c r="N33" s="3">
        <f t="shared" si="16"/>
        <v>7.7962256163124077E-2</v>
      </c>
      <c r="O33" s="3">
        <f t="shared" si="16"/>
        <v>8.1674744551844286E-2</v>
      </c>
      <c r="P33" s="3">
        <f t="shared" si="16"/>
        <v>7.2985941939945939E-2</v>
      </c>
      <c r="Q33" s="3"/>
      <c r="R33" s="3">
        <f>R41/R26</f>
        <v>7.4572592851683911E-2</v>
      </c>
      <c r="S33" s="34" t="s">
        <v>1202</v>
      </c>
    </row>
    <row r="34" spans="1:19" x14ac:dyDescent="0.25">
      <c r="A34" s="7" t="s">
        <v>1183</v>
      </c>
      <c r="B34" s="6">
        <f>B26/B35</f>
        <v>80246.056666666656</v>
      </c>
      <c r="C34" s="6">
        <f>O19</f>
        <v>7031.5000000000009</v>
      </c>
      <c r="D34" s="6">
        <f>P19</f>
        <v>7180.09</v>
      </c>
      <c r="E34" s="6">
        <f>E26/E35</f>
        <v>140413.54938695653</v>
      </c>
      <c r="F34" s="6">
        <f t="shared" ref="F34:P34" si="17">F26/F35</f>
        <v>159560.85157608695</v>
      </c>
      <c r="G34" s="6">
        <f t="shared" si="17"/>
        <v>130839.89829239128</v>
      </c>
      <c r="H34" s="6">
        <f t="shared" si="17"/>
        <v>159560.85157608695</v>
      </c>
      <c r="I34" s="6">
        <f t="shared" si="17"/>
        <v>156369.63454456523</v>
      </c>
      <c r="J34" s="6">
        <f t="shared" si="17"/>
        <v>146795.98345</v>
      </c>
      <c r="K34" s="6">
        <f t="shared" si="17"/>
        <v>153178.41751304347</v>
      </c>
      <c r="L34" s="6">
        <f t="shared" si="17"/>
        <v>149987.20048152175</v>
      </c>
      <c r="M34" s="6">
        <f t="shared" si="17"/>
        <v>140413.54938695653</v>
      </c>
      <c r="N34" s="6">
        <f t="shared" si="17"/>
        <v>140413.54938695653</v>
      </c>
      <c r="O34" s="6">
        <f t="shared" si="17"/>
        <v>134031.11532391302</v>
      </c>
      <c r="P34" s="6">
        <f t="shared" si="17"/>
        <v>149987.20048152175</v>
      </c>
      <c r="Q34" s="3"/>
      <c r="R34" s="6">
        <f>R26/R35/12</f>
        <v>146795.98345</v>
      </c>
      <c r="S34" s="34" t="s">
        <v>1211</v>
      </c>
    </row>
    <row r="35" spans="1:19" x14ac:dyDescent="0.25">
      <c r="A35" s="7" t="s">
        <v>1184</v>
      </c>
      <c r="B35" s="60">
        <f>'[15]NW PARTS 230'!$B$33</f>
        <v>3</v>
      </c>
      <c r="C35" s="75">
        <f>O20</f>
        <v>20670.05</v>
      </c>
      <c r="D35" s="75">
        <f>P20</f>
        <v>40072.5</v>
      </c>
      <c r="E35" s="75">
        <v>1</v>
      </c>
      <c r="F35" s="75">
        <v>1</v>
      </c>
      <c r="G35" s="75">
        <v>1</v>
      </c>
      <c r="H35" s="75">
        <v>1</v>
      </c>
      <c r="I35" s="75">
        <v>1</v>
      </c>
      <c r="J35" s="75">
        <v>1</v>
      </c>
      <c r="K35" s="75">
        <v>1</v>
      </c>
      <c r="L35" s="75">
        <v>1</v>
      </c>
      <c r="M35" s="75">
        <v>1</v>
      </c>
      <c r="N35" s="75">
        <v>1</v>
      </c>
      <c r="O35" s="75">
        <v>1</v>
      </c>
      <c r="P35" s="75">
        <v>1</v>
      </c>
      <c r="Q35" s="3"/>
      <c r="R35" s="83">
        <f>AVERAGE(E35:P35)</f>
        <v>1</v>
      </c>
      <c r="S35" s="34"/>
    </row>
    <row r="36" spans="1:19" x14ac:dyDescent="0.25">
      <c r="B36" s="3"/>
      <c r="C36" s="3"/>
      <c r="D36" s="3"/>
      <c r="E36" s="3"/>
      <c r="F36" s="3"/>
      <c r="G36" s="3"/>
      <c r="H36" s="3"/>
      <c r="I36" s="3"/>
      <c r="J36" s="3"/>
      <c r="K36" s="3"/>
      <c r="L36" s="3"/>
      <c r="M36" s="3"/>
      <c r="N36" s="3"/>
      <c r="O36" s="3"/>
      <c r="P36" s="3"/>
      <c r="Q36" s="3"/>
      <c r="R36" s="3"/>
      <c r="S36" s="34"/>
    </row>
    <row r="37" spans="1:19" x14ac:dyDescent="0.25">
      <c r="A37" t="s">
        <v>1185</v>
      </c>
      <c r="B37" s="45">
        <f>'[15]NW PARTS 230'!$B$23</f>
        <v>0</v>
      </c>
      <c r="C37" s="6">
        <f>O15</f>
        <v>0</v>
      </c>
      <c r="D37" s="6">
        <f>P15</f>
        <v>24525</v>
      </c>
      <c r="E37" s="6">
        <v>0</v>
      </c>
      <c r="F37" s="6">
        <v>0</v>
      </c>
      <c r="G37" s="6">
        <f>'FEF Incentive Forecast FY2025'!D31*G35/'Parts - Group '!G35</f>
        <v>10968.75</v>
      </c>
      <c r="H37" s="6">
        <v>0</v>
      </c>
      <c r="I37" s="6">
        <v>0</v>
      </c>
      <c r="J37" s="6">
        <f>'FEF Incentive Forecast FY2025'!H31*J35/'Parts - Group '!J35</f>
        <v>9715.9090909090901</v>
      </c>
      <c r="K37" s="6">
        <v>0</v>
      </c>
      <c r="L37" s="6">
        <v>0</v>
      </c>
      <c r="M37" s="6">
        <f>'FEF Incentive Forecast FY2025'!L31*M35/'Parts - Group '!M35</f>
        <v>9488.636363636364</v>
      </c>
      <c r="O37" s="6">
        <v>0</v>
      </c>
      <c r="P37" s="6">
        <f>'FEF Incentive Forecast FY2025'!P31*P35/'Parts - Group '!P35</f>
        <v>9375</v>
      </c>
      <c r="Q37" s="3"/>
      <c r="R37" s="6">
        <f>SUM(E37:P37)</f>
        <v>39548.295454545456</v>
      </c>
      <c r="S37" s="120"/>
    </row>
    <row r="38" spans="1:19" x14ac:dyDescent="0.25">
      <c r="A38" s="7" t="s">
        <v>1186</v>
      </c>
      <c r="B38" s="45">
        <f>'[15]NW PARTS 230'!$B$24</f>
        <v>45311.17</v>
      </c>
      <c r="C38" s="6">
        <f>O16</f>
        <v>27701.55</v>
      </c>
      <c r="D38" s="6">
        <f>P16</f>
        <v>47252.59</v>
      </c>
      <c r="E38" s="6">
        <f>E26*E27</f>
        <v>23152.148360158091</v>
      </c>
      <c r="F38" s="6">
        <f t="shared" ref="F38:P38" si="18">F26*F27</f>
        <v>26309.259500179647</v>
      </c>
      <c r="G38" s="6">
        <f t="shared" si="18"/>
        <v>21573.592790147311</v>
      </c>
      <c r="H38" s="6">
        <f t="shared" si="18"/>
        <v>26309.259500179647</v>
      </c>
      <c r="I38" s="6">
        <f t="shared" si="18"/>
        <v>25783.07431017606</v>
      </c>
      <c r="J38" s="6">
        <f t="shared" si="18"/>
        <v>24204.518740165277</v>
      </c>
      <c r="K38" s="6">
        <f t="shared" si="18"/>
        <v>25256.889120172462</v>
      </c>
      <c r="L38" s="6">
        <f t="shared" si="18"/>
        <v>24730.703930168875</v>
      </c>
      <c r="M38" s="6">
        <f t="shared" si="18"/>
        <v>23152.148360158091</v>
      </c>
      <c r="N38" s="6">
        <f t="shared" si="18"/>
        <v>23152.148360158091</v>
      </c>
      <c r="O38" s="6">
        <f t="shared" si="18"/>
        <v>22099.777980150902</v>
      </c>
      <c r="P38" s="6">
        <f t="shared" si="18"/>
        <v>24730.703930168875</v>
      </c>
      <c r="R38" s="6">
        <f>SUM(E38:P38)</f>
        <v>290454.2248819833</v>
      </c>
      <c r="S38" s="120"/>
    </row>
    <row r="39" spans="1:19" x14ac:dyDescent="0.25">
      <c r="A39" s="7" t="s">
        <v>1187</v>
      </c>
      <c r="B39" s="45">
        <f>B38-B40</f>
        <v>35681.643199999999</v>
      </c>
      <c r="C39" s="6"/>
      <c r="D39" s="6"/>
      <c r="E39" s="6">
        <f>E38-E40</f>
        <v>20550.605936652555</v>
      </c>
      <c r="F39" s="6">
        <f t="shared" ref="F39:P39" si="19">F38-F40</f>
        <v>23352.96129165063</v>
      </c>
      <c r="G39" s="6">
        <f t="shared" si="19"/>
        <v>19149.428259153516</v>
      </c>
      <c r="H39" s="6">
        <f t="shared" si="19"/>
        <v>23352.96129165063</v>
      </c>
      <c r="I39" s="6">
        <f t="shared" si="19"/>
        <v>22885.902065817623</v>
      </c>
      <c r="J39" s="6">
        <f t="shared" si="19"/>
        <v>21484.72438831858</v>
      </c>
      <c r="K39" s="6">
        <f t="shared" si="19"/>
        <v>22418.842839984605</v>
      </c>
      <c r="L39" s="6">
        <f t="shared" si="19"/>
        <v>21951.783614151598</v>
      </c>
      <c r="M39" s="6">
        <f t="shared" si="19"/>
        <v>20550.605936652555</v>
      </c>
      <c r="N39" s="6">
        <f t="shared" si="19"/>
        <v>20550.605936652555</v>
      </c>
      <c r="O39" s="6">
        <f t="shared" si="19"/>
        <v>19616.487484986526</v>
      </c>
      <c r="P39" s="6">
        <f t="shared" si="19"/>
        <v>21951.783614151598</v>
      </c>
      <c r="R39" s="6">
        <f>SUM(E39:P39)</f>
        <v>257816.6926598229</v>
      </c>
      <c r="S39" s="34"/>
    </row>
    <row r="40" spans="1:19" x14ac:dyDescent="0.25">
      <c r="A40" s="7" t="s">
        <v>1188</v>
      </c>
      <c r="B40" s="45">
        <f>B30*B31</f>
        <v>9629.5267999999996</v>
      </c>
      <c r="C40" s="6"/>
      <c r="D40" s="6"/>
      <c r="E40" s="12">
        <f>E30*E31</f>
        <v>2601.5424235055357</v>
      </c>
      <c r="F40" s="12">
        <f t="shared" ref="F40:P40" si="20">F30*F31</f>
        <v>2956.2982085290173</v>
      </c>
      <c r="G40" s="12">
        <f t="shared" si="20"/>
        <v>2424.1645309937944</v>
      </c>
      <c r="H40" s="12">
        <f t="shared" si="20"/>
        <v>2956.2982085290173</v>
      </c>
      <c r="I40" s="12">
        <f t="shared" si="20"/>
        <v>2897.1722443584372</v>
      </c>
      <c r="J40" s="12">
        <f t="shared" si="20"/>
        <v>2719.7943518466959</v>
      </c>
      <c r="K40" s="12">
        <f t="shared" si="20"/>
        <v>2838.0462801878566</v>
      </c>
      <c r="L40" s="12">
        <f t="shared" si="20"/>
        <v>2778.9203160172765</v>
      </c>
      <c r="M40" s="12">
        <f t="shared" si="20"/>
        <v>2601.5424235055357</v>
      </c>
      <c r="N40" s="12">
        <f t="shared" si="20"/>
        <v>2601.5424235055357</v>
      </c>
      <c r="O40" s="12">
        <f t="shared" si="20"/>
        <v>2483.290495164375</v>
      </c>
      <c r="P40" s="12">
        <f t="shared" si="20"/>
        <v>2778.9203160172765</v>
      </c>
      <c r="R40" s="12">
        <f>SUM(E40:P40)</f>
        <v>32637.532222160353</v>
      </c>
      <c r="S40" s="34"/>
    </row>
    <row r="41" spans="1:19" x14ac:dyDescent="0.25">
      <c r="A41" s="7" t="s">
        <v>1076</v>
      </c>
      <c r="B41" s="6">
        <f>B26*B33</f>
        <v>53412.180000000008</v>
      </c>
      <c r="C41" s="6">
        <f>O19</f>
        <v>7031.5000000000009</v>
      </c>
      <c r="D41" s="6">
        <f>P19</f>
        <v>7180.09</v>
      </c>
      <c r="E41" s="12">
        <f>E48</f>
        <v>10946.957106079379</v>
      </c>
      <c r="F41" s="12">
        <f t="shared" ref="F41:P41" si="21">F48</f>
        <v>10946.957106079379</v>
      </c>
      <c r="G41" s="12">
        <f t="shared" si="21"/>
        <v>10946.957106079379</v>
      </c>
      <c r="H41" s="12">
        <f t="shared" si="21"/>
        <v>10946.957106079379</v>
      </c>
      <c r="I41" s="12">
        <f t="shared" si="21"/>
        <v>10946.957106079379</v>
      </c>
      <c r="J41" s="12">
        <f t="shared" si="21"/>
        <v>10946.957106079379</v>
      </c>
      <c r="K41" s="12">
        <f t="shared" si="21"/>
        <v>10946.957106079379</v>
      </c>
      <c r="L41" s="12">
        <f t="shared" si="21"/>
        <v>10946.957106079379</v>
      </c>
      <c r="M41" s="12">
        <f t="shared" si="21"/>
        <v>10946.957106079379</v>
      </c>
      <c r="N41" s="12">
        <f t="shared" si="21"/>
        <v>10946.957106079379</v>
      </c>
      <c r="O41" s="12">
        <f t="shared" si="21"/>
        <v>10946.957106079379</v>
      </c>
      <c r="P41" s="12">
        <f t="shared" si="21"/>
        <v>10946.957106079379</v>
      </c>
      <c r="R41" s="12">
        <f>SUM(E41:P41)</f>
        <v>131363.48527295256</v>
      </c>
      <c r="S41" s="34"/>
    </row>
    <row r="42" spans="1:19" ht="15.75" thickBot="1" x14ac:dyDescent="0.3">
      <c r="A42" s="9" t="s">
        <v>1078</v>
      </c>
      <c r="B42" s="10">
        <f>B38-B41</f>
        <v>-8101.0100000000093</v>
      </c>
      <c r="C42" s="10">
        <f>O20</f>
        <v>20670.05</v>
      </c>
      <c r="D42" s="10">
        <f>P20</f>
        <v>40072.5</v>
      </c>
      <c r="E42" s="10">
        <f>E38+E37-E41</f>
        <v>12205.191254078713</v>
      </c>
      <c r="F42" s="10">
        <f t="shared" ref="F42:P42" si="22">F38+F37-F41</f>
        <v>15362.302394100268</v>
      </c>
      <c r="G42" s="10">
        <f t="shared" si="22"/>
        <v>21595.385684067933</v>
      </c>
      <c r="H42" s="10">
        <f t="shared" si="22"/>
        <v>15362.302394100268</v>
      </c>
      <c r="I42" s="10">
        <f t="shared" si="22"/>
        <v>14836.117204096681</v>
      </c>
      <c r="J42" s="10">
        <f t="shared" si="22"/>
        <v>22973.47072499499</v>
      </c>
      <c r="K42" s="10">
        <f t="shared" si="22"/>
        <v>14309.932014093083</v>
      </c>
      <c r="L42" s="10">
        <f t="shared" si="22"/>
        <v>13783.746824089496</v>
      </c>
      <c r="M42" s="10">
        <f t="shared" si="22"/>
        <v>21693.827617715076</v>
      </c>
      <c r="N42" s="10">
        <f t="shared" si="22"/>
        <v>12205.191254078713</v>
      </c>
      <c r="O42" s="10">
        <f t="shared" si="22"/>
        <v>11152.820874071524</v>
      </c>
      <c r="P42" s="10">
        <f t="shared" si="22"/>
        <v>23158.7468240895</v>
      </c>
      <c r="R42" s="10">
        <f>R37+R38-R41</f>
        <v>198639.03506357622</v>
      </c>
      <c r="S42" s="122">
        <f>(R42-T20)/T3</f>
        <v>-6.861621595605126E-2</v>
      </c>
    </row>
    <row r="43" spans="1:19" ht="15.75" thickTop="1" x14ac:dyDescent="0.25">
      <c r="S43" s="34"/>
    </row>
    <row r="44" spans="1:19" x14ac:dyDescent="0.25">
      <c r="Q44" s="34"/>
      <c r="R44" t="s">
        <v>1205</v>
      </c>
      <c r="S44" s="120"/>
    </row>
    <row r="45" spans="1:19" x14ac:dyDescent="0.25">
      <c r="A45" t="s">
        <v>1206</v>
      </c>
      <c r="B45" s="121">
        <f t="shared" ref="B45:D45" si="23">B4/$R$45</f>
        <v>0.69829915499639628</v>
      </c>
      <c r="C45" s="121">
        <f t="shared" si="23"/>
        <v>0.79456644288723544</v>
      </c>
      <c r="D45" s="121">
        <f t="shared" si="23"/>
        <v>1.1521346553572887</v>
      </c>
      <c r="E45" s="121">
        <f>E4/$R$45</f>
        <v>0.90662790406204374</v>
      </c>
      <c r="F45" s="121">
        <f t="shared" ref="F45:P45" si="24">F4/$R$45</f>
        <v>0.88813781369165912</v>
      </c>
      <c r="G45" s="121">
        <f t="shared" si="24"/>
        <v>1.0121609781687797</v>
      </c>
      <c r="H45" s="121">
        <f t="shared" si="24"/>
        <v>0.81142289046737526</v>
      </c>
      <c r="I45" s="121">
        <f t="shared" si="24"/>
        <v>1.1331331613487683</v>
      </c>
      <c r="J45" s="121">
        <f t="shared" si="24"/>
        <v>1.0204895616304408</v>
      </c>
      <c r="K45" s="121">
        <f t="shared" si="24"/>
        <v>1.0441564326057176</v>
      </c>
      <c r="L45" s="121">
        <f t="shared" si="24"/>
        <v>1.0659111681573734</v>
      </c>
      <c r="M45" s="121">
        <f t="shared" si="24"/>
        <v>1.0426977510058022</v>
      </c>
      <c r="N45" s="121">
        <f t="shared" si="24"/>
        <v>1.0122566578983601</v>
      </c>
      <c r="O45" s="121">
        <f t="shared" si="24"/>
        <v>1.0664452236414372</v>
      </c>
      <c r="P45" s="121">
        <f t="shared" si="24"/>
        <v>0.99656045732223997</v>
      </c>
      <c r="Q45" s="34"/>
      <c r="R45" s="7">
        <f>AVERAGE($E$4:$P$4)</f>
        <v>143917.63083333336</v>
      </c>
      <c r="S45" s="120"/>
    </row>
    <row r="46" spans="1:19" x14ac:dyDescent="0.25">
      <c r="A46" s="137" t="s">
        <v>1345</v>
      </c>
      <c r="B46" s="137"/>
      <c r="C46" s="137"/>
      <c r="D46" s="137"/>
      <c r="E46" s="282">
        <v>0.95652173913043481</v>
      </c>
      <c r="F46" s="282">
        <v>1.0869565217391304</v>
      </c>
      <c r="G46" s="282">
        <v>0.89130434782608692</v>
      </c>
      <c r="H46" s="282">
        <v>1.0869565217391304</v>
      </c>
      <c r="I46" s="282">
        <v>1.0652173913043479</v>
      </c>
      <c r="J46" s="282">
        <v>1</v>
      </c>
      <c r="K46" s="282">
        <v>1.0434782608695652</v>
      </c>
      <c r="L46" s="282">
        <v>1.0217391304347827</v>
      </c>
      <c r="M46" s="282">
        <v>0.95652173913043481</v>
      </c>
      <c r="N46" s="282">
        <v>0.95652173913043481</v>
      </c>
      <c r="O46" s="282">
        <v>0.91304347826086951</v>
      </c>
      <c r="P46" s="282">
        <v>1.0217391304347827</v>
      </c>
    </row>
    <row r="48" spans="1:19" x14ac:dyDescent="0.25">
      <c r="A48" s="7" t="s">
        <v>1076</v>
      </c>
      <c r="E48" s="7">
        <f>SUMIFS('[18]Summary - Selling Expenses'!Z:Z,'[18]Summary - Selling Expenses'!$C:$C,330,'[18]Summary - Selling Expenses'!$E:$E,3)</f>
        <v>10946.957106079379</v>
      </c>
      <c r="F48" s="7">
        <f>SUMIFS('[18]Summary - Selling Expenses'!AA:AA,'[18]Summary - Selling Expenses'!$C:$C,330,'[18]Summary - Selling Expenses'!$E:$E,3)</f>
        <v>10946.957106079379</v>
      </c>
      <c r="G48" s="7">
        <f>SUMIFS('[18]Summary - Selling Expenses'!AB:AB,'[18]Summary - Selling Expenses'!$C:$C,330,'[18]Summary - Selling Expenses'!$E:$E,3)</f>
        <v>10946.957106079379</v>
      </c>
      <c r="H48" s="7">
        <f>SUMIFS('[18]Summary - Selling Expenses'!AC:AC,'[18]Summary - Selling Expenses'!$C:$C,330,'[18]Summary - Selling Expenses'!$E:$E,3)</f>
        <v>10946.957106079379</v>
      </c>
      <c r="I48" s="7">
        <f>SUMIFS('[18]Summary - Selling Expenses'!AD:AD,'[18]Summary - Selling Expenses'!$C:$C,330,'[18]Summary - Selling Expenses'!$E:$E,3)</f>
        <v>10946.957106079379</v>
      </c>
      <c r="J48" s="7">
        <f>SUMIFS('[18]Summary - Selling Expenses'!AE:AE,'[18]Summary - Selling Expenses'!$C:$C,330,'[18]Summary - Selling Expenses'!$E:$E,3)</f>
        <v>10946.957106079379</v>
      </c>
      <c r="K48" s="7">
        <f>SUMIFS('[18]Summary - Selling Expenses'!AF:AF,'[18]Summary - Selling Expenses'!$C:$C,330,'[18]Summary - Selling Expenses'!$E:$E,3)</f>
        <v>10946.957106079379</v>
      </c>
      <c r="L48" s="7">
        <f>SUMIFS('[18]Summary - Selling Expenses'!AG:AG,'[18]Summary - Selling Expenses'!$C:$C,330,'[18]Summary - Selling Expenses'!$E:$E,3)</f>
        <v>10946.957106079379</v>
      </c>
      <c r="M48" s="7">
        <f>SUMIFS('[18]Summary - Selling Expenses'!AH:AH,'[18]Summary - Selling Expenses'!$C:$C,330,'[18]Summary - Selling Expenses'!$E:$E,3)</f>
        <v>10946.957106079379</v>
      </c>
      <c r="N48" s="7">
        <f>SUMIFS('[18]Summary - Selling Expenses'!AI:AI,'[18]Summary - Selling Expenses'!$C:$C,330,'[18]Summary - Selling Expenses'!$E:$E,3)</f>
        <v>10946.957106079379</v>
      </c>
      <c r="O48" s="7">
        <f>SUMIFS('[18]Summary - Selling Expenses'!AJ:AJ,'[18]Summary - Selling Expenses'!$C:$C,330,'[18]Summary - Selling Expenses'!$E:$E,3)</f>
        <v>10946.957106079379</v>
      </c>
      <c r="P48" s="7">
        <f>SUMIFS('[18]Summary - Selling Expenses'!AK:AK,'[18]Summary - Selling Expenses'!$C:$C,330,'[18]Summary - Selling Expenses'!$E:$E,3)</f>
        <v>10946.957106079379</v>
      </c>
      <c r="R48" s="6">
        <f>SUM(E48:P48)</f>
        <v>131363.48527295256</v>
      </c>
    </row>
    <row r="49" spans="1:19" x14ac:dyDescent="0.25">
      <c r="R49" s="7">
        <f>R48-SUMIFS('[18]Summary - Selling Expenses'!$AL:$AL,'[18]Summary - Selling Expenses'!$C:$C,330,'[18]Summary - Selling Expenses'!$D:$D,'[18]Summary - Selling Expenses'!$D$357)</f>
        <v>0</v>
      </c>
      <c r="S49" s="34" t="s">
        <v>1093</v>
      </c>
    </row>
    <row r="50" spans="1:19" x14ac:dyDescent="0.25">
      <c r="A50" t="s">
        <v>1319</v>
      </c>
      <c r="E50" s="7">
        <f>E16-E15</f>
        <v>20361.779999999995</v>
      </c>
      <c r="F50" s="7">
        <f t="shared" ref="F50:P50" si="25">F16-F15</f>
        <v>20557</v>
      </c>
      <c r="G50" s="7">
        <f t="shared" si="25"/>
        <v>27171.25</v>
      </c>
      <c r="H50" s="7">
        <f t="shared" si="25"/>
        <v>14491.819999999996</v>
      </c>
      <c r="I50" s="7">
        <f t="shared" si="25"/>
        <v>27459.08</v>
      </c>
      <c r="J50" s="7">
        <f t="shared" si="25"/>
        <v>19347.599999999991</v>
      </c>
      <c r="K50" s="7">
        <f t="shared" si="25"/>
        <v>27587.199999999997</v>
      </c>
      <c r="L50" s="7">
        <f t="shared" si="25"/>
        <v>25280.94999999999</v>
      </c>
      <c r="M50" s="7">
        <f t="shared" si="25"/>
        <v>28113.149999999994</v>
      </c>
      <c r="N50" s="7">
        <f t="shared" si="25"/>
        <v>24751.479999999989</v>
      </c>
      <c r="O50" s="7">
        <f t="shared" si="25"/>
        <v>27701.55</v>
      </c>
      <c r="P50" s="7">
        <f t="shared" si="25"/>
        <v>22727.589999999997</v>
      </c>
      <c r="R50" s="6">
        <f>SUM(E50:P50)</f>
        <v>285550.44999999995</v>
      </c>
    </row>
    <row r="51" spans="1:19" x14ac:dyDescent="0.25">
      <c r="A51" t="s">
        <v>1320</v>
      </c>
      <c r="E51" s="7">
        <f>E38</f>
        <v>23152.148360158091</v>
      </c>
      <c r="F51" s="7">
        <f t="shared" ref="F51:P51" si="26">F38</f>
        <v>26309.259500179647</v>
      </c>
      <c r="G51" s="7">
        <f t="shared" si="26"/>
        <v>21573.592790147311</v>
      </c>
      <c r="H51" s="7">
        <f t="shared" si="26"/>
        <v>26309.259500179647</v>
      </c>
      <c r="I51" s="7">
        <f t="shared" si="26"/>
        <v>25783.07431017606</v>
      </c>
      <c r="J51" s="7">
        <f t="shared" si="26"/>
        <v>24204.518740165277</v>
      </c>
      <c r="K51" s="7">
        <f t="shared" si="26"/>
        <v>25256.889120172462</v>
      </c>
      <c r="L51" s="7">
        <f t="shared" si="26"/>
        <v>24730.703930168875</v>
      </c>
      <c r="M51" s="7">
        <f t="shared" si="26"/>
        <v>23152.148360158091</v>
      </c>
      <c r="N51" s="7">
        <f t="shared" si="26"/>
        <v>23152.148360158091</v>
      </c>
      <c r="O51" s="7">
        <f t="shared" si="26"/>
        <v>22099.777980150902</v>
      </c>
      <c r="P51" s="7">
        <f t="shared" si="26"/>
        <v>24730.703930168875</v>
      </c>
      <c r="R51" s="6">
        <f>SUM(E51:P51)</f>
        <v>290454.2248819833</v>
      </c>
    </row>
    <row r="52" spans="1:19" x14ac:dyDescent="0.25">
      <c r="A52" t="s">
        <v>1321</v>
      </c>
      <c r="E52" s="7">
        <f>E16</f>
        <v>20361.779999999995</v>
      </c>
      <c r="F52" s="7">
        <f t="shared" ref="F52:P52" si="27">F16</f>
        <v>20557</v>
      </c>
      <c r="G52" s="7">
        <f t="shared" si="27"/>
        <v>90493.47</v>
      </c>
      <c r="H52" s="7">
        <f t="shared" si="27"/>
        <v>14491.819999999996</v>
      </c>
      <c r="I52" s="7">
        <f t="shared" si="27"/>
        <v>27459.08</v>
      </c>
      <c r="J52" s="7">
        <f t="shared" si="27"/>
        <v>56722.599999999991</v>
      </c>
      <c r="K52" s="7">
        <f t="shared" si="27"/>
        <v>27587.199999999997</v>
      </c>
      <c r="L52" s="7">
        <f t="shared" si="27"/>
        <v>25280.94999999999</v>
      </c>
      <c r="M52" s="7">
        <f t="shared" si="27"/>
        <v>49713.149999999994</v>
      </c>
      <c r="N52" s="7">
        <f t="shared" si="27"/>
        <v>24751.479999999989</v>
      </c>
      <c r="O52" s="7">
        <f t="shared" si="27"/>
        <v>27701.55</v>
      </c>
      <c r="P52" s="7">
        <f t="shared" si="27"/>
        <v>47252.59</v>
      </c>
      <c r="R52" s="6">
        <f>SUM(E52:P52)</f>
        <v>432372.67000000004</v>
      </c>
    </row>
    <row r="53" spans="1:19" x14ac:dyDescent="0.25">
      <c r="A53" t="s">
        <v>1322</v>
      </c>
      <c r="E53" s="7">
        <f>E38+E37</f>
        <v>23152.148360158091</v>
      </c>
      <c r="F53" s="7">
        <f t="shared" ref="F53:P53" si="28">F38+F37</f>
        <v>26309.259500179647</v>
      </c>
      <c r="G53" s="7">
        <f t="shared" si="28"/>
        <v>32542.342790147311</v>
      </c>
      <c r="H53" s="7">
        <f t="shared" si="28"/>
        <v>26309.259500179647</v>
      </c>
      <c r="I53" s="7">
        <f t="shared" si="28"/>
        <v>25783.07431017606</v>
      </c>
      <c r="J53" s="7">
        <f t="shared" si="28"/>
        <v>33920.427831074368</v>
      </c>
      <c r="K53" s="7">
        <f t="shared" si="28"/>
        <v>25256.889120172462</v>
      </c>
      <c r="L53" s="7">
        <f t="shared" si="28"/>
        <v>24730.703930168875</v>
      </c>
      <c r="M53" s="7">
        <f t="shared" si="28"/>
        <v>32640.784723794455</v>
      </c>
      <c r="N53" s="7">
        <f t="shared" si="28"/>
        <v>23152.148360158091</v>
      </c>
      <c r="O53" s="7">
        <f t="shared" si="28"/>
        <v>22099.777980150902</v>
      </c>
      <c r="P53" s="7">
        <f t="shared" si="28"/>
        <v>34105.703930168878</v>
      </c>
      <c r="R53" s="6">
        <f>SUM(E53:P53)</f>
        <v>330002.52033652877</v>
      </c>
    </row>
  </sheetData>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85159-EF11-4F60-BCC5-2E89A7412215}">
  <sheetPr>
    <tabColor theme="9" tint="0.79998168889431442"/>
  </sheetPr>
  <dimension ref="A1:U53"/>
  <sheetViews>
    <sheetView zoomScale="85" zoomScaleNormal="85" workbookViewId="0">
      <selection activeCell="P20" sqref="P20"/>
    </sheetView>
  </sheetViews>
  <sheetFormatPr defaultRowHeight="15" x14ac:dyDescent="0.25"/>
  <cols>
    <col min="1" max="1" width="30.42578125" customWidth="1"/>
    <col min="2" max="4" width="9.5703125" hidden="1" customWidth="1"/>
    <col min="5" max="5" width="12.7109375" bestFit="1" customWidth="1"/>
    <col min="6" max="6" width="11.85546875" bestFit="1" customWidth="1"/>
    <col min="7" max="16" width="11.140625" bestFit="1" customWidth="1"/>
    <col min="17" max="17" width="2.85546875" customWidth="1"/>
    <col min="18" max="18" width="12.85546875" customWidth="1"/>
    <col min="19" max="19" width="10.140625" bestFit="1" customWidth="1"/>
    <col min="20" max="21" width="11.28515625" bestFit="1" customWidth="1"/>
  </cols>
  <sheetData>
    <row r="1" spans="1:21" ht="15.75" x14ac:dyDescent="0.25">
      <c r="A1" s="11" t="s">
        <v>1174</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c r="S1" s="34"/>
    </row>
    <row r="2" spans="1:21"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c r="S2" s="34"/>
    </row>
    <row r="3" spans="1:21" x14ac:dyDescent="0.25">
      <c r="S3" s="34"/>
      <c r="T3" s="7">
        <f>SUM(B4:M4)</f>
        <v>2563197.33</v>
      </c>
    </row>
    <row r="4" spans="1:21" x14ac:dyDescent="0.25">
      <c r="A4" s="7" t="s">
        <v>1175</v>
      </c>
      <c r="B4" s="6">
        <f>'[3]NW PARTS 430'!$B$13</f>
        <v>214058.77000000002</v>
      </c>
      <c r="C4" s="6">
        <f>'[4]NW PARTS 430'!$B$13</f>
        <v>171663.01</v>
      </c>
      <c r="D4" s="6">
        <f>'[5]NW PARTS 430'!$B$13</f>
        <v>232403.34999999998</v>
      </c>
      <c r="E4" s="6">
        <f>'[6]NW PARTS 430'!$B$13</f>
        <v>239195.27000000002</v>
      </c>
      <c r="F4" s="6">
        <f>'[7]NW PARTS 430'!$B$13</f>
        <v>234967.47999999998</v>
      </c>
      <c r="G4" s="6">
        <f>'[8]NW PARTS 430'!$B$13</f>
        <v>228145.09</v>
      </c>
      <c r="H4" s="6">
        <f>'[9]NW PARTS 430'!$B$13</f>
        <v>283420.22000000003</v>
      </c>
      <c r="I4" s="6">
        <f>'[10]NW PARTS 430'!$B$13</f>
        <v>199115.43</v>
      </c>
      <c r="J4" s="6">
        <f>'[11]NW PARTS 430'!$B$13</f>
        <v>215343.48</v>
      </c>
      <c r="K4" s="6">
        <f>'[12]NW PARTS 430'!$B$13</f>
        <v>172647.09999999998</v>
      </c>
      <c r="L4" s="6">
        <f>'[13]NW PARTS 430'!$B$13</f>
        <v>239617.95</v>
      </c>
      <c r="M4" s="6">
        <f>'[14]NW PARTS 430'!$B$13</f>
        <v>132620.18</v>
      </c>
      <c r="N4" s="6">
        <f>'[15]NW PARTS 430'!$B$13</f>
        <v>163814.15000000002</v>
      </c>
      <c r="O4" s="6">
        <f>'[16]NW PARTS 430'!$B$13</f>
        <v>256101.59</v>
      </c>
      <c r="P4" s="6">
        <f>'[17]NW PARTS 430'!$B$13</f>
        <v>141956.19</v>
      </c>
      <c r="Q4" s="8"/>
      <c r="R4" s="6">
        <f>SUM(E4:P4)</f>
        <v>2506944.1299999994</v>
      </c>
      <c r="S4" s="34"/>
      <c r="T4" s="7">
        <f>AVERAGE(D4:O4)</f>
        <v>216449.27416666664</v>
      </c>
      <c r="U4" t="s">
        <v>1194</v>
      </c>
    </row>
    <row r="5" spans="1:21" x14ac:dyDescent="0.25">
      <c r="A5" t="s">
        <v>1176</v>
      </c>
      <c r="B5" s="3">
        <f t="shared" ref="B5:P5" si="0">(B16-B15)/B4</f>
        <v>4.2032101744768603E-2</v>
      </c>
      <c r="C5" s="3">
        <f t="shared" si="0"/>
        <v>8.9555402762656847E-2</v>
      </c>
      <c r="D5" s="3">
        <f t="shared" si="0"/>
        <v>0.20790646950657127</v>
      </c>
      <c r="E5" s="3">
        <f t="shared" si="0"/>
        <v>0.12244397642144023</v>
      </c>
      <c r="F5" s="3">
        <f t="shared" si="0"/>
        <v>0.15259677637092589</v>
      </c>
      <c r="G5" s="3">
        <f t="shared" si="0"/>
        <v>0.15257593314850645</v>
      </c>
      <c r="H5" s="3">
        <f t="shared" si="0"/>
        <v>0.1497193107817078</v>
      </c>
      <c r="I5" s="3">
        <f t="shared" si="0"/>
        <v>0.14492568456397381</v>
      </c>
      <c r="J5" s="3">
        <f t="shared" si="0"/>
        <v>0.11770358684646502</v>
      </c>
      <c r="K5" s="3">
        <f t="shared" si="0"/>
        <v>0.1714468415629338</v>
      </c>
      <c r="L5" s="3">
        <f t="shared" si="0"/>
        <v>0.3915557661686031</v>
      </c>
      <c r="M5" s="3">
        <f t="shared" si="0"/>
        <v>0.20000123661421668</v>
      </c>
      <c r="N5" s="3">
        <f t="shared" si="0"/>
        <v>0.1656904485967787</v>
      </c>
      <c r="O5" s="3">
        <f t="shared" si="0"/>
        <v>0.14837381525042473</v>
      </c>
      <c r="P5" s="3">
        <f t="shared" si="0"/>
        <v>0.13476700100221056</v>
      </c>
      <c r="Q5" s="3"/>
      <c r="R5" s="3">
        <f>R16/R4</f>
        <v>0.19322723398706146</v>
      </c>
      <c r="S5" s="34"/>
      <c r="T5" s="44">
        <f>AVERAGE(E5:O5)</f>
        <v>0.17427576148417967</v>
      </c>
    </row>
    <row r="6" spans="1:21" x14ac:dyDescent="0.25">
      <c r="A6" t="s">
        <v>1177</v>
      </c>
      <c r="B6" s="3"/>
      <c r="C6" s="3"/>
      <c r="D6" s="3"/>
      <c r="E6" s="45">
        <f>E4-E8</f>
        <v>220829.52000000002</v>
      </c>
      <c r="F6" s="45">
        <f t="shared" ref="F6:N6" si="1">F4-F8</f>
        <v>234967.47999999998</v>
      </c>
      <c r="G6" s="45">
        <f t="shared" si="1"/>
        <v>210656.16999999998</v>
      </c>
      <c r="H6" s="45">
        <f t="shared" si="1"/>
        <v>278987.66000000003</v>
      </c>
      <c r="I6" s="45">
        <f t="shared" si="1"/>
        <v>186429.59</v>
      </c>
      <c r="J6" s="45">
        <f t="shared" si="1"/>
        <v>187307.84000000003</v>
      </c>
      <c r="K6" s="45">
        <f t="shared" si="1"/>
        <v>162853.86999999997</v>
      </c>
      <c r="L6" s="45">
        <f t="shared" si="1"/>
        <v>223760.03</v>
      </c>
      <c r="M6" s="45">
        <f t="shared" si="1"/>
        <v>113054.81</v>
      </c>
      <c r="N6" s="45">
        <f t="shared" si="1"/>
        <v>131051.32000000002</v>
      </c>
      <c r="O6" s="45">
        <f>O4-O8</f>
        <v>204881.272</v>
      </c>
      <c r="P6" s="45">
        <f>P4-P8</f>
        <v>113564.952</v>
      </c>
      <c r="Q6" s="3"/>
      <c r="R6" s="45">
        <f>SUM(E6:P6)</f>
        <v>2268344.514</v>
      </c>
      <c r="S6" s="34"/>
      <c r="T6" s="44"/>
    </row>
    <row r="7" spans="1:21" x14ac:dyDescent="0.25">
      <c r="A7" t="s">
        <v>1178</v>
      </c>
      <c r="B7" s="3"/>
      <c r="C7" s="3"/>
      <c r="D7" s="3"/>
      <c r="E7" s="3">
        <f>E17/E6</f>
        <v>0.11673405428314126</v>
      </c>
      <c r="F7" s="3">
        <f t="shared" ref="F7:P7" si="2">F17/F6</f>
        <v>0.15259677637092589</v>
      </c>
      <c r="G7" s="3">
        <f t="shared" si="2"/>
        <v>0.14393973425036632</v>
      </c>
      <c r="H7" s="3">
        <f t="shared" si="2"/>
        <v>0.14617500154666338</v>
      </c>
      <c r="I7" s="3">
        <f t="shared" si="2"/>
        <v>0.13881007177025925</v>
      </c>
      <c r="J7" s="3">
        <f t="shared" si="2"/>
        <v>0.14427548600208087</v>
      </c>
      <c r="K7" s="3">
        <f t="shared" si="2"/>
        <v>0.16070953364510154</v>
      </c>
      <c r="L7" s="3">
        <f t="shared" si="2"/>
        <v>0.40285642957770446</v>
      </c>
      <c r="M7" s="3">
        <f>M17/M6</f>
        <v>0.3774393268274035</v>
      </c>
      <c r="N7" s="3">
        <f t="shared" si="2"/>
        <v>0.15711306074597337</v>
      </c>
      <c r="O7" s="3">
        <f t="shared" si="2"/>
        <v>0.13546726906303089</v>
      </c>
      <c r="P7" s="3">
        <f t="shared" si="2"/>
        <v>0.33441446265921893</v>
      </c>
      <c r="Q7" s="3"/>
      <c r="R7" s="3">
        <f>R17/R6</f>
        <v>0.18998333901232081</v>
      </c>
      <c r="S7" s="34"/>
      <c r="T7" s="44"/>
    </row>
    <row r="8" spans="1:21" x14ac:dyDescent="0.25">
      <c r="A8" t="s">
        <v>1179</v>
      </c>
      <c r="B8" s="3"/>
      <c r="C8" s="3"/>
      <c r="D8" s="3"/>
      <c r="E8" s="6">
        <v>18365.75</v>
      </c>
      <c r="F8" s="6">
        <v>0</v>
      </c>
      <c r="G8" s="6">
        <v>17488.919999999998</v>
      </c>
      <c r="H8" s="6">
        <v>4432.5600000000004</v>
      </c>
      <c r="I8" s="6">
        <v>12685.84</v>
      </c>
      <c r="J8" s="6">
        <v>28035.64</v>
      </c>
      <c r="K8" s="6">
        <v>9793.23</v>
      </c>
      <c r="L8" s="6">
        <v>15857.92</v>
      </c>
      <c r="M8" s="6">
        <v>19565.37</v>
      </c>
      <c r="N8" s="6">
        <f>N4*N10</f>
        <v>32762.830000000005</v>
      </c>
      <c r="O8" s="6">
        <f>O4*O10</f>
        <v>51220.317999999999</v>
      </c>
      <c r="P8" s="6">
        <f>P4*P10</f>
        <v>28391.238000000001</v>
      </c>
      <c r="Q8" s="3"/>
      <c r="R8" s="45">
        <f>SUM(E8:P8)</f>
        <v>238599.61600000001</v>
      </c>
      <c r="S8" s="34"/>
      <c r="T8" s="7">
        <f>AVERAGE(E8:O8)</f>
        <v>19109.852545454545</v>
      </c>
      <c r="U8" t="s">
        <v>1194</v>
      </c>
    </row>
    <row r="9" spans="1:21" x14ac:dyDescent="0.25">
      <c r="A9" t="s">
        <v>1180</v>
      </c>
      <c r="B9" s="3"/>
      <c r="C9" s="3"/>
      <c r="D9" s="3"/>
      <c r="E9" s="3">
        <v>0.19109999999999999</v>
      </c>
      <c r="F9" s="3">
        <v>0.17330000000000001</v>
      </c>
      <c r="G9" s="3">
        <v>0.25659999999999999</v>
      </c>
      <c r="H9" s="3">
        <v>0.37280000000000002</v>
      </c>
      <c r="I9" s="3">
        <v>0.23480000000000001</v>
      </c>
      <c r="J9" s="3">
        <v>0.20680000000000001</v>
      </c>
      <c r="K9" s="3">
        <v>0.35</v>
      </c>
      <c r="L9" s="3">
        <v>0.2321</v>
      </c>
      <c r="M9" s="3">
        <v>0.2787</v>
      </c>
      <c r="N9" s="3">
        <v>0.2</v>
      </c>
      <c r="O9" s="3">
        <v>0.2</v>
      </c>
      <c r="P9" s="3">
        <v>0.2</v>
      </c>
      <c r="Q9" s="3"/>
      <c r="R9" s="3">
        <f>R18/R8</f>
        <v>0.22406664392955269</v>
      </c>
      <c r="S9" s="34"/>
      <c r="T9" s="44">
        <f>AVERAGE(E18:O18)/T8</f>
        <v>0.22731714146997514</v>
      </c>
    </row>
    <row r="10" spans="1:21" x14ac:dyDescent="0.25">
      <c r="A10" t="s">
        <v>1181</v>
      </c>
      <c r="B10" s="3"/>
      <c r="C10" s="3"/>
      <c r="D10" s="3"/>
      <c r="E10" s="3">
        <f t="shared" ref="E10:M10" si="3">E8/E4</f>
        <v>7.6781409598943987E-2</v>
      </c>
      <c r="F10" s="3">
        <f t="shared" si="3"/>
        <v>0</v>
      </c>
      <c r="G10" s="3">
        <f t="shared" si="3"/>
        <v>7.6657008046940645E-2</v>
      </c>
      <c r="H10" s="3">
        <f t="shared" si="3"/>
        <v>1.5639533410848387E-2</v>
      </c>
      <c r="I10" s="3">
        <f t="shared" si="3"/>
        <v>6.3710984126142317E-2</v>
      </c>
      <c r="J10" s="3">
        <f t="shared" si="3"/>
        <v>0.13019033592287074</v>
      </c>
      <c r="K10" s="3">
        <f t="shared" si="3"/>
        <v>5.6723976249818273E-2</v>
      </c>
      <c r="L10" s="3">
        <f t="shared" si="3"/>
        <v>6.6180016981198603E-2</v>
      </c>
      <c r="M10" s="3">
        <f t="shared" si="3"/>
        <v>0.14752935790013255</v>
      </c>
      <c r="N10" s="3">
        <v>0.2</v>
      </c>
      <c r="O10" s="3">
        <v>0.2</v>
      </c>
      <c r="P10" s="3">
        <v>0.2</v>
      </c>
      <c r="Q10" s="3"/>
      <c r="R10" s="3">
        <f>R8/R4</f>
        <v>9.5175482031982922E-2</v>
      </c>
      <c r="S10" s="34"/>
      <c r="T10" s="44"/>
    </row>
    <row r="11" spans="1:21" x14ac:dyDescent="0.25">
      <c r="A11" t="s">
        <v>1182</v>
      </c>
      <c r="B11" s="3">
        <f>'[3]NW PARTS 430'!$B$28</f>
        <v>3.0461213992774037E-2</v>
      </c>
      <c r="C11" s="3">
        <f>'[4]NW PARTS 430'!$B$28</f>
        <v>4.1985224423129942E-2</v>
      </c>
      <c r="D11" s="3">
        <f>'[5]NW PARTS 430'!$B$28</f>
        <v>3.7455914469391262E-2</v>
      </c>
      <c r="E11" s="3">
        <f>'[6]NW PARTS 430'!$B$28</f>
        <v>7.3845523784813964E-3</v>
      </c>
      <c r="F11" s="3">
        <f>'[7]NW PARTS 430'!$B$28</f>
        <v>3.3599628340057953E-2</v>
      </c>
      <c r="G11" s="3">
        <f>'[8]NW PARTS 430'!$B$28</f>
        <v>3.9885101187143668E-2</v>
      </c>
      <c r="H11" s="3">
        <f>'[9]NW PARTS 430'!$B$28</f>
        <v>2.8258357854637185E-2</v>
      </c>
      <c r="I11" s="3">
        <f>'[10]NW PARTS 430'!$B$28</f>
        <v>4.237757967828009E-2</v>
      </c>
      <c r="J11" s="3">
        <f>'[11]NW PARTS 430'!$B$28</f>
        <v>3.4478220561867022E-2</v>
      </c>
      <c r="K11" s="3">
        <f>'[12]NW PARTS 430'!$B$28</f>
        <v>5.9221846182183194E-2</v>
      </c>
      <c r="L11" s="3">
        <f>'[13]NW PARTS 430'!$B$28</f>
        <v>3.344978955040722E-2</v>
      </c>
      <c r="M11" s="3">
        <f>'[14]NW PARTS 430'!$B$28</f>
        <v>6.2911240204922059E-2</v>
      </c>
      <c r="N11" s="3">
        <f>'[15]NW PARTS 430'!$B$28</f>
        <v>6.0723508927647579E-2</v>
      </c>
      <c r="O11" s="3">
        <f>'[16]NW PARTS 430'!$B$28</f>
        <v>3.426811992850181E-2</v>
      </c>
      <c r="P11" s="3">
        <f>'[17]NW PARTS 430'!$B$28</f>
        <v>2.374866499305173E-2</v>
      </c>
      <c r="Q11" s="3"/>
      <c r="R11" s="3">
        <f>R19/R4</f>
        <v>3.6422889887059433E-2</v>
      </c>
      <c r="S11" s="34"/>
    </row>
    <row r="12" spans="1:21" x14ac:dyDescent="0.25">
      <c r="A12" s="7" t="s">
        <v>1183</v>
      </c>
      <c r="B12" s="6">
        <f t="shared" ref="B12:P12" si="4">B4/B13</f>
        <v>214058.77000000002</v>
      </c>
      <c r="C12" s="6">
        <f t="shared" si="4"/>
        <v>171663.01</v>
      </c>
      <c r="D12" s="6">
        <f t="shared" si="4"/>
        <v>232403.34999999998</v>
      </c>
      <c r="E12" s="6">
        <f t="shared" si="4"/>
        <v>239195.27000000002</v>
      </c>
      <c r="F12" s="6">
        <f t="shared" si="4"/>
        <v>234967.47999999998</v>
      </c>
      <c r="G12" s="6">
        <f t="shared" si="4"/>
        <v>228145.09</v>
      </c>
      <c r="H12" s="6">
        <f t="shared" si="4"/>
        <v>283420.22000000003</v>
      </c>
      <c r="I12" s="6">
        <f t="shared" si="4"/>
        <v>199115.43</v>
      </c>
      <c r="J12" s="6">
        <f t="shared" si="4"/>
        <v>215343.48</v>
      </c>
      <c r="K12" s="6">
        <f t="shared" si="4"/>
        <v>172647.09999999998</v>
      </c>
      <c r="L12" s="6">
        <f t="shared" si="4"/>
        <v>239617.95</v>
      </c>
      <c r="M12" s="6">
        <f t="shared" si="4"/>
        <v>132620.18</v>
      </c>
      <c r="N12" s="6">
        <f t="shared" si="4"/>
        <v>163814.15000000002</v>
      </c>
      <c r="O12" s="6">
        <f t="shared" si="4"/>
        <v>256101.59</v>
      </c>
      <c r="P12" s="6">
        <f t="shared" si="4"/>
        <v>141956.19</v>
      </c>
      <c r="Q12" s="3"/>
      <c r="R12" s="45">
        <f>AVERAGE(E12:P12)</f>
        <v>208912.01083333328</v>
      </c>
      <c r="S12" s="34"/>
      <c r="T12" s="15">
        <f>T4/T13</f>
        <v>216449.27416666664</v>
      </c>
      <c r="U12" s="15"/>
    </row>
    <row r="13" spans="1:21" x14ac:dyDescent="0.25">
      <c r="A13" s="7" t="s">
        <v>1184</v>
      </c>
      <c r="B13" s="60">
        <f>'[3]NW PARTS 430'!$B$33</f>
        <v>1</v>
      </c>
      <c r="C13" s="60">
        <f>'[4]NW PARTS 430'!$B$33</f>
        <v>1</v>
      </c>
      <c r="D13" s="60">
        <f>'[5]NW PARTS 430'!$B$33</f>
        <v>1</v>
      </c>
      <c r="E13" s="60">
        <f>'[6]NW PARTS 430'!$B$33</f>
        <v>1</v>
      </c>
      <c r="F13" s="60">
        <f>'[7]NW PARTS 430'!$B$33</f>
        <v>1</v>
      </c>
      <c r="G13" s="60">
        <f>'[8]NW PARTS 430'!$B$33</f>
        <v>1</v>
      </c>
      <c r="H13" s="60">
        <f>'[9]NW PARTS 430'!$B$33</f>
        <v>1</v>
      </c>
      <c r="I13" s="60">
        <f>'[10]NW PARTS 430'!$B$33</f>
        <v>1</v>
      </c>
      <c r="J13" s="60">
        <f>'[11]NW PARTS 430'!$B$33</f>
        <v>1</v>
      </c>
      <c r="K13" s="60">
        <f>'[12]NW PARTS 430'!$B$33</f>
        <v>1</v>
      </c>
      <c r="L13" s="60">
        <f>'[13]NW PARTS 430'!$B$33</f>
        <v>1</v>
      </c>
      <c r="M13" s="60">
        <f>'[14]NW PARTS 430'!$B$33</f>
        <v>1</v>
      </c>
      <c r="N13" s="60">
        <f>'[15]NW PARTS 430'!$B$33</f>
        <v>1</v>
      </c>
      <c r="O13" s="60">
        <f>'[15]NW PARTS 430'!$B$33</f>
        <v>1</v>
      </c>
      <c r="P13" s="60">
        <v>1</v>
      </c>
      <c r="Q13" s="3"/>
      <c r="R13" s="83">
        <f>AVERAGE(E13:P13)</f>
        <v>1</v>
      </c>
      <c r="S13" s="34"/>
      <c r="T13" s="121">
        <f>AVERAGE(E13:O13)</f>
        <v>1</v>
      </c>
      <c r="U13" s="121"/>
    </row>
    <row r="14" spans="1:21" x14ac:dyDescent="0.25">
      <c r="B14" s="3"/>
      <c r="C14" s="3"/>
      <c r="D14" s="3"/>
      <c r="E14" s="3"/>
      <c r="F14" s="3"/>
      <c r="G14" s="3"/>
      <c r="H14" s="3"/>
      <c r="I14" s="3"/>
      <c r="J14" s="3"/>
      <c r="K14" s="3"/>
      <c r="L14" s="3"/>
      <c r="M14" s="3"/>
      <c r="N14" s="3"/>
      <c r="O14" s="3"/>
      <c r="P14" s="3"/>
      <c r="Q14" s="3"/>
      <c r="R14" s="3"/>
      <c r="S14" s="34"/>
    </row>
    <row r="15" spans="1:21" x14ac:dyDescent="0.25">
      <c r="A15" t="s">
        <v>1185</v>
      </c>
      <c r="B15" s="45">
        <f>'[3]NW PARTS 430'!$B$23</f>
        <v>10167.14</v>
      </c>
      <c r="C15" s="45">
        <f>'[4]NW PARTS 430'!$B$23</f>
        <v>0</v>
      </c>
      <c r="D15" s="45">
        <f>'[5]NW PARTS 430'!$B$23</f>
        <v>20193.75</v>
      </c>
      <c r="E15" s="45">
        <f>'[6]NW PARTS 430'!$B$23</f>
        <v>0</v>
      </c>
      <c r="F15" s="45">
        <f>'[7]NW PARTS 430'!$B$23</f>
        <v>0</v>
      </c>
      <c r="G15" s="45">
        <f>'[8]NW PARTS 430'!$B$23</f>
        <v>0</v>
      </c>
      <c r="H15" s="45">
        <f>'[9]NW PARTS 430'!$B$23</f>
        <v>0</v>
      </c>
      <c r="I15" s="45">
        <f>'[10]NW PARTS 430'!$B$23</f>
        <v>0</v>
      </c>
      <c r="J15" s="45">
        <f>'[11]NW PARTS 430'!$B$23</f>
        <v>7475</v>
      </c>
      <c r="K15" s="45">
        <f>'[12]NW PARTS 430'!$B$23</f>
        <v>0</v>
      </c>
      <c r="L15" s="45">
        <f>'[13]NW PARTS 430'!$B$23</f>
        <v>0</v>
      </c>
      <c r="M15" s="45">
        <f>'[14]NW PARTS 430'!$B$23</f>
        <v>21600</v>
      </c>
      <c r="N15" s="45">
        <f>'[15]NW PARTS 430'!$B$23</f>
        <v>0</v>
      </c>
      <c r="O15" s="45">
        <f>'[16]NW PARTS 430'!$B$23</f>
        <v>0</v>
      </c>
      <c r="P15" s="45">
        <f>'[17]NW PARTS 430'!$B$23</f>
        <v>24525</v>
      </c>
      <c r="Q15" s="3"/>
      <c r="R15" s="6">
        <f>SUM(E15:P15)</f>
        <v>53600</v>
      </c>
      <c r="S15" s="34"/>
    </row>
    <row r="16" spans="1:21" x14ac:dyDescent="0.25">
      <c r="A16" s="7" t="s">
        <v>1186</v>
      </c>
      <c r="B16" s="45">
        <f>'[3]NW PARTS 430'!$B$24</f>
        <v>19164.480000000021</v>
      </c>
      <c r="C16" s="45">
        <f>'[4]NW PARTS 430'!$B$24</f>
        <v>15373.349999999991</v>
      </c>
      <c r="D16" s="45">
        <f>'[5]NW PARTS 430'!$B$24</f>
        <v>68511.91</v>
      </c>
      <c r="E16" s="45">
        <f>'[6]NW PARTS 430'!$B$24</f>
        <v>29288.02000000003</v>
      </c>
      <c r="F16" s="45">
        <f>'[7]NW PARTS 430'!$B$24</f>
        <v>35855.279999999999</v>
      </c>
      <c r="G16" s="45">
        <f>'[8]NW PARTS 430'!$B$24</f>
        <v>34809.44999999999</v>
      </c>
      <c r="H16" s="45">
        <f>'[9]NW PARTS 430'!$B$24</f>
        <v>42433.48</v>
      </c>
      <c r="I16" s="45">
        <f>'[10]NW PARTS 430'!$B$24</f>
        <v>28856.940000000006</v>
      </c>
      <c r="J16" s="45">
        <f>'[11]NW PARTS 430'!$B$24</f>
        <v>32821.700000000004</v>
      </c>
      <c r="K16" s="45">
        <f>'[12]NW PARTS 430'!$B$24</f>
        <v>29599.799999999985</v>
      </c>
      <c r="L16" s="45">
        <f>'[13]NW PARTS 430'!$B$24</f>
        <v>93823.790000000037</v>
      </c>
      <c r="M16" s="45">
        <f>'[14]NW PARTS 430'!$B$24</f>
        <v>48124.200000000004</v>
      </c>
      <c r="N16" s="45">
        <f>'[15]NW PARTS 430'!$B$24</f>
        <v>27142.44</v>
      </c>
      <c r="O16" s="45">
        <f>'[16]NW PARTS 430'!$B$24</f>
        <v>37998.770000000019</v>
      </c>
      <c r="P16" s="45">
        <f>'[17]NW PARTS 430'!$B$24</f>
        <v>43656.009999999995</v>
      </c>
      <c r="R16" s="6">
        <f>SUM(E16:P16)</f>
        <v>484409.88000000012</v>
      </c>
      <c r="S16" s="34"/>
    </row>
    <row r="17" spans="1:20" x14ac:dyDescent="0.25">
      <c r="A17" s="7" t="s">
        <v>1187</v>
      </c>
      <c r="B17" s="45"/>
      <c r="C17" s="45"/>
      <c r="D17" s="45"/>
      <c r="E17" s="45">
        <f>E16-E18</f>
        <v>25778.325175000031</v>
      </c>
      <c r="F17" s="45">
        <f t="shared" ref="F17:P17" si="5">F16-F18</f>
        <v>35855.279999999999</v>
      </c>
      <c r="G17" s="45">
        <f t="shared" si="5"/>
        <v>30321.79312799999</v>
      </c>
      <c r="H17" s="45">
        <f t="shared" si="5"/>
        <v>40781.021632000004</v>
      </c>
      <c r="I17" s="45">
        <f t="shared" si="5"/>
        <v>25878.304768000005</v>
      </c>
      <c r="J17" s="45">
        <f t="shared" si="5"/>
        <v>27023.929648000005</v>
      </c>
      <c r="K17" s="45">
        <f t="shared" si="5"/>
        <v>26172.169499999985</v>
      </c>
      <c r="L17" s="45">
        <f t="shared" si="5"/>
        <v>90143.166768000039</v>
      </c>
      <c r="M17" s="45">
        <f t="shared" si="5"/>
        <v>42671.331381000004</v>
      </c>
      <c r="N17" s="45">
        <f t="shared" si="5"/>
        <v>20589.873999999996</v>
      </c>
      <c r="O17" s="45">
        <f t="shared" si="5"/>
        <v>27754.706400000017</v>
      </c>
      <c r="P17" s="45">
        <f t="shared" si="5"/>
        <v>37977.762399999992</v>
      </c>
      <c r="R17" s="6">
        <f>SUM(E17:P17)</f>
        <v>430947.66480000009</v>
      </c>
      <c r="S17" s="34"/>
    </row>
    <row r="18" spans="1:20" x14ac:dyDescent="0.25">
      <c r="A18" s="7" t="s">
        <v>1188</v>
      </c>
      <c r="B18" s="45"/>
      <c r="C18" s="45"/>
      <c r="D18" s="45"/>
      <c r="E18" s="45">
        <f>E8*E9</f>
        <v>3509.694825</v>
      </c>
      <c r="F18" s="45">
        <f t="shared" ref="F18:O18" si="6">F8*F9</f>
        <v>0</v>
      </c>
      <c r="G18" s="45">
        <f t="shared" si="6"/>
        <v>4487.6568719999996</v>
      </c>
      <c r="H18" s="45">
        <f t="shared" si="6"/>
        <v>1652.4583680000003</v>
      </c>
      <c r="I18" s="45">
        <f t="shared" si="6"/>
        <v>2978.6352320000001</v>
      </c>
      <c r="J18" s="45">
        <f t="shared" si="6"/>
        <v>5797.7703520000005</v>
      </c>
      <c r="K18" s="45">
        <f t="shared" si="6"/>
        <v>3427.6304999999998</v>
      </c>
      <c r="L18" s="45">
        <f t="shared" si="6"/>
        <v>3680.6232319999999</v>
      </c>
      <c r="M18" s="45">
        <f>M8*M9</f>
        <v>5452.8686189999999</v>
      </c>
      <c r="N18" s="45">
        <f t="shared" si="6"/>
        <v>6552.5660000000016</v>
      </c>
      <c r="O18" s="45">
        <f t="shared" si="6"/>
        <v>10244.063600000001</v>
      </c>
      <c r="P18" s="45">
        <f>P8*P9</f>
        <v>5678.2476000000006</v>
      </c>
      <c r="R18" s="6">
        <f>SUM(E18:P18)</f>
        <v>53462.215200000006</v>
      </c>
      <c r="S18" s="34"/>
    </row>
    <row r="19" spans="1:20" x14ac:dyDescent="0.25">
      <c r="A19" s="7" t="s">
        <v>1076</v>
      </c>
      <c r="B19" s="6">
        <f t="shared" ref="B19:P19" si="7">B4*B11</f>
        <v>6520.49</v>
      </c>
      <c r="C19" s="6">
        <f t="shared" si="7"/>
        <v>7207.3099999999995</v>
      </c>
      <c r="D19" s="6">
        <f t="shared" si="7"/>
        <v>8704.880000000001</v>
      </c>
      <c r="E19" s="6">
        <f t="shared" si="7"/>
        <v>1766.35</v>
      </c>
      <c r="F19" s="6">
        <f t="shared" si="7"/>
        <v>7894.82</v>
      </c>
      <c r="G19" s="6">
        <f t="shared" si="7"/>
        <v>9099.5899999999983</v>
      </c>
      <c r="H19" s="6">
        <f t="shared" si="7"/>
        <v>8008.99</v>
      </c>
      <c r="I19" s="6">
        <f t="shared" si="7"/>
        <v>8438.0300000000007</v>
      </c>
      <c r="J19" s="6">
        <f t="shared" si="7"/>
        <v>7424.66</v>
      </c>
      <c r="K19" s="6">
        <f t="shared" si="7"/>
        <v>10224.48</v>
      </c>
      <c r="L19" s="6">
        <f t="shared" si="7"/>
        <v>8015.17</v>
      </c>
      <c r="M19" s="6">
        <f t="shared" si="7"/>
        <v>8343.2999999999993</v>
      </c>
      <c r="N19" s="6">
        <f t="shared" si="7"/>
        <v>9947.3700000000008</v>
      </c>
      <c r="O19" s="6">
        <f t="shared" si="7"/>
        <v>8776.119999999999</v>
      </c>
      <c r="P19" s="6">
        <f t="shared" si="7"/>
        <v>3371.27</v>
      </c>
      <c r="R19" s="6">
        <f>SUM(E19:P19)</f>
        <v>91310.15</v>
      </c>
      <c r="S19" s="34"/>
      <c r="T19" s="7">
        <f>AVERAGE(E19:O19)</f>
        <v>7994.4436363636351</v>
      </c>
    </row>
    <row r="20" spans="1:20" ht="15.75" thickBot="1" x14ac:dyDescent="0.3">
      <c r="A20" s="9" t="s">
        <v>1078</v>
      </c>
      <c r="B20" s="10">
        <f t="shared" ref="B20:P20" si="8">B16-B19</f>
        <v>12643.990000000022</v>
      </c>
      <c r="C20" s="10">
        <f t="shared" si="8"/>
        <v>8166.0399999999918</v>
      </c>
      <c r="D20" s="10">
        <f t="shared" si="8"/>
        <v>59807.03</v>
      </c>
      <c r="E20" s="10">
        <f t="shared" si="8"/>
        <v>27521.670000000031</v>
      </c>
      <c r="F20" s="10">
        <f t="shared" si="8"/>
        <v>27960.46</v>
      </c>
      <c r="G20" s="10">
        <f>G16-G19</f>
        <v>25709.859999999993</v>
      </c>
      <c r="H20" s="10">
        <f t="shared" si="8"/>
        <v>34424.490000000005</v>
      </c>
      <c r="I20" s="10">
        <f t="shared" si="8"/>
        <v>20418.910000000003</v>
      </c>
      <c r="J20" s="10">
        <f t="shared" si="8"/>
        <v>25397.040000000005</v>
      </c>
      <c r="K20" s="10">
        <f t="shared" si="8"/>
        <v>19375.319999999985</v>
      </c>
      <c r="L20" s="10">
        <f t="shared" si="8"/>
        <v>85808.620000000039</v>
      </c>
      <c r="M20" s="10">
        <f t="shared" si="8"/>
        <v>39780.900000000009</v>
      </c>
      <c r="N20" s="10">
        <f t="shared" si="8"/>
        <v>17195.07</v>
      </c>
      <c r="O20" s="10">
        <f t="shared" si="8"/>
        <v>29222.65000000002</v>
      </c>
      <c r="P20" s="10">
        <f t="shared" si="8"/>
        <v>40284.74</v>
      </c>
      <c r="R20" s="10">
        <f>R16-R19</f>
        <v>393099.7300000001</v>
      </c>
      <c r="S20" s="34"/>
      <c r="T20" s="7">
        <f>SUM(E20:O20)</f>
        <v>352814.99000000011</v>
      </c>
    </row>
    <row r="21" spans="1:20" ht="15.75" thickTop="1" x14ac:dyDescent="0.25">
      <c r="E21" s="7"/>
      <c r="F21" s="7"/>
      <c r="G21" s="7"/>
      <c r="H21" s="7"/>
      <c r="I21" s="7"/>
      <c r="J21" s="7"/>
      <c r="K21" s="7"/>
      <c r="L21" s="7"/>
      <c r="M21" s="7"/>
      <c r="N21" s="7"/>
      <c r="O21" s="7"/>
      <c r="P21" s="7"/>
      <c r="S21" s="34"/>
    </row>
    <row r="22" spans="1:20" x14ac:dyDescent="0.25">
      <c r="S22" s="34"/>
    </row>
    <row r="23" spans="1:20" ht="15.75" x14ac:dyDescent="0.25">
      <c r="A23" s="11" t="s">
        <v>1174</v>
      </c>
      <c r="B23" s="5">
        <v>45292</v>
      </c>
      <c r="C23" s="5">
        <v>45323</v>
      </c>
      <c r="D23" s="5">
        <v>45352</v>
      </c>
      <c r="E23" s="5">
        <v>45383</v>
      </c>
      <c r="F23" s="5">
        <v>45413</v>
      </c>
      <c r="G23" s="5">
        <v>45444</v>
      </c>
      <c r="H23" s="5">
        <v>45474</v>
      </c>
      <c r="I23" s="5">
        <v>45505</v>
      </c>
      <c r="J23" s="5">
        <v>45536</v>
      </c>
      <c r="K23" s="5">
        <v>45566</v>
      </c>
      <c r="L23" s="5">
        <v>45597</v>
      </c>
      <c r="M23" s="5">
        <v>45627</v>
      </c>
      <c r="N23" s="5">
        <v>45658</v>
      </c>
      <c r="O23" s="5">
        <v>45689</v>
      </c>
      <c r="P23" s="5">
        <v>45717</v>
      </c>
      <c r="Q23" s="5"/>
      <c r="R23" s="5" t="s">
        <v>955</v>
      </c>
      <c r="S23" s="34"/>
    </row>
    <row r="24" spans="1:20" x14ac:dyDescent="0.25">
      <c r="A24" s="4"/>
      <c r="B24" s="5" t="s">
        <v>958</v>
      </c>
      <c r="C24" s="5" t="s">
        <v>959</v>
      </c>
      <c r="D24" s="5" t="s">
        <v>959</v>
      </c>
      <c r="E24" s="5" t="s">
        <v>959</v>
      </c>
      <c r="F24" s="5" t="s">
        <v>959</v>
      </c>
      <c r="G24" s="5" t="s">
        <v>959</v>
      </c>
      <c r="H24" s="5" t="s">
        <v>959</v>
      </c>
      <c r="I24" s="5" t="s">
        <v>959</v>
      </c>
      <c r="J24" s="5" t="s">
        <v>959</v>
      </c>
      <c r="K24" s="5" t="s">
        <v>959</v>
      </c>
      <c r="L24" s="5" t="s">
        <v>959</v>
      </c>
      <c r="M24" s="5" t="s">
        <v>959</v>
      </c>
      <c r="N24" s="5" t="s">
        <v>959</v>
      </c>
      <c r="O24" s="5" t="s">
        <v>959</v>
      </c>
      <c r="P24" s="5" t="s">
        <v>959</v>
      </c>
      <c r="Q24" s="5"/>
      <c r="R24" s="5" t="s">
        <v>961</v>
      </c>
      <c r="S24" s="34"/>
    </row>
    <row r="25" spans="1:20" x14ac:dyDescent="0.25">
      <c r="S25" s="34"/>
    </row>
    <row r="26" spans="1:20" x14ac:dyDescent="0.25">
      <c r="A26" s="7" t="s">
        <v>1175</v>
      </c>
      <c r="B26" s="6">
        <f>'[15]NW PARTS 430'!$B$13</f>
        <v>163814.15000000002</v>
      </c>
      <c r="C26" s="6">
        <f>O4</f>
        <v>256101.59</v>
      </c>
      <c r="D26" s="6">
        <f>P4</f>
        <v>141956.19</v>
      </c>
      <c r="E26" s="6">
        <f>E28+E30</f>
        <v>202826.31312644927</v>
      </c>
      <c r="F26" s="6">
        <f>F28+F30</f>
        <v>230484.4467346014</v>
      </c>
      <c r="G26" s="6">
        <f>G28+G30</f>
        <v>188997.24632237316</v>
      </c>
      <c r="H26" s="6">
        <f t="shared" ref="H26:P26" si="9">H28+H30</f>
        <v>230484.4467346014</v>
      </c>
      <c r="I26" s="6">
        <f t="shared" si="9"/>
        <v>225874.75779990939</v>
      </c>
      <c r="J26" s="6">
        <f t="shared" si="9"/>
        <v>212045.69099583328</v>
      </c>
      <c r="K26" s="6">
        <f t="shared" si="9"/>
        <v>221265.06886521736</v>
      </c>
      <c r="L26" s="6">
        <f t="shared" si="9"/>
        <v>216655.37993052535</v>
      </c>
      <c r="M26" s="6">
        <f t="shared" si="9"/>
        <v>202826.31312644927</v>
      </c>
      <c r="N26" s="6">
        <f t="shared" si="9"/>
        <v>202826.31312644927</v>
      </c>
      <c r="O26" s="6">
        <f t="shared" si="9"/>
        <v>193606.9352570652</v>
      </c>
      <c r="P26" s="6">
        <f t="shared" si="9"/>
        <v>216655.37993052535</v>
      </c>
      <c r="Q26" s="8"/>
      <c r="R26" s="6">
        <f>SUM(E26:P26)</f>
        <v>2544548.29195</v>
      </c>
      <c r="S26" s="34" t="s">
        <v>1198</v>
      </c>
    </row>
    <row r="27" spans="1:20" x14ac:dyDescent="0.25">
      <c r="A27" t="s">
        <v>1176</v>
      </c>
      <c r="B27" s="3">
        <f>(B38-B37)/B26</f>
        <v>0.1656904485967787</v>
      </c>
      <c r="C27" s="3">
        <f>O5</f>
        <v>0.14837381525042473</v>
      </c>
      <c r="D27" s="3">
        <f>P5</f>
        <v>0.13476700100221056</v>
      </c>
      <c r="E27" s="3">
        <f>$T$5</f>
        <v>0.17427576148417967</v>
      </c>
      <c r="F27" s="3">
        <f t="shared" ref="F27:P27" si="10">$T$5</f>
        <v>0.17427576148417967</v>
      </c>
      <c r="G27" s="3">
        <f t="shared" si="10"/>
        <v>0.17427576148417967</v>
      </c>
      <c r="H27" s="3">
        <f t="shared" si="10"/>
        <v>0.17427576148417967</v>
      </c>
      <c r="I27" s="3">
        <f t="shared" si="10"/>
        <v>0.17427576148417967</v>
      </c>
      <c r="J27" s="3">
        <f t="shared" si="10"/>
        <v>0.17427576148417967</v>
      </c>
      <c r="K27" s="3">
        <f t="shared" si="10"/>
        <v>0.17427576148417967</v>
      </c>
      <c r="L27" s="3">
        <f t="shared" si="10"/>
        <v>0.17427576148417967</v>
      </c>
      <c r="M27" s="3">
        <f t="shared" si="10"/>
        <v>0.17427576148417967</v>
      </c>
      <c r="N27" s="3">
        <f t="shared" si="10"/>
        <v>0.17427576148417967</v>
      </c>
      <c r="O27" s="3">
        <f t="shared" si="10"/>
        <v>0.17427576148417967</v>
      </c>
      <c r="P27" s="3">
        <f t="shared" si="10"/>
        <v>0.17427576148417967</v>
      </c>
      <c r="Q27" s="3"/>
      <c r="R27" s="3">
        <f>R38/R26</f>
        <v>0.17427576148417961</v>
      </c>
      <c r="S27" s="34" t="s">
        <v>1199</v>
      </c>
    </row>
    <row r="28" spans="1:20" x14ac:dyDescent="0.25">
      <c r="A28" t="s">
        <v>1177</v>
      </c>
      <c r="B28" s="45">
        <f>B26-B30</f>
        <v>131051.32000000002</v>
      </c>
      <c r="C28" s="3"/>
      <c r="D28" s="3"/>
      <c r="E28" s="45">
        <f>$R$28*E46/12</f>
        <v>183522.22100586956</v>
      </c>
      <c r="F28" s="45">
        <f t="shared" ref="F28:P28" si="11">$R$28*F46/12</f>
        <v>208547.97841576082</v>
      </c>
      <c r="G28" s="45">
        <f t="shared" si="11"/>
        <v>171009.34230092389</v>
      </c>
      <c r="H28" s="45">
        <f t="shared" si="11"/>
        <v>208547.97841576082</v>
      </c>
      <c r="I28" s="45">
        <f t="shared" si="11"/>
        <v>204377.01884744564</v>
      </c>
      <c r="J28" s="45">
        <f t="shared" si="11"/>
        <v>191864.14014249996</v>
      </c>
      <c r="K28" s="45">
        <f t="shared" si="11"/>
        <v>200206.05927913039</v>
      </c>
      <c r="L28" s="45">
        <f t="shared" si="11"/>
        <v>196035.09971081521</v>
      </c>
      <c r="M28" s="45">
        <f t="shared" si="11"/>
        <v>183522.22100586956</v>
      </c>
      <c r="N28" s="45">
        <f t="shared" si="11"/>
        <v>183522.22100586956</v>
      </c>
      <c r="O28" s="45">
        <f t="shared" si="11"/>
        <v>175180.30186923911</v>
      </c>
      <c r="P28" s="45">
        <f t="shared" si="11"/>
        <v>196035.09971081521</v>
      </c>
      <c r="Q28" s="3"/>
      <c r="R28" s="45">
        <f>R6*(1+1.5%)</f>
        <v>2302369.6817099997</v>
      </c>
      <c r="S28" s="34" t="s">
        <v>1326</v>
      </c>
    </row>
    <row r="29" spans="1:20" x14ac:dyDescent="0.25">
      <c r="A29" t="s">
        <v>1178</v>
      </c>
      <c r="B29" s="3">
        <f>B39/B28</f>
        <v>0.15711306074597337</v>
      </c>
      <c r="C29" s="3"/>
      <c r="D29" s="3"/>
      <c r="E29" s="3">
        <f>E39/E28</f>
        <v>0.16974838185849336</v>
      </c>
      <c r="F29" s="3">
        <f t="shared" ref="F29:R29" si="12">F39/F28</f>
        <v>0.16974838185849336</v>
      </c>
      <c r="G29" s="3">
        <f t="shared" si="12"/>
        <v>0.16974838185849336</v>
      </c>
      <c r="H29" s="3">
        <f t="shared" si="12"/>
        <v>0.16974838185849336</v>
      </c>
      <c r="I29" s="3">
        <f t="shared" si="12"/>
        <v>0.16974838185849334</v>
      </c>
      <c r="J29" s="3">
        <f t="shared" si="12"/>
        <v>0.16974838185849339</v>
      </c>
      <c r="K29" s="3">
        <f t="shared" si="12"/>
        <v>0.16974838185849336</v>
      </c>
      <c r="L29" s="3">
        <f t="shared" si="12"/>
        <v>0.16974838185849336</v>
      </c>
      <c r="M29" s="3">
        <f t="shared" si="12"/>
        <v>0.16974838185849336</v>
      </c>
      <c r="N29" s="3">
        <f t="shared" si="12"/>
        <v>0.16974838185849336</v>
      </c>
      <c r="O29" s="3">
        <f t="shared" si="12"/>
        <v>0.16974838185849339</v>
      </c>
      <c r="P29" s="3">
        <f t="shared" si="12"/>
        <v>0.16974838185849336</v>
      </c>
      <c r="Q29" s="3"/>
      <c r="R29" s="3">
        <f t="shared" si="12"/>
        <v>0.16974838185849342</v>
      </c>
      <c r="S29" s="34" t="s">
        <v>1199</v>
      </c>
    </row>
    <row r="30" spans="1:20" x14ac:dyDescent="0.25">
      <c r="A30" t="s">
        <v>1179</v>
      </c>
      <c r="B30" s="6">
        <f>B26*B32</f>
        <v>32762.830000000005</v>
      </c>
      <c r="C30" s="3"/>
      <c r="D30" s="3"/>
      <c r="E30" s="45">
        <f>$R$30*E46/12</f>
        <v>19304.092120579709</v>
      </c>
      <c r="F30" s="45">
        <f t="shared" ref="F30:P30" si="13">$R$30*F46/12</f>
        <v>21936.468318840576</v>
      </c>
      <c r="G30" s="45">
        <f t="shared" si="13"/>
        <v>17987.904021449274</v>
      </c>
      <c r="H30" s="45">
        <f t="shared" si="13"/>
        <v>21936.468318840576</v>
      </c>
      <c r="I30" s="45">
        <f t="shared" si="13"/>
        <v>21497.738952463766</v>
      </c>
      <c r="J30" s="45">
        <f t="shared" si="13"/>
        <v>20181.55085333333</v>
      </c>
      <c r="K30" s="45">
        <f t="shared" si="13"/>
        <v>21059.009586086955</v>
      </c>
      <c r="L30" s="45">
        <f t="shared" si="13"/>
        <v>20620.280219710145</v>
      </c>
      <c r="M30" s="45">
        <f t="shared" si="13"/>
        <v>19304.092120579709</v>
      </c>
      <c r="N30" s="45">
        <f t="shared" si="13"/>
        <v>19304.092120579709</v>
      </c>
      <c r="O30" s="45">
        <f t="shared" si="13"/>
        <v>18426.633387826085</v>
      </c>
      <c r="P30" s="45">
        <f t="shared" si="13"/>
        <v>20620.280219710145</v>
      </c>
      <c r="Q30" s="3"/>
      <c r="R30" s="45">
        <f>R8*(1+1.5%)</f>
        <v>242178.61023999998</v>
      </c>
      <c r="S30" s="34" t="s">
        <v>1326</v>
      </c>
    </row>
    <row r="31" spans="1:20" x14ac:dyDescent="0.25">
      <c r="A31" t="s">
        <v>1180</v>
      </c>
      <c r="B31" s="3">
        <v>0.2</v>
      </c>
      <c r="C31" s="3"/>
      <c r="D31" s="3"/>
      <c r="E31" s="3">
        <f>$T$9-1%</f>
        <v>0.21731714146997513</v>
      </c>
      <c r="F31" s="3">
        <f t="shared" ref="F31:P31" si="14">$T$9-1%</f>
        <v>0.21731714146997513</v>
      </c>
      <c r="G31" s="3">
        <f t="shared" si="14"/>
        <v>0.21731714146997513</v>
      </c>
      <c r="H31" s="3">
        <f>$T$9-1%</f>
        <v>0.21731714146997513</v>
      </c>
      <c r="I31" s="3">
        <f t="shared" si="14"/>
        <v>0.21731714146997513</v>
      </c>
      <c r="J31" s="3">
        <f t="shared" si="14"/>
        <v>0.21731714146997513</v>
      </c>
      <c r="K31" s="3">
        <f t="shared" si="14"/>
        <v>0.21731714146997513</v>
      </c>
      <c r="L31" s="3">
        <f t="shared" si="14"/>
        <v>0.21731714146997513</v>
      </c>
      <c r="M31" s="3">
        <f t="shared" si="14"/>
        <v>0.21731714146997513</v>
      </c>
      <c r="N31" s="3">
        <f t="shared" si="14"/>
        <v>0.21731714146997513</v>
      </c>
      <c r="O31" s="3">
        <f t="shared" si="14"/>
        <v>0.21731714146997513</v>
      </c>
      <c r="P31" s="3">
        <f t="shared" si="14"/>
        <v>0.21731714146997513</v>
      </c>
      <c r="Q31" s="3"/>
      <c r="R31" s="3">
        <f>R40/R30</f>
        <v>0.21731714146997511</v>
      </c>
      <c r="S31" s="34" t="s">
        <v>1210</v>
      </c>
    </row>
    <row r="32" spans="1:20" x14ac:dyDescent="0.25">
      <c r="A32" t="s">
        <v>1181</v>
      </c>
      <c r="B32" s="3">
        <v>0.2</v>
      </c>
      <c r="C32" s="3">
        <f>O11</f>
        <v>3.426811992850181E-2</v>
      </c>
      <c r="D32" s="3">
        <f>P11</f>
        <v>2.374866499305173E-2</v>
      </c>
      <c r="E32" s="3">
        <f>E30/E26</f>
        <v>9.5175482031982894E-2</v>
      </c>
      <c r="F32" s="3">
        <f t="shared" ref="F32:P32" si="15">F30/F26</f>
        <v>9.5175482031982908E-2</v>
      </c>
      <c r="G32" s="3">
        <f t="shared" si="15"/>
        <v>9.5175482031982908E-2</v>
      </c>
      <c r="H32" s="3">
        <f t="shared" si="15"/>
        <v>9.5175482031982908E-2</v>
      </c>
      <c r="I32" s="3">
        <f t="shared" si="15"/>
        <v>9.5175482031982894E-2</v>
      </c>
      <c r="J32" s="3">
        <f t="shared" si="15"/>
        <v>9.5175482031982908E-2</v>
      </c>
      <c r="K32" s="3">
        <f t="shared" si="15"/>
        <v>9.5175482031982908E-2</v>
      </c>
      <c r="L32" s="3">
        <f t="shared" si="15"/>
        <v>9.5175482031982908E-2</v>
      </c>
      <c r="M32" s="3">
        <f t="shared" si="15"/>
        <v>9.5175482031982894E-2</v>
      </c>
      <c r="N32" s="3">
        <f t="shared" si="15"/>
        <v>9.5175482031982894E-2</v>
      </c>
      <c r="O32" s="3">
        <f t="shared" si="15"/>
        <v>9.5175482031982894E-2</v>
      </c>
      <c r="P32" s="3">
        <f t="shared" si="15"/>
        <v>9.5175482031982908E-2</v>
      </c>
      <c r="Q32" s="3"/>
      <c r="R32" s="3">
        <f>R30/R26</f>
        <v>9.5175482031982894E-2</v>
      </c>
      <c r="S32" s="34" t="s">
        <v>1201</v>
      </c>
    </row>
    <row r="33" spans="1:19" x14ac:dyDescent="0.25">
      <c r="A33" t="s">
        <v>1182</v>
      </c>
      <c r="B33" s="3">
        <f>'[15]NW PARTS 430'!$B$28</f>
        <v>6.0723508927647579E-2</v>
      </c>
      <c r="C33" s="6">
        <f>O12</f>
        <v>256101.59</v>
      </c>
      <c r="D33" s="6">
        <f>P12</f>
        <v>141956.19</v>
      </c>
      <c r="E33" s="3">
        <f>E41/E26</f>
        <v>5.6215765407752319E-2</v>
      </c>
      <c r="F33" s="3">
        <f t="shared" ref="F33:P33" si="16">F41/F26</f>
        <v>4.9469873558822049E-2</v>
      </c>
      <c r="G33" s="3">
        <f t="shared" si="16"/>
        <v>6.0329114096124445E-2</v>
      </c>
      <c r="H33" s="3">
        <f t="shared" si="16"/>
        <v>4.9469873558822049E-2</v>
      </c>
      <c r="I33" s="3">
        <f t="shared" si="16"/>
        <v>5.047946281512454E-2</v>
      </c>
      <c r="J33" s="3">
        <f t="shared" si="16"/>
        <v>5.3771601694371798E-2</v>
      </c>
      <c r="K33" s="3">
        <f t="shared" si="16"/>
        <v>5.1531118290439631E-2</v>
      </c>
      <c r="L33" s="3">
        <f t="shared" si="16"/>
        <v>5.262752506257664E-2</v>
      </c>
      <c r="M33" s="3">
        <f t="shared" si="16"/>
        <v>5.6215765407752319E-2</v>
      </c>
      <c r="N33" s="3">
        <f t="shared" si="16"/>
        <v>5.6215765407752319E-2</v>
      </c>
      <c r="O33" s="3">
        <f t="shared" si="16"/>
        <v>5.8892706617645292E-2</v>
      </c>
      <c r="P33" s="3">
        <f t="shared" si="16"/>
        <v>5.262752506257664E-2</v>
      </c>
      <c r="Q33" s="3"/>
      <c r="R33" s="3">
        <f>R41/R26</f>
        <v>5.3771601694371784E-2</v>
      </c>
      <c r="S33" s="34" t="s">
        <v>1202</v>
      </c>
    </row>
    <row r="34" spans="1:19" x14ac:dyDescent="0.25">
      <c r="A34" s="7" t="s">
        <v>1183</v>
      </c>
      <c r="B34" s="6">
        <f>B26/B35</f>
        <v>163814.15000000002</v>
      </c>
      <c r="C34" s="6"/>
      <c r="D34" s="6"/>
      <c r="E34" s="6">
        <f>E26/E35</f>
        <v>202826.31312644927</v>
      </c>
      <c r="F34" s="6">
        <f t="shared" ref="F34:P34" si="17">F26/F35</f>
        <v>230484.4467346014</v>
      </c>
      <c r="G34" s="6">
        <f t="shared" si="17"/>
        <v>188997.24632237316</v>
      </c>
      <c r="H34" s="6">
        <f t="shared" si="17"/>
        <v>230484.4467346014</v>
      </c>
      <c r="I34" s="6">
        <f t="shared" si="17"/>
        <v>225874.75779990939</v>
      </c>
      <c r="J34" s="6">
        <f t="shared" si="17"/>
        <v>212045.69099583328</v>
      </c>
      <c r="K34" s="6">
        <f t="shared" si="17"/>
        <v>221265.06886521736</v>
      </c>
      <c r="L34" s="6">
        <f t="shared" si="17"/>
        <v>216655.37993052535</v>
      </c>
      <c r="M34" s="6">
        <f t="shared" si="17"/>
        <v>202826.31312644927</v>
      </c>
      <c r="N34" s="6">
        <f t="shared" si="17"/>
        <v>202826.31312644927</v>
      </c>
      <c r="O34" s="6">
        <f t="shared" si="17"/>
        <v>193606.9352570652</v>
      </c>
      <c r="P34" s="6">
        <f t="shared" si="17"/>
        <v>216655.37993052535</v>
      </c>
      <c r="Q34" s="3"/>
      <c r="R34" s="6">
        <f>R26/R35/12</f>
        <v>212045.69099583334</v>
      </c>
      <c r="S34" s="34" t="s">
        <v>1212</v>
      </c>
    </row>
    <row r="35" spans="1:19" x14ac:dyDescent="0.25">
      <c r="A35" s="7" t="s">
        <v>1184</v>
      </c>
      <c r="B35" s="60">
        <f>'[15]NW PARTS 430'!$B$33</f>
        <v>1</v>
      </c>
      <c r="C35" s="75">
        <f>O13</f>
        <v>1</v>
      </c>
      <c r="D35" s="75">
        <f>P13</f>
        <v>1</v>
      </c>
      <c r="E35" s="75">
        <v>1</v>
      </c>
      <c r="F35" s="75">
        <f>E35</f>
        <v>1</v>
      </c>
      <c r="G35" s="75">
        <f t="shared" ref="G35:P35" si="18">F35</f>
        <v>1</v>
      </c>
      <c r="H35" s="75">
        <f t="shared" si="18"/>
        <v>1</v>
      </c>
      <c r="I35" s="75">
        <f t="shared" si="18"/>
        <v>1</v>
      </c>
      <c r="J35" s="75">
        <f t="shared" si="18"/>
        <v>1</v>
      </c>
      <c r="K35" s="75">
        <f t="shared" si="18"/>
        <v>1</v>
      </c>
      <c r="L35" s="75">
        <f t="shared" si="18"/>
        <v>1</v>
      </c>
      <c r="M35" s="75">
        <f t="shared" si="18"/>
        <v>1</v>
      </c>
      <c r="N35" s="75">
        <f t="shared" si="18"/>
        <v>1</v>
      </c>
      <c r="O35" s="75">
        <f t="shared" si="18"/>
        <v>1</v>
      </c>
      <c r="P35" s="75">
        <f t="shared" si="18"/>
        <v>1</v>
      </c>
      <c r="Q35" s="3"/>
      <c r="R35" s="83">
        <f>AVERAGE(E35:P35)</f>
        <v>1</v>
      </c>
      <c r="S35" s="34"/>
    </row>
    <row r="36" spans="1:19" x14ac:dyDescent="0.25">
      <c r="B36" s="3"/>
      <c r="C36" s="3"/>
      <c r="D36" s="3"/>
      <c r="E36" s="3"/>
      <c r="F36" s="3"/>
      <c r="G36" s="3"/>
      <c r="H36" s="3"/>
      <c r="I36" s="3"/>
      <c r="J36" s="3"/>
      <c r="K36" s="3"/>
      <c r="L36" s="3"/>
      <c r="M36" s="3"/>
      <c r="N36" s="3"/>
      <c r="O36" s="3"/>
      <c r="P36" s="3"/>
      <c r="Q36" s="3"/>
      <c r="R36" s="3"/>
      <c r="S36" s="34"/>
    </row>
    <row r="37" spans="1:19" x14ac:dyDescent="0.25">
      <c r="A37" t="s">
        <v>1185</v>
      </c>
      <c r="B37" s="45">
        <f>'[15]NW PARTS 430'!$B$23</f>
        <v>0</v>
      </c>
      <c r="C37" s="6">
        <f>O15</f>
        <v>0</v>
      </c>
      <c r="D37" s="6">
        <f>P15</f>
        <v>24525</v>
      </c>
      <c r="E37" s="6">
        <v>0</v>
      </c>
      <c r="F37" s="6">
        <v>0</v>
      </c>
      <c r="G37" s="6">
        <f>'FEF Incentive Forecast FY2025'!D31*G35/'Parts - Group '!G35</f>
        <v>10968.75</v>
      </c>
      <c r="H37" s="6">
        <v>0</v>
      </c>
      <c r="I37" s="6">
        <v>0</v>
      </c>
      <c r="J37" s="6">
        <f>'FEF Incentive Forecast FY2025'!H31*J35/'Parts - Group '!J35</f>
        <v>9715.9090909090901</v>
      </c>
      <c r="K37" s="6">
        <v>0</v>
      </c>
      <c r="L37" s="6">
        <v>0</v>
      </c>
      <c r="M37" s="6">
        <f>'FEF Incentive Forecast FY2025'!L31*M35/'Parts - Group '!M35</f>
        <v>9488.636363636364</v>
      </c>
      <c r="N37" s="6">
        <v>0</v>
      </c>
      <c r="O37" s="6">
        <v>0</v>
      </c>
      <c r="P37" s="6">
        <f>'FEF Incentive Forecast FY2025'!P31*P35/'Parts - Group '!P35</f>
        <v>9375</v>
      </c>
      <c r="Q37" s="3"/>
      <c r="R37" s="6">
        <f>SUM(E37:P37)</f>
        <v>39548.295454545456</v>
      </c>
      <c r="S37" s="34"/>
    </row>
    <row r="38" spans="1:19" x14ac:dyDescent="0.25">
      <c r="A38" s="7" t="s">
        <v>1186</v>
      </c>
      <c r="B38" s="45">
        <f>'[15]NW PARTS 430'!$B$24</f>
        <v>27142.44</v>
      </c>
      <c r="C38" s="6">
        <f>O16</f>
        <v>37998.770000000019</v>
      </c>
      <c r="D38" s="6">
        <f>P16</f>
        <v>43656.009999999995</v>
      </c>
      <c r="E38" s="6">
        <f>E26*E27</f>
        <v>35347.710169140613</v>
      </c>
      <c r="F38" s="6">
        <f t="shared" ref="F38:O38" si="19">F26*F27</f>
        <v>40167.852464932505</v>
      </c>
      <c r="G38" s="6">
        <f t="shared" si="19"/>
        <v>32937.639021244657</v>
      </c>
      <c r="H38" s="6">
        <f t="shared" si="19"/>
        <v>40167.852464932505</v>
      </c>
      <c r="I38" s="6">
        <f t="shared" si="19"/>
        <v>39364.495415633857</v>
      </c>
      <c r="J38" s="6">
        <f t="shared" si="19"/>
        <v>36954.424267737908</v>
      </c>
      <c r="K38" s="6">
        <f t="shared" si="19"/>
        <v>38561.13836633521</v>
      </c>
      <c r="L38" s="6">
        <f t="shared" si="19"/>
        <v>37757.781317036563</v>
      </c>
      <c r="M38" s="6">
        <f t="shared" si="19"/>
        <v>35347.710169140613</v>
      </c>
      <c r="N38" s="6">
        <f t="shared" si="19"/>
        <v>35347.710169140613</v>
      </c>
      <c r="O38" s="6">
        <f t="shared" si="19"/>
        <v>33740.996070543311</v>
      </c>
      <c r="P38" s="6">
        <f>P26*P27</f>
        <v>37757.781317036563</v>
      </c>
      <c r="R38" s="6">
        <f>SUM(E38:P38)</f>
        <v>443453.09121285484</v>
      </c>
      <c r="S38" s="34"/>
    </row>
    <row r="39" spans="1:19" x14ac:dyDescent="0.25">
      <c r="A39" s="7" t="s">
        <v>1187</v>
      </c>
      <c r="B39" s="45">
        <f>B38-B40</f>
        <v>20589.873999999996</v>
      </c>
      <c r="C39" s="6"/>
      <c r="D39" s="6"/>
      <c r="E39" s="6">
        <f>E38-E40</f>
        <v>31152.600050823159</v>
      </c>
      <c r="F39" s="6">
        <f t="shared" ref="F39:P39" si="20">F38-F40</f>
        <v>35400.681875935399</v>
      </c>
      <c r="G39" s="6">
        <f t="shared" si="20"/>
        <v>29028.559138267032</v>
      </c>
      <c r="H39" s="6">
        <f t="shared" si="20"/>
        <v>35400.681875935399</v>
      </c>
      <c r="I39" s="6">
        <f t="shared" si="20"/>
        <v>34692.668238416692</v>
      </c>
      <c r="J39" s="6">
        <f t="shared" si="20"/>
        <v>32568.627325860572</v>
      </c>
      <c r="K39" s="6">
        <f t="shared" si="20"/>
        <v>33984.654600897986</v>
      </c>
      <c r="L39" s="6">
        <f t="shared" si="20"/>
        <v>33276.640963379279</v>
      </c>
      <c r="M39" s="6">
        <f t="shared" si="20"/>
        <v>31152.600050823159</v>
      </c>
      <c r="N39" s="6">
        <f t="shared" si="20"/>
        <v>31152.600050823159</v>
      </c>
      <c r="O39" s="6">
        <f t="shared" si="20"/>
        <v>29736.572775785742</v>
      </c>
      <c r="P39" s="6">
        <f t="shared" si="20"/>
        <v>33276.640963379279</v>
      </c>
      <c r="R39" s="6">
        <f>SUM(E39:P39)</f>
        <v>390823.52791032696</v>
      </c>
      <c r="S39" s="34"/>
    </row>
    <row r="40" spans="1:19" x14ac:dyDescent="0.25">
      <c r="A40" s="7" t="s">
        <v>1188</v>
      </c>
      <c r="B40" s="45">
        <f>B30*B31</f>
        <v>6552.5660000000016</v>
      </c>
      <c r="C40" s="6"/>
      <c r="D40" s="6"/>
      <c r="E40" s="12">
        <f>E30*E31</f>
        <v>4195.1101183174533</v>
      </c>
      <c r="F40" s="12">
        <f t="shared" ref="F40:P40" si="21">F30*F31</f>
        <v>4767.1705889971054</v>
      </c>
      <c r="G40" s="12">
        <f t="shared" si="21"/>
        <v>3909.0798829776268</v>
      </c>
      <c r="H40" s="12">
        <f t="shared" si="21"/>
        <v>4767.1705889971054</v>
      </c>
      <c r="I40" s="12">
        <f t="shared" si="21"/>
        <v>4671.8271772171629</v>
      </c>
      <c r="J40" s="12">
        <f t="shared" si="21"/>
        <v>4385.7969418773364</v>
      </c>
      <c r="K40" s="12">
        <f t="shared" si="21"/>
        <v>4576.4837654372213</v>
      </c>
      <c r="L40" s="12">
        <f t="shared" si="21"/>
        <v>4481.1403536572798</v>
      </c>
      <c r="M40" s="12">
        <f t="shared" si="21"/>
        <v>4195.1101183174533</v>
      </c>
      <c r="N40" s="12">
        <f t="shared" si="21"/>
        <v>4195.1101183174533</v>
      </c>
      <c r="O40" s="12">
        <f t="shared" si="21"/>
        <v>4004.4232947575683</v>
      </c>
      <c r="P40" s="12">
        <f t="shared" si="21"/>
        <v>4481.1403536572798</v>
      </c>
      <c r="R40" s="12">
        <f>SUM(E40:P40)</f>
        <v>52629.56330252804</v>
      </c>
      <c r="S40" s="34"/>
    </row>
    <row r="41" spans="1:19" x14ac:dyDescent="0.25">
      <c r="A41" s="7" t="s">
        <v>1076</v>
      </c>
      <c r="B41" s="6">
        <f>B26*B33</f>
        <v>9947.3700000000008</v>
      </c>
      <c r="C41" s="6">
        <f>O19</f>
        <v>8776.119999999999</v>
      </c>
      <c r="D41" s="6">
        <f>P19</f>
        <v>3371.27</v>
      </c>
      <c r="E41" s="12">
        <f>E48</f>
        <v>11402.036437235787</v>
      </c>
      <c r="F41" s="12">
        <f t="shared" ref="F41:P41" si="22">F48</f>
        <v>11402.036437235787</v>
      </c>
      <c r="G41" s="12">
        <f t="shared" si="22"/>
        <v>11402.036437235787</v>
      </c>
      <c r="H41" s="12">
        <f t="shared" si="22"/>
        <v>11402.036437235787</v>
      </c>
      <c r="I41" s="12">
        <f t="shared" si="22"/>
        <v>11402.036437235787</v>
      </c>
      <c r="J41" s="12">
        <f t="shared" si="22"/>
        <v>11402.036437235787</v>
      </c>
      <c r="K41" s="12">
        <f t="shared" si="22"/>
        <v>11402.036437235787</v>
      </c>
      <c r="L41" s="12">
        <f t="shared" si="22"/>
        <v>11402.036437235787</v>
      </c>
      <c r="M41" s="12">
        <f t="shared" si="22"/>
        <v>11402.036437235787</v>
      </c>
      <c r="N41" s="12">
        <f t="shared" si="22"/>
        <v>11402.036437235787</v>
      </c>
      <c r="O41" s="12">
        <f t="shared" si="22"/>
        <v>11402.036437235787</v>
      </c>
      <c r="P41" s="12">
        <f t="shared" si="22"/>
        <v>11402.036437235787</v>
      </c>
      <c r="R41" s="12">
        <f>SUM(E41:P41)</f>
        <v>136824.43724682945</v>
      </c>
      <c r="S41" s="34" t="s">
        <v>1199</v>
      </c>
    </row>
    <row r="42" spans="1:19" ht="15.75" thickBot="1" x14ac:dyDescent="0.3">
      <c r="A42" s="9" t="s">
        <v>1078</v>
      </c>
      <c r="B42" s="10">
        <f>B38-B41</f>
        <v>17195.07</v>
      </c>
      <c r="C42" s="10">
        <f>O20</f>
        <v>29222.65000000002</v>
      </c>
      <c r="D42" s="10">
        <f>P20</f>
        <v>40284.74</v>
      </c>
      <c r="E42" s="10">
        <f>E38+E37-E41</f>
        <v>23945.673731904826</v>
      </c>
      <c r="F42" s="10">
        <f t="shared" ref="F42:P42" si="23">F38+F37-F41</f>
        <v>28765.816027696717</v>
      </c>
      <c r="G42" s="10">
        <f t="shared" si="23"/>
        <v>32504.35258400887</v>
      </c>
      <c r="H42" s="10">
        <f t="shared" si="23"/>
        <v>28765.816027696717</v>
      </c>
      <c r="I42" s="10">
        <f t="shared" si="23"/>
        <v>27962.45897839807</v>
      </c>
      <c r="J42" s="10">
        <f t="shared" si="23"/>
        <v>35268.296921411209</v>
      </c>
      <c r="K42" s="10">
        <f t="shared" si="23"/>
        <v>27159.101929099423</v>
      </c>
      <c r="L42" s="10">
        <f t="shared" si="23"/>
        <v>26355.744879800775</v>
      </c>
      <c r="M42" s="10">
        <f t="shared" si="23"/>
        <v>33434.310095541194</v>
      </c>
      <c r="N42" s="10">
        <f t="shared" si="23"/>
        <v>23945.673731904826</v>
      </c>
      <c r="O42" s="10">
        <f t="shared" si="23"/>
        <v>22338.959633307524</v>
      </c>
      <c r="P42" s="10">
        <f t="shared" si="23"/>
        <v>35730.744879800775</v>
      </c>
      <c r="R42" s="10">
        <f>R37+R38-R41</f>
        <v>346176.94942057086</v>
      </c>
      <c r="S42" s="122">
        <f>(R42-T20)/T3</f>
        <v>-2.5897501147245832E-3</v>
      </c>
    </row>
    <row r="43" spans="1:19" ht="15.75" thickTop="1" x14ac:dyDescent="0.25">
      <c r="S43" s="34"/>
    </row>
    <row r="44" spans="1:19" x14ac:dyDescent="0.25">
      <c r="Q44" s="34"/>
      <c r="R44" t="s">
        <v>1205</v>
      </c>
      <c r="S44" s="120"/>
    </row>
    <row r="45" spans="1:19" x14ac:dyDescent="0.25">
      <c r="A45" t="s">
        <v>1206</v>
      </c>
      <c r="B45" s="121">
        <f t="shared" ref="B45:D45" si="24">B4/$R$45</f>
        <v>1.024636013727199</v>
      </c>
      <c r="C45" s="121">
        <f t="shared" si="24"/>
        <v>0.82170005120935852</v>
      </c>
      <c r="D45" s="121">
        <f t="shared" si="24"/>
        <v>1.1124460918879753</v>
      </c>
      <c r="E45" s="121">
        <f>E4/$R$45</f>
        <v>1.1449570038882362</v>
      </c>
      <c r="F45" s="121">
        <f t="shared" ref="F45:P45" si="25">F4/$R$45</f>
        <v>1.1247198237321709</v>
      </c>
      <c r="G45" s="121">
        <f t="shared" si="25"/>
        <v>1.0920630608548907</v>
      </c>
      <c r="H45" s="121">
        <f t="shared" si="25"/>
        <v>1.3566487578644209</v>
      </c>
      <c r="I45" s="121">
        <f t="shared" si="25"/>
        <v>0.95310666536473654</v>
      </c>
      <c r="J45" s="121">
        <f t="shared" si="25"/>
        <v>1.0307855404819097</v>
      </c>
      <c r="K45" s="121">
        <f t="shared" si="25"/>
        <v>0.82641059894701374</v>
      </c>
      <c r="L45" s="121">
        <f t="shared" si="25"/>
        <v>1.1469802480201268</v>
      </c>
      <c r="M45" s="121">
        <f t="shared" si="25"/>
        <v>0.63481357280985773</v>
      </c>
      <c r="N45" s="121">
        <f t="shared" si="25"/>
        <v>0.78412988007036311</v>
      </c>
      <c r="O45" s="121">
        <f t="shared" si="25"/>
        <v>1.2258825568641614</v>
      </c>
      <c r="P45" s="121">
        <f t="shared" si="25"/>
        <v>0.6795022911021158</v>
      </c>
      <c r="Q45" s="34"/>
      <c r="R45" s="7">
        <f>AVERAGE($E$4:$P$4)</f>
        <v>208912.01083333328</v>
      </c>
      <c r="S45" s="120"/>
    </row>
    <row r="46" spans="1:19" x14ac:dyDescent="0.25">
      <c r="A46" s="137" t="s">
        <v>1345</v>
      </c>
      <c r="B46" s="137"/>
      <c r="C46" s="137"/>
      <c r="D46" s="137"/>
      <c r="E46" s="282">
        <v>0.95652173913043481</v>
      </c>
      <c r="F46" s="282">
        <v>1.0869565217391304</v>
      </c>
      <c r="G46" s="282">
        <v>0.89130434782608692</v>
      </c>
      <c r="H46" s="282">
        <v>1.0869565217391304</v>
      </c>
      <c r="I46" s="282">
        <v>1.0652173913043479</v>
      </c>
      <c r="J46" s="282">
        <v>1</v>
      </c>
      <c r="K46" s="282">
        <v>1.0434782608695652</v>
      </c>
      <c r="L46" s="282">
        <v>1.0217391304347827</v>
      </c>
      <c r="M46" s="282">
        <v>0.95652173913043481</v>
      </c>
      <c r="N46" s="282">
        <v>0.95652173913043481</v>
      </c>
      <c r="O46" s="282">
        <v>0.91304347826086951</v>
      </c>
      <c r="P46" s="282">
        <v>1.0217391304347827</v>
      </c>
    </row>
    <row r="48" spans="1:19" x14ac:dyDescent="0.25">
      <c r="A48" s="7" t="s">
        <v>1076</v>
      </c>
      <c r="E48" s="7">
        <f>SUMIFS('[18]Summary - Selling Expenses'!Z:Z,'[18]Summary - Selling Expenses'!$C:$C,430,'[18]Summary - Selling Expenses'!$E:$E,3)</f>
        <v>11402.036437235787</v>
      </c>
      <c r="F48" s="7">
        <f>SUMIFS('[18]Summary - Selling Expenses'!AA:AA,'[18]Summary - Selling Expenses'!$C:$C,430,'[18]Summary - Selling Expenses'!$E:$E,3)</f>
        <v>11402.036437235787</v>
      </c>
      <c r="G48" s="7">
        <f>SUMIFS('[18]Summary - Selling Expenses'!AB:AB,'[18]Summary - Selling Expenses'!$C:$C,430,'[18]Summary - Selling Expenses'!$E:$E,3)</f>
        <v>11402.036437235787</v>
      </c>
      <c r="H48" s="7">
        <f>SUMIFS('[18]Summary - Selling Expenses'!AC:AC,'[18]Summary - Selling Expenses'!$C:$C,430,'[18]Summary - Selling Expenses'!$E:$E,3)</f>
        <v>11402.036437235787</v>
      </c>
      <c r="I48" s="7">
        <f>SUMIFS('[18]Summary - Selling Expenses'!AD:AD,'[18]Summary - Selling Expenses'!$C:$C,430,'[18]Summary - Selling Expenses'!$E:$E,3)</f>
        <v>11402.036437235787</v>
      </c>
      <c r="J48" s="7">
        <f>SUMIFS('[18]Summary - Selling Expenses'!AE:AE,'[18]Summary - Selling Expenses'!$C:$C,430,'[18]Summary - Selling Expenses'!$E:$E,3)</f>
        <v>11402.036437235787</v>
      </c>
      <c r="K48" s="7">
        <f>SUMIFS('[18]Summary - Selling Expenses'!AF:AF,'[18]Summary - Selling Expenses'!$C:$C,430,'[18]Summary - Selling Expenses'!$E:$E,3)</f>
        <v>11402.036437235787</v>
      </c>
      <c r="L48" s="7">
        <f>SUMIFS('[18]Summary - Selling Expenses'!AG:AG,'[18]Summary - Selling Expenses'!$C:$C,430,'[18]Summary - Selling Expenses'!$E:$E,3)</f>
        <v>11402.036437235787</v>
      </c>
      <c r="M48" s="7">
        <f>SUMIFS('[18]Summary - Selling Expenses'!AH:AH,'[18]Summary - Selling Expenses'!$C:$C,430,'[18]Summary - Selling Expenses'!$E:$E,3)</f>
        <v>11402.036437235787</v>
      </c>
      <c r="N48" s="7">
        <f>SUMIFS('[18]Summary - Selling Expenses'!AI:AI,'[18]Summary - Selling Expenses'!$C:$C,430,'[18]Summary - Selling Expenses'!$E:$E,3)</f>
        <v>11402.036437235787</v>
      </c>
      <c r="O48" s="7">
        <f>SUMIFS('[18]Summary - Selling Expenses'!AJ:AJ,'[18]Summary - Selling Expenses'!$C:$C,430,'[18]Summary - Selling Expenses'!$E:$E,3)</f>
        <v>11402.036437235787</v>
      </c>
      <c r="P48" s="7">
        <f>SUMIFS('[18]Summary - Selling Expenses'!AK:AK,'[18]Summary - Selling Expenses'!$C:$C,430,'[18]Summary - Selling Expenses'!$E:$E,3)</f>
        <v>11402.036437235787</v>
      </c>
      <c r="R48" s="12">
        <f>SUM(E48:P48)</f>
        <v>136824.43724682945</v>
      </c>
    </row>
    <row r="49" spans="1:19" x14ac:dyDescent="0.25">
      <c r="R49" s="7">
        <f>R48-SUMIFS('[18]Summary - Selling Expenses'!$AL:$AL,'[18]Summary - Selling Expenses'!$C:$C,430,'[18]Summary - Selling Expenses'!$D:$D,'[18]Summary - Selling Expenses'!$D$357)</f>
        <v>0</v>
      </c>
      <c r="S49" s="34" t="s">
        <v>1093</v>
      </c>
    </row>
    <row r="50" spans="1:19" x14ac:dyDescent="0.25">
      <c r="A50" t="s">
        <v>1319</v>
      </c>
      <c r="E50" s="7">
        <f>E16-E15</f>
        <v>29288.02000000003</v>
      </c>
      <c r="F50" s="7">
        <f t="shared" ref="F50:P50" si="26">F16-F15</f>
        <v>35855.279999999999</v>
      </c>
      <c r="G50" s="7">
        <f t="shared" si="26"/>
        <v>34809.44999999999</v>
      </c>
      <c r="H50" s="7">
        <f t="shared" si="26"/>
        <v>42433.48</v>
      </c>
      <c r="I50" s="7">
        <f t="shared" si="26"/>
        <v>28856.940000000006</v>
      </c>
      <c r="J50" s="7">
        <f t="shared" si="26"/>
        <v>25346.700000000004</v>
      </c>
      <c r="K50" s="7">
        <f t="shared" si="26"/>
        <v>29599.799999999985</v>
      </c>
      <c r="L50" s="7">
        <f>L16-L15</f>
        <v>93823.790000000037</v>
      </c>
      <c r="M50" s="7">
        <f t="shared" si="26"/>
        <v>26524.200000000004</v>
      </c>
      <c r="N50" s="7">
        <f t="shared" si="26"/>
        <v>27142.44</v>
      </c>
      <c r="O50" s="7">
        <f t="shared" si="26"/>
        <v>37998.770000000019</v>
      </c>
      <c r="P50" s="7">
        <f t="shared" si="26"/>
        <v>19131.009999999995</v>
      </c>
      <c r="R50" s="6">
        <f>SUM(E50:P50)</f>
        <v>430809.88000000012</v>
      </c>
    </row>
    <row r="51" spans="1:19" x14ac:dyDescent="0.25">
      <c r="A51" t="s">
        <v>1320</v>
      </c>
      <c r="E51" s="7">
        <f>E38</f>
        <v>35347.710169140613</v>
      </c>
      <c r="F51" s="7">
        <f t="shared" ref="F51:P51" si="27">F38</f>
        <v>40167.852464932505</v>
      </c>
      <c r="G51" s="7">
        <f t="shared" si="27"/>
        <v>32937.639021244657</v>
      </c>
      <c r="H51" s="7">
        <f t="shared" si="27"/>
        <v>40167.852464932505</v>
      </c>
      <c r="I51" s="7">
        <f t="shared" si="27"/>
        <v>39364.495415633857</v>
      </c>
      <c r="J51" s="7">
        <f t="shared" si="27"/>
        <v>36954.424267737908</v>
      </c>
      <c r="K51" s="7">
        <f t="shared" si="27"/>
        <v>38561.13836633521</v>
      </c>
      <c r="L51" s="7">
        <f t="shared" si="27"/>
        <v>37757.781317036563</v>
      </c>
      <c r="M51" s="7">
        <f t="shared" si="27"/>
        <v>35347.710169140613</v>
      </c>
      <c r="N51" s="7">
        <f t="shared" si="27"/>
        <v>35347.710169140613</v>
      </c>
      <c r="O51" s="7">
        <f t="shared" si="27"/>
        <v>33740.996070543311</v>
      </c>
      <c r="P51" s="7">
        <f t="shared" si="27"/>
        <v>37757.781317036563</v>
      </c>
      <c r="R51" s="6">
        <f>SUM(E51:P51)</f>
        <v>443453.09121285484</v>
      </c>
    </row>
    <row r="52" spans="1:19" x14ac:dyDescent="0.25">
      <c r="A52" t="s">
        <v>1321</v>
      </c>
      <c r="E52" s="7">
        <f>E16</f>
        <v>29288.02000000003</v>
      </c>
      <c r="F52" s="7">
        <f t="shared" ref="F52:P52" si="28">F16</f>
        <v>35855.279999999999</v>
      </c>
      <c r="G52" s="7">
        <f t="shared" si="28"/>
        <v>34809.44999999999</v>
      </c>
      <c r="H52" s="7">
        <f t="shared" si="28"/>
        <v>42433.48</v>
      </c>
      <c r="I52" s="7">
        <f t="shared" si="28"/>
        <v>28856.940000000006</v>
      </c>
      <c r="J52" s="7">
        <f t="shared" si="28"/>
        <v>32821.700000000004</v>
      </c>
      <c r="K52" s="7">
        <f t="shared" si="28"/>
        <v>29599.799999999985</v>
      </c>
      <c r="L52" s="7">
        <f t="shared" si="28"/>
        <v>93823.790000000037</v>
      </c>
      <c r="M52" s="7">
        <f t="shared" si="28"/>
        <v>48124.200000000004</v>
      </c>
      <c r="N52" s="7">
        <f t="shared" si="28"/>
        <v>27142.44</v>
      </c>
      <c r="O52" s="7">
        <f t="shared" si="28"/>
        <v>37998.770000000019</v>
      </c>
      <c r="P52" s="7">
        <f t="shared" si="28"/>
        <v>43656.009999999995</v>
      </c>
      <c r="R52" s="6">
        <f>SUM(E52:P52)</f>
        <v>484409.88000000012</v>
      </c>
    </row>
    <row r="53" spans="1:19" x14ac:dyDescent="0.25">
      <c r="A53" t="s">
        <v>1322</v>
      </c>
      <c r="E53" s="7">
        <f>E38+E37</f>
        <v>35347.710169140613</v>
      </c>
      <c r="F53" s="7">
        <f t="shared" ref="F53:P53" si="29">F38+F37</f>
        <v>40167.852464932505</v>
      </c>
      <c r="G53" s="7">
        <f t="shared" si="29"/>
        <v>43906.389021244657</v>
      </c>
      <c r="H53" s="7">
        <f t="shared" si="29"/>
        <v>40167.852464932505</v>
      </c>
      <c r="I53" s="7">
        <f t="shared" si="29"/>
        <v>39364.495415633857</v>
      </c>
      <c r="J53" s="7">
        <f t="shared" si="29"/>
        <v>46670.333358646996</v>
      </c>
      <c r="K53" s="7">
        <f t="shared" si="29"/>
        <v>38561.13836633521</v>
      </c>
      <c r="L53" s="7">
        <f t="shared" si="29"/>
        <v>37757.781317036563</v>
      </c>
      <c r="M53" s="7">
        <f t="shared" si="29"/>
        <v>44836.346532776981</v>
      </c>
      <c r="N53" s="7">
        <f t="shared" si="29"/>
        <v>35347.710169140613</v>
      </c>
      <c r="O53" s="7">
        <f t="shared" si="29"/>
        <v>33740.996070543311</v>
      </c>
      <c r="P53" s="7">
        <f t="shared" si="29"/>
        <v>47132.781317036563</v>
      </c>
      <c r="R53" s="6">
        <f>SUM(E53:P53)</f>
        <v>483001.38666740031</v>
      </c>
    </row>
  </sheetData>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1C488-BE7B-4286-B6D2-B35307D90A8E}">
  <sheetPr>
    <tabColor theme="9" tint="0.79998168889431442"/>
  </sheetPr>
  <dimension ref="A1:T75"/>
  <sheetViews>
    <sheetView zoomScale="85" zoomScaleNormal="85" workbookViewId="0">
      <selection activeCell="O2" sqref="O2:P2"/>
    </sheetView>
  </sheetViews>
  <sheetFormatPr defaultRowHeight="15" x14ac:dyDescent="0.25"/>
  <cols>
    <col min="1" max="1" width="24" bestFit="1" customWidth="1"/>
    <col min="2" max="2" width="8.7109375" hidden="1" customWidth="1"/>
    <col min="3" max="4" width="9.5703125" hidden="1" customWidth="1"/>
    <col min="5" max="5" width="11.28515625" bestFit="1" customWidth="1"/>
    <col min="6" max="15" width="11.5703125" bestFit="1" customWidth="1"/>
    <col min="16" max="16" width="11.28515625" bestFit="1" customWidth="1"/>
    <col min="17" max="17" width="2.85546875" customWidth="1"/>
    <col min="18" max="18" width="14.140625" customWidth="1"/>
    <col min="19" max="19" width="48.7109375" style="34" bestFit="1" customWidth="1"/>
    <col min="20" max="20" width="4.7109375" bestFit="1" customWidth="1"/>
  </cols>
  <sheetData>
    <row r="1" spans="1:20" ht="15.75" x14ac:dyDescent="0.25">
      <c r="A1" s="11" t="s">
        <v>1213</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0"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4" spans="1:20" s="137" customFormat="1" x14ac:dyDescent="0.25">
      <c r="A4" s="178" t="s">
        <v>1214</v>
      </c>
      <c r="B4" s="179">
        <f>'Service - 140 '!B4+'Service - 240'!B4+'Service - 340'!B4+'Service - 440'!B4</f>
        <v>460434.47</v>
      </c>
      <c r="C4" s="179">
        <f>'Service - 140 '!C4+'Service - 240'!C4+'Service - 340'!C4+'Service - 440'!C4</f>
        <v>468632.39999999997</v>
      </c>
      <c r="D4" s="179">
        <f>'Service - 140 '!D4+'Service - 240'!D4+'Service - 340'!D4+'Service - 440'!D4</f>
        <v>640852.93000000005</v>
      </c>
      <c r="E4" s="179">
        <f>'Service - 140 '!E4+'Service - 240'!E4+'Service - 340'!E4+'Service - 440'!E4</f>
        <v>454201.89</v>
      </c>
      <c r="F4" s="179">
        <f>'Service - 140 '!F4+'Service - 240'!F4+'Service - 340'!F4+'Service - 440'!F4</f>
        <v>630508.15999999992</v>
      </c>
      <c r="G4" s="179">
        <f>'Service - 140 '!G4+'Service - 240'!G4+'Service - 340'!G4+'Service - 440'!G4</f>
        <v>579574.60000000009</v>
      </c>
      <c r="H4" s="179">
        <f>'Service - 140 '!H4+'Service - 240'!H4+'Service - 340'!H4+'Service - 440'!H4</f>
        <v>512157.12</v>
      </c>
      <c r="I4" s="179">
        <f>'Service - 140 '!I4+'Service - 240'!I4+'Service - 340'!I4+'Service - 440'!I4</f>
        <v>616132.54999999993</v>
      </c>
      <c r="J4" s="179">
        <f>'Service - 140 '!J4+'Service - 240'!J4+'Service - 340'!J4+'Service - 440'!J4</f>
        <v>567341.29</v>
      </c>
      <c r="K4" s="179">
        <f>'Service - 140 '!K4+'Service - 240'!K4+'Service - 340'!K4+'Service - 440'!K4</f>
        <v>581957.30000000005</v>
      </c>
      <c r="L4" s="179">
        <f>'Service - 140 '!L4+'Service - 240'!L4+'Service - 340'!L4+'Service - 440'!L4</f>
        <v>668867.16</v>
      </c>
      <c r="M4" s="179">
        <f>'Service - 140 '!M4+'Service - 240'!M4+'Service - 340'!M4+'Service - 440'!M4</f>
        <v>592988.04</v>
      </c>
      <c r="N4" s="179">
        <f>'Service - 140 '!N4+'Service - 240'!N4+'Service - 340'!N4+'Service - 440'!N4</f>
        <v>564323.87</v>
      </c>
      <c r="O4" s="179">
        <f>'Service - 140 '!O4+'Service - 240'!O4+'Service - 340'!O4+'Service - 440'!O4</f>
        <v>600002.99</v>
      </c>
      <c r="P4" s="179">
        <f>'Service - 140 '!P4+'Service - 240'!P4+'Service - 340'!P4+'Service - 440'!P4</f>
        <v>616725.21</v>
      </c>
      <c r="Q4" s="180"/>
      <c r="R4" s="179">
        <f>SUM(E4:P4)</f>
        <v>6984780.1800000006</v>
      </c>
      <c r="S4" s="177"/>
    </row>
    <row r="5" spans="1:20" x14ac:dyDescent="0.25">
      <c r="A5" s="7" t="s">
        <v>1215</v>
      </c>
      <c r="B5" s="6">
        <f>'Service - 140 '!B5+'Service - 240'!B5+'Service - 340'!B5+'Service - 440'!B5</f>
        <v>219255.17999999993</v>
      </c>
      <c r="C5" s="6">
        <f>'Service - 140 '!C5+'Service - 240'!C5+'Service - 340'!C5+'Service - 440'!C5</f>
        <v>228187.97999999998</v>
      </c>
      <c r="D5" s="6">
        <f>'Service - 140 '!D5+'Service - 240'!D5+'Service - 340'!D5+'Service - 440'!D5</f>
        <v>286772.74000000005</v>
      </c>
      <c r="E5" s="6">
        <f>'Service - 140 '!E5+'Service - 240'!E5+'Service - 340'!E5+'Service - 440'!E5</f>
        <v>173043.61</v>
      </c>
      <c r="F5" s="6">
        <f>'Service - 140 '!F5+'Service - 240'!F5+'Service - 340'!F5+'Service - 440'!F5</f>
        <v>296730.2300000001</v>
      </c>
      <c r="G5" s="6">
        <f>'Service - 140 '!G5+'Service - 240'!G5+'Service - 340'!G5+'Service - 440'!G5</f>
        <v>268474.17999999993</v>
      </c>
      <c r="H5" s="6">
        <f>'Service - 140 '!H5+'Service - 240'!H5+'Service - 340'!H5+'Service - 440'!H5</f>
        <v>221698.47000000003</v>
      </c>
      <c r="I5" s="6">
        <f>'Service - 140 '!I5+'Service - 240'!I5+'Service - 340'!I5+'Service - 440'!I5</f>
        <v>277158.02</v>
      </c>
      <c r="J5" s="6">
        <f>'Service - 140 '!J5+'Service - 240'!J5+'Service - 340'!J5+'Service - 440'!J5</f>
        <v>258066.56</v>
      </c>
      <c r="K5" s="6">
        <f>'Service - 140 '!K5+'Service - 240'!K5+'Service - 340'!K5+'Service - 440'!K5</f>
        <v>241220.90000000002</v>
      </c>
      <c r="L5" s="6">
        <f>'Service - 140 '!L5+'Service - 240'!L5+'Service - 340'!L5+'Service - 440'!L5</f>
        <v>278914.98</v>
      </c>
      <c r="M5" s="6">
        <f>'Service - 140 '!M5+'Service - 240'!M5+'Service - 340'!M5+'Service - 440'!M5</f>
        <v>271696.41000000003</v>
      </c>
      <c r="N5" s="6">
        <f>'Service - 140 '!N5+'Service - 240'!N5+'Service - 340'!N5+'Service - 440'!N5</f>
        <v>221928.56</v>
      </c>
      <c r="O5" s="6">
        <f>'Service - 140 '!O5+'Service - 240'!O5+'Service - 340'!O5+'Service - 440'!O5</f>
        <v>245572.21000000002</v>
      </c>
      <c r="P5" s="6">
        <f>'Service - 140 '!P5+'Service - 240'!P5+'Service - 340'!P5+'Service - 440'!P5</f>
        <v>273731.89</v>
      </c>
      <c r="Q5" s="1"/>
      <c r="R5" s="6">
        <f>SUM(E5:P5)</f>
        <v>3028236.0200000005</v>
      </c>
    </row>
    <row r="6" spans="1:20" x14ac:dyDescent="0.25">
      <c r="A6" s="7" t="s">
        <v>1216</v>
      </c>
      <c r="B6" s="6">
        <f t="shared" ref="B6:P6" si="0">B4+B5</f>
        <v>679689.64999999991</v>
      </c>
      <c r="C6" s="6">
        <f t="shared" si="0"/>
        <v>696820.37999999989</v>
      </c>
      <c r="D6" s="6">
        <f t="shared" si="0"/>
        <v>927625.67000000016</v>
      </c>
      <c r="E6" s="6">
        <f t="shared" si="0"/>
        <v>627245.5</v>
      </c>
      <c r="F6" s="6">
        <f t="shared" si="0"/>
        <v>927238.39</v>
      </c>
      <c r="G6" s="6">
        <f t="shared" si="0"/>
        <v>848048.78</v>
      </c>
      <c r="H6" s="6">
        <f t="shared" si="0"/>
        <v>733855.59000000008</v>
      </c>
      <c r="I6" s="6">
        <f t="shared" si="0"/>
        <v>893290.57</v>
      </c>
      <c r="J6" s="6">
        <f t="shared" si="0"/>
        <v>825407.85000000009</v>
      </c>
      <c r="K6" s="6">
        <f t="shared" si="0"/>
        <v>823178.20000000007</v>
      </c>
      <c r="L6" s="6">
        <f t="shared" si="0"/>
        <v>947782.14</v>
      </c>
      <c r="M6" s="6">
        <f t="shared" si="0"/>
        <v>864684.45000000007</v>
      </c>
      <c r="N6" s="6">
        <f t="shared" si="0"/>
        <v>786252.42999999993</v>
      </c>
      <c r="O6" s="6">
        <f t="shared" si="0"/>
        <v>845575.2</v>
      </c>
      <c r="P6" s="6">
        <f t="shared" si="0"/>
        <v>890457.1</v>
      </c>
      <c r="Q6" s="3"/>
      <c r="R6" s="6">
        <f>SUM(E6:P6)</f>
        <v>10013016.199999999</v>
      </c>
    </row>
    <row r="7" spans="1:20" x14ac:dyDescent="0.25">
      <c r="A7" t="s">
        <v>1217</v>
      </c>
      <c r="B7" s="16">
        <f>'Service - 140 '!B7+'Service - 240'!B7+'Service - 340'!B7+'Service - 440'!B7</f>
        <v>28.75</v>
      </c>
      <c r="C7" s="16">
        <f>'Service - 140 '!C7+'Service - 240'!C7+'Service - 340'!C7+'Service - 440'!C7</f>
        <v>28.75</v>
      </c>
      <c r="D7" s="16">
        <f>'Service - 140 '!D7+'Service - 240'!D7+'Service - 340'!D7+'Service - 440'!D7</f>
        <v>28.75</v>
      </c>
      <c r="E7" s="16">
        <f>'Service - 140 '!E7+'Service - 240'!E7+'Service - 340'!E7+'Service - 440'!E7</f>
        <v>29.75</v>
      </c>
      <c r="F7" s="16">
        <f>'Service - 140 '!F7+'Service - 240'!F7+'Service - 340'!F7+'Service - 440'!F7</f>
        <v>29.5</v>
      </c>
      <c r="G7" s="16">
        <f>'Service - 140 '!G7+'Service - 240'!G7+'Service - 340'!G7+'Service - 440'!G7</f>
        <v>30.25</v>
      </c>
      <c r="H7" s="16">
        <f>'Service - 140 '!H7+'Service - 240'!H7+'Service - 340'!H7+'Service - 440'!H7</f>
        <v>29.25</v>
      </c>
      <c r="I7" s="16">
        <f>'Service - 140 '!I7+'Service - 240'!I7+'Service - 340'!I7+'Service - 440'!I7</f>
        <v>30.25</v>
      </c>
      <c r="J7" s="16">
        <f>'Service - 140 '!J7+'Service - 240'!J7+'Service - 340'!J7+'Service - 440'!J7</f>
        <v>30.25</v>
      </c>
      <c r="K7" s="16">
        <f>'Service - 140 '!K7+'Service - 240'!K7+'Service - 340'!K7+'Service - 440'!K7</f>
        <v>31.75</v>
      </c>
      <c r="L7" s="16">
        <f>'Service - 140 '!L7+'Service - 240'!L7+'Service - 340'!L7+'Service - 440'!L7</f>
        <v>33.75</v>
      </c>
      <c r="M7" s="16">
        <f>'Service - 140 '!M7+'Service - 240'!M7+'Service - 340'!M7+'Service - 440'!M7</f>
        <v>32.75</v>
      </c>
      <c r="N7" s="16">
        <f>'Service - 140 '!N7+'Service - 240'!N7+'Service - 340'!N7+'Service - 440'!N7</f>
        <v>32.75</v>
      </c>
      <c r="O7" s="16">
        <f>'Service - 140 '!O7+'Service - 240'!O7+'Service - 340'!O7+'Service - 440'!O7</f>
        <v>33.25</v>
      </c>
      <c r="P7" s="16">
        <f>'Service - 140 '!P7+'Service - 240'!P7+'Service - 340'!P7+'Service - 440'!P7</f>
        <v>33.25</v>
      </c>
      <c r="Q7" s="3"/>
      <c r="R7" s="237">
        <f>AVERAGE(E7:P7)</f>
        <v>31.395833333333332</v>
      </c>
    </row>
    <row r="8" spans="1:20" x14ac:dyDescent="0.25">
      <c r="A8" t="s">
        <v>1218</v>
      </c>
      <c r="B8" s="3">
        <f>B14/B4</f>
        <v>0.72894794345002034</v>
      </c>
      <c r="C8" s="3">
        <f t="shared" ref="C8:P9" si="1">C14/C4</f>
        <v>0.70399575445487772</v>
      </c>
      <c r="D8" s="3">
        <f t="shared" si="1"/>
        <v>0.69931444333101511</v>
      </c>
      <c r="E8" s="3">
        <f t="shared" si="1"/>
        <v>0.62940938004463165</v>
      </c>
      <c r="F8" s="3">
        <f t="shared" si="1"/>
        <v>0.70839906338404901</v>
      </c>
      <c r="G8" s="3">
        <f t="shared" si="1"/>
        <v>0.6515976200475313</v>
      </c>
      <c r="H8" s="3">
        <f t="shared" si="1"/>
        <v>0.66371694686193161</v>
      </c>
      <c r="I8" s="3">
        <f t="shared" si="1"/>
        <v>0.71840849830121789</v>
      </c>
      <c r="J8" s="3">
        <f t="shared" si="1"/>
        <v>0.68184274054863869</v>
      </c>
      <c r="K8" s="3">
        <f t="shared" si="1"/>
        <v>0.65436708157110479</v>
      </c>
      <c r="L8" s="3">
        <f t="shared" si="1"/>
        <v>0.67771648409229723</v>
      </c>
      <c r="M8" s="3">
        <f t="shared" si="1"/>
        <v>0.66758012522478527</v>
      </c>
      <c r="N8" s="3">
        <f t="shared" si="1"/>
        <v>0.66765669508185077</v>
      </c>
      <c r="O8" s="3">
        <f t="shared" si="1"/>
        <v>0.65790870475495467</v>
      </c>
      <c r="P8" s="3">
        <f t="shared" si="1"/>
        <v>0.66898183066004402</v>
      </c>
      <c r="Q8" s="1"/>
      <c r="R8" s="3">
        <f>R14/R4</f>
        <v>0.67198425419881991</v>
      </c>
    </row>
    <row r="9" spans="1:20" x14ac:dyDescent="0.25">
      <c r="A9" t="s">
        <v>1219</v>
      </c>
      <c r="B9" s="3">
        <f>B15/B5</f>
        <v>0.34829982124025477</v>
      </c>
      <c r="C9" s="3">
        <f t="shared" si="1"/>
        <v>0.44577908967860597</v>
      </c>
      <c r="D9" s="3">
        <f t="shared" si="1"/>
        <v>0.47180596733148344</v>
      </c>
      <c r="E9" s="3">
        <f t="shared" si="1"/>
        <v>0.47919943417731536</v>
      </c>
      <c r="F9" s="3">
        <f t="shared" si="1"/>
        <v>0.50976895748033446</v>
      </c>
      <c r="G9" s="3">
        <f t="shared" si="1"/>
        <v>0.47294045185276296</v>
      </c>
      <c r="H9" s="3">
        <f t="shared" si="1"/>
        <v>0.49501225696325285</v>
      </c>
      <c r="I9" s="3">
        <f t="shared" si="1"/>
        <v>0.49187041385271818</v>
      </c>
      <c r="J9" s="3">
        <f t="shared" si="1"/>
        <v>0.41140448417648529</v>
      </c>
      <c r="K9" s="3">
        <f t="shared" si="1"/>
        <v>0.49085079277956412</v>
      </c>
      <c r="L9" s="3">
        <f t="shared" si="1"/>
        <v>0.52778151248814265</v>
      </c>
      <c r="M9" s="3">
        <f t="shared" si="1"/>
        <v>0.49085039437952055</v>
      </c>
      <c r="N9" s="3">
        <f t="shared" si="1"/>
        <v>0.51636945690991731</v>
      </c>
      <c r="O9" s="3">
        <f t="shared" si="1"/>
        <v>0.41452300323395719</v>
      </c>
      <c r="P9" s="3">
        <f t="shared" si="1"/>
        <v>0.39053750733975456</v>
      </c>
      <c r="R9" s="3">
        <f>R15/R5</f>
        <v>0.47409268647428598</v>
      </c>
    </row>
    <row r="10" spans="1:20" x14ac:dyDescent="0.25">
      <c r="A10" t="s">
        <v>1220</v>
      </c>
      <c r="B10" s="3">
        <f t="shared" ref="B10:P10" si="2">B17/B6</f>
        <v>0.36797948887407661</v>
      </c>
      <c r="C10" s="3">
        <f t="shared" si="2"/>
        <v>0.36312006259059187</v>
      </c>
      <c r="D10" s="3">
        <f t="shared" si="2"/>
        <v>0.36507988184501183</v>
      </c>
      <c r="E10" s="3">
        <f t="shared" si="2"/>
        <v>0.37628870992298874</v>
      </c>
      <c r="F10" s="3">
        <f t="shared" si="2"/>
        <v>0.32028910062707822</v>
      </c>
      <c r="G10" s="3">
        <f t="shared" si="2"/>
        <v>0.40795334909862135</v>
      </c>
      <c r="H10" s="3">
        <f t="shared" si="2"/>
        <v>0.44582620131026046</v>
      </c>
      <c r="I10" s="3">
        <f t="shared" si="2"/>
        <v>0.38725525782724879</v>
      </c>
      <c r="J10" s="3">
        <f t="shared" si="2"/>
        <v>0.34205182322896482</v>
      </c>
      <c r="K10" s="3">
        <f t="shared" si="2"/>
        <v>0.35727667472243552</v>
      </c>
      <c r="L10" s="3">
        <f t="shared" si="2"/>
        <v>0.29307352214929905</v>
      </c>
      <c r="M10" s="3">
        <f t="shared" si="2"/>
        <v>0.31512353437141144</v>
      </c>
      <c r="N10" s="3">
        <f t="shared" si="2"/>
        <v>0.3657818774563279</v>
      </c>
      <c r="O10" s="3">
        <f t="shared" si="2"/>
        <v>0.31487511696180309</v>
      </c>
      <c r="P10" s="3">
        <f t="shared" si="2"/>
        <v>0.33676582510263553</v>
      </c>
      <c r="R10" s="3">
        <f>(R17)/R6</f>
        <v>0.35278955306194354</v>
      </c>
    </row>
    <row r="11" spans="1:20" s="137" customFormat="1" x14ac:dyDescent="0.25">
      <c r="A11" s="178" t="s">
        <v>1221</v>
      </c>
      <c r="B11" s="179">
        <f t="shared" ref="B11:P11" si="3">B4/B7</f>
        <v>16015.111999999999</v>
      </c>
      <c r="C11" s="179">
        <f t="shared" si="3"/>
        <v>16300.257391304347</v>
      </c>
      <c r="D11" s="179">
        <f t="shared" si="3"/>
        <v>22290.536695652176</v>
      </c>
      <c r="E11" s="179">
        <f t="shared" si="3"/>
        <v>15267.290420168069</v>
      </c>
      <c r="F11" s="179">
        <f t="shared" si="3"/>
        <v>21373.157966101691</v>
      </c>
      <c r="G11" s="179">
        <f t="shared" si="3"/>
        <v>19159.490909090913</v>
      </c>
      <c r="H11" s="179">
        <f t="shared" si="3"/>
        <v>17509.645128205128</v>
      </c>
      <c r="I11" s="179">
        <f t="shared" si="3"/>
        <v>20368.018181818181</v>
      </c>
      <c r="J11" s="179">
        <f t="shared" si="3"/>
        <v>18755.083966942151</v>
      </c>
      <c r="K11" s="179">
        <f t="shared" si="3"/>
        <v>18329.363779527561</v>
      </c>
      <c r="L11" s="179">
        <f t="shared" si="3"/>
        <v>19818.286222222225</v>
      </c>
      <c r="M11" s="179">
        <f t="shared" si="3"/>
        <v>18106.505038167939</v>
      </c>
      <c r="N11" s="179">
        <f t="shared" si="3"/>
        <v>17231.263206106869</v>
      </c>
      <c r="O11" s="179">
        <f t="shared" si="3"/>
        <v>18045.202706766919</v>
      </c>
      <c r="P11" s="179">
        <f t="shared" si="3"/>
        <v>18548.126616541351</v>
      </c>
      <c r="R11" s="179">
        <f>R4/R7/12</f>
        <v>18539.562521566029</v>
      </c>
      <c r="S11" s="182"/>
    </row>
    <row r="12" spans="1:20" x14ac:dyDescent="0.25">
      <c r="A12" s="7" t="s">
        <v>1222</v>
      </c>
      <c r="B12" s="6">
        <f t="shared" ref="B12:P12" si="4">B14/B7</f>
        <v>11674.182956521741</v>
      </c>
      <c r="C12" s="6">
        <f t="shared" si="4"/>
        <v>11475.312000000002</v>
      </c>
      <c r="D12" s="6">
        <f t="shared" si="4"/>
        <v>15588.094260869566</v>
      </c>
      <c r="E12" s="6">
        <f t="shared" si="4"/>
        <v>9609.3757983193282</v>
      </c>
      <c r="F12" s="6">
        <f t="shared" si="4"/>
        <v>15140.725084745765</v>
      </c>
      <c r="G12" s="6">
        <f t="shared" si="4"/>
        <v>12484.27867768595</v>
      </c>
      <c r="H12" s="6">
        <f t="shared" si="4"/>
        <v>11621.448205128203</v>
      </c>
      <c r="I12" s="6">
        <f t="shared" si="4"/>
        <v>14632.5573553719</v>
      </c>
      <c r="J12" s="6">
        <f t="shared" si="4"/>
        <v>12788.017851239671</v>
      </c>
      <c r="K12" s="6">
        <f t="shared" si="4"/>
        <v>11994.132283464565</v>
      </c>
      <c r="L12" s="6">
        <f t="shared" si="4"/>
        <v>13431.179259259261</v>
      </c>
      <c r="M12" s="6">
        <f t="shared" si="4"/>
        <v>12087.542900763359</v>
      </c>
      <c r="N12" s="6">
        <f t="shared" si="4"/>
        <v>11504.568244274809</v>
      </c>
      <c r="O12" s="6">
        <f t="shared" si="4"/>
        <v>11872.095939849623</v>
      </c>
      <c r="P12" s="6">
        <f t="shared" si="4"/>
        <v>12408.359699248123</v>
      </c>
      <c r="R12" s="6">
        <f>R14/R7/12</f>
        <v>12458.294094226942</v>
      </c>
      <c r="S12" s="128"/>
    </row>
    <row r="13" spans="1:20" x14ac:dyDescent="0.25">
      <c r="B13" s="3"/>
      <c r="C13" s="3"/>
      <c r="D13" s="3"/>
      <c r="E13" s="3"/>
      <c r="F13" s="3"/>
      <c r="G13" s="3"/>
      <c r="H13" s="3"/>
      <c r="I13" s="3"/>
      <c r="J13" s="3"/>
      <c r="K13" s="3"/>
      <c r="L13" s="3"/>
      <c r="M13" s="3"/>
      <c r="N13" s="3"/>
      <c r="O13" s="3"/>
      <c r="P13" s="3"/>
      <c r="R13" s="6"/>
    </row>
    <row r="14" spans="1:20" x14ac:dyDescent="0.25">
      <c r="A14" s="7" t="s">
        <v>1223</v>
      </c>
      <c r="B14" s="6">
        <f>'Service - 140 '!B14+'Service - 240'!B14+'Service - 340'!B14+'Service - 440'!B14</f>
        <v>335632.76000000007</v>
      </c>
      <c r="C14" s="6">
        <f>'Service - 140 '!C14+'Service - 240'!C14+'Service - 340'!C14+'Service - 440'!C14</f>
        <v>329915.22000000003</v>
      </c>
      <c r="D14" s="6">
        <f>'Service - 140 '!D14+'Service - 240'!D14+'Service - 340'!D14+'Service - 440'!D14</f>
        <v>448157.71</v>
      </c>
      <c r="E14" s="6">
        <f>'Service - 140 '!E14+'Service - 240'!E14+'Service - 340'!E14+'Service - 440'!E14</f>
        <v>285878.93</v>
      </c>
      <c r="F14" s="6">
        <f>'Service - 140 '!F14+'Service - 240'!F14+'Service - 340'!F14+'Service - 440'!F14</f>
        <v>446651.39000000007</v>
      </c>
      <c r="G14" s="6">
        <f>'Service - 140 '!G14+'Service - 240'!G14+'Service - 340'!G14+'Service - 440'!G14</f>
        <v>377649.43</v>
      </c>
      <c r="H14" s="6">
        <f>'Service - 140 '!H14+'Service - 240'!H14+'Service - 340'!H14+'Service - 440'!H14</f>
        <v>339927.35999999993</v>
      </c>
      <c r="I14" s="6">
        <f>'Service - 140 '!I14+'Service - 240'!I14+'Service - 340'!I14+'Service - 440'!I14</f>
        <v>442634.86</v>
      </c>
      <c r="J14" s="6">
        <f>'Service - 140 '!J14+'Service - 240'!J14+'Service - 340'!J14+'Service - 440'!J14</f>
        <v>386837.54000000004</v>
      </c>
      <c r="K14" s="6">
        <f>'Service - 140 '!K14+'Service - 240'!K14+'Service - 340'!K14+'Service - 440'!K14</f>
        <v>380813.69999999995</v>
      </c>
      <c r="L14" s="6">
        <f>'Service - 140 '!L14+'Service - 240'!L14+'Service - 340'!L14+'Service - 440'!L14</f>
        <v>453302.30000000005</v>
      </c>
      <c r="M14" s="6">
        <f>'Service - 140 '!M14+'Service - 240'!M14+'Service - 340'!M14+'Service - 440'!M14</f>
        <v>395867.03</v>
      </c>
      <c r="N14" s="6">
        <f>'Service - 140 '!N14+'Service - 240'!N14+'Service - 340'!N14+'Service - 440'!N14</f>
        <v>376774.61</v>
      </c>
      <c r="O14" s="6">
        <f>'Service - 140 '!O14+'Service - 240'!O14+'Service - 340'!O14+'Service - 440'!O14</f>
        <v>394747.19</v>
      </c>
      <c r="P14" s="6">
        <f>'Service - 140 '!P14+'Service - 240'!P14+'Service - 340'!P14+'Service - 440'!P14</f>
        <v>412577.96000000008</v>
      </c>
      <c r="R14" s="6">
        <f>SUM(E14:P14)</f>
        <v>4693662.3</v>
      </c>
    </row>
    <row r="15" spans="1:20" x14ac:dyDescent="0.25">
      <c r="A15" s="7" t="s">
        <v>1224</v>
      </c>
      <c r="B15" s="6">
        <f t="shared" ref="B15:P15" si="5">B16-B14</f>
        <v>76366.539999999863</v>
      </c>
      <c r="C15" s="6">
        <f t="shared" si="5"/>
        <v>101721.42999999993</v>
      </c>
      <c r="D15" s="6">
        <f t="shared" si="5"/>
        <v>135301.09000000003</v>
      </c>
      <c r="E15" s="6">
        <f t="shared" si="5"/>
        <v>82922.400000000023</v>
      </c>
      <c r="F15" s="6">
        <f t="shared" si="5"/>
        <v>151263.85999999993</v>
      </c>
      <c r="G15" s="6">
        <f t="shared" si="5"/>
        <v>126972.29999999999</v>
      </c>
      <c r="H15" s="6">
        <f t="shared" si="5"/>
        <v>109743.46000000002</v>
      </c>
      <c r="I15" s="6">
        <f t="shared" si="5"/>
        <v>136325.82999999996</v>
      </c>
      <c r="J15" s="6">
        <f t="shared" si="5"/>
        <v>106169.73999999999</v>
      </c>
      <c r="K15" s="6">
        <f t="shared" si="5"/>
        <v>118403.46999999997</v>
      </c>
      <c r="L15" s="6">
        <f t="shared" si="5"/>
        <v>147206.17000000004</v>
      </c>
      <c r="M15" s="6">
        <f t="shared" si="5"/>
        <v>133362.28999999992</v>
      </c>
      <c r="N15" s="6">
        <f t="shared" si="5"/>
        <v>114597.13</v>
      </c>
      <c r="O15" s="6">
        <f t="shared" si="5"/>
        <v>101795.33000000002</v>
      </c>
      <c r="P15" s="6">
        <f t="shared" si="5"/>
        <v>106902.56999999989</v>
      </c>
      <c r="R15" s="6">
        <f>SUM(E15:P15)</f>
        <v>1435664.5499999998</v>
      </c>
    </row>
    <row r="16" spans="1:20" x14ac:dyDescent="0.25">
      <c r="A16" s="7" t="s">
        <v>1225</v>
      </c>
      <c r="B16" s="6">
        <f>'Service - 140 '!B16+'Service - 240'!B16+'Service - 340'!B16+'Service - 440'!B16</f>
        <v>411999.29999999993</v>
      </c>
      <c r="C16" s="6">
        <f>'Service - 140 '!C16+'Service - 240'!C16+'Service - 340'!C16+'Service - 440'!C16</f>
        <v>431636.64999999997</v>
      </c>
      <c r="D16" s="6">
        <f>'Service - 140 '!D16+'Service - 240'!D16+'Service - 340'!D16+'Service - 440'!D16</f>
        <v>583458.80000000005</v>
      </c>
      <c r="E16" s="6">
        <f>'Service - 140 '!E16+'Service - 240'!E16+'Service - 340'!E16+'Service - 440'!E16</f>
        <v>368801.33</v>
      </c>
      <c r="F16" s="6">
        <f>'Service - 140 '!F16+'Service - 240'!F16+'Service - 340'!F16+'Service - 440'!F16</f>
        <v>597915.25</v>
      </c>
      <c r="G16" s="6">
        <f>'Service - 140 '!G16+'Service - 240'!G16+'Service - 340'!G16+'Service - 440'!G16</f>
        <v>504621.73</v>
      </c>
      <c r="H16" s="6">
        <f>'Service - 140 '!H16+'Service - 240'!H16+'Service - 340'!H16+'Service - 440'!H16</f>
        <v>449670.81999999995</v>
      </c>
      <c r="I16" s="6">
        <f>'Service - 140 '!I16+'Service - 240'!I16+'Service - 340'!I16+'Service - 440'!I16</f>
        <v>578960.68999999994</v>
      </c>
      <c r="J16" s="6">
        <f>'Service - 140 '!J16+'Service - 240'!J16+'Service - 340'!J16+'Service - 440'!J16</f>
        <v>493007.28</v>
      </c>
      <c r="K16" s="6">
        <f>'Service - 140 '!K16+'Service - 240'!K16+'Service - 340'!K16+'Service - 440'!K16</f>
        <v>499217.16999999993</v>
      </c>
      <c r="L16" s="6">
        <f>'Service - 140 '!L16+'Service - 240'!L16+'Service - 340'!L16+'Service - 440'!L16</f>
        <v>600508.47000000009</v>
      </c>
      <c r="M16" s="6">
        <f>'Service - 140 '!M16+'Service - 240'!M16+'Service - 340'!M16+'Service - 440'!M16</f>
        <v>529229.31999999995</v>
      </c>
      <c r="N16" s="6">
        <f>'Service - 140 '!N16+'Service - 240'!N16+'Service - 340'!N16+'Service - 440'!N16</f>
        <v>491371.74</v>
      </c>
      <c r="O16" s="6">
        <f>'Service - 140 '!O16+'Service - 240'!O16+'Service - 340'!O16+'Service - 440'!O16</f>
        <v>496542.52</v>
      </c>
      <c r="P16" s="6">
        <f>'Service - 140 '!P16+'Service - 240'!P16+'Service - 340'!P16+'Service - 440'!P16</f>
        <v>519480.52999999997</v>
      </c>
      <c r="R16" s="6">
        <f>SUM(E16:P16)</f>
        <v>6129326.8500000006</v>
      </c>
      <c r="T16" s="3"/>
    </row>
    <row r="17" spans="1:20" x14ac:dyDescent="0.25">
      <c r="A17" s="7" t="s">
        <v>1226</v>
      </c>
      <c r="B17" s="6">
        <f>'Service - 140 '!B17+'Service - 240'!B17+'Service - 340'!B17+'Service - 440'!B17</f>
        <v>250111.85</v>
      </c>
      <c r="C17" s="6">
        <f>'Service - 140 '!C17+'Service - 240'!C17+'Service - 340'!C17+'Service - 440'!C17</f>
        <v>253029.46</v>
      </c>
      <c r="D17" s="6">
        <f>'Service - 140 '!D17+'Service - 240'!D17+'Service - 340'!D17+'Service - 440'!D17</f>
        <v>338657.47</v>
      </c>
      <c r="E17" s="6">
        <f>'Service - 140 '!E17+'Service - 240'!E17+'Service - 340'!E17+'Service - 440'!E17</f>
        <v>236025.40000000002</v>
      </c>
      <c r="F17" s="6">
        <f>'Service - 140 '!F17+'Service - 240'!F17+'Service - 340'!F17+'Service - 440'!F17</f>
        <v>296984.34999999998</v>
      </c>
      <c r="G17" s="6">
        <f>'Service - 140 '!G17+'Service - 240'!G17+'Service - 340'!G17+'Service - 440'!G17</f>
        <v>345964.33999999997</v>
      </c>
      <c r="H17" s="6">
        <f>'Service - 140 '!H17+'Service - 240'!H17+'Service - 340'!H17+'Service - 440'!H17</f>
        <v>327172.05</v>
      </c>
      <c r="I17" s="6">
        <f>'Service - 140 '!I17+'Service - 240'!I17+'Service - 340'!I17+'Service - 440'!I17</f>
        <v>345931.47000000003</v>
      </c>
      <c r="J17" s="6">
        <f>'Service - 140 '!J17+'Service - 240'!J17+'Service - 340'!J17+'Service - 440'!J17</f>
        <v>282332.25999999995</v>
      </c>
      <c r="K17" s="6">
        <f>'Service - 140 '!K17+'Service - 240'!K17+'Service - 340'!K17+'Service - 440'!K17</f>
        <v>294102.37</v>
      </c>
      <c r="L17" s="6">
        <f>'Service - 140 '!L17+'Service - 240'!L17+'Service - 340'!L17+'Service - 440'!L17</f>
        <v>277769.85000000003</v>
      </c>
      <c r="M17" s="6">
        <f>'Service - 140 '!M17+'Service - 240'!M17+'Service - 340'!M17+'Service - 440'!M17</f>
        <v>272482.42000000004</v>
      </c>
      <c r="N17" s="6">
        <f>'Service - 140 '!N17+'Service - 240'!N17+'Service - 340'!N17+'Service - 440'!N17</f>
        <v>287596.89</v>
      </c>
      <c r="O17" s="6">
        <f>'Service - 140 '!O17+'Service - 240'!O17+'Service - 340'!O17+'Service - 440'!O17</f>
        <v>266250.59000000003</v>
      </c>
      <c r="P17" s="6">
        <f>'Service - 140 '!P17+'Service - 240'!P17+'Service - 340'!P17+'Service - 440'!P17</f>
        <v>299875.52</v>
      </c>
      <c r="Q17" s="1"/>
      <c r="R17" s="6">
        <f>SUM(E17:P17)</f>
        <v>3532487.51</v>
      </c>
    </row>
    <row r="18" spans="1:20" ht="15.75" thickBot="1" x14ac:dyDescent="0.3">
      <c r="A18" s="9" t="s">
        <v>1078</v>
      </c>
      <c r="B18" s="10">
        <f>B16-B17</f>
        <v>161887.44999999992</v>
      </c>
      <c r="C18" s="10">
        <f>C16-C17</f>
        <v>178607.18999999997</v>
      </c>
      <c r="D18" s="10">
        <f>D16-D17</f>
        <v>244801.33000000007</v>
      </c>
      <c r="E18" s="10">
        <f>E16-E17</f>
        <v>132775.93</v>
      </c>
      <c r="F18" s="10">
        <f t="shared" ref="F18:P18" si="6">F16-F17</f>
        <v>300930.90000000002</v>
      </c>
      <c r="G18" s="10">
        <f t="shared" si="6"/>
        <v>158657.39000000001</v>
      </c>
      <c r="H18" s="10">
        <f t="shared" si="6"/>
        <v>122498.76999999996</v>
      </c>
      <c r="I18" s="10">
        <f t="shared" si="6"/>
        <v>233029.21999999991</v>
      </c>
      <c r="J18" s="10">
        <f t="shared" si="6"/>
        <v>210675.02000000008</v>
      </c>
      <c r="K18" s="10">
        <f t="shared" si="6"/>
        <v>205114.79999999993</v>
      </c>
      <c r="L18" s="10">
        <f t="shared" si="6"/>
        <v>322738.62000000005</v>
      </c>
      <c r="M18" s="10">
        <f t="shared" si="6"/>
        <v>256746.89999999991</v>
      </c>
      <c r="N18" s="10">
        <f t="shared" si="6"/>
        <v>203774.84999999998</v>
      </c>
      <c r="O18" s="10">
        <f t="shared" si="6"/>
        <v>230291.93</v>
      </c>
      <c r="P18" s="10">
        <f t="shared" si="6"/>
        <v>219605.00999999995</v>
      </c>
      <c r="Q18" s="1"/>
      <c r="R18" s="10">
        <f>R16-R17</f>
        <v>2596839.3400000008</v>
      </c>
      <c r="T18" s="3"/>
    </row>
    <row r="19" spans="1:20" ht="15.75" thickTop="1" x14ac:dyDescent="0.25">
      <c r="B19" s="16"/>
      <c r="C19" s="16"/>
      <c r="D19" s="16"/>
      <c r="E19" s="16"/>
      <c r="F19" s="16"/>
      <c r="G19" s="16"/>
      <c r="H19" s="16"/>
      <c r="I19" s="16"/>
      <c r="J19" s="16"/>
      <c r="K19" s="16"/>
      <c r="L19" s="16"/>
      <c r="M19" s="16"/>
      <c r="N19" s="123"/>
      <c r="O19" s="123"/>
      <c r="P19" s="3"/>
    </row>
    <row r="20" spans="1:20" x14ac:dyDescent="0.25">
      <c r="B20" s="7"/>
      <c r="C20" s="7"/>
      <c r="D20" s="7"/>
      <c r="E20" s="7"/>
      <c r="F20" s="7"/>
      <c r="G20" s="7"/>
      <c r="H20" s="7"/>
      <c r="I20" s="7"/>
      <c r="J20" s="7"/>
      <c r="K20" s="7"/>
      <c r="L20" s="7"/>
      <c r="M20" s="7"/>
    </row>
    <row r="21" spans="1:20" ht="15.75" x14ac:dyDescent="0.25">
      <c r="A21" s="11" t="s">
        <v>1213</v>
      </c>
      <c r="B21" s="5">
        <v>45292</v>
      </c>
      <c r="C21" s="5">
        <v>45323</v>
      </c>
      <c r="D21" s="5">
        <v>45352</v>
      </c>
      <c r="E21" s="5">
        <v>45383</v>
      </c>
      <c r="F21" s="5">
        <v>45413</v>
      </c>
      <c r="G21" s="5">
        <v>45444</v>
      </c>
      <c r="H21" s="5">
        <v>45474</v>
      </c>
      <c r="I21" s="5">
        <v>45505</v>
      </c>
      <c r="J21" s="5">
        <v>45536</v>
      </c>
      <c r="K21" s="5">
        <v>45566</v>
      </c>
      <c r="L21" s="5">
        <v>45597</v>
      </c>
      <c r="M21" s="5">
        <v>45627</v>
      </c>
      <c r="N21" s="5">
        <v>45658</v>
      </c>
      <c r="O21" s="5">
        <v>45689</v>
      </c>
      <c r="P21" s="5">
        <v>45717</v>
      </c>
      <c r="Q21" s="5"/>
      <c r="R21" s="5" t="s">
        <v>955</v>
      </c>
    </row>
    <row r="22" spans="1:20" x14ac:dyDescent="0.25">
      <c r="A22" s="4"/>
      <c r="B22" s="5" t="s">
        <v>958</v>
      </c>
      <c r="C22" s="5" t="s">
        <v>959</v>
      </c>
      <c r="D22" s="5" t="s">
        <v>959</v>
      </c>
      <c r="E22" s="5" t="s">
        <v>959</v>
      </c>
      <c r="F22" s="5" t="s">
        <v>959</v>
      </c>
      <c r="G22" s="5" t="s">
        <v>959</v>
      </c>
      <c r="H22" s="5" t="s">
        <v>959</v>
      </c>
      <c r="I22" s="5" t="s">
        <v>959</v>
      </c>
      <c r="J22" s="5" t="s">
        <v>959</v>
      </c>
      <c r="K22" s="5" t="s">
        <v>959</v>
      </c>
      <c r="L22" s="5" t="s">
        <v>959</v>
      </c>
      <c r="M22" s="5" t="s">
        <v>959</v>
      </c>
      <c r="N22" s="5" t="s">
        <v>959</v>
      </c>
      <c r="O22" s="5" t="s">
        <v>959</v>
      </c>
      <c r="P22" s="5" t="s">
        <v>959</v>
      </c>
      <c r="Q22" s="5"/>
      <c r="R22" s="5" t="s">
        <v>961</v>
      </c>
    </row>
    <row r="24" spans="1:20" x14ac:dyDescent="0.25">
      <c r="A24" s="7" t="s">
        <v>1214</v>
      </c>
      <c r="B24" s="6">
        <f t="shared" ref="B24:D32" si="7">N4</f>
        <v>564323.87</v>
      </c>
      <c r="C24" s="6">
        <f t="shared" si="7"/>
        <v>600002.99</v>
      </c>
      <c r="D24" s="6">
        <f t="shared" si="7"/>
        <v>616725.21</v>
      </c>
      <c r="E24" s="6">
        <f>'Service - 140 '!E24+'Service - 240'!E24+'Service - 340'!E24+'Service - 440'!E24</f>
        <v>585737.48902246379</v>
      </c>
      <c r="F24" s="6">
        <f>'Service - 140 '!F24+'Service - 240'!F24+'Service - 340'!F24+'Service - 440'!F24</f>
        <v>665610.78298007243</v>
      </c>
      <c r="G24" s="6">
        <f>'Service - 140 '!G24+'Service - 240'!G24+'Service - 340'!G24+'Service - 440'!G24</f>
        <v>545800.84204365942</v>
      </c>
      <c r="H24" s="6">
        <f>'Service - 140 '!H24+'Service - 240'!H24+'Service - 340'!H24+'Service - 440'!H24</f>
        <v>665610.78298007243</v>
      </c>
      <c r="I24" s="6">
        <f>'Service - 140 '!I24+'Service - 240'!I24+'Service - 340'!I24+'Service - 440'!I24</f>
        <v>652298.56732047116</v>
      </c>
      <c r="J24" s="6">
        <f>'Service - 140 '!J24+'Service - 240'!J24+'Service - 340'!J24+'Service - 440'!J24</f>
        <v>612361.92034166667</v>
      </c>
      <c r="K24" s="6">
        <f>'Service - 140 '!K24+'Service - 240'!K24+'Service - 340'!K24+'Service - 440'!K24</f>
        <v>638986.35166086955</v>
      </c>
      <c r="L24" s="6">
        <f>'Service - 140 '!L24+'Service - 240'!L24+'Service - 340'!L24+'Service - 440'!L24</f>
        <v>625674.13600126817</v>
      </c>
      <c r="M24" s="6">
        <f>'Service - 140 '!M24+'Service - 240'!M24+'Service - 340'!M24+'Service - 440'!M24</f>
        <v>585737.48902246379</v>
      </c>
      <c r="N24" s="6">
        <f>'Service - 140 '!N24+'Service - 240'!N24+'Service - 340'!N24+'Service - 440'!N24</f>
        <v>585737.48902246379</v>
      </c>
      <c r="O24" s="6">
        <f>'Service - 140 '!O24+'Service - 240'!O24+'Service - 340'!O24+'Service - 440'!O24</f>
        <v>559113.0577032608</v>
      </c>
      <c r="P24" s="6">
        <f>'Service - 140 '!P24+'Service - 240'!P24+'Service - 340'!P24+'Service - 440'!P24</f>
        <v>625674.13600126817</v>
      </c>
      <c r="Q24" s="8"/>
      <c r="R24" s="6">
        <f>SUM(E24:P24)</f>
        <v>7348343.0440999996</v>
      </c>
      <c r="S24" s="34" t="s">
        <v>1227</v>
      </c>
    </row>
    <row r="25" spans="1:20" x14ac:dyDescent="0.25">
      <c r="A25" s="7" t="s">
        <v>1215</v>
      </c>
      <c r="B25" s="6">
        <f t="shared" si="7"/>
        <v>221928.56</v>
      </c>
      <c r="C25" s="6">
        <f t="shared" si="7"/>
        <v>245572.21000000002</v>
      </c>
      <c r="D25" s="6">
        <f t="shared" si="7"/>
        <v>273731.89</v>
      </c>
      <c r="E25" s="6">
        <f>'Service - 140 '!E25+'Service - 240'!E25+'Service - 340'!E25+'Service - 440'!E25</f>
        <v>247066.34039999999</v>
      </c>
      <c r="F25" s="6">
        <f>'Service - 140 '!F25+'Service - 240'!F25+'Service - 340'!F25+'Service - 440'!F25</f>
        <v>280757.20499999996</v>
      </c>
      <c r="G25" s="6">
        <f>'Service - 140 '!G25+'Service - 240'!G25+'Service - 340'!G25+'Service - 440'!G25</f>
        <v>230220.90809999997</v>
      </c>
      <c r="H25" s="6">
        <f>'Service - 140 '!H25+'Service - 240'!H25+'Service - 340'!H25+'Service - 440'!H25</f>
        <v>280757.20499999996</v>
      </c>
      <c r="I25" s="6">
        <f>'Service - 140 '!I25+'Service - 240'!I25+'Service - 340'!I25+'Service - 440'!I25</f>
        <v>275142.06090000004</v>
      </c>
      <c r="J25" s="6">
        <f>'Service - 140 '!J25+'Service - 240'!J25+'Service - 340'!J25+'Service - 440'!J25</f>
        <v>258296.62860000005</v>
      </c>
      <c r="K25" s="6">
        <f>'Service - 140 '!K25+'Service - 240'!K25+'Service - 340'!K25+'Service - 440'!K25</f>
        <v>269526.91680000001</v>
      </c>
      <c r="L25" s="6">
        <f>'Service - 140 '!L25+'Service - 240'!L25+'Service - 340'!L25+'Service - 440'!L25</f>
        <v>263911.77270000015</v>
      </c>
      <c r="M25" s="6">
        <f>'Service - 140 '!M25+'Service - 240'!M25+'Service - 340'!M25+'Service - 440'!M25</f>
        <v>247066.34039999999</v>
      </c>
      <c r="N25" s="6">
        <f>'Service - 140 '!N25+'Service - 240'!N25+'Service - 340'!N25+'Service - 440'!N25</f>
        <v>247066.34039999999</v>
      </c>
      <c r="O25" s="6">
        <f>'Service - 140 '!O25+'Service - 240'!O25+'Service - 340'!O25+'Service - 440'!O25</f>
        <v>235836.05220000003</v>
      </c>
      <c r="P25" s="6">
        <f>'Service - 140 '!P25+'Service - 240'!P25+'Service - 340'!P25+'Service - 440'!P25</f>
        <v>263911.77270000015</v>
      </c>
      <c r="Q25" s="1"/>
      <c r="R25" s="6">
        <f>SUM(E25:P25)</f>
        <v>3099559.5432000007</v>
      </c>
    </row>
    <row r="26" spans="1:20" x14ac:dyDescent="0.25">
      <c r="A26" s="7" t="s">
        <v>1216</v>
      </c>
      <c r="B26" s="6">
        <f t="shared" si="7"/>
        <v>786252.42999999993</v>
      </c>
      <c r="C26" s="6">
        <f t="shared" si="7"/>
        <v>845575.2</v>
      </c>
      <c r="D26" s="6">
        <f t="shared" si="7"/>
        <v>890457.1</v>
      </c>
      <c r="E26" s="6">
        <f>E24+E25</f>
        <v>832803.82942246378</v>
      </c>
      <c r="F26" s="6">
        <f t="shared" ref="F26:P26" si="8">F24+F25</f>
        <v>946367.98798007239</v>
      </c>
      <c r="G26" s="6">
        <f t="shared" si="8"/>
        <v>776021.75014365942</v>
      </c>
      <c r="H26" s="6">
        <f t="shared" si="8"/>
        <v>946367.98798007239</v>
      </c>
      <c r="I26" s="6">
        <f t="shared" si="8"/>
        <v>927440.6282204712</v>
      </c>
      <c r="J26" s="6">
        <f t="shared" si="8"/>
        <v>870658.54894166673</v>
      </c>
      <c r="K26" s="6">
        <f t="shared" si="8"/>
        <v>908513.26846086956</v>
      </c>
      <c r="L26" s="6">
        <f t="shared" si="8"/>
        <v>889585.90870126826</v>
      </c>
      <c r="M26" s="6">
        <f t="shared" si="8"/>
        <v>832803.82942246378</v>
      </c>
      <c r="N26" s="6">
        <f t="shared" si="8"/>
        <v>832803.82942246378</v>
      </c>
      <c r="O26" s="6">
        <f t="shared" si="8"/>
        <v>794949.10990326083</v>
      </c>
      <c r="P26" s="6">
        <f t="shared" si="8"/>
        <v>889585.90870126826</v>
      </c>
      <c r="Q26" s="3"/>
      <c r="R26" s="6">
        <f>SUM(E26:P26)</f>
        <v>10447902.587300003</v>
      </c>
      <c r="S26" s="244">
        <f>(R26-R6)/R6</f>
        <v>4.3432106631366818E-2</v>
      </c>
    </row>
    <row r="27" spans="1:20" x14ac:dyDescent="0.25">
      <c r="A27" t="s">
        <v>1217</v>
      </c>
      <c r="B27" s="6">
        <f t="shared" si="7"/>
        <v>32.75</v>
      </c>
      <c r="C27" s="6">
        <f t="shared" si="7"/>
        <v>33.25</v>
      </c>
      <c r="D27" s="6">
        <f t="shared" si="7"/>
        <v>33.25</v>
      </c>
      <c r="E27" s="237">
        <f>'Service - 140 '!E27+'Service - 240'!E27+'Service - 340'!E27+'Service - 440'!E27</f>
        <v>32.25</v>
      </c>
      <c r="F27" s="237">
        <f>'Service - 140 '!F27+'Service - 240'!F27+'Service - 340'!F27+'Service - 440'!F27</f>
        <v>32.25</v>
      </c>
      <c r="G27" s="237">
        <f>'Service - 140 '!G27+'Service - 240'!G27+'Service - 340'!G27+'Service - 440'!G27</f>
        <v>32.25</v>
      </c>
      <c r="H27" s="237">
        <f>'Service - 140 '!H27+'Service - 240'!H27+'Service - 340'!H27+'Service - 440'!H27</f>
        <v>32.25</v>
      </c>
      <c r="I27" s="237">
        <f>'Service - 140 '!I27+'Service - 240'!I27+'Service - 340'!I27+'Service - 440'!I27</f>
        <v>32.25</v>
      </c>
      <c r="J27" s="237">
        <f>'Service - 140 '!J27+'Service - 240'!J27+'Service - 340'!J27+'Service - 440'!J27</f>
        <v>32.25</v>
      </c>
      <c r="K27" s="237">
        <f>'Service - 140 '!K27+'Service - 240'!K27+'Service - 340'!K27+'Service - 440'!K27</f>
        <v>32.25</v>
      </c>
      <c r="L27" s="237">
        <f>'Service - 140 '!L27+'Service - 240'!L27+'Service - 340'!L27+'Service - 440'!L27</f>
        <v>32.25</v>
      </c>
      <c r="M27" s="237">
        <f>'Service - 140 '!M27+'Service - 240'!M27+'Service - 340'!M27+'Service - 440'!M27</f>
        <v>32.25</v>
      </c>
      <c r="N27" s="237">
        <f>'Service - 140 '!N27+'Service - 240'!N27+'Service - 340'!N27+'Service - 440'!N27</f>
        <v>32.25</v>
      </c>
      <c r="O27" s="237">
        <f>'Service - 140 '!O27+'Service - 240'!O27+'Service - 340'!O27+'Service - 440'!O27</f>
        <v>32.25</v>
      </c>
      <c r="P27" s="237">
        <f>'Service - 140 '!P27+'Service - 240'!P27+'Service - 340'!P27+'Service - 440'!P27</f>
        <v>32.25</v>
      </c>
      <c r="Q27" s="2"/>
      <c r="R27" s="237">
        <f>AVERAGE(E27:P27)</f>
        <v>32.25</v>
      </c>
    </row>
    <row r="28" spans="1:20" x14ac:dyDescent="0.25">
      <c r="A28" t="s">
        <v>1218</v>
      </c>
      <c r="B28" s="3">
        <f t="shared" si="7"/>
        <v>0.66765669508185077</v>
      </c>
      <c r="C28" s="3">
        <f t="shared" si="7"/>
        <v>0.65790870475495467</v>
      </c>
      <c r="D28" s="3">
        <f t="shared" si="7"/>
        <v>0.66898183066004402</v>
      </c>
      <c r="E28" s="3">
        <f>E34/E24</f>
        <v>0.67206567376334669</v>
      </c>
      <c r="F28" s="3">
        <f t="shared" ref="F28:R29" si="9">F34/F24</f>
        <v>0.67206567376334658</v>
      </c>
      <c r="G28" s="3">
        <f t="shared" si="9"/>
        <v>0.67206567376334658</v>
      </c>
      <c r="H28" s="3">
        <f t="shared" si="9"/>
        <v>0.67206567376334658</v>
      </c>
      <c r="I28" s="3">
        <f t="shared" si="9"/>
        <v>0.67206567376334647</v>
      </c>
      <c r="J28" s="3">
        <f t="shared" si="9"/>
        <v>0.67206567376334658</v>
      </c>
      <c r="K28" s="3">
        <f t="shared" si="9"/>
        <v>0.67206567376334658</v>
      </c>
      <c r="L28" s="3">
        <f t="shared" si="9"/>
        <v>0.67206567376334658</v>
      </c>
      <c r="M28" s="3">
        <f t="shared" si="9"/>
        <v>0.67206567376334669</v>
      </c>
      <c r="N28" s="3">
        <f t="shared" si="9"/>
        <v>0.67206567376334669</v>
      </c>
      <c r="O28" s="3">
        <f t="shared" si="9"/>
        <v>0.67206567376334669</v>
      </c>
      <c r="P28" s="3">
        <f t="shared" si="9"/>
        <v>0.67206567376334658</v>
      </c>
      <c r="Q28" s="3"/>
      <c r="R28" s="3">
        <f t="shared" si="9"/>
        <v>0.67206567376334669</v>
      </c>
      <c r="S28" s="34" t="s">
        <v>1228</v>
      </c>
    </row>
    <row r="29" spans="1:20" x14ac:dyDescent="0.25">
      <c r="A29" t="s">
        <v>1219</v>
      </c>
      <c r="B29" s="3">
        <f t="shared" si="7"/>
        <v>0.51636945690991731</v>
      </c>
      <c r="C29" s="3">
        <f t="shared" si="7"/>
        <v>0.41452300323395719</v>
      </c>
      <c r="D29" s="3">
        <f t="shared" si="7"/>
        <v>0.39053750733975456</v>
      </c>
      <c r="E29" s="3">
        <f>E35/E25</f>
        <v>0.48021930175760247</v>
      </c>
      <c r="F29" s="3">
        <f t="shared" si="9"/>
        <v>0.48021930175760247</v>
      </c>
      <c r="G29" s="3">
        <f t="shared" si="9"/>
        <v>0.48021930175760247</v>
      </c>
      <c r="H29" s="3">
        <f t="shared" si="9"/>
        <v>0.48021930175760247</v>
      </c>
      <c r="I29" s="3">
        <f t="shared" si="9"/>
        <v>0.48021930175760247</v>
      </c>
      <c r="J29" s="3">
        <f t="shared" si="9"/>
        <v>0.48021930175760247</v>
      </c>
      <c r="K29" s="3">
        <f t="shared" si="9"/>
        <v>0.48021930175760247</v>
      </c>
      <c r="L29" s="3">
        <f t="shared" si="9"/>
        <v>0.48021930175760241</v>
      </c>
      <c r="M29" s="3">
        <f t="shared" si="9"/>
        <v>0.48021930175760247</v>
      </c>
      <c r="N29" s="3">
        <f t="shared" si="9"/>
        <v>0.48021930175760247</v>
      </c>
      <c r="O29" s="3">
        <f t="shared" si="9"/>
        <v>0.48021930175760247</v>
      </c>
      <c r="P29" s="3">
        <f t="shared" si="9"/>
        <v>0.48021930175760241</v>
      </c>
      <c r="Q29" s="3"/>
      <c r="R29" s="3">
        <f t="shared" si="9"/>
        <v>0.48021930175760236</v>
      </c>
    </row>
    <row r="30" spans="1:20" x14ac:dyDescent="0.25">
      <c r="A30" t="s">
        <v>1220</v>
      </c>
      <c r="B30" s="3">
        <f t="shared" si="7"/>
        <v>0.3657818774563279</v>
      </c>
      <c r="C30" s="3">
        <f t="shared" si="7"/>
        <v>0.31487511696180309</v>
      </c>
      <c r="D30" s="3">
        <f t="shared" si="7"/>
        <v>0.33676582510263553</v>
      </c>
      <c r="E30" s="3">
        <f t="shared" ref="E30:P30" si="10">E37/E26</f>
        <v>0.35817028303303117</v>
      </c>
      <c r="F30" s="3">
        <f t="shared" si="10"/>
        <v>0.31518984906906744</v>
      </c>
      <c r="G30" s="3">
        <f t="shared" si="10"/>
        <v>0.38437786471837493</v>
      </c>
      <c r="H30" s="3">
        <f t="shared" si="10"/>
        <v>0.31518984906906744</v>
      </c>
      <c r="I30" s="3">
        <f t="shared" si="10"/>
        <v>0.32162229496843608</v>
      </c>
      <c r="J30" s="3">
        <f t="shared" si="10"/>
        <v>0.34259766203159497</v>
      </c>
      <c r="K30" s="3">
        <f t="shared" si="10"/>
        <v>0.32832275944694522</v>
      </c>
      <c r="L30" s="3">
        <f t="shared" si="10"/>
        <v>0.33530835007347592</v>
      </c>
      <c r="M30" s="3">
        <f t="shared" si="10"/>
        <v>0.35817028303303117</v>
      </c>
      <c r="N30" s="3">
        <f t="shared" si="10"/>
        <v>0.35817028303303117</v>
      </c>
      <c r="O30" s="3">
        <f t="shared" si="10"/>
        <v>0.37522601079650886</v>
      </c>
      <c r="P30" s="3">
        <f t="shared" si="10"/>
        <v>0.33530835007347592</v>
      </c>
      <c r="Q30" s="3"/>
      <c r="R30" s="3">
        <f>(R37)/R26</f>
        <v>0.34259766203159486</v>
      </c>
      <c r="S30" s="34" t="s">
        <v>1229</v>
      </c>
    </row>
    <row r="31" spans="1:20" x14ac:dyDescent="0.25">
      <c r="A31" s="7" t="s">
        <v>1221</v>
      </c>
      <c r="B31" s="6">
        <f t="shared" si="7"/>
        <v>17231.263206106869</v>
      </c>
      <c r="C31" s="6">
        <f t="shared" si="7"/>
        <v>18045.202706766919</v>
      </c>
      <c r="D31" s="6">
        <f t="shared" si="7"/>
        <v>18548.126616541351</v>
      </c>
      <c r="E31" s="6">
        <f>E24/E27</f>
        <v>18162.402760386474</v>
      </c>
      <c r="F31" s="6">
        <f t="shared" ref="F31:P31" si="11">F24/F27</f>
        <v>20639.094045893718</v>
      </c>
      <c r="G31" s="6">
        <f t="shared" si="11"/>
        <v>16924.057117632849</v>
      </c>
      <c r="H31" s="6">
        <f t="shared" si="11"/>
        <v>20639.094045893718</v>
      </c>
      <c r="I31" s="6">
        <f t="shared" si="11"/>
        <v>20226.31216497585</v>
      </c>
      <c r="J31" s="6">
        <f t="shared" si="11"/>
        <v>18987.966522222221</v>
      </c>
      <c r="K31" s="6">
        <f t="shared" si="11"/>
        <v>19813.530284057972</v>
      </c>
      <c r="L31" s="6">
        <f t="shared" si="11"/>
        <v>19400.7484031401</v>
      </c>
      <c r="M31" s="6">
        <f t="shared" si="11"/>
        <v>18162.402760386474</v>
      </c>
      <c r="N31" s="6">
        <f t="shared" si="11"/>
        <v>18162.402760386474</v>
      </c>
      <c r="O31" s="6">
        <f t="shared" si="11"/>
        <v>17336.838998550724</v>
      </c>
      <c r="P31" s="6">
        <f t="shared" si="11"/>
        <v>19400.7484031401</v>
      </c>
      <c r="Q31" s="6"/>
      <c r="R31" s="6">
        <f>R24/R27/12</f>
        <v>18987.966522222221</v>
      </c>
      <c r="S31" s="34" t="s">
        <v>1230</v>
      </c>
    </row>
    <row r="32" spans="1:20" x14ac:dyDescent="0.25">
      <c r="A32" s="7" t="s">
        <v>1222</v>
      </c>
      <c r="B32" s="6">
        <f t="shared" si="7"/>
        <v>11504.568244274809</v>
      </c>
      <c r="C32" s="6">
        <f t="shared" si="7"/>
        <v>11872.095939849623</v>
      </c>
      <c r="D32" s="6">
        <f t="shared" si="7"/>
        <v>12408.359699248123</v>
      </c>
      <c r="E32" s="6">
        <f t="shared" ref="E32:P32" si="12">E34/E27</f>
        <v>12206.327448320404</v>
      </c>
      <c r="F32" s="6">
        <f t="shared" si="12"/>
        <v>13870.826645818637</v>
      </c>
      <c r="G32" s="6">
        <f t="shared" si="12"/>
        <v>11374.077849571282</v>
      </c>
      <c r="H32" s="6">
        <f t="shared" si="12"/>
        <v>13870.826645818637</v>
      </c>
      <c r="I32" s="6">
        <f t="shared" si="12"/>
        <v>13593.410112902266</v>
      </c>
      <c r="J32" s="6">
        <f t="shared" si="12"/>
        <v>12761.160514153147</v>
      </c>
      <c r="K32" s="6">
        <f t="shared" si="12"/>
        <v>13315.993579985892</v>
      </c>
      <c r="L32" s="6">
        <f t="shared" si="12"/>
        <v>13038.577047069521</v>
      </c>
      <c r="M32" s="6">
        <f t="shared" si="12"/>
        <v>12206.327448320404</v>
      </c>
      <c r="N32" s="6">
        <f t="shared" si="12"/>
        <v>12206.327448320404</v>
      </c>
      <c r="O32" s="6">
        <f t="shared" si="12"/>
        <v>11651.494382487655</v>
      </c>
      <c r="P32" s="6">
        <f t="shared" si="12"/>
        <v>13038.577047069521</v>
      </c>
      <c r="Q32" s="6"/>
      <c r="R32" s="6">
        <f>R34/R27/12</f>
        <v>12761.160514153147</v>
      </c>
    </row>
    <row r="33" spans="1:19" x14ac:dyDescent="0.25">
      <c r="A33" s="7"/>
      <c r="B33" s="6"/>
      <c r="C33" s="6"/>
      <c r="D33" s="6"/>
      <c r="E33" s="6"/>
      <c r="F33" s="6"/>
      <c r="G33" s="6"/>
      <c r="H33" s="6"/>
      <c r="I33" s="6"/>
      <c r="J33" s="6"/>
      <c r="K33" s="6"/>
      <c r="L33" s="6"/>
      <c r="M33" s="6"/>
      <c r="N33" s="6"/>
      <c r="O33" s="6"/>
      <c r="P33" s="6"/>
      <c r="Q33" s="6"/>
      <c r="R33" s="6"/>
    </row>
    <row r="34" spans="1:19" x14ac:dyDescent="0.25">
      <c r="A34" s="7" t="s">
        <v>1223</v>
      </c>
      <c r="B34" s="6">
        <f t="shared" ref="B34:D38" si="13">N14</f>
        <v>376774.61</v>
      </c>
      <c r="C34" s="6">
        <f t="shared" si="13"/>
        <v>394747.19</v>
      </c>
      <c r="D34" s="6">
        <f t="shared" si="13"/>
        <v>412577.96000000008</v>
      </c>
      <c r="E34" s="6">
        <f>'Service - 140 '!E34+'Service - 240'!E34+'Service - 340'!E34+'Service - 440'!E34</f>
        <v>393654.06020833302</v>
      </c>
      <c r="F34" s="6">
        <f>'Service - 140 '!F34+'Service - 240'!F34+'Service - 340'!F34+'Service - 440'!F34</f>
        <v>447334.15932765102</v>
      </c>
      <c r="G34" s="6">
        <f>'Service - 140 '!G34+'Service - 240'!G34+'Service - 340'!G34+'Service - 440'!G34</f>
        <v>366814.01064867387</v>
      </c>
      <c r="H34" s="6">
        <f>'Service - 140 '!H34+'Service - 240'!H34+'Service - 340'!H34+'Service - 440'!H34</f>
        <v>447334.15932765102</v>
      </c>
      <c r="I34" s="6">
        <f>'Service - 140 '!I34+'Service - 240'!I34+'Service - 340'!I34+'Service - 440'!I34</f>
        <v>438387.47614109807</v>
      </c>
      <c r="J34" s="6">
        <f>'Service - 140 '!J34+'Service - 240'!J34+'Service - 340'!J34+'Service - 440'!J34</f>
        <v>411547.42658143898</v>
      </c>
      <c r="K34" s="6">
        <f>'Service - 140 '!K34+'Service - 240'!K34+'Service - 340'!K34+'Service - 440'!K34</f>
        <v>429440.792954545</v>
      </c>
      <c r="L34" s="6">
        <f>'Service - 140 '!L34+'Service - 240'!L34+'Service - 340'!L34+'Service - 440'!L34</f>
        <v>420494.10976799205</v>
      </c>
      <c r="M34" s="6">
        <f>'Service - 140 '!M34+'Service - 240'!M34+'Service - 340'!M34+'Service - 440'!M34</f>
        <v>393654.06020833302</v>
      </c>
      <c r="N34" s="6">
        <f>'Service - 140 '!N34+'Service - 240'!N34+'Service - 340'!N34+'Service - 440'!N34</f>
        <v>393654.06020833302</v>
      </c>
      <c r="O34" s="6">
        <f>'Service - 140 '!O34+'Service - 240'!O34+'Service - 340'!O34+'Service - 440'!O34</f>
        <v>375760.69383522688</v>
      </c>
      <c r="P34" s="6">
        <f>'Service - 140 '!P34+'Service - 240'!P34+'Service - 340'!P34+'Service - 440'!P34</f>
        <v>420494.10976799205</v>
      </c>
      <c r="R34" s="6">
        <f>SUM(E34:P34)</f>
        <v>4938569.1189772682</v>
      </c>
      <c r="S34" s="120"/>
    </row>
    <row r="35" spans="1:19" x14ac:dyDescent="0.25">
      <c r="A35" s="7" t="s">
        <v>1224</v>
      </c>
      <c r="B35" s="6">
        <f t="shared" si="13"/>
        <v>114597.13</v>
      </c>
      <c r="C35" s="6">
        <f t="shared" si="13"/>
        <v>101795.33000000002</v>
      </c>
      <c r="D35" s="6">
        <f t="shared" si="13"/>
        <v>106902.56999999989</v>
      </c>
      <c r="E35" s="6">
        <f>'Service - 140 '!E35+'Service - 240'!E35+'Service - 340'!E35+'Service - 440'!E35</f>
        <v>118646.02547469412</v>
      </c>
      <c r="F35" s="6">
        <f>'Service - 140 '!F35+'Service - 240'!F35+'Service - 340'!F35+'Service - 440'!F35</f>
        <v>134825.02894851603</v>
      </c>
      <c r="G35" s="6">
        <f>'Service - 140 '!G35+'Service - 240'!G35+'Service - 340'!G35+'Service - 440'!G35</f>
        <v>110556.52373778315</v>
      </c>
      <c r="H35" s="6">
        <f>'Service - 140 '!H35+'Service - 240'!H35+'Service - 340'!H35+'Service - 440'!H35</f>
        <v>134825.02894851603</v>
      </c>
      <c r="I35" s="6">
        <f>'Service - 140 '!I35+'Service - 240'!I35+'Service - 340'!I35+'Service - 440'!I35</f>
        <v>132128.52836954576</v>
      </c>
      <c r="J35" s="6">
        <f>'Service - 140 '!J35+'Service - 240'!J35+'Service - 340'!J35+'Service - 440'!J35</f>
        <v>124039.02663263479</v>
      </c>
      <c r="K35" s="6">
        <f>'Service - 140 '!K35+'Service - 240'!K35+'Service - 340'!K35+'Service - 440'!K35</f>
        <v>129432.02779057542</v>
      </c>
      <c r="L35" s="6">
        <f>'Service - 140 '!L35+'Service - 240'!L35+'Service - 340'!L35+'Service - 440'!L35</f>
        <v>126735.52721160515</v>
      </c>
      <c r="M35" s="6">
        <f>'Service - 140 '!M35+'Service - 240'!M35+'Service - 340'!M35+'Service - 440'!M35</f>
        <v>118646.02547469412</v>
      </c>
      <c r="N35" s="6">
        <f>'Service - 140 '!N35+'Service - 240'!N35+'Service - 340'!N35+'Service - 440'!N35</f>
        <v>118646.02547469412</v>
      </c>
      <c r="O35" s="6">
        <f>'Service - 140 '!O35+'Service - 240'!O35+'Service - 340'!O35+'Service - 440'!O35</f>
        <v>113253.02431675351</v>
      </c>
      <c r="P35" s="6">
        <f>'Service - 140 '!P35+'Service - 240'!P35+'Service - 340'!P35+'Service - 440'!P35</f>
        <v>126735.52721160515</v>
      </c>
      <c r="R35" s="6">
        <f>SUM(E35:P35)</f>
        <v>1488468.3195916172</v>
      </c>
    </row>
    <row r="36" spans="1:19" x14ac:dyDescent="0.25">
      <c r="A36" s="7" t="s">
        <v>1225</v>
      </c>
      <c r="B36" s="6">
        <f t="shared" si="13"/>
        <v>491371.74</v>
      </c>
      <c r="C36" s="6">
        <f t="shared" si="13"/>
        <v>496542.52</v>
      </c>
      <c r="D36" s="6">
        <f t="shared" si="13"/>
        <v>519480.52999999997</v>
      </c>
      <c r="E36" s="6">
        <f t="shared" ref="E36:P36" si="14">E34+E35</f>
        <v>512300.08568302717</v>
      </c>
      <c r="F36" s="6">
        <f t="shared" si="14"/>
        <v>582159.18827616703</v>
      </c>
      <c r="G36" s="6">
        <f t="shared" si="14"/>
        <v>477370.534386457</v>
      </c>
      <c r="H36" s="6">
        <f t="shared" si="14"/>
        <v>582159.18827616703</v>
      </c>
      <c r="I36" s="6">
        <f t="shared" si="14"/>
        <v>570516.00451064389</v>
      </c>
      <c r="J36" s="6">
        <f t="shared" si="14"/>
        <v>535586.45321407379</v>
      </c>
      <c r="K36" s="6">
        <f t="shared" si="14"/>
        <v>558872.82074512041</v>
      </c>
      <c r="L36" s="6">
        <f t="shared" si="14"/>
        <v>547229.63697959716</v>
      </c>
      <c r="M36" s="6">
        <f t="shared" si="14"/>
        <v>512300.08568302717</v>
      </c>
      <c r="N36" s="6">
        <f t="shared" si="14"/>
        <v>512300.08568302717</v>
      </c>
      <c r="O36" s="6">
        <f t="shared" si="14"/>
        <v>489013.71815198037</v>
      </c>
      <c r="P36" s="6">
        <f t="shared" si="14"/>
        <v>547229.63697959716</v>
      </c>
      <c r="R36" s="6">
        <f>SUM(E36:P36)</f>
        <v>6427037.4385688845</v>
      </c>
      <c r="S36" s="120"/>
    </row>
    <row r="37" spans="1:19" x14ac:dyDescent="0.25">
      <c r="A37" s="7" t="s">
        <v>1226</v>
      </c>
      <c r="B37" s="6">
        <f t="shared" si="13"/>
        <v>287596.89</v>
      </c>
      <c r="C37" s="6">
        <f t="shared" si="13"/>
        <v>266250.59000000003</v>
      </c>
      <c r="D37" s="6">
        <f t="shared" si="13"/>
        <v>299875.52</v>
      </c>
      <c r="E37" s="6">
        <f>E53</f>
        <v>298285.58329523605</v>
      </c>
      <c r="F37" s="6">
        <f t="shared" ref="F37:P37" si="15">F53</f>
        <v>298285.58329523605</v>
      </c>
      <c r="G37" s="6">
        <f t="shared" si="15"/>
        <v>298285.58329523605</v>
      </c>
      <c r="H37" s="6">
        <f t="shared" si="15"/>
        <v>298285.58329523605</v>
      </c>
      <c r="I37" s="6">
        <f t="shared" si="15"/>
        <v>298285.58329523605</v>
      </c>
      <c r="J37" s="6">
        <f t="shared" si="15"/>
        <v>298285.58329523605</v>
      </c>
      <c r="K37" s="6">
        <f t="shared" si="15"/>
        <v>298285.58329523605</v>
      </c>
      <c r="L37" s="6">
        <f t="shared" si="15"/>
        <v>298285.58329523605</v>
      </c>
      <c r="M37" s="6">
        <f t="shared" si="15"/>
        <v>298285.58329523605</v>
      </c>
      <c r="N37" s="6">
        <f t="shared" si="15"/>
        <v>298285.58329523605</v>
      </c>
      <c r="O37" s="6">
        <f t="shared" si="15"/>
        <v>298285.58329523605</v>
      </c>
      <c r="P37" s="6">
        <f t="shared" si="15"/>
        <v>298285.58329523605</v>
      </c>
      <c r="Q37" s="1"/>
      <c r="R37" s="6">
        <f>SUM(E37:P37)</f>
        <v>3579426.9995428319</v>
      </c>
    </row>
    <row r="38" spans="1:19" ht="15.75" thickBot="1" x14ac:dyDescent="0.3">
      <c r="A38" s="9" t="s">
        <v>1078</v>
      </c>
      <c r="B38" s="10">
        <f t="shared" si="13"/>
        <v>203774.84999999998</v>
      </c>
      <c r="C38" s="10">
        <f t="shared" si="13"/>
        <v>230291.93</v>
      </c>
      <c r="D38" s="10">
        <f t="shared" si="13"/>
        <v>219605.00999999995</v>
      </c>
      <c r="E38" s="10">
        <f>E36-E37</f>
        <v>214014.50238779112</v>
      </c>
      <c r="F38" s="10">
        <f t="shared" ref="F38:P38" si="16">F36-F37</f>
        <v>283873.60498093098</v>
      </c>
      <c r="G38" s="10">
        <f t="shared" si="16"/>
        <v>179084.95109122095</v>
      </c>
      <c r="H38" s="10">
        <f t="shared" si="16"/>
        <v>283873.60498093098</v>
      </c>
      <c r="I38" s="10">
        <f t="shared" si="16"/>
        <v>272230.42121540784</v>
      </c>
      <c r="J38" s="10">
        <f t="shared" si="16"/>
        <v>237300.86991883774</v>
      </c>
      <c r="K38" s="10">
        <f t="shared" si="16"/>
        <v>260587.23744988436</v>
      </c>
      <c r="L38" s="10">
        <f t="shared" si="16"/>
        <v>248944.0536843611</v>
      </c>
      <c r="M38" s="10">
        <f t="shared" si="16"/>
        <v>214014.50238779112</v>
      </c>
      <c r="N38" s="10">
        <f t="shared" si="16"/>
        <v>214014.50238779112</v>
      </c>
      <c r="O38" s="10">
        <f t="shared" si="16"/>
        <v>190728.13485674432</v>
      </c>
      <c r="P38" s="10">
        <f t="shared" si="16"/>
        <v>248944.0536843611</v>
      </c>
      <c r="Q38" s="1"/>
      <c r="R38" s="10">
        <f>R36-R37</f>
        <v>2847610.4390260526</v>
      </c>
      <c r="S38" s="120"/>
    </row>
    <row r="39" spans="1:19" ht="15.75" thickTop="1" x14ac:dyDescent="0.25"/>
    <row r="40" spans="1:19" x14ac:dyDescent="0.25">
      <c r="E40" s="7"/>
      <c r="F40" s="7"/>
      <c r="G40" s="7"/>
      <c r="H40" s="7"/>
      <c r="I40" s="7"/>
      <c r="J40" s="7"/>
      <c r="K40" s="7"/>
      <c r="L40" s="7"/>
      <c r="M40" s="7"/>
      <c r="N40" s="7"/>
      <c r="O40" s="7"/>
      <c r="P40" s="7"/>
      <c r="R40" s="7">
        <f>R38-'Service - 140 '!R38-'Service - 240'!R38-'Service - 340'!R38-'Service - 440'!R38</f>
        <v>0</v>
      </c>
      <c r="S40" s="163" t="s">
        <v>1231</v>
      </c>
    </row>
    <row r="41" spans="1:19" x14ac:dyDescent="0.25">
      <c r="A41" t="s">
        <v>1189</v>
      </c>
      <c r="E41">
        <v>2024</v>
      </c>
      <c r="F41">
        <v>2023</v>
      </c>
      <c r="G41">
        <v>2022</v>
      </c>
      <c r="H41">
        <v>2021</v>
      </c>
      <c r="I41">
        <v>2020</v>
      </c>
      <c r="J41">
        <v>2019</v>
      </c>
      <c r="K41">
        <v>2018</v>
      </c>
      <c r="M41" t="s">
        <v>1232</v>
      </c>
    </row>
    <row r="42" spans="1:19" x14ac:dyDescent="0.25">
      <c r="A42" t="s">
        <v>1233</v>
      </c>
      <c r="E42" s="6">
        <f>'Service - 140 '!R6+'LEX - Service'!R6+'Retail Detailing'!R7</f>
        <v>6301008.75</v>
      </c>
      <c r="F42" s="6">
        <v>5597927.3399999999</v>
      </c>
      <c r="G42" s="6">
        <v>5048945</v>
      </c>
      <c r="H42" s="6">
        <v>5071963.63</v>
      </c>
      <c r="I42" s="6">
        <v>5571895.75</v>
      </c>
      <c r="J42" s="6">
        <v>5566461.4000000004</v>
      </c>
      <c r="K42" s="6">
        <v>5465994.5899999999</v>
      </c>
      <c r="R42" s="7"/>
    </row>
    <row r="43" spans="1:19" x14ac:dyDescent="0.25">
      <c r="E43" s="3">
        <f t="shared" ref="E43:J43" si="17">(E42-F42)/F42</f>
        <v>0.12559673738101793</v>
      </c>
      <c r="F43" s="3">
        <f t="shared" si="17"/>
        <v>0.10873208957514884</v>
      </c>
      <c r="G43" s="3">
        <f t="shared" si="17"/>
        <v>-4.5384059664481243E-3</v>
      </c>
      <c r="H43" s="3">
        <f t="shared" si="17"/>
        <v>-8.9723882576230915E-2</v>
      </c>
      <c r="I43" s="3">
        <f t="shared" si="17"/>
        <v>9.7626653801993974E-4</v>
      </c>
      <c r="J43" s="3">
        <f t="shared" si="17"/>
        <v>1.8380334694037912E-2</v>
      </c>
      <c r="M43" s="44">
        <v>0.05</v>
      </c>
    </row>
    <row r="44" spans="1:19" x14ac:dyDescent="0.25">
      <c r="A44">
        <v>240</v>
      </c>
      <c r="E44" s="6">
        <f>'Service - 240'!R6</f>
        <v>2220758.48</v>
      </c>
      <c r="F44" s="6">
        <v>2128172.92</v>
      </c>
      <c r="G44" s="6">
        <v>2027669.62</v>
      </c>
      <c r="H44" s="6">
        <v>2169958.14</v>
      </c>
      <c r="I44" s="6">
        <v>1959962</v>
      </c>
      <c r="J44" s="6">
        <v>2063998.86</v>
      </c>
      <c r="K44" s="6">
        <v>2022818.21</v>
      </c>
    </row>
    <row r="45" spans="1:19" x14ac:dyDescent="0.25">
      <c r="E45" s="3">
        <f t="shared" ref="E45:J45" si="18">(E44-F44)/F44</f>
        <v>4.350471671258746E-2</v>
      </c>
      <c r="F45" s="3">
        <f t="shared" si="18"/>
        <v>4.9565914983723931E-2</v>
      </c>
      <c r="G45" s="3">
        <f t="shared" si="18"/>
        <v>-6.5572011449031922E-2</v>
      </c>
      <c r="H45" s="3">
        <f t="shared" si="18"/>
        <v>0.10714296501666876</v>
      </c>
      <c r="I45" s="3">
        <f t="shared" si="18"/>
        <v>-5.040548326659449E-2</v>
      </c>
      <c r="J45" s="3">
        <f t="shared" si="18"/>
        <v>2.0358057781178537E-2</v>
      </c>
      <c r="K45" s="3"/>
      <c r="M45" s="44">
        <v>0.05</v>
      </c>
    </row>
    <row r="46" spans="1:19" x14ac:dyDescent="0.25">
      <c r="A46">
        <v>340</v>
      </c>
      <c r="E46" s="6">
        <f>'Service - 340'!R6</f>
        <v>1522053.7299999997</v>
      </c>
      <c r="F46" s="6">
        <v>1494607.91</v>
      </c>
      <c r="G46" s="6">
        <v>1440574.04</v>
      </c>
      <c r="H46" s="6">
        <v>1345185.08</v>
      </c>
      <c r="I46" s="6">
        <v>1541601.56</v>
      </c>
      <c r="J46" s="6">
        <v>1490114.61</v>
      </c>
      <c r="K46" s="6">
        <v>1858721.37</v>
      </c>
    </row>
    <row r="47" spans="1:19" x14ac:dyDescent="0.25">
      <c r="E47" s="3">
        <f t="shared" ref="E47:J47" si="19">(E46-F46)/F46</f>
        <v>1.8363224104708396E-2</v>
      </c>
      <c r="F47" s="3">
        <f t="shared" si="19"/>
        <v>3.7508568459278829E-2</v>
      </c>
      <c r="G47" s="3">
        <f t="shared" si="19"/>
        <v>7.0911402020605196E-2</v>
      </c>
      <c r="H47" s="3">
        <f t="shared" si="19"/>
        <v>-0.1274106650488859</v>
      </c>
      <c r="I47" s="3">
        <f t="shared" si="19"/>
        <v>3.4552342252385508E-2</v>
      </c>
      <c r="J47" s="3">
        <f t="shared" si="19"/>
        <v>-0.1983120041278699</v>
      </c>
      <c r="K47" s="3"/>
      <c r="M47" s="44">
        <v>0.02</v>
      </c>
    </row>
    <row r="48" spans="1:19" x14ac:dyDescent="0.25">
      <c r="A48">
        <v>440</v>
      </c>
      <c r="E48" s="6">
        <f>'Service - 440'!R26</f>
        <v>1974405.828</v>
      </c>
      <c r="F48" s="6">
        <v>1346569.19</v>
      </c>
      <c r="G48" s="6">
        <v>667976.1</v>
      </c>
      <c r="H48" s="6"/>
    </row>
    <row r="49" spans="1:18" x14ac:dyDescent="0.25">
      <c r="E49" s="3">
        <f>(E48-F48)/F48</f>
        <v>0.46624907406354665</v>
      </c>
      <c r="F49" s="3">
        <f>(F48-G48)/G48</f>
        <v>1.0158942662768922</v>
      </c>
      <c r="G49" s="6"/>
      <c r="H49" s="3"/>
      <c r="M49" s="44">
        <v>0.12</v>
      </c>
    </row>
    <row r="50" spans="1:18" x14ac:dyDescent="0.25">
      <c r="A50" t="s">
        <v>1193</v>
      </c>
      <c r="E50" s="6">
        <f t="shared" ref="E50:K50" si="20">E42+E44+E46+E48</f>
        <v>12018226.788000001</v>
      </c>
      <c r="F50" s="6">
        <f t="shared" si="20"/>
        <v>10567277.359999999</v>
      </c>
      <c r="G50" s="6">
        <f t="shared" si="20"/>
        <v>9185164.7599999998</v>
      </c>
      <c r="H50" s="6">
        <f t="shared" si="20"/>
        <v>8587106.8499999996</v>
      </c>
      <c r="I50" s="6">
        <f t="shared" si="20"/>
        <v>9073459.3100000005</v>
      </c>
      <c r="J50" s="6">
        <f t="shared" si="20"/>
        <v>9120574.870000001</v>
      </c>
      <c r="K50" s="6">
        <f t="shared" si="20"/>
        <v>9347534.1699999999</v>
      </c>
    </row>
    <row r="51" spans="1:18" x14ac:dyDescent="0.25">
      <c r="E51" s="3">
        <f t="shared" ref="E51:J51" si="21">(E50-F50)/F50</f>
        <v>0.13730589049287539</v>
      </c>
      <c r="F51" s="3">
        <f t="shared" si="21"/>
        <v>0.15047227089696752</v>
      </c>
      <c r="G51" s="3">
        <f t="shared" si="21"/>
        <v>6.9646031014508711E-2</v>
      </c>
      <c r="H51" s="3">
        <f t="shared" si="21"/>
        <v>-5.3601657690136362E-2</v>
      </c>
      <c r="I51" s="3">
        <f t="shared" si="21"/>
        <v>-5.1658542001531225E-3</v>
      </c>
      <c r="J51" s="3">
        <f t="shared" si="21"/>
        <v>-2.4280125204399108E-2</v>
      </c>
    </row>
    <row r="53" spans="1:18" x14ac:dyDescent="0.25">
      <c r="A53" s="7" t="s">
        <v>1076</v>
      </c>
      <c r="E53" s="7">
        <f>'Service - 140 '!E44+'Service - 240'!E44+'Service - 340'!E44+'Service - 440'!E44</f>
        <v>298285.58329523605</v>
      </c>
      <c r="F53" s="7">
        <f>'Service - 140 '!F44+'Service - 240'!F44+'Service - 340'!F44+'Service - 440'!F44</f>
        <v>298285.58329523605</v>
      </c>
      <c r="G53" s="7">
        <f>'Service - 140 '!G44+'Service - 240'!G44+'Service - 340'!G44+'Service - 440'!G44</f>
        <v>298285.58329523605</v>
      </c>
      <c r="H53" s="7">
        <f>'Service - 140 '!H44+'Service - 240'!H44+'Service - 340'!H44+'Service - 440'!H44</f>
        <v>298285.58329523605</v>
      </c>
      <c r="I53" s="7">
        <f>'Service - 140 '!I44+'Service - 240'!I44+'Service - 340'!I44+'Service - 440'!I44</f>
        <v>298285.58329523605</v>
      </c>
      <c r="J53" s="7">
        <f>'Service - 140 '!J44+'Service - 240'!J44+'Service - 340'!J44+'Service - 440'!J44</f>
        <v>298285.58329523605</v>
      </c>
      <c r="K53" s="7">
        <f>'Service - 140 '!K44+'Service - 240'!K44+'Service - 340'!K44+'Service - 440'!K44</f>
        <v>298285.58329523605</v>
      </c>
      <c r="L53" s="7">
        <f>'Service - 140 '!L44+'Service - 240'!L44+'Service - 340'!L44+'Service - 440'!L44</f>
        <v>298285.58329523605</v>
      </c>
      <c r="M53" s="7">
        <f>'Service - 140 '!M44+'Service - 240'!M44+'Service - 340'!M44+'Service - 440'!M44</f>
        <v>298285.58329523605</v>
      </c>
      <c r="N53" s="7">
        <f>'Service - 140 '!N44+'Service - 240'!N44+'Service - 340'!N44+'Service - 440'!N44</f>
        <v>298285.58329523605</v>
      </c>
      <c r="O53" s="7">
        <f>'Service - 140 '!O44+'Service - 240'!O44+'Service - 340'!O44+'Service - 440'!O44</f>
        <v>298285.58329523605</v>
      </c>
      <c r="P53" s="7">
        <f>'Service - 140 '!P44+'Service - 240'!P44+'Service - 340'!P44+'Service - 440'!P44</f>
        <v>298285.58329523605</v>
      </c>
      <c r="R53" s="6">
        <f>SUM(E53:P53)</f>
        <v>3579426.9995428319</v>
      </c>
    </row>
    <row r="55" spans="1:18" x14ac:dyDescent="0.25">
      <c r="A55" t="s">
        <v>1319</v>
      </c>
      <c r="E55" s="7">
        <f t="shared" ref="E55:P55" si="22">E16</f>
        <v>368801.33</v>
      </c>
      <c r="F55" s="7">
        <f t="shared" si="22"/>
        <v>597915.25</v>
      </c>
      <c r="G55" s="7">
        <f t="shared" si="22"/>
        <v>504621.73</v>
      </c>
      <c r="H55" s="7">
        <f t="shared" si="22"/>
        <v>449670.81999999995</v>
      </c>
      <c r="I55" s="7">
        <f t="shared" si="22"/>
        <v>578960.68999999994</v>
      </c>
      <c r="J55" s="7">
        <f t="shared" si="22"/>
        <v>493007.28</v>
      </c>
      <c r="K55" s="7">
        <f t="shared" si="22"/>
        <v>499217.16999999993</v>
      </c>
      <c r="L55" s="7">
        <f t="shared" si="22"/>
        <v>600508.47000000009</v>
      </c>
      <c r="M55" s="7">
        <f t="shared" si="22"/>
        <v>529229.31999999995</v>
      </c>
      <c r="N55" s="7">
        <f t="shared" si="22"/>
        <v>491371.74</v>
      </c>
      <c r="O55" s="7">
        <f t="shared" si="22"/>
        <v>496542.52</v>
      </c>
      <c r="P55" s="7">
        <f t="shared" si="22"/>
        <v>519480.52999999997</v>
      </c>
      <c r="Q55" s="34"/>
      <c r="R55" s="7">
        <f>SUM(E55:P55)</f>
        <v>6129326.8500000006</v>
      </c>
    </row>
    <row r="56" spans="1:18" x14ac:dyDescent="0.25">
      <c r="A56" t="s">
        <v>1320</v>
      </c>
      <c r="E56" s="7">
        <f t="shared" ref="E56:P56" si="23">E36</f>
        <v>512300.08568302717</v>
      </c>
      <c r="F56" s="7">
        <f t="shared" si="23"/>
        <v>582159.18827616703</v>
      </c>
      <c r="G56" s="7">
        <f t="shared" si="23"/>
        <v>477370.534386457</v>
      </c>
      <c r="H56" s="7">
        <f t="shared" si="23"/>
        <v>582159.18827616703</v>
      </c>
      <c r="I56" s="7">
        <f t="shared" si="23"/>
        <v>570516.00451064389</v>
      </c>
      <c r="J56" s="7">
        <f t="shared" si="23"/>
        <v>535586.45321407379</v>
      </c>
      <c r="K56" s="7">
        <f t="shared" si="23"/>
        <v>558872.82074512041</v>
      </c>
      <c r="L56" s="7">
        <f t="shared" si="23"/>
        <v>547229.63697959716</v>
      </c>
      <c r="M56" s="7">
        <f t="shared" si="23"/>
        <v>512300.08568302717</v>
      </c>
      <c r="N56" s="7">
        <f t="shared" si="23"/>
        <v>512300.08568302717</v>
      </c>
      <c r="O56" s="7">
        <f t="shared" si="23"/>
        <v>489013.71815198037</v>
      </c>
      <c r="P56" s="7">
        <f t="shared" si="23"/>
        <v>547229.63697959716</v>
      </c>
      <c r="Q56" s="34"/>
      <c r="R56" s="7">
        <f>SUM(E56:P56)</f>
        <v>6427037.4385688845</v>
      </c>
    </row>
    <row r="75" spans="1:8" x14ac:dyDescent="0.25">
      <c r="A75" s="127" t="s">
        <v>1332</v>
      </c>
      <c r="G75" s="127">
        <f>95000/4</f>
        <v>23750</v>
      </c>
      <c r="H75" s="127" t="s">
        <v>1333</v>
      </c>
    </row>
  </sheetData>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BE612-EA3B-4695-85C6-CE519FFD9999}">
  <sheetPr>
    <tabColor theme="9" tint="0.79998168889431442"/>
  </sheetPr>
  <dimension ref="A1:U56"/>
  <sheetViews>
    <sheetView topLeftCell="A19" zoomScale="85" zoomScaleNormal="85" workbookViewId="0">
      <selection activeCell="P14" sqref="P14"/>
    </sheetView>
  </sheetViews>
  <sheetFormatPr defaultRowHeight="15" x14ac:dyDescent="0.25"/>
  <cols>
    <col min="1" max="1" width="35" customWidth="1"/>
    <col min="2" max="2" width="8.7109375" hidden="1" customWidth="1"/>
    <col min="3" max="4" width="9.5703125" hidden="1" customWidth="1"/>
    <col min="5" max="5" width="9.5703125" bestFit="1" customWidth="1"/>
    <col min="6" max="16" width="11.140625" bestFit="1" customWidth="1"/>
    <col min="17" max="17" width="2.85546875" style="34" customWidth="1"/>
    <col min="18" max="18" width="14.140625" customWidth="1"/>
    <col min="19" max="19" width="10.28515625" style="34" bestFit="1" customWidth="1"/>
    <col min="20" max="20" width="12.140625" customWidth="1"/>
    <col min="21" max="22" width="10.28515625" bestFit="1" customWidth="1"/>
  </cols>
  <sheetData>
    <row r="1" spans="1:21" ht="15.75" x14ac:dyDescent="0.25">
      <c r="A1" s="11" t="s">
        <v>1213</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129"/>
      <c r="R1" s="5" t="s">
        <v>951</v>
      </c>
    </row>
    <row r="2" spans="1:21"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129"/>
      <c r="R2" s="5" t="s">
        <v>961</v>
      </c>
    </row>
    <row r="4" spans="1:21" x14ac:dyDescent="0.25">
      <c r="A4" s="7" t="s">
        <v>1214</v>
      </c>
      <c r="B4" s="6">
        <f>'[3]NS SERVICE 140'!$B$9</f>
        <v>224332.40999999997</v>
      </c>
      <c r="C4" s="6">
        <f>'[4]NS SERVICE 140'!$B$9</f>
        <v>204646.59999999995</v>
      </c>
      <c r="D4" s="6">
        <f>'[5]NS SERVICE 140'!$B$9</f>
        <v>266743.42</v>
      </c>
      <c r="E4" s="6">
        <f>'[6]NS SERVICE 140'!$B$9</f>
        <v>192870.25</v>
      </c>
      <c r="F4" s="6">
        <f>'[7]NS SERVICE 140'!$B$9</f>
        <v>280004.75999999995</v>
      </c>
      <c r="G4" s="6">
        <f>'[8]NS SERVICE 140'!$B$9</f>
        <v>251729.16</v>
      </c>
      <c r="H4" s="6">
        <f>'[9]NS SERVICE 140'!$B$9</f>
        <v>201009.42</v>
      </c>
      <c r="I4" s="6">
        <f>'[10]NS SERVICE 140'!$B$9</f>
        <v>256573.74999999997</v>
      </c>
      <c r="J4" s="6">
        <f>'[11]NS SERVICE 140'!$B$9</f>
        <v>259840.94</v>
      </c>
      <c r="K4" s="6">
        <f>'[12]NS SERVICE 140'!$B$9</f>
        <v>249441.81</v>
      </c>
      <c r="L4" s="6">
        <f>'[13]NS SERVICE 140'!$B$9</f>
        <v>286645.51</v>
      </c>
      <c r="M4" s="6">
        <f>'[14]NS SERVICE 140'!$B$9</f>
        <v>259817.84</v>
      </c>
      <c r="N4" s="6">
        <f>'[15]NS SERVICE 140'!$B$9</f>
        <v>245667.53</v>
      </c>
      <c r="O4" s="6">
        <f>'[16]NS SERVICE 140'!$B$9</f>
        <v>261383.41000000003</v>
      </c>
      <c r="P4" s="6">
        <f>'[17]NS SERVICE 140'!$B$9</f>
        <v>279523.65000000002</v>
      </c>
      <c r="Q4" s="130"/>
      <c r="R4" s="6">
        <f>SUM(E4:P4)</f>
        <v>3024508.03</v>
      </c>
    </row>
    <row r="5" spans="1:21" x14ac:dyDescent="0.25">
      <c r="A5" s="7" t="s">
        <v>1215</v>
      </c>
      <c r="B5" s="6">
        <f t="shared" ref="B5:P5" si="0">B6-B4</f>
        <v>128168.19999999995</v>
      </c>
      <c r="C5" s="6">
        <f t="shared" si="0"/>
        <v>127886.05000000002</v>
      </c>
      <c r="D5" s="6">
        <f t="shared" si="0"/>
        <v>131095.35000000003</v>
      </c>
      <c r="E5" s="6">
        <f t="shared" si="0"/>
        <v>80112.469999999972</v>
      </c>
      <c r="F5" s="6">
        <f t="shared" si="0"/>
        <v>159128.46000000002</v>
      </c>
      <c r="G5" s="6">
        <f t="shared" si="0"/>
        <v>134941.27999999994</v>
      </c>
      <c r="H5" s="6">
        <f t="shared" si="0"/>
        <v>96693.750000000029</v>
      </c>
      <c r="I5" s="6">
        <f t="shared" si="0"/>
        <v>124266.84</v>
      </c>
      <c r="J5" s="6">
        <f t="shared" si="0"/>
        <v>128153.21999999997</v>
      </c>
      <c r="K5" s="6">
        <f t="shared" si="0"/>
        <v>120653.08000000002</v>
      </c>
      <c r="L5" s="6">
        <f t="shared" si="0"/>
        <v>129057.23999999999</v>
      </c>
      <c r="M5" s="6">
        <f t="shared" si="0"/>
        <v>133820.67000000001</v>
      </c>
      <c r="N5" s="6">
        <f t="shared" si="0"/>
        <v>111433.62000000002</v>
      </c>
      <c r="O5" s="6">
        <f t="shared" si="0"/>
        <v>117620.64000000001</v>
      </c>
      <c r="P5" s="6">
        <f t="shared" si="0"/>
        <v>147507.51</v>
      </c>
      <c r="Q5" s="131"/>
      <c r="R5" s="6">
        <f>SUM(E5:P5)</f>
        <v>1483388.78</v>
      </c>
    </row>
    <row r="6" spans="1:21" x14ac:dyDescent="0.25">
      <c r="A6" s="7" t="s">
        <v>1216</v>
      </c>
      <c r="B6" s="6">
        <f>'[3]NS SERVICE 140'!$B$12</f>
        <v>352500.60999999993</v>
      </c>
      <c r="C6" s="6">
        <f>'[4]NS SERVICE 140'!$B$12</f>
        <v>332532.64999999997</v>
      </c>
      <c r="D6" s="6">
        <f>'[5]NS SERVICE 140'!$B$12</f>
        <v>397838.77</v>
      </c>
      <c r="E6" s="6">
        <f>'[6]NS SERVICE 140'!$B$12</f>
        <v>272982.71999999997</v>
      </c>
      <c r="F6" s="6">
        <f>'[7]NS SERVICE 140'!$B$12</f>
        <v>439133.22</v>
      </c>
      <c r="G6" s="6">
        <f>'[8]NS SERVICE 140'!$B$12</f>
        <v>386670.43999999994</v>
      </c>
      <c r="H6" s="6">
        <f>'[9]NS SERVICE 140'!$B$12</f>
        <v>297703.17000000004</v>
      </c>
      <c r="I6" s="6">
        <f>'[10]NS SERVICE 140'!$B$12</f>
        <v>380840.58999999997</v>
      </c>
      <c r="J6" s="6">
        <f>'[11]NS SERVICE 140'!$B$12</f>
        <v>387994.16</v>
      </c>
      <c r="K6" s="6">
        <f>'[12]NS SERVICE 140'!$B$12</f>
        <v>370094.89</v>
      </c>
      <c r="L6" s="6">
        <f>'[13]NS SERVICE 140'!$B$12</f>
        <v>415702.75</v>
      </c>
      <c r="M6" s="6">
        <f>'[14]NS SERVICE 140'!$B$12</f>
        <v>393638.51</v>
      </c>
      <c r="N6" s="6">
        <f>'[15]NS SERVICE 140'!$B$12</f>
        <v>357101.15</v>
      </c>
      <c r="O6" s="6">
        <f>'[16]NS SERVICE 140'!$B$12</f>
        <v>379004.05000000005</v>
      </c>
      <c r="P6" s="6">
        <f>'[17]NS SERVICE 140'!$B$12</f>
        <v>427031.16000000003</v>
      </c>
      <c r="Q6" s="122"/>
      <c r="R6" s="6">
        <f>SUM(E6:P6)</f>
        <v>4507896.8100000005</v>
      </c>
    </row>
    <row r="7" spans="1:21" x14ac:dyDescent="0.25">
      <c r="A7" t="s">
        <v>1217</v>
      </c>
      <c r="B7" s="16">
        <f>'[3]NS SERVICE 140'!$B$33</f>
        <v>13</v>
      </c>
      <c r="C7" s="16">
        <f>'[4]NS SERVICE 140'!$B$33</f>
        <v>13</v>
      </c>
      <c r="D7" s="16">
        <f>'[5]NS SERVICE 140'!$B$33</f>
        <v>12</v>
      </c>
      <c r="E7" s="16">
        <f>'[6]NS SERVICE 140'!$B$33</f>
        <v>13</v>
      </c>
      <c r="F7" s="16">
        <f>'[7]NS SERVICE 140'!$B$33</f>
        <v>13</v>
      </c>
      <c r="G7" s="16">
        <f>'[8]NS SERVICE 140'!$B$33</f>
        <v>13.5</v>
      </c>
      <c r="H7" s="16">
        <f>'[9]NS SERVICE 140'!$B$33</f>
        <v>13.5</v>
      </c>
      <c r="I7" s="16">
        <f>'[10]NS SERVICE 140'!$B$33</f>
        <v>13.5</v>
      </c>
      <c r="J7" s="16">
        <f>'[11]NS SERVICE 140'!$B$33</f>
        <v>14.5</v>
      </c>
      <c r="K7" s="16">
        <f>'[12]NS SERVICE 140'!$B$33</f>
        <v>14</v>
      </c>
      <c r="L7" s="16">
        <f>'[13]NS SERVICE 140'!$B$33</f>
        <v>15</v>
      </c>
      <c r="M7" s="16">
        <f>'[14]NS SERVICE 140'!$B$33</f>
        <v>15</v>
      </c>
      <c r="N7" s="16">
        <f>M7</f>
        <v>15</v>
      </c>
      <c r="O7" s="16">
        <f>N7</f>
        <v>15</v>
      </c>
      <c r="P7" s="16">
        <f>O7</f>
        <v>15</v>
      </c>
      <c r="Q7" s="122"/>
      <c r="R7" s="237">
        <f>AVERAGE(E7:P7)</f>
        <v>14.166666666666666</v>
      </c>
      <c r="T7" s="134">
        <f>AVERAGE(E7:O7)</f>
        <v>14.090909090909092</v>
      </c>
    </row>
    <row r="8" spans="1:21" x14ac:dyDescent="0.25">
      <c r="A8" t="s">
        <v>1218</v>
      </c>
      <c r="B8" s="3">
        <f>'[3]NS SERVICE 140'!$B$17</f>
        <v>0.70193834230194385</v>
      </c>
      <c r="C8" s="3">
        <f>'[4]NS SERVICE 140'!$B$17</f>
        <v>0.68057431689556536</v>
      </c>
      <c r="D8" s="3">
        <f>'[5]NS SERVICE 140'!$B$17</f>
        <v>0.65797330633310469</v>
      </c>
      <c r="E8" s="3">
        <f>'[6]NS SERVICE 140'!$B$17</f>
        <v>0.58829104022004419</v>
      </c>
      <c r="F8" s="3">
        <f>'[7]NS SERVICE 140'!$B$17</f>
        <v>0.67318977005962333</v>
      </c>
      <c r="G8" s="3">
        <f>'[8]NS SERVICE 140'!$B$17</f>
        <v>0.61238296747186538</v>
      </c>
      <c r="H8" s="3">
        <f>'[9]NS SERVICE 140'!$B$17</f>
        <v>0.62216661288809239</v>
      </c>
      <c r="I8" s="3">
        <f>'[10]NS SERVICE 140'!$B$17</f>
        <v>0.68839875474400636</v>
      </c>
      <c r="J8" s="3">
        <f>'[11]NS SERVICE 140'!$B$17</f>
        <v>0.64929675823986799</v>
      </c>
      <c r="K8" s="3">
        <f>'[12]NS SERVICE 140'!$B$17</f>
        <v>0.60593474686541116</v>
      </c>
      <c r="L8" s="3">
        <f>'[13]NS SERVICE 140'!$B$17</f>
        <v>0.65537039111479545</v>
      </c>
      <c r="M8" s="3">
        <f>'[14]NS SERVICE 140'!$B$17</f>
        <v>0.67184443531668192</v>
      </c>
      <c r="N8" s="3">
        <f>'[15]NS SERVICE 140'!$B$17</f>
        <v>0.6190835638718718</v>
      </c>
      <c r="O8" s="3">
        <f>'[16]NS SERVICE 140'!$B$17</f>
        <v>0.65353084191533029</v>
      </c>
      <c r="P8" s="3">
        <f>'[17]NS SERVICE 140'!$B$17</f>
        <v>0.6522047061134183</v>
      </c>
      <c r="Q8" s="131"/>
      <c r="R8" s="3">
        <f>R14/R4</f>
        <v>0.64317706903228167</v>
      </c>
      <c r="T8" s="7"/>
    </row>
    <row r="9" spans="1:21" x14ac:dyDescent="0.25">
      <c r="A9" t="s">
        <v>1219</v>
      </c>
      <c r="B9" s="3">
        <f t="shared" ref="B9:O9" si="1">B15/B5</f>
        <v>0.3886398498223429</v>
      </c>
      <c r="C9" s="3">
        <f t="shared" si="1"/>
        <v>0.37697747330533726</v>
      </c>
      <c r="D9" s="3">
        <f t="shared" si="1"/>
        <v>0.55182887875122943</v>
      </c>
      <c r="E9" s="3">
        <f t="shared" si="1"/>
        <v>0.44326744637882248</v>
      </c>
      <c r="F9" s="3">
        <f t="shared" si="1"/>
        <v>0.50401072190354868</v>
      </c>
      <c r="G9" s="3">
        <f t="shared" si="1"/>
        <v>0.35844361339984337</v>
      </c>
      <c r="H9" s="3">
        <f t="shared" si="1"/>
        <v>0.58038528860448568</v>
      </c>
      <c r="I9" s="3">
        <f t="shared" si="1"/>
        <v>0.51838511384050656</v>
      </c>
      <c r="J9" s="3">
        <f t="shared" si="1"/>
        <v>0.4164536794315431</v>
      </c>
      <c r="K9" s="3">
        <f t="shared" si="1"/>
        <v>0.50677230950092589</v>
      </c>
      <c r="L9" s="3">
        <f t="shared" si="1"/>
        <v>0.47377427256308907</v>
      </c>
      <c r="M9" s="3">
        <f t="shared" si="1"/>
        <v>0.51203808798745365</v>
      </c>
      <c r="N9" s="3">
        <f t="shared" si="1"/>
        <v>0.44609885239302099</v>
      </c>
      <c r="O9" s="3">
        <f t="shared" si="1"/>
        <v>0.3314705650300831</v>
      </c>
      <c r="P9" s="3">
        <f>P15/P5</f>
        <v>0.33967409523759168</v>
      </c>
      <c r="R9" s="3">
        <f>R15/R5</f>
        <v>0.45005175244752765</v>
      </c>
    </row>
    <row r="10" spans="1:21" x14ac:dyDescent="0.25">
      <c r="A10" t="s">
        <v>1220</v>
      </c>
      <c r="B10" s="3">
        <f>'[3]NS SERVICE 140'!$B$24</f>
        <v>0.26532955503254313</v>
      </c>
      <c r="C10" s="3">
        <f>'[4]NS SERVICE 140'!$B$24</f>
        <v>0.30670474012100768</v>
      </c>
      <c r="D10" s="3">
        <f>'[5]NS SERVICE 140'!$B$24</f>
        <v>0.33842709698705331</v>
      </c>
      <c r="E10" s="3">
        <f>'[6]NS SERVICE 140'!$B$24</f>
        <v>0.30259834761702137</v>
      </c>
      <c r="F10" s="3">
        <f>'[7]NS SERVICE 140'!$B$24</f>
        <v>0.2757777924430313</v>
      </c>
      <c r="G10" s="3">
        <f>'[8]NS SERVICE 140'!$B$24</f>
        <v>0.36990870054612918</v>
      </c>
      <c r="H10" s="3">
        <f>'[9]NS SERVICE 140'!$B$24</f>
        <v>0.40087151238597829</v>
      </c>
      <c r="I10" s="3">
        <f>'[10]NS SERVICE 140'!$B$24</f>
        <v>0.32769676677583137</v>
      </c>
      <c r="J10" s="3">
        <f>'[11]NS SERVICE 140'!$B$24</f>
        <v>0.28180223125007858</v>
      </c>
      <c r="K10" s="3">
        <f>'[12]NS SERVICE 140'!$B$24</f>
        <v>0.30288488987243239</v>
      </c>
      <c r="L10" s="3">
        <f>'[13]NS SERVICE 140'!$B$24</f>
        <v>0.29863367514407835</v>
      </c>
      <c r="M10" s="3">
        <f>'[14]NS SERVICE 140'!$B$24</f>
        <v>0.28442227362358424</v>
      </c>
      <c r="N10" s="3">
        <f>'[15]NS SERVICE 140'!$B$24</f>
        <v>0.32288120606724457</v>
      </c>
      <c r="O10" s="3">
        <f>'[16]NS SERVICE 140'!$B$24</f>
        <v>0.33020093057053079</v>
      </c>
      <c r="P10" s="3">
        <f>'[17]NS SERVICE 140'!$B$24</f>
        <v>0.28153345999387958</v>
      </c>
      <c r="R10" s="3">
        <f>(R17)/R6</f>
        <v>0.31258246348367497</v>
      </c>
    </row>
    <row r="11" spans="1:21" x14ac:dyDescent="0.25">
      <c r="A11" s="7" t="s">
        <v>1221</v>
      </c>
      <c r="B11" s="6">
        <f t="shared" ref="B11:P11" si="2">B4/B7</f>
        <v>17256.33923076923</v>
      </c>
      <c r="C11" s="6">
        <f t="shared" si="2"/>
        <v>15742.04615384615</v>
      </c>
      <c r="D11" s="6">
        <f t="shared" si="2"/>
        <v>22228.618333333332</v>
      </c>
      <c r="E11" s="6">
        <f>E4/E7</f>
        <v>14836.173076923076</v>
      </c>
      <c r="F11" s="6">
        <f t="shared" si="2"/>
        <v>21538.827692307688</v>
      </c>
      <c r="G11" s="6">
        <f t="shared" si="2"/>
        <v>18646.604444444445</v>
      </c>
      <c r="H11" s="6">
        <f t="shared" si="2"/>
        <v>14889.586666666668</v>
      </c>
      <c r="I11" s="6">
        <f t="shared" si="2"/>
        <v>19005.46296296296</v>
      </c>
      <c r="J11" s="6">
        <f t="shared" si="2"/>
        <v>17920.064827586208</v>
      </c>
      <c r="K11" s="6">
        <f t="shared" si="2"/>
        <v>17817.272142857142</v>
      </c>
      <c r="L11" s="6">
        <f t="shared" si="2"/>
        <v>19109.700666666668</v>
      </c>
      <c r="M11" s="6">
        <f t="shared" si="2"/>
        <v>17321.189333333332</v>
      </c>
      <c r="N11" s="6">
        <f t="shared" si="2"/>
        <v>16377.835333333333</v>
      </c>
      <c r="O11" s="6">
        <f t="shared" si="2"/>
        <v>17425.560666666668</v>
      </c>
      <c r="P11" s="6">
        <f t="shared" si="2"/>
        <v>18634.91</v>
      </c>
      <c r="R11" s="6">
        <f>R4/R7/12</f>
        <v>17791.223705882352</v>
      </c>
    </row>
    <row r="12" spans="1:21" x14ac:dyDescent="0.25">
      <c r="A12" s="7" t="s">
        <v>1222</v>
      </c>
      <c r="B12" s="6">
        <f t="shared" ref="B12:P12" si="3">B14/B7</f>
        <v>12112.886153846153</v>
      </c>
      <c r="C12" s="6">
        <f t="shared" si="3"/>
        <v>10713.632307692305</v>
      </c>
      <c r="D12" s="6">
        <f t="shared" si="3"/>
        <v>14625.8375</v>
      </c>
      <c r="E12" s="6">
        <f t="shared" si="3"/>
        <v>8727.9876923076918</v>
      </c>
      <c r="F12" s="6">
        <f t="shared" si="3"/>
        <v>14499.718461538461</v>
      </c>
      <c r="G12" s="6">
        <f t="shared" si="3"/>
        <v>11418.862962962963</v>
      </c>
      <c r="H12" s="6">
        <f t="shared" si="3"/>
        <v>9263.8037037037011</v>
      </c>
      <c r="I12" s="6">
        <f t="shared" si="3"/>
        <v>13083.337037037036</v>
      </c>
      <c r="J12" s="6">
        <f t="shared" si="3"/>
        <v>11635.440000000002</v>
      </c>
      <c r="K12" s="6">
        <f t="shared" si="3"/>
        <v>10796.104285714286</v>
      </c>
      <c r="L12" s="6">
        <f t="shared" si="3"/>
        <v>12523.932000000001</v>
      </c>
      <c r="M12" s="6">
        <f t="shared" si="3"/>
        <v>11637.144666666667</v>
      </c>
      <c r="N12" s="6">
        <f t="shared" si="3"/>
        <v>10139.248666666665</v>
      </c>
      <c r="O12" s="6">
        <f t="shared" si="3"/>
        <v>11388.141333333333</v>
      </c>
      <c r="P12" s="6">
        <f t="shared" si="3"/>
        <v>12153.776000000002</v>
      </c>
      <c r="R12" s="6">
        <f>R14/R7/12</f>
        <v>11442.907117647059</v>
      </c>
    </row>
    <row r="13" spans="1:21" x14ac:dyDescent="0.25">
      <c r="B13" s="3"/>
      <c r="C13" s="3"/>
      <c r="D13" s="3"/>
      <c r="E13" s="3"/>
      <c r="F13" s="3"/>
      <c r="G13" s="3"/>
      <c r="H13" s="3"/>
      <c r="I13" s="3"/>
      <c r="J13" s="3"/>
      <c r="K13" s="3"/>
      <c r="L13" s="3"/>
      <c r="M13" s="45"/>
      <c r="N13" s="3"/>
      <c r="O13" s="3"/>
      <c r="P13" s="3"/>
      <c r="R13" s="6"/>
      <c r="T13" t="s">
        <v>1234</v>
      </c>
      <c r="U13" t="s">
        <v>1235</v>
      </c>
    </row>
    <row r="14" spans="1:21" x14ac:dyDescent="0.25">
      <c r="A14" s="7" t="s">
        <v>1223</v>
      </c>
      <c r="B14" s="6">
        <f t="shared" ref="B14:O14" si="4">B4*B8</f>
        <v>157467.51999999999</v>
      </c>
      <c r="C14" s="6">
        <f t="shared" si="4"/>
        <v>139277.21999999997</v>
      </c>
      <c r="D14" s="6">
        <f t="shared" si="4"/>
        <v>175510.05</v>
      </c>
      <c r="E14" s="6">
        <f t="shared" si="4"/>
        <v>113463.83999999998</v>
      </c>
      <c r="F14" s="6">
        <f t="shared" si="4"/>
        <v>188496.34</v>
      </c>
      <c r="G14" s="6">
        <f t="shared" si="4"/>
        <v>154154.65</v>
      </c>
      <c r="H14" s="6">
        <f t="shared" si="4"/>
        <v>125061.34999999998</v>
      </c>
      <c r="I14" s="6">
        <f t="shared" si="4"/>
        <v>176625.05</v>
      </c>
      <c r="J14" s="6">
        <f t="shared" si="4"/>
        <v>168713.88000000003</v>
      </c>
      <c r="K14" s="6">
        <f t="shared" si="4"/>
        <v>151145.46</v>
      </c>
      <c r="L14" s="6">
        <f t="shared" si="4"/>
        <v>187858.98</v>
      </c>
      <c r="M14" s="6">
        <f t="shared" si="4"/>
        <v>174557.17</v>
      </c>
      <c r="N14" s="6">
        <f t="shared" si="4"/>
        <v>152088.72999999998</v>
      </c>
      <c r="O14" s="6">
        <f t="shared" si="4"/>
        <v>170822.12</v>
      </c>
      <c r="P14" s="6">
        <f>P4*P8</f>
        <v>182306.64</v>
      </c>
      <c r="R14" s="6">
        <f>SUM(E14:P14)</f>
        <v>1945294.21</v>
      </c>
      <c r="T14" s="7">
        <f>SUM(E14:O14)</f>
        <v>1762987.5699999998</v>
      </c>
      <c r="U14" s="7">
        <f>SUM(E15:O15)</f>
        <v>617497.24000000011</v>
      </c>
    </row>
    <row r="15" spans="1:21" x14ac:dyDescent="0.25">
      <c r="A15" s="7" t="s">
        <v>1224</v>
      </c>
      <c r="B15" s="6">
        <f t="shared" ref="B15:O15" si="5">B16-B14</f>
        <v>49811.26999999999</v>
      </c>
      <c r="C15" s="6">
        <f t="shared" si="5"/>
        <v>48210.160000000033</v>
      </c>
      <c r="D15" s="6">
        <f t="shared" si="5"/>
        <v>72342.200000000012</v>
      </c>
      <c r="E15" s="6">
        <f t="shared" si="5"/>
        <v>35511.250000000015</v>
      </c>
      <c r="F15" s="6">
        <f t="shared" si="5"/>
        <v>80202.449999999983</v>
      </c>
      <c r="G15" s="6">
        <f t="shared" si="5"/>
        <v>48368.84</v>
      </c>
      <c r="H15" s="6">
        <f t="shared" si="5"/>
        <v>56119.630000000005</v>
      </c>
      <c r="I15" s="6">
        <f t="shared" si="5"/>
        <v>64418.080000000016</v>
      </c>
      <c r="J15" s="6">
        <f t="shared" si="5"/>
        <v>53369.880000000005</v>
      </c>
      <c r="K15" s="6">
        <f t="shared" si="5"/>
        <v>61143.639999999985</v>
      </c>
      <c r="L15" s="6">
        <f t="shared" si="5"/>
        <v>61144</v>
      </c>
      <c r="M15" s="6">
        <f t="shared" si="5"/>
        <v>68521.279999999999</v>
      </c>
      <c r="N15" s="6">
        <f t="shared" si="5"/>
        <v>49710.41</v>
      </c>
      <c r="O15" s="6">
        <f t="shared" si="5"/>
        <v>38987.78</v>
      </c>
      <c r="P15" s="6">
        <f>P16-P14</f>
        <v>50104.48000000001</v>
      </c>
      <c r="R15" s="6">
        <f>SUM(E15:P15)</f>
        <v>667601.72000000009</v>
      </c>
      <c r="T15" s="7">
        <f>SUM(E4:O4)</f>
        <v>2744984.38</v>
      </c>
      <c r="U15" s="7">
        <f>SUM(E5:O5)</f>
        <v>1335881.27</v>
      </c>
    </row>
    <row r="16" spans="1:21" x14ac:dyDescent="0.25">
      <c r="A16" s="7" t="s">
        <v>1225</v>
      </c>
      <c r="B16" s="6">
        <f>'[3]NS SERVICE 140'!$B$21</f>
        <v>207278.78999999998</v>
      </c>
      <c r="C16" s="6">
        <f>'[4]NS SERVICE 140'!$B$21</f>
        <v>187487.38</v>
      </c>
      <c r="D16" s="6">
        <f>'[5]NS SERVICE 140'!$B$21</f>
        <v>247852.25</v>
      </c>
      <c r="E16" s="6">
        <f>'[6]NS SERVICE 140'!$B$21</f>
        <v>148975.09</v>
      </c>
      <c r="F16" s="6">
        <f>'[7]NS SERVICE 140'!$B$21</f>
        <v>268698.78999999998</v>
      </c>
      <c r="G16" s="6">
        <f>'[8]NS SERVICE 140'!$B$21</f>
        <v>202523.49</v>
      </c>
      <c r="H16" s="6">
        <f>'[9]NS SERVICE 140'!$B$21</f>
        <v>181180.97999999998</v>
      </c>
      <c r="I16" s="6">
        <f>'[10]NS SERVICE 140'!$B$21</f>
        <v>241043.13</v>
      </c>
      <c r="J16" s="6">
        <f>'[11]NS SERVICE 140'!$B$21</f>
        <v>222083.76000000004</v>
      </c>
      <c r="K16" s="6">
        <f>'[12]NS SERVICE 140'!$B$21</f>
        <v>212289.09999999998</v>
      </c>
      <c r="L16" s="6">
        <f>'[13]NS SERVICE 140'!$B$21</f>
        <v>249002.98</v>
      </c>
      <c r="M16" s="6">
        <f>'[14]NS SERVICE 140'!$B$21</f>
        <v>243078.45</v>
      </c>
      <c r="N16" s="6">
        <f>'[15]NS SERVICE 140'!$B$21</f>
        <v>201799.13999999998</v>
      </c>
      <c r="O16" s="6">
        <f>'[16]NS SERVICE 140'!$B$21</f>
        <v>209809.9</v>
      </c>
      <c r="P16" s="6">
        <f>'[17]NS SERVICE 140'!$B$21</f>
        <v>232411.12000000002</v>
      </c>
      <c r="R16" s="6">
        <f>SUM(E16:P16)</f>
        <v>2612895.9299999997</v>
      </c>
      <c r="T16" s="3">
        <f>T14/T15</f>
        <v>0.64225777853060129</v>
      </c>
      <c r="U16" s="3">
        <f>U14/U15</f>
        <v>0.46223961205773928</v>
      </c>
    </row>
    <row r="17" spans="1:20" x14ac:dyDescent="0.25">
      <c r="A17" s="7" t="s">
        <v>1226</v>
      </c>
      <c r="B17" s="6">
        <f>B6*B10</f>
        <v>93528.83</v>
      </c>
      <c r="C17" s="6">
        <f t="shared" ref="C17:P17" si="6">C6*C10</f>
        <v>101989.34</v>
      </c>
      <c r="D17" s="6">
        <f t="shared" si="6"/>
        <v>134639.42000000001</v>
      </c>
      <c r="E17" s="6">
        <f t="shared" si="6"/>
        <v>82604.12000000001</v>
      </c>
      <c r="F17" s="6">
        <f t="shared" si="6"/>
        <v>121103.18999999999</v>
      </c>
      <c r="G17" s="6">
        <f t="shared" si="6"/>
        <v>143032.75999999998</v>
      </c>
      <c r="H17" s="6">
        <f t="shared" si="6"/>
        <v>119340.72000000002</v>
      </c>
      <c r="I17" s="6">
        <f t="shared" si="6"/>
        <v>124800.23000000001</v>
      </c>
      <c r="J17" s="6">
        <f t="shared" si="6"/>
        <v>109337.61999999998</v>
      </c>
      <c r="K17" s="6">
        <f t="shared" si="6"/>
        <v>112096.14999999998</v>
      </c>
      <c r="L17" s="6">
        <f t="shared" si="6"/>
        <v>124142.84000000001</v>
      </c>
      <c r="M17" s="6">
        <f t="shared" si="6"/>
        <v>111959.56</v>
      </c>
      <c r="N17" s="6">
        <f t="shared" si="6"/>
        <v>115301.25000000003</v>
      </c>
      <c r="O17" s="6">
        <f t="shared" si="6"/>
        <v>125147.48999999999</v>
      </c>
      <c r="P17" s="6">
        <f t="shared" si="6"/>
        <v>120223.56</v>
      </c>
      <c r="Q17" s="131"/>
      <c r="R17" s="6">
        <f>SUM(E17:P17)</f>
        <v>1409089.49</v>
      </c>
      <c r="T17" s="7">
        <f>T15/T7/11</f>
        <v>17709.576645161291</v>
      </c>
    </row>
    <row r="18" spans="1:20" ht="15.75" thickBot="1" x14ac:dyDescent="0.3">
      <c r="A18" s="9" t="s">
        <v>1078</v>
      </c>
      <c r="B18" s="10">
        <f t="shared" ref="B18:N18" si="7">B16-B17</f>
        <v>113749.95999999998</v>
      </c>
      <c r="C18" s="10">
        <f t="shared" si="7"/>
        <v>85498.040000000008</v>
      </c>
      <c r="D18" s="10">
        <f t="shared" si="7"/>
        <v>113212.82999999999</v>
      </c>
      <c r="E18" s="10">
        <f t="shared" si="7"/>
        <v>66370.969999999987</v>
      </c>
      <c r="F18" s="10">
        <f t="shared" si="7"/>
        <v>147595.59999999998</v>
      </c>
      <c r="G18" s="10">
        <f t="shared" si="7"/>
        <v>59490.73000000001</v>
      </c>
      <c r="H18" s="10">
        <f t="shared" si="7"/>
        <v>61840.259999999966</v>
      </c>
      <c r="I18" s="10">
        <f t="shared" si="7"/>
        <v>116242.9</v>
      </c>
      <c r="J18" s="10">
        <f t="shared" si="7"/>
        <v>112746.14000000006</v>
      </c>
      <c r="K18" s="10">
        <f t="shared" si="7"/>
        <v>100192.95</v>
      </c>
      <c r="L18" s="10">
        <f t="shared" si="7"/>
        <v>124860.14</v>
      </c>
      <c r="M18" s="10">
        <f t="shared" si="7"/>
        <v>131118.89000000001</v>
      </c>
      <c r="N18" s="10">
        <f t="shared" si="7"/>
        <v>86497.889999999956</v>
      </c>
      <c r="O18" s="10">
        <f>O16-O17</f>
        <v>84662.41</v>
      </c>
      <c r="P18" s="10">
        <f>P16-P17</f>
        <v>112187.56000000003</v>
      </c>
      <c r="Q18" s="131"/>
      <c r="R18" s="10">
        <f>R16-R17</f>
        <v>1203806.4399999997</v>
      </c>
      <c r="T18" s="3"/>
    </row>
    <row r="19" spans="1:20" ht="15.75" thickTop="1" x14ac:dyDescent="0.25">
      <c r="B19" s="7"/>
    </row>
    <row r="21" spans="1:20" ht="15.75" x14ac:dyDescent="0.25">
      <c r="A21" s="11" t="s">
        <v>1213</v>
      </c>
      <c r="B21" s="5">
        <v>45292</v>
      </c>
      <c r="C21" s="5">
        <v>45323</v>
      </c>
      <c r="D21" s="5">
        <v>45352</v>
      </c>
      <c r="E21" s="5">
        <v>45383</v>
      </c>
      <c r="F21" s="5">
        <v>45413</v>
      </c>
      <c r="G21" s="5">
        <v>45444</v>
      </c>
      <c r="H21" s="5">
        <v>45474</v>
      </c>
      <c r="I21" s="5">
        <v>45505</v>
      </c>
      <c r="J21" s="5">
        <v>45536</v>
      </c>
      <c r="K21" s="5">
        <v>45566</v>
      </c>
      <c r="L21" s="5">
        <v>45597</v>
      </c>
      <c r="M21" s="5">
        <v>45627</v>
      </c>
      <c r="N21" s="5">
        <v>45658</v>
      </c>
      <c r="O21" s="5">
        <v>45689</v>
      </c>
      <c r="P21" s="5">
        <v>45717</v>
      </c>
      <c r="Q21" s="129"/>
      <c r="R21" s="5" t="s">
        <v>955</v>
      </c>
    </row>
    <row r="22" spans="1:20" x14ac:dyDescent="0.25">
      <c r="A22" s="4"/>
      <c r="B22" s="5" t="s">
        <v>958</v>
      </c>
      <c r="C22" s="5" t="s">
        <v>959</v>
      </c>
      <c r="D22" s="5" t="s">
        <v>959</v>
      </c>
      <c r="E22" s="5" t="s">
        <v>959</v>
      </c>
      <c r="F22" s="5" t="s">
        <v>959</v>
      </c>
      <c r="G22" s="5" t="s">
        <v>959</v>
      </c>
      <c r="H22" s="5" t="s">
        <v>959</v>
      </c>
      <c r="I22" s="5" t="s">
        <v>959</v>
      </c>
      <c r="J22" s="5" t="s">
        <v>959</v>
      </c>
      <c r="K22" s="5" t="s">
        <v>959</v>
      </c>
      <c r="L22" s="5" t="s">
        <v>959</v>
      </c>
      <c r="M22" s="5" t="s">
        <v>959</v>
      </c>
      <c r="N22" s="5" t="s">
        <v>959</v>
      </c>
      <c r="O22" s="5" t="s">
        <v>959</v>
      </c>
      <c r="P22" s="5" t="s">
        <v>959</v>
      </c>
      <c r="Q22" s="129"/>
      <c r="R22" s="5" t="s">
        <v>961</v>
      </c>
    </row>
    <row r="23" spans="1:20" x14ac:dyDescent="0.25">
      <c r="S23" s="122"/>
    </row>
    <row r="24" spans="1:20" x14ac:dyDescent="0.25">
      <c r="A24" s="7" t="s">
        <v>1214</v>
      </c>
      <c r="B24" s="6">
        <f t="shared" ref="B24:D32" si="8">N4</f>
        <v>245667.53</v>
      </c>
      <c r="C24" s="6">
        <f t="shared" si="8"/>
        <v>261383.41000000003</v>
      </c>
      <c r="D24" s="6">
        <f t="shared" si="8"/>
        <v>279523.65000000002</v>
      </c>
      <c r="E24" s="6">
        <f t="shared" ref="E24:P24" si="9">$R$24*E43/12</f>
        <v>248796.17545869565</v>
      </c>
      <c r="F24" s="6">
        <f t="shared" si="9"/>
        <v>282722.92665760865</v>
      </c>
      <c r="G24" s="6">
        <f t="shared" si="9"/>
        <v>231832.79985923911</v>
      </c>
      <c r="H24" s="6">
        <f t="shared" si="9"/>
        <v>282722.92665760865</v>
      </c>
      <c r="I24" s="6">
        <f t="shared" si="9"/>
        <v>277068.46812445653</v>
      </c>
      <c r="J24" s="6">
        <f t="shared" si="9"/>
        <v>260105.09252499999</v>
      </c>
      <c r="K24" s="6">
        <f t="shared" si="9"/>
        <v>271414.00959130429</v>
      </c>
      <c r="L24" s="6">
        <f t="shared" si="9"/>
        <v>265759.55105815217</v>
      </c>
      <c r="M24" s="6">
        <f t="shared" si="9"/>
        <v>248796.17545869565</v>
      </c>
      <c r="N24" s="6">
        <f t="shared" si="9"/>
        <v>248796.17545869565</v>
      </c>
      <c r="O24" s="6">
        <f t="shared" si="9"/>
        <v>237487.25839239126</v>
      </c>
      <c r="P24" s="6">
        <f t="shared" si="9"/>
        <v>265759.55105815217</v>
      </c>
      <c r="Q24" s="116" t="s">
        <v>1236</v>
      </c>
      <c r="R24" s="6">
        <f>R4*(1+1%)+66508</f>
        <v>3121261.1102999998</v>
      </c>
      <c r="S24" s="127" t="s">
        <v>1327</v>
      </c>
    </row>
    <row r="25" spans="1:20" x14ac:dyDescent="0.25">
      <c r="A25" s="7" t="s">
        <v>1215</v>
      </c>
      <c r="B25" s="6">
        <f t="shared" si="8"/>
        <v>111433.62000000002</v>
      </c>
      <c r="C25" s="6">
        <f t="shared" si="8"/>
        <v>117620.64000000001</v>
      </c>
      <c r="D25" s="6">
        <f t="shared" si="8"/>
        <v>147507.51</v>
      </c>
      <c r="E25" s="6">
        <f t="shared" ref="E25:P25" si="10">E26-E24</f>
        <v>117069.91424492761</v>
      </c>
      <c r="F25" s="6">
        <f t="shared" si="10"/>
        <v>133033.99346014496</v>
      </c>
      <c r="G25" s="6">
        <f t="shared" si="10"/>
        <v>109087.87463731892</v>
      </c>
      <c r="H25" s="6">
        <f t="shared" si="10"/>
        <v>133033.99346014496</v>
      </c>
      <c r="I25" s="6">
        <f t="shared" si="10"/>
        <v>130373.31359094213</v>
      </c>
      <c r="J25" s="6">
        <f t="shared" si="10"/>
        <v>122391.27398333343</v>
      </c>
      <c r="K25" s="6">
        <f t="shared" si="10"/>
        <v>127712.63372173923</v>
      </c>
      <c r="L25" s="6">
        <f t="shared" si="10"/>
        <v>125051.95385253639</v>
      </c>
      <c r="M25" s="6">
        <f t="shared" si="10"/>
        <v>117069.91424492761</v>
      </c>
      <c r="N25" s="6">
        <f t="shared" si="10"/>
        <v>117069.91424492761</v>
      </c>
      <c r="O25" s="6">
        <f t="shared" si="10"/>
        <v>111748.55450652185</v>
      </c>
      <c r="P25" s="6">
        <f t="shared" si="10"/>
        <v>125051.95385253639</v>
      </c>
      <c r="Q25" s="131"/>
      <c r="R25" s="6">
        <f>R26-R24</f>
        <v>1468695.287800001</v>
      </c>
      <c r="S25" s="34" t="s">
        <v>1237</v>
      </c>
    </row>
    <row r="26" spans="1:20" x14ac:dyDescent="0.25">
      <c r="A26" s="7" t="s">
        <v>1216</v>
      </c>
      <c r="B26" s="6">
        <f t="shared" si="8"/>
        <v>357101.15</v>
      </c>
      <c r="C26" s="6">
        <f t="shared" si="8"/>
        <v>379004.05000000005</v>
      </c>
      <c r="D26" s="6">
        <f t="shared" si="8"/>
        <v>427031.16000000003</v>
      </c>
      <c r="E26" s="6">
        <f t="shared" ref="E26:P26" si="11">$R$26*E43/12</f>
        <v>365866.08970362326</v>
      </c>
      <c r="F26" s="6">
        <f t="shared" si="11"/>
        <v>415756.92011775362</v>
      </c>
      <c r="G26" s="6">
        <f t="shared" si="11"/>
        <v>340920.67449655803</v>
      </c>
      <c r="H26" s="6">
        <f t="shared" si="11"/>
        <v>415756.92011775362</v>
      </c>
      <c r="I26" s="6">
        <f t="shared" si="11"/>
        <v>407441.78171539865</v>
      </c>
      <c r="J26" s="6">
        <f t="shared" si="11"/>
        <v>382496.36650833342</v>
      </c>
      <c r="K26" s="6">
        <f t="shared" si="11"/>
        <v>399126.64331304352</v>
      </c>
      <c r="L26" s="6">
        <f t="shared" si="11"/>
        <v>390811.50491068856</v>
      </c>
      <c r="M26" s="6">
        <f t="shared" si="11"/>
        <v>365866.08970362326</v>
      </c>
      <c r="N26" s="6">
        <f t="shared" si="11"/>
        <v>365866.08970362326</v>
      </c>
      <c r="O26" s="6">
        <f t="shared" si="11"/>
        <v>349235.81289891311</v>
      </c>
      <c r="P26" s="6">
        <f t="shared" si="11"/>
        <v>390811.50491068856</v>
      </c>
      <c r="Q26" s="122" t="s">
        <v>1238</v>
      </c>
      <c r="R26" s="6">
        <f>R6*(1+1%)+36980.62</f>
        <v>4589956.3981000008</v>
      </c>
      <c r="S26" s="127" t="s">
        <v>1327</v>
      </c>
    </row>
    <row r="27" spans="1:20" x14ac:dyDescent="0.25">
      <c r="A27" t="s">
        <v>1217</v>
      </c>
      <c r="B27" s="2">
        <f t="shared" si="8"/>
        <v>15</v>
      </c>
      <c r="C27" s="2">
        <f t="shared" si="8"/>
        <v>15</v>
      </c>
      <c r="D27" s="2">
        <f t="shared" si="8"/>
        <v>15</v>
      </c>
      <c r="E27" s="237">
        <v>14.5</v>
      </c>
      <c r="F27" s="237">
        <v>14.5</v>
      </c>
      <c r="G27" s="237">
        <v>14.5</v>
      </c>
      <c r="H27" s="237">
        <v>14.5</v>
      </c>
      <c r="I27" s="237">
        <v>14.5</v>
      </c>
      <c r="J27" s="237">
        <v>14.5</v>
      </c>
      <c r="K27" s="237">
        <v>14.5</v>
      </c>
      <c r="L27" s="237">
        <v>14.5</v>
      </c>
      <c r="M27" s="237">
        <v>14.5</v>
      </c>
      <c r="N27" s="237">
        <v>14.5</v>
      </c>
      <c r="O27" s="237">
        <v>14.5</v>
      </c>
      <c r="P27" s="237">
        <v>14.5</v>
      </c>
      <c r="Q27" s="132"/>
      <c r="R27" s="237">
        <f>AVERAGE(E27:P27)</f>
        <v>14.5</v>
      </c>
      <c r="T27" s="15">
        <f>R24/14/12</f>
        <v>18578.935180357141</v>
      </c>
    </row>
    <row r="28" spans="1:20" x14ac:dyDescent="0.25">
      <c r="A28" t="s">
        <v>1218</v>
      </c>
      <c r="B28" s="3">
        <f t="shared" si="8"/>
        <v>0.6190835638718718</v>
      </c>
      <c r="C28" s="3">
        <f t="shared" si="8"/>
        <v>0.65353084191533029</v>
      </c>
      <c r="D28" s="3">
        <f t="shared" si="8"/>
        <v>0.6522047061134183</v>
      </c>
      <c r="E28" s="3">
        <f>$T$16</f>
        <v>0.64225777853060129</v>
      </c>
      <c r="F28" s="3">
        <f t="shared" ref="F28:P28" si="12">$T$16</f>
        <v>0.64225777853060129</v>
      </c>
      <c r="G28" s="3">
        <f t="shared" si="12"/>
        <v>0.64225777853060129</v>
      </c>
      <c r="H28" s="3">
        <f t="shared" si="12"/>
        <v>0.64225777853060129</v>
      </c>
      <c r="I28" s="3">
        <f t="shared" si="12"/>
        <v>0.64225777853060129</v>
      </c>
      <c r="J28" s="3">
        <f t="shared" si="12"/>
        <v>0.64225777853060129</v>
      </c>
      <c r="K28" s="3">
        <f t="shared" si="12"/>
        <v>0.64225777853060129</v>
      </c>
      <c r="L28" s="3">
        <f t="shared" si="12"/>
        <v>0.64225777853060129</v>
      </c>
      <c r="M28" s="3">
        <f t="shared" si="12"/>
        <v>0.64225777853060129</v>
      </c>
      <c r="N28" s="3">
        <f t="shared" si="12"/>
        <v>0.64225777853060129</v>
      </c>
      <c r="O28" s="3">
        <f t="shared" si="12"/>
        <v>0.64225777853060129</v>
      </c>
      <c r="P28" s="3">
        <f t="shared" si="12"/>
        <v>0.64225777853060129</v>
      </c>
      <c r="Q28" s="122"/>
      <c r="R28" s="3">
        <f>R34/R24</f>
        <v>0.6422577785306014</v>
      </c>
      <c r="S28" s="34" t="s">
        <v>1199</v>
      </c>
    </row>
    <row r="29" spans="1:20" x14ac:dyDescent="0.25">
      <c r="A29" t="s">
        <v>1219</v>
      </c>
      <c r="B29" s="3">
        <f t="shared" si="8"/>
        <v>0.44609885239302099</v>
      </c>
      <c r="C29" s="3">
        <f t="shared" si="8"/>
        <v>0.3314705650300831</v>
      </c>
      <c r="D29" s="3">
        <f t="shared" si="8"/>
        <v>0.33967409523759168</v>
      </c>
      <c r="E29" s="3">
        <f>$U$16</f>
        <v>0.46223961205773928</v>
      </c>
      <c r="F29" s="3">
        <f t="shared" ref="F29:P29" si="13">$U$16</f>
        <v>0.46223961205773928</v>
      </c>
      <c r="G29" s="3">
        <f t="shared" si="13"/>
        <v>0.46223961205773928</v>
      </c>
      <c r="H29" s="3">
        <f t="shared" si="13"/>
        <v>0.46223961205773928</v>
      </c>
      <c r="I29" s="3">
        <f t="shared" si="13"/>
        <v>0.46223961205773928</v>
      </c>
      <c r="J29" s="3">
        <f t="shared" si="13"/>
        <v>0.46223961205773928</v>
      </c>
      <c r="K29" s="3">
        <f t="shared" si="13"/>
        <v>0.46223961205773928</v>
      </c>
      <c r="L29" s="3">
        <f t="shared" si="13"/>
        <v>0.46223961205773928</v>
      </c>
      <c r="M29" s="3">
        <f t="shared" si="13"/>
        <v>0.46223961205773928</v>
      </c>
      <c r="N29" s="3">
        <f t="shared" si="13"/>
        <v>0.46223961205773928</v>
      </c>
      <c r="O29" s="3">
        <f t="shared" si="13"/>
        <v>0.46223961205773928</v>
      </c>
      <c r="P29" s="3">
        <f t="shared" si="13"/>
        <v>0.46223961205773928</v>
      </c>
      <c r="Q29" s="122"/>
      <c r="R29" s="3">
        <f>R35/R25</f>
        <v>0.46223961205773934</v>
      </c>
      <c r="S29" s="34" t="s">
        <v>1199</v>
      </c>
    </row>
    <row r="30" spans="1:20" x14ac:dyDescent="0.25">
      <c r="A30" t="s">
        <v>1220</v>
      </c>
      <c r="B30" s="3">
        <f t="shared" si="8"/>
        <v>0.32288120606724457</v>
      </c>
      <c r="C30" s="3">
        <f t="shared" si="8"/>
        <v>0.33020093057053079</v>
      </c>
      <c r="D30" s="3">
        <f t="shared" si="8"/>
        <v>0.28153345999387958</v>
      </c>
      <c r="E30" s="3">
        <f>(E37)/E26</f>
        <v>0.344072372922818</v>
      </c>
      <c r="F30" s="3">
        <f t="shared" ref="F30:P30" si="14">(F37)/F26</f>
        <v>0.3027836881720799</v>
      </c>
      <c r="G30" s="3">
        <f t="shared" si="14"/>
        <v>0.3692484002098535</v>
      </c>
      <c r="H30" s="3">
        <f t="shared" si="14"/>
        <v>0.3027836881720799</v>
      </c>
      <c r="I30" s="3">
        <f t="shared" si="14"/>
        <v>0.30896294711436717</v>
      </c>
      <c r="J30" s="3">
        <f t="shared" si="14"/>
        <v>0.3291127045348694</v>
      </c>
      <c r="K30" s="3">
        <f t="shared" si="14"/>
        <v>0.31539967517924988</v>
      </c>
      <c r="L30" s="3">
        <f t="shared" si="14"/>
        <v>0.32211030656604234</v>
      </c>
      <c r="M30" s="3">
        <f t="shared" si="14"/>
        <v>0.344072372922818</v>
      </c>
      <c r="N30" s="3">
        <f t="shared" si="14"/>
        <v>0.344072372922818</v>
      </c>
      <c r="O30" s="3">
        <f t="shared" si="14"/>
        <v>0.36045677163342843</v>
      </c>
      <c r="P30" s="3">
        <f t="shared" si="14"/>
        <v>0.32211030656604234</v>
      </c>
      <c r="Q30" s="122"/>
      <c r="R30" s="3">
        <f>(R37)/R26</f>
        <v>0.32911270453486946</v>
      </c>
    </row>
    <row r="31" spans="1:20" x14ac:dyDescent="0.25">
      <c r="A31" s="7" t="s">
        <v>1221</v>
      </c>
      <c r="B31" s="6">
        <f t="shared" si="8"/>
        <v>16377.835333333333</v>
      </c>
      <c r="C31" s="6">
        <f t="shared" si="8"/>
        <v>17425.560666666668</v>
      </c>
      <c r="D31" s="6">
        <f t="shared" si="8"/>
        <v>18634.91</v>
      </c>
      <c r="E31" s="6">
        <f>E24/E27</f>
        <v>17158.356928185905</v>
      </c>
      <c r="F31" s="6">
        <f t="shared" ref="F31:P31" si="15">F24/F27</f>
        <v>19498.132872938528</v>
      </c>
      <c r="G31" s="6">
        <f t="shared" si="15"/>
        <v>15988.468955809594</v>
      </c>
      <c r="H31" s="6">
        <f t="shared" si="15"/>
        <v>19498.132872938528</v>
      </c>
      <c r="I31" s="6">
        <f t="shared" si="15"/>
        <v>19108.17021547976</v>
      </c>
      <c r="J31" s="6">
        <f t="shared" si="15"/>
        <v>17938.282243103447</v>
      </c>
      <c r="K31" s="6">
        <f t="shared" si="15"/>
        <v>18718.207558020986</v>
      </c>
      <c r="L31" s="6">
        <f t="shared" si="15"/>
        <v>18328.244900562218</v>
      </c>
      <c r="M31" s="6">
        <f t="shared" si="15"/>
        <v>17158.356928185905</v>
      </c>
      <c r="N31" s="6">
        <f t="shared" si="15"/>
        <v>17158.356928185905</v>
      </c>
      <c r="O31" s="6">
        <f t="shared" si="15"/>
        <v>16378.431613268363</v>
      </c>
      <c r="P31" s="6">
        <f t="shared" si="15"/>
        <v>18328.244900562218</v>
      </c>
      <c r="Q31" s="116"/>
      <c r="R31" s="6">
        <f>R24/R27/12</f>
        <v>17938.282243103447</v>
      </c>
      <c r="S31" s="34" t="s">
        <v>1239</v>
      </c>
    </row>
    <row r="32" spans="1:20" x14ac:dyDescent="0.25">
      <c r="A32" s="7" t="s">
        <v>1222</v>
      </c>
      <c r="B32" s="6">
        <f t="shared" si="8"/>
        <v>10139.248666666665</v>
      </c>
      <c r="C32" s="6">
        <f t="shared" si="8"/>
        <v>11388.141333333333</v>
      </c>
      <c r="D32" s="6">
        <f t="shared" si="8"/>
        <v>12153.776000000002</v>
      </c>
      <c r="E32" s="6">
        <f>E34/E27</f>
        <v>11020.088203931833</v>
      </c>
      <c r="F32" s="6">
        <f t="shared" ref="F32:P32" si="16">F34/F27</f>
        <v>12522.82750446799</v>
      </c>
      <c r="G32" s="6">
        <f t="shared" si="16"/>
        <v>10268.718553663752</v>
      </c>
      <c r="H32" s="6">
        <f t="shared" si="16"/>
        <v>12522.82750446799</v>
      </c>
      <c r="I32" s="6">
        <f t="shared" si="16"/>
        <v>12272.370954378632</v>
      </c>
      <c r="J32" s="6">
        <f t="shared" si="16"/>
        <v>11521.001304110552</v>
      </c>
      <c r="K32" s="6">
        <f t="shared" si="16"/>
        <v>12021.914404289269</v>
      </c>
      <c r="L32" s="6">
        <f t="shared" si="16"/>
        <v>11771.457854199911</v>
      </c>
      <c r="M32" s="6">
        <f t="shared" si="16"/>
        <v>11020.088203931833</v>
      </c>
      <c r="N32" s="6">
        <f t="shared" si="16"/>
        <v>11020.088203931833</v>
      </c>
      <c r="O32" s="6">
        <f t="shared" si="16"/>
        <v>10519.17510375311</v>
      </c>
      <c r="P32" s="6">
        <f t="shared" si="16"/>
        <v>11771.457854199911</v>
      </c>
      <c r="Q32" s="116"/>
      <c r="R32" s="6">
        <f>R34/R27/12</f>
        <v>11521.001304110554</v>
      </c>
    </row>
    <row r="33" spans="1:20" x14ac:dyDescent="0.25">
      <c r="A33" s="7"/>
      <c r="B33" s="6"/>
      <c r="C33" s="6"/>
      <c r="D33" s="6"/>
      <c r="E33" s="6"/>
      <c r="F33" s="6"/>
      <c r="G33" s="6"/>
      <c r="H33" s="6"/>
      <c r="I33" s="6"/>
      <c r="J33" s="6"/>
      <c r="K33" s="6"/>
      <c r="L33" s="6"/>
      <c r="M33" s="6"/>
      <c r="N33" s="6"/>
      <c r="O33" s="6"/>
      <c r="P33" s="6"/>
      <c r="Q33" s="116"/>
      <c r="R33" s="6"/>
      <c r="T33">
        <f>S34/R28</f>
        <v>66504.727108631676</v>
      </c>
    </row>
    <row r="34" spans="1:20" x14ac:dyDescent="0.25">
      <c r="A34" s="7" t="s">
        <v>1223</v>
      </c>
      <c r="B34" s="6">
        <f t="shared" ref="B34:D37" si="17">N14</f>
        <v>152088.72999999998</v>
      </c>
      <c r="C34" s="6">
        <f t="shared" si="17"/>
        <v>170822.12</v>
      </c>
      <c r="D34" s="6">
        <f t="shared" si="17"/>
        <v>182306.64</v>
      </c>
      <c r="E34" s="6">
        <f>E24*E28</f>
        <v>159791.27895701159</v>
      </c>
      <c r="F34" s="6">
        <f t="shared" ref="F34:P35" si="18">F24*F28</f>
        <v>181580.99881478585</v>
      </c>
      <c r="G34" s="6">
        <f t="shared" si="18"/>
        <v>148896.41902812439</v>
      </c>
      <c r="H34" s="6">
        <f t="shared" si="18"/>
        <v>181580.99881478585</v>
      </c>
      <c r="I34" s="6">
        <f t="shared" si="18"/>
        <v>177949.37883849017</v>
      </c>
      <c r="J34" s="6">
        <f t="shared" si="18"/>
        <v>167054.51890960301</v>
      </c>
      <c r="K34" s="6">
        <f t="shared" si="18"/>
        <v>174317.7588621944</v>
      </c>
      <c r="L34" s="6">
        <f t="shared" si="18"/>
        <v>170686.13888589872</v>
      </c>
      <c r="M34" s="6">
        <f t="shared" si="18"/>
        <v>159791.27895701159</v>
      </c>
      <c r="N34" s="6">
        <f t="shared" si="18"/>
        <v>159791.27895701159</v>
      </c>
      <c r="O34" s="6">
        <f t="shared" si="18"/>
        <v>152528.0390044201</v>
      </c>
      <c r="P34" s="6">
        <f t="shared" si="18"/>
        <v>170686.13888589872</v>
      </c>
      <c r="R34" s="6">
        <f>SUM(E34:P34)</f>
        <v>2004654.2269152363</v>
      </c>
      <c r="S34" s="34">
        <f>95000*R27/'Service - Group '!R27</f>
        <v>42713.178294573641</v>
      </c>
      <c r="T34" s="7" t="s">
        <v>1334</v>
      </c>
    </row>
    <row r="35" spans="1:20" x14ac:dyDescent="0.25">
      <c r="A35" s="7" t="s">
        <v>1224</v>
      </c>
      <c r="B35" s="6">
        <f t="shared" si="17"/>
        <v>49710.41</v>
      </c>
      <c r="C35" s="6">
        <f t="shared" si="17"/>
        <v>38987.78</v>
      </c>
      <c r="D35" s="6">
        <f t="shared" si="17"/>
        <v>50104.48000000001</v>
      </c>
      <c r="E35" s="6">
        <f>E25*E29</f>
        <v>54114.351744208143</v>
      </c>
      <c r="F35" s="6">
        <f t="shared" si="18"/>
        <v>61493.581527509232</v>
      </c>
      <c r="G35" s="6">
        <f t="shared" si="18"/>
        <v>50424.736852557595</v>
      </c>
      <c r="H35" s="6">
        <f t="shared" si="18"/>
        <v>61493.581527509232</v>
      </c>
      <c r="I35" s="6">
        <f t="shared" si="18"/>
        <v>60263.709896959073</v>
      </c>
      <c r="J35" s="6">
        <f t="shared" si="18"/>
        <v>56574.095005308525</v>
      </c>
      <c r="K35" s="6">
        <f t="shared" si="18"/>
        <v>59033.838266408893</v>
      </c>
      <c r="L35" s="6">
        <f t="shared" si="18"/>
        <v>57803.966635858735</v>
      </c>
      <c r="M35" s="6">
        <f t="shared" si="18"/>
        <v>54114.351744208143</v>
      </c>
      <c r="N35" s="6">
        <f t="shared" si="18"/>
        <v>54114.351744208143</v>
      </c>
      <c r="O35" s="6">
        <f t="shared" si="18"/>
        <v>51654.60848310779</v>
      </c>
      <c r="P35" s="6">
        <f t="shared" si="18"/>
        <v>57803.966635858735</v>
      </c>
      <c r="R35" s="6">
        <f>SUM(E35:P35)</f>
        <v>678889.14006370225</v>
      </c>
    </row>
    <row r="36" spans="1:20" x14ac:dyDescent="0.25">
      <c r="A36" s="7" t="s">
        <v>1225</v>
      </c>
      <c r="B36" s="6">
        <f t="shared" si="17"/>
        <v>201799.13999999998</v>
      </c>
      <c r="C36" s="6">
        <f t="shared" si="17"/>
        <v>209809.9</v>
      </c>
      <c r="D36" s="6">
        <f t="shared" si="17"/>
        <v>232411.12000000002</v>
      </c>
      <c r="E36" s="6">
        <f>E34+E35</f>
        <v>213905.63070121972</v>
      </c>
      <c r="F36" s="6">
        <f t="shared" ref="F36:P36" si="19">F34+F35</f>
        <v>243074.58034229508</v>
      </c>
      <c r="G36" s="6">
        <f t="shared" si="19"/>
        <v>199321.155880682</v>
      </c>
      <c r="H36" s="6">
        <f t="shared" si="19"/>
        <v>243074.58034229508</v>
      </c>
      <c r="I36" s="6">
        <f t="shared" si="19"/>
        <v>238213.08873544924</v>
      </c>
      <c r="J36" s="6">
        <f t="shared" si="19"/>
        <v>223628.61391491152</v>
      </c>
      <c r="K36" s="6">
        <f t="shared" si="19"/>
        <v>233351.59712860329</v>
      </c>
      <c r="L36" s="6">
        <f t="shared" si="19"/>
        <v>228490.10552175745</v>
      </c>
      <c r="M36" s="6">
        <f t="shared" si="19"/>
        <v>213905.63070121972</v>
      </c>
      <c r="N36" s="6">
        <f t="shared" si="19"/>
        <v>213905.63070121972</v>
      </c>
      <c r="O36" s="6">
        <f t="shared" si="19"/>
        <v>204182.64748752789</v>
      </c>
      <c r="P36" s="6">
        <f t="shared" si="19"/>
        <v>228490.10552175745</v>
      </c>
      <c r="R36" s="6">
        <f>SUM(E36:P36)</f>
        <v>2683543.3669789382</v>
      </c>
    </row>
    <row r="37" spans="1:20" x14ac:dyDescent="0.25">
      <c r="A37" s="7" t="s">
        <v>1226</v>
      </c>
      <c r="B37" s="6">
        <f t="shared" si="17"/>
        <v>115301.25000000003</v>
      </c>
      <c r="C37" s="6">
        <f t="shared" si="17"/>
        <v>125147.48999999999</v>
      </c>
      <c r="D37" s="6">
        <f t="shared" si="17"/>
        <v>120223.56</v>
      </c>
      <c r="E37" s="6">
        <f>E44</f>
        <v>125884.41365631825</v>
      </c>
      <c r="F37" s="6">
        <f t="shared" ref="F37:P37" si="20">F44</f>
        <v>125884.41365631825</v>
      </c>
      <c r="G37" s="6">
        <f t="shared" si="20"/>
        <v>125884.41365631825</v>
      </c>
      <c r="H37" s="6">
        <f t="shared" si="20"/>
        <v>125884.41365631825</v>
      </c>
      <c r="I37" s="6">
        <f t="shared" si="20"/>
        <v>125884.41365631825</v>
      </c>
      <c r="J37" s="6">
        <f t="shared" si="20"/>
        <v>125884.41365631825</v>
      </c>
      <c r="K37" s="6">
        <f t="shared" si="20"/>
        <v>125884.41365631825</v>
      </c>
      <c r="L37" s="6">
        <f t="shared" si="20"/>
        <v>125884.41365631825</v>
      </c>
      <c r="M37" s="6">
        <f t="shared" si="20"/>
        <v>125884.41365631825</v>
      </c>
      <c r="N37" s="6">
        <f t="shared" si="20"/>
        <v>125884.41365631825</v>
      </c>
      <c r="O37" s="6">
        <f t="shared" si="20"/>
        <v>125884.41365631825</v>
      </c>
      <c r="P37" s="6">
        <f t="shared" si="20"/>
        <v>125884.41365631825</v>
      </c>
      <c r="Q37" s="131"/>
      <c r="R37" s="6">
        <f>SUM(E37:P37)</f>
        <v>1510612.9638758192</v>
      </c>
    </row>
    <row r="38" spans="1:20" ht="15.75" thickBot="1" x14ac:dyDescent="0.3">
      <c r="A38" s="9" t="s">
        <v>1078</v>
      </c>
      <c r="B38" s="10">
        <f t="shared" ref="B38:P38" si="21">B36-B37</f>
        <v>86497.889999999956</v>
      </c>
      <c r="C38" s="10">
        <f t="shared" si="21"/>
        <v>84662.41</v>
      </c>
      <c r="D38" s="10">
        <f t="shared" si="21"/>
        <v>112187.56000000003</v>
      </c>
      <c r="E38" s="10">
        <f t="shared" si="21"/>
        <v>88021.217044901467</v>
      </c>
      <c r="F38" s="10">
        <f t="shared" si="21"/>
        <v>117190.16668597683</v>
      </c>
      <c r="G38" s="10">
        <f t="shared" si="21"/>
        <v>73436.742224363741</v>
      </c>
      <c r="H38" s="10">
        <f t="shared" si="21"/>
        <v>117190.16668597683</v>
      </c>
      <c r="I38" s="10">
        <f t="shared" si="21"/>
        <v>112328.67507913099</v>
      </c>
      <c r="J38" s="10">
        <f t="shared" si="21"/>
        <v>97744.200258593264</v>
      </c>
      <c r="K38" s="10">
        <f t="shared" si="21"/>
        <v>107467.18347228503</v>
      </c>
      <c r="L38" s="10">
        <f t="shared" si="21"/>
        <v>102605.69186543919</v>
      </c>
      <c r="M38" s="10">
        <f t="shared" si="21"/>
        <v>88021.217044901467</v>
      </c>
      <c r="N38" s="10">
        <f t="shared" si="21"/>
        <v>88021.217044901467</v>
      </c>
      <c r="O38" s="10">
        <f t="shared" si="21"/>
        <v>78298.23383120964</v>
      </c>
      <c r="P38" s="10">
        <f t="shared" si="21"/>
        <v>102605.69186543919</v>
      </c>
      <c r="Q38" s="131"/>
      <c r="R38" s="10">
        <f>R36-R37</f>
        <v>1172930.403103119</v>
      </c>
      <c r="S38" s="34" t="s">
        <v>1240</v>
      </c>
    </row>
    <row r="39" spans="1:20" ht="15.75" thickTop="1" x14ac:dyDescent="0.25"/>
    <row r="40" spans="1:20" x14ac:dyDescent="0.25">
      <c r="R40" t="s">
        <v>1205</v>
      </c>
    </row>
    <row r="41" spans="1:20" x14ac:dyDescent="0.25">
      <c r="A41" t="s">
        <v>1206</v>
      </c>
      <c r="B41" s="121">
        <f t="shared" ref="B41:P41" si="22">B4/$R$41</f>
        <v>0.89005844696004988</v>
      </c>
      <c r="C41" s="121">
        <f t="shared" si="22"/>
        <v>0.81195327492650082</v>
      </c>
      <c r="D41" s="121">
        <f t="shared" si="22"/>
        <v>1.0583278365440478</v>
      </c>
      <c r="E41" s="121">
        <f t="shared" si="22"/>
        <v>0.76522957685782711</v>
      </c>
      <c r="F41" s="121">
        <f t="shared" si="22"/>
        <v>1.1109433622498928</v>
      </c>
      <c r="G41" s="121">
        <f t="shared" si="22"/>
        <v>0.99875744750461126</v>
      </c>
      <c r="H41" s="121">
        <f t="shared" si="22"/>
        <v>0.79752244532807548</v>
      </c>
      <c r="I41" s="121">
        <f t="shared" si="22"/>
        <v>1.0179787818252213</v>
      </c>
      <c r="J41" s="121">
        <f t="shared" si="22"/>
        <v>1.0309416437555301</v>
      </c>
      <c r="K41" s="121">
        <f t="shared" si="22"/>
        <v>0.98968218642818417</v>
      </c>
      <c r="L41" s="121">
        <f t="shared" si="22"/>
        <v>1.1372911183839709</v>
      </c>
      <c r="M41" s="121">
        <f t="shared" si="22"/>
        <v>1.030849992486216</v>
      </c>
      <c r="N41" s="121">
        <f t="shared" si="22"/>
        <v>0.97470740059499861</v>
      </c>
      <c r="O41" s="121">
        <f t="shared" si="22"/>
        <v>1.0370615283173841</v>
      </c>
      <c r="P41" s="121">
        <f t="shared" si="22"/>
        <v>1.1090345162680888</v>
      </c>
      <c r="R41" s="7">
        <f>AVERAGE(E4:P4)</f>
        <v>252042.33583333332</v>
      </c>
      <c r="S41" s="34" t="s">
        <v>1346</v>
      </c>
    </row>
    <row r="42" spans="1:20" x14ac:dyDescent="0.25">
      <c r="E42" s="121">
        <v>0.81639929287841895</v>
      </c>
      <c r="F42" s="121">
        <v>1.138933991892354</v>
      </c>
      <c r="G42" s="121">
        <v>1.0223411524240813</v>
      </c>
      <c r="H42" s="121">
        <v>0.82988486694407404</v>
      </c>
      <c r="I42" s="121">
        <v>0.9749040356003924</v>
      </c>
      <c r="J42" s="121">
        <v>1.0312388106418422</v>
      </c>
      <c r="K42" s="121">
        <v>0.99881236864102518</v>
      </c>
      <c r="L42" s="121">
        <v>1.1376315752591846</v>
      </c>
      <c r="M42" s="121">
        <v>1.0126852781224369</v>
      </c>
      <c r="N42" s="121">
        <v>0.96712296437383038</v>
      </c>
      <c r="O42" s="121">
        <v>1.0078917557907836</v>
      </c>
      <c r="P42" s="121">
        <v>1.0621539074315747</v>
      </c>
      <c r="R42" s="15">
        <v>23117.948000000019</v>
      </c>
      <c r="S42" s="120" t="s">
        <v>1347</v>
      </c>
    </row>
    <row r="43" spans="1:20" x14ac:dyDescent="0.25">
      <c r="A43" s="137" t="s">
        <v>1345</v>
      </c>
      <c r="B43" s="137"/>
      <c r="C43" s="137"/>
      <c r="D43" s="137"/>
      <c r="E43" s="282">
        <v>0.95652173913043481</v>
      </c>
      <c r="F43" s="282">
        <v>1.0869565217391304</v>
      </c>
      <c r="G43" s="282">
        <v>0.89130434782608692</v>
      </c>
      <c r="H43" s="282">
        <v>1.0869565217391304</v>
      </c>
      <c r="I43" s="282">
        <v>1.0652173913043479</v>
      </c>
      <c r="J43" s="282">
        <v>1</v>
      </c>
      <c r="K43" s="282">
        <v>1.0434782608695652</v>
      </c>
      <c r="L43" s="282">
        <v>1.0217391304347827</v>
      </c>
      <c r="M43" s="282">
        <v>0.95652173913043481</v>
      </c>
      <c r="N43" s="282">
        <v>0.95652173913043481</v>
      </c>
      <c r="O43" s="282">
        <v>0.91304347826086951</v>
      </c>
      <c r="P43" s="282">
        <v>1.0217391304347827</v>
      </c>
      <c r="R43" s="3"/>
      <c r="S43" s="34" t="s">
        <v>1348</v>
      </c>
    </row>
    <row r="44" spans="1:20" x14ac:dyDescent="0.25">
      <c r="A44" s="7" t="s">
        <v>1076</v>
      </c>
      <c r="E44" s="7">
        <f>SUMIFS('[18]Summary - Selling Expenses'!Z:Z,'[18]Summary - Selling Expenses'!$E:$E,3,'[18]Summary - Selling Expenses'!$C:$C,140)+SUMIFS('[18]Summary - Selling Expenses'!Z:Z,'[18]Summary - Selling Expenses'!$E:$E,3,'[18]Summary - Selling Expenses'!$C:$C,147)</f>
        <v>125884.41365631825</v>
      </c>
      <c r="F44" s="7">
        <f>SUMIFS('[18]Summary - Selling Expenses'!AA:AA,'[18]Summary - Selling Expenses'!$E:$E,3,'[18]Summary - Selling Expenses'!$C:$C,140)+SUMIFS('[18]Summary - Selling Expenses'!AA:AA,'[18]Summary - Selling Expenses'!$E:$E,3,'[18]Summary - Selling Expenses'!$C:$C,147)</f>
        <v>125884.41365631825</v>
      </c>
      <c r="G44" s="7">
        <f>SUMIFS('[18]Summary - Selling Expenses'!AB:AB,'[18]Summary - Selling Expenses'!$E:$E,3,'[18]Summary - Selling Expenses'!$C:$C,140)+SUMIFS('[18]Summary - Selling Expenses'!AB:AB,'[18]Summary - Selling Expenses'!$E:$E,3,'[18]Summary - Selling Expenses'!$C:$C,147)</f>
        <v>125884.41365631825</v>
      </c>
      <c r="H44" s="7">
        <f>SUMIFS('[18]Summary - Selling Expenses'!AC:AC,'[18]Summary - Selling Expenses'!$E:$E,3,'[18]Summary - Selling Expenses'!$C:$C,140)+SUMIFS('[18]Summary - Selling Expenses'!AC:AC,'[18]Summary - Selling Expenses'!$E:$E,3,'[18]Summary - Selling Expenses'!$C:$C,147)</f>
        <v>125884.41365631825</v>
      </c>
      <c r="I44" s="7">
        <f>SUMIFS('[18]Summary - Selling Expenses'!AD:AD,'[18]Summary - Selling Expenses'!$E:$E,3,'[18]Summary - Selling Expenses'!$C:$C,140)+SUMIFS('[18]Summary - Selling Expenses'!AD:AD,'[18]Summary - Selling Expenses'!$E:$E,3,'[18]Summary - Selling Expenses'!$C:$C,147)</f>
        <v>125884.41365631825</v>
      </c>
      <c r="J44" s="7">
        <f>SUMIFS('[18]Summary - Selling Expenses'!AE:AE,'[18]Summary - Selling Expenses'!$E:$E,3,'[18]Summary - Selling Expenses'!$C:$C,140)+SUMIFS('[18]Summary - Selling Expenses'!AE:AE,'[18]Summary - Selling Expenses'!$E:$E,3,'[18]Summary - Selling Expenses'!$C:$C,147)</f>
        <v>125884.41365631825</v>
      </c>
      <c r="K44" s="7">
        <f>SUMIFS('[18]Summary - Selling Expenses'!AF:AF,'[18]Summary - Selling Expenses'!$E:$E,3,'[18]Summary - Selling Expenses'!$C:$C,140)+SUMIFS('[18]Summary - Selling Expenses'!AF:AF,'[18]Summary - Selling Expenses'!$E:$E,3,'[18]Summary - Selling Expenses'!$C:$C,147)</f>
        <v>125884.41365631825</v>
      </c>
      <c r="L44" s="7">
        <f>SUMIFS('[18]Summary - Selling Expenses'!AG:AG,'[18]Summary - Selling Expenses'!$E:$E,3,'[18]Summary - Selling Expenses'!$C:$C,140)+SUMIFS('[18]Summary - Selling Expenses'!AG:AG,'[18]Summary - Selling Expenses'!$E:$E,3,'[18]Summary - Selling Expenses'!$C:$C,147)</f>
        <v>125884.41365631825</v>
      </c>
      <c r="M44" s="7">
        <f>SUMIFS('[18]Summary - Selling Expenses'!AH:AH,'[18]Summary - Selling Expenses'!$E:$E,3,'[18]Summary - Selling Expenses'!$C:$C,140)+SUMIFS('[18]Summary - Selling Expenses'!AH:AH,'[18]Summary - Selling Expenses'!$E:$E,3,'[18]Summary - Selling Expenses'!$C:$C,147)</f>
        <v>125884.41365631825</v>
      </c>
      <c r="N44" s="7">
        <f>SUMIFS('[18]Summary - Selling Expenses'!AI:AI,'[18]Summary - Selling Expenses'!$E:$E,3,'[18]Summary - Selling Expenses'!$C:$C,140)+SUMIFS('[18]Summary - Selling Expenses'!AI:AI,'[18]Summary - Selling Expenses'!$E:$E,3,'[18]Summary - Selling Expenses'!$C:$C,147)</f>
        <v>125884.41365631825</v>
      </c>
      <c r="O44" s="7">
        <f>SUMIFS('[18]Summary - Selling Expenses'!AJ:AJ,'[18]Summary - Selling Expenses'!$E:$E,3,'[18]Summary - Selling Expenses'!$C:$C,140)+SUMIFS('[18]Summary - Selling Expenses'!AJ:AJ,'[18]Summary - Selling Expenses'!$E:$E,3,'[18]Summary - Selling Expenses'!$C:$C,147)</f>
        <v>125884.41365631825</v>
      </c>
      <c r="P44" s="7">
        <f>SUMIFS('[18]Summary - Selling Expenses'!AK:AK,'[18]Summary - Selling Expenses'!$E:$E,3,'[18]Summary - Selling Expenses'!$C:$C,140)+SUMIFS('[18]Summary - Selling Expenses'!AK:AK,'[18]Summary - Selling Expenses'!$E:$E,3,'[18]Summary - Selling Expenses'!$C:$C,147)</f>
        <v>125884.41365631825</v>
      </c>
      <c r="R44" s="7">
        <f>SUM(E44:P44)</f>
        <v>1510612.9638758192</v>
      </c>
    </row>
    <row r="45" spans="1:20" x14ac:dyDescent="0.25">
      <c r="R45" s="7">
        <f>R44-SUMIFS('[18]Summary - Selling Expenses'!$AL:$AL,'[18]Summary - Selling Expenses'!$C:$C,140,'[18]Summary - Selling Expenses'!$D:$D,'[18]Summary - Selling Expenses'!$D$11)-SUMIFS('[18]Summary - Selling Expenses'!$AL:$AL,'[18]Summary - Selling Expenses'!$C:$C,147,'[18]Summary - Selling Expenses'!$D:$D,'[18]Summary - Selling Expenses'!$D$11)</f>
        <v>4.6475179260596633E-10</v>
      </c>
      <c r="S45" s="34" t="s">
        <v>1093</v>
      </c>
    </row>
    <row r="46" spans="1:20" x14ac:dyDescent="0.25">
      <c r="A46" t="s">
        <v>1319</v>
      </c>
      <c r="E46" s="7">
        <f>E14</f>
        <v>113463.83999999998</v>
      </c>
      <c r="F46" s="7">
        <f t="shared" ref="F46:P46" si="23">F14</f>
        <v>188496.34</v>
      </c>
      <c r="G46" s="7">
        <f t="shared" si="23"/>
        <v>154154.65</v>
      </c>
      <c r="H46" s="7">
        <f t="shared" si="23"/>
        <v>125061.34999999998</v>
      </c>
      <c r="I46" s="7">
        <f t="shared" si="23"/>
        <v>176625.05</v>
      </c>
      <c r="J46" s="7">
        <f t="shared" si="23"/>
        <v>168713.88000000003</v>
      </c>
      <c r="K46" s="7">
        <f t="shared" si="23"/>
        <v>151145.46</v>
      </c>
      <c r="L46" s="7">
        <f t="shared" si="23"/>
        <v>187858.98</v>
      </c>
      <c r="M46" s="7">
        <f t="shared" si="23"/>
        <v>174557.17</v>
      </c>
      <c r="N46" s="7">
        <f t="shared" si="23"/>
        <v>152088.72999999998</v>
      </c>
      <c r="O46" s="7">
        <f t="shared" si="23"/>
        <v>170822.12</v>
      </c>
      <c r="P46" s="7">
        <f t="shared" si="23"/>
        <v>182306.64</v>
      </c>
      <c r="R46" s="7">
        <f>SUM(E46:P46)</f>
        <v>1945294.21</v>
      </c>
    </row>
    <row r="47" spans="1:20" x14ac:dyDescent="0.25">
      <c r="A47" t="s">
        <v>1320</v>
      </c>
      <c r="E47" s="7">
        <f>E34</f>
        <v>159791.27895701159</v>
      </c>
      <c r="F47" s="7">
        <f t="shared" ref="F47:P47" si="24">F34</f>
        <v>181580.99881478585</v>
      </c>
      <c r="G47" s="7">
        <f t="shared" si="24"/>
        <v>148896.41902812439</v>
      </c>
      <c r="H47" s="7">
        <f t="shared" si="24"/>
        <v>181580.99881478585</v>
      </c>
      <c r="I47" s="7">
        <f t="shared" si="24"/>
        <v>177949.37883849017</v>
      </c>
      <c r="J47" s="7">
        <f t="shared" si="24"/>
        <v>167054.51890960301</v>
      </c>
      <c r="K47" s="7">
        <f t="shared" si="24"/>
        <v>174317.7588621944</v>
      </c>
      <c r="L47" s="7">
        <f t="shared" si="24"/>
        <v>170686.13888589872</v>
      </c>
      <c r="M47" s="7">
        <f t="shared" si="24"/>
        <v>159791.27895701159</v>
      </c>
      <c r="N47" s="7">
        <f t="shared" si="24"/>
        <v>159791.27895701159</v>
      </c>
      <c r="O47" s="7">
        <f t="shared" si="24"/>
        <v>152528.0390044201</v>
      </c>
      <c r="P47" s="7">
        <f t="shared" si="24"/>
        <v>170686.13888589872</v>
      </c>
      <c r="R47" s="7">
        <f>SUM(E47:P47)</f>
        <v>2004654.2269152363</v>
      </c>
    </row>
    <row r="51" spans="1:19" x14ac:dyDescent="0.25">
      <c r="E51" s="184">
        <v>45383</v>
      </c>
      <c r="F51" s="184">
        <v>45413</v>
      </c>
      <c r="G51" s="184">
        <v>45444</v>
      </c>
      <c r="H51" s="184">
        <v>45474</v>
      </c>
      <c r="I51" s="184">
        <v>45505</v>
      </c>
      <c r="J51" s="184">
        <v>45536</v>
      </c>
      <c r="K51" s="184">
        <v>45566</v>
      </c>
      <c r="L51" s="184">
        <v>45597</v>
      </c>
      <c r="M51" s="184">
        <v>45627</v>
      </c>
      <c r="N51" s="184">
        <v>45658</v>
      </c>
      <c r="O51" s="184">
        <v>45689</v>
      </c>
      <c r="P51" s="184">
        <v>45717</v>
      </c>
    </row>
    <row r="52" spans="1:19" ht="26.25" x14ac:dyDescent="0.25">
      <c r="A52" s="286" t="s">
        <v>1439</v>
      </c>
      <c r="E52">
        <v>22</v>
      </c>
      <c r="F52">
        <v>25</v>
      </c>
      <c r="G52">
        <v>20.5</v>
      </c>
      <c r="H52">
        <v>25</v>
      </c>
      <c r="I52">
        <v>24.5</v>
      </c>
      <c r="J52">
        <v>23</v>
      </c>
      <c r="K52">
        <v>24</v>
      </c>
      <c r="L52">
        <v>23.5</v>
      </c>
      <c r="M52">
        <v>22</v>
      </c>
      <c r="N52">
        <v>22</v>
      </c>
      <c r="O52">
        <v>21</v>
      </c>
      <c r="P52">
        <v>23.5</v>
      </c>
    </row>
    <row r="53" spans="1:19" x14ac:dyDescent="0.25">
      <c r="E53" s="16">
        <f>E52/AVERAGE($E$52:$P$52)</f>
        <v>0.95652173913043481</v>
      </c>
      <c r="F53" s="16">
        <f t="shared" ref="F53:P53" si="25">F52/AVERAGE($E$52:$P$52)</f>
        <v>1.0869565217391304</v>
      </c>
      <c r="G53" s="16">
        <f t="shared" si="25"/>
        <v>0.89130434782608692</v>
      </c>
      <c r="H53" s="16">
        <f t="shared" si="25"/>
        <v>1.0869565217391304</v>
      </c>
      <c r="I53" s="16">
        <f t="shared" si="25"/>
        <v>1.0652173913043479</v>
      </c>
      <c r="J53" s="16">
        <f t="shared" si="25"/>
        <v>1</v>
      </c>
      <c r="K53" s="16">
        <f t="shared" si="25"/>
        <v>1.0434782608695652</v>
      </c>
      <c r="L53" s="16">
        <f t="shared" si="25"/>
        <v>1.0217391304347827</v>
      </c>
      <c r="M53" s="16">
        <f t="shared" si="25"/>
        <v>0.95652173913043481</v>
      </c>
      <c r="N53" s="16">
        <f t="shared" si="25"/>
        <v>0.95652173913043481</v>
      </c>
      <c r="O53" s="16">
        <f t="shared" si="25"/>
        <v>0.91304347826086951</v>
      </c>
      <c r="P53" s="16">
        <f t="shared" si="25"/>
        <v>1.0217391304347827</v>
      </c>
      <c r="R53" s="123">
        <f>AVERAGE(E53:P53)</f>
        <v>1.0000000000000002</v>
      </c>
    </row>
    <row r="54" spans="1:19" s="284" customFormat="1" ht="33.75" x14ac:dyDescent="0.2">
      <c r="E54" s="284" t="s">
        <v>1428</v>
      </c>
      <c r="G54" s="284" t="s">
        <v>1430</v>
      </c>
      <c r="K54" s="284" t="s">
        <v>1432</v>
      </c>
      <c r="M54" s="284" t="s">
        <v>1433</v>
      </c>
      <c r="N54" s="284" t="s">
        <v>1435</v>
      </c>
      <c r="O54" s="284" t="s">
        <v>1438</v>
      </c>
      <c r="Q54" s="285"/>
      <c r="S54" s="285"/>
    </row>
    <row r="55" spans="1:19" s="284" customFormat="1" ht="33.75" x14ac:dyDescent="0.2">
      <c r="E55" s="284" t="s">
        <v>1429</v>
      </c>
      <c r="G55" s="284" t="s">
        <v>1431</v>
      </c>
      <c r="H55" s="287"/>
      <c r="M55" s="284" t="s">
        <v>1434</v>
      </c>
      <c r="N55" s="284" t="s">
        <v>1436</v>
      </c>
      <c r="Q55" s="285"/>
      <c r="S55" s="285"/>
    </row>
    <row r="56" spans="1:19" s="284" customFormat="1" ht="33.75" x14ac:dyDescent="0.2">
      <c r="N56" s="284" t="s">
        <v>1437</v>
      </c>
    </row>
  </sheetData>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27FE4-6732-4B74-8C00-F94BD73689BB}">
  <sheetPr>
    <tabColor theme="9" tint="0.79998168889431442"/>
  </sheetPr>
  <dimension ref="A1:U47"/>
  <sheetViews>
    <sheetView topLeftCell="A15" zoomScale="85" zoomScaleNormal="85" workbookViewId="0">
      <selection activeCell="P17" sqref="P17"/>
    </sheetView>
  </sheetViews>
  <sheetFormatPr defaultRowHeight="15" x14ac:dyDescent="0.25"/>
  <cols>
    <col min="1" max="1" width="26.85546875" bestFit="1" customWidth="1"/>
    <col min="2" max="2" width="8.5703125" hidden="1" customWidth="1"/>
    <col min="3" max="4" width="9.5703125" hidden="1" customWidth="1"/>
    <col min="5" max="5" width="9.5703125" bestFit="1" customWidth="1"/>
    <col min="6" max="16" width="11.140625" bestFit="1" customWidth="1"/>
    <col min="17" max="17" width="2.85546875" style="34" customWidth="1"/>
    <col min="18" max="18" width="12.42578125" customWidth="1"/>
    <col min="19" max="19" width="10.28515625" style="34" bestFit="1" customWidth="1"/>
    <col min="20" max="20" width="10.140625" bestFit="1" customWidth="1"/>
  </cols>
  <sheetData>
    <row r="1" spans="1:21" ht="15.75" x14ac:dyDescent="0.25">
      <c r="A1" s="11" t="s">
        <v>1213</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129"/>
      <c r="R1" s="5" t="s">
        <v>951</v>
      </c>
    </row>
    <row r="2" spans="1:21"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129"/>
      <c r="R2" s="5" t="s">
        <v>961</v>
      </c>
    </row>
    <row r="4" spans="1:21" x14ac:dyDescent="0.25">
      <c r="A4" s="7" t="s">
        <v>1214</v>
      </c>
      <c r="B4" s="6">
        <f>'[3]NW SERVICE 240'!$B$9</f>
        <v>96300.91</v>
      </c>
      <c r="C4" s="6">
        <f>'[4]NW SERVICE 240'!$B$9</f>
        <v>106447.87000000001</v>
      </c>
      <c r="D4" s="6">
        <f>'[5]NW SERVICE 240'!$B$9</f>
        <v>144123.16000000003</v>
      </c>
      <c r="E4" s="6">
        <f>'[6]NW SERVICE 240'!$B$9</f>
        <v>105125.23999999999</v>
      </c>
      <c r="F4" s="6">
        <f>'[7]NW SERVICE 240'!$B$9</f>
        <v>136064.31</v>
      </c>
      <c r="G4" s="6">
        <f>'[8]NW SERVICE 240'!$B$9</f>
        <v>140268.98000000001</v>
      </c>
      <c r="H4" s="6">
        <f>'[9]NW SERVICE 240'!$B$9</f>
        <v>120366.79000000001</v>
      </c>
      <c r="I4" s="6">
        <f>'[10]NW SERVICE 240'!$B$9</f>
        <v>144081.78999999998</v>
      </c>
      <c r="J4" s="6">
        <f>'[11]NW SERVICE 240'!$B$9</f>
        <v>114439.26999999999</v>
      </c>
      <c r="K4" s="6">
        <f>'[12]NW SERVICE 240'!$B$9</f>
        <v>126568.75</v>
      </c>
      <c r="L4" s="6">
        <f>'[13]NW SERVICE 240'!$B$9</f>
        <v>150828.82</v>
      </c>
      <c r="M4" s="6">
        <f>'[14]NW SERVICE 240'!$B$9</f>
        <v>138075.85</v>
      </c>
      <c r="N4" s="6">
        <f>'[15]NW SERVICE 240'!$B$9</f>
        <v>113884.42000000001</v>
      </c>
      <c r="O4" s="6">
        <f>'[16]NW SERVICE 240'!$B$9</f>
        <v>131936.49</v>
      </c>
      <c r="P4" s="6">
        <f>'[17]NW SERVICE 240'!$B$9</f>
        <v>131729.82</v>
      </c>
      <c r="Q4" s="130"/>
      <c r="R4" s="6">
        <f>SUM(E4:P4)</f>
        <v>1553370.5300000003</v>
      </c>
    </row>
    <row r="5" spans="1:21" x14ac:dyDescent="0.25">
      <c r="A5" s="7" t="s">
        <v>1215</v>
      </c>
      <c r="B5" s="6">
        <f t="shared" ref="B5:P5" si="0">B6-B4</f>
        <v>46717.139999999985</v>
      </c>
      <c r="C5" s="6">
        <f t="shared" si="0"/>
        <v>48587.249999999985</v>
      </c>
      <c r="D5" s="6">
        <f t="shared" si="0"/>
        <v>72140.98000000001</v>
      </c>
      <c r="E5" s="6">
        <f t="shared" si="0"/>
        <v>49983.770000000019</v>
      </c>
      <c r="F5" s="6">
        <f t="shared" si="0"/>
        <v>62185.850000000035</v>
      </c>
      <c r="G5" s="6">
        <f t="shared" si="0"/>
        <v>59359.66</v>
      </c>
      <c r="H5" s="6">
        <f t="shared" si="0"/>
        <v>52231.540000000008</v>
      </c>
      <c r="I5" s="6">
        <f t="shared" si="0"/>
        <v>61552.03</v>
      </c>
      <c r="J5" s="6">
        <f t="shared" si="0"/>
        <v>51909.050000000017</v>
      </c>
      <c r="K5" s="6">
        <f t="shared" si="0"/>
        <v>50519.679999999993</v>
      </c>
      <c r="L5" s="6">
        <f t="shared" si="0"/>
        <v>64848.429999999993</v>
      </c>
      <c r="M5" s="6">
        <f t="shared" si="0"/>
        <v>57417.830000000016</v>
      </c>
      <c r="N5" s="6">
        <f t="shared" si="0"/>
        <v>49805.549999999988</v>
      </c>
      <c r="O5" s="6">
        <f t="shared" si="0"/>
        <v>54836.460000000021</v>
      </c>
      <c r="P5" s="6">
        <f t="shared" si="0"/>
        <v>52738.100000000006</v>
      </c>
      <c r="Q5" s="131"/>
      <c r="R5" s="6">
        <f>SUM(E5:P5)</f>
        <v>667387.95000000007</v>
      </c>
    </row>
    <row r="6" spans="1:21" x14ac:dyDescent="0.25">
      <c r="A6" s="7" t="s">
        <v>1216</v>
      </c>
      <c r="B6" s="6">
        <f>'[3]NW SERVICE 240'!$B$12</f>
        <v>143018.04999999999</v>
      </c>
      <c r="C6" s="6">
        <f>'[4]NW SERVICE 240'!$B$12</f>
        <v>155035.12</v>
      </c>
      <c r="D6" s="6">
        <f>'[5]NW SERVICE 240'!$B$12</f>
        <v>216264.14000000004</v>
      </c>
      <c r="E6" s="6">
        <f>'[6]NW SERVICE 240'!$B$12</f>
        <v>155109.01</v>
      </c>
      <c r="F6" s="6">
        <f>'[7]NW SERVICE 240'!$B$12</f>
        <v>198250.16000000003</v>
      </c>
      <c r="G6" s="6">
        <f>'[8]NW SERVICE 240'!$B$12</f>
        <v>199628.64</v>
      </c>
      <c r="H6" s="6">
        <f>'[9]NW SERVICE 240'!$B$12</f>
        <v>172598.33000000002</v>
      </c>
      <c r="I6" s="6">
        <f>'[10]NW SERVICE 240'!$B$12</f>
        <v>205633.81999999998</v>
      </c>
      <c r="J6" s="6">
        <f>'[11]NW SERVICE 240'!$B$12</f>
        <v>166348.32</v>
      </c>
      <c r="K6" s="6">
        <f>'[12]NW SERVICE 240'!$B$12</f>
        <v>177088.43</v>
      </c>
      <c r="L6" s="6">
        <f>'[13]NW SERVICE 240'!$B$12</f>
        <v>215677.25</v>
      </c>
      <c r="M6" s="6">
        <f>'[14]NW SERVICE 240'!$B$12</f>
        <v>195493.68000000002</v>
      </c>
      <c r="N6" s="6">
        <f>'[15]NW SERVICE 240'!$B$12</f>
        <v>163689.97</v>
      </c>
      <c r="O6" s="6">
        <f>'[16]NW SERVICE 240'!$B$12</f>
        <v>186772.95</v>
      </c>
      <c r="P6" s="6">
        <f>'[17]NW SERVICE 240'!$B$12</f>
        <v>184467.92</v>
      </c>
      <c r="Q6" s="122"/>
      <c r="R6" s="6">
        <f>SUM(E6:P6)</f>
        <v>2220758.48</v>
      </c>
    </row>
    <row r="7" spans="1:21" x14ac:dyDescent="0.25">
      <c r="A7" t="s">
        <v>1217</v>
      </c>
      <c r="B7" s="16">
        <f>'[3]NW SERVICE 240'!$B$33</f>
        <v>6.75</v>
      </c>
      <c r="C7" s="16">
        <f>'[4]NW SERVICE 240'!$B$33</f>
        <v>6.75</v>
      </c>
      <c r="D7" s="16">
        <f>'[5]NW SERVICE 240'!$B$33</f>
        <v>6.75</v>
      </c>
      <c r="E7" s="16">
        <f>'[6]NW SERVICE 240'!$B$33</f>
        <v>6.75</v>
      </c>
      <c r="F7" s="16">
        <f>'[7]NW SERVICE 240'!$B$33</f>
        <v>6.5</v>
      </c>
      <c r="G7" s="16">
        <f>'[8]NW SERVICE 240'!$B$33</f>
        <v>6.75</v>
      </c>
      <c r="H7" s="16">
        <f>'[9]NW SERVICE 240'!$B$33</f>
        <v>5.75</v>
      </c>
      <c r="I7" s="16">
        <f>'[10]NW SERVICE 240'!$B$33</f>
        <v>5.75</v>
      </c>
      <c r="J7" s="16">
        <f>'[11]NW SERVICE 240'!$B$33</f>
        <v>4.75</v>
      </c>
      <c r="K7" s="16">
        <f>'[12]NW SERVICE 240'!$B$33</f>
        <v>5.75</v>
      </c>
      <c r="L7" s="16">
        <f>'[13]NW SERVICE 240'!$B$33</f>
        <v>6.75</v>
      </c>
      <c r="M7" s="16">
        <f>'[14]NW SERVICE 240'!$B$33</f>
        <v>6.75</v>
      </c>
      <c r="N7" s="16">
        <f>'[15]NW SERVICE 240'!$B$33</f>
        <v>6.75</v>
      </c>
      <c r="O7" s="16">
        <f>'[16]NW SERVICE 240'!$B$33</f>
        <v>7.25</v>
      </c>
      <c r="P7" s="16">
        <f>'[17]NW SERVICE 240'!$B$33</f>
        <v>7.25</v>
      </c>
      <c r="Q7" s="122"/>
      <c r="R7" s="237">
        <f>AVERAGE(E7:P7)</f>
        <v>6.395833333333333</v>
      </c>
      <c r="T7" s="134">
        <f>AVERAGE(E7:O7)</f>
        <v>6.3181818181818183</v>
      </c>
    </row>
    <row r="8" spans="1:21" x14ac:dyDescent="0.25">
      <c r="A8" t="s">
        <v>1218</v>
      </c>
      <c r="B8" s="3">
        <f>'[3]NW SERVICE 240'!$B$17</f>
        <v>0.72604246418855234</v>
      </c>
      <c r="C8" s="3">
        <f>'[4]NW SERVICE 240'!$B$17</f>
        <v>0.70908868350301424</v>
      </c>
      <c r="D8" s="3">
        <f>'[5]NW SERVICE 240'!$B$17</f>
        <v>0.73435921055297415</v>
      </c>
      <c r="E8" s="3">
        <f>'[6]NW SERVICE 240'!$B$17</f>
        <v>0.62866871932943968</v>
      </c>
      <c r="F8" s="3">
        <f>'[7]NW SERVICE 240'!$B$17</f>
        <v>0.76064575640739296</v>
      </c>
      <c r="G8" s="3">
        <f>'[8]NW SERVICE 240'!$B$17</f>
        <v>0.65180255819925392</v>
      </c>
      <c r="H8" s="3">
        <f>'[9]NW SERVICE 240'!$B$17</f>
        <v>0.68718730473746104</v>
      </c>
      <c r="I8" s="3">
        <f>'[10]NW SERVICE 240'!$B$17</f>
        <v>0.76907373235715626</v>
      </c>
      <c r="J8" s="3">
        <f>'[11]NW SERVICE 240'!$B$17</f>
        <v>0.74562324628599952</v>
      </c>
      <c r="K8" s="3">
        <f>'[12]NW SERVICE 240'!$B$17</f>
        <v>0.67350914028936848</v>
      </c>
      <c r="L8" s="3">
        <f>'[13]NW SERVICE 240'!$B$17</f>
        <v>0.68503691801076216</v>
      </c>
      <c r="M8" s="3">
        <f>'[14]NW SERVICE 240'!$B$17</f>
        <v>0.64780763616519477</v>
      </c>
      <c r="N8" s="3">
        <f>'[15]NW SERVICE 240'!$B$17</f>
        <v>0.72614190773417464</v>
      </c>
      <c r="O8" s="3">
        <f>'[16]NW SERVICE 240'!$B$17</f>
        <v>0.62460476248837604</v>
      </c>
      <c r="P8" s="3">
        <f>'[17]NW SERVICE 240'!$B$17</f>
        <v>0.66478782101121825</v>
      </c>
      <c r="Q8" s="131"/>
      <c r="R8" s="3">
        <f>R14/R4</f>
        <v>0.68918386136757703</v>
      </c>
      <c r="T8" s="7"/>
    </row>
    <row r="9" spans="1:21" x14ac:dyDescent="0.25">
      <c r="A9" t="s">
        <v>1219</v>
      </c>
      <c r="B9" s="3">
        <f t="shared" ref="B9:P9" si="1">B15/B5</f>
        <v>0.49731961331536989</v>
      </c>
      <c r="C9" s="3">
        <f t="shared" si="1"/>
        <v>0.55268038425718702</v>
      </c>
      <c r="D9" s="3">
        <f t="shared" si="1"/>
        <v>0.51444116783553495</v>
      </c>
      <c r="E9" s="3">
        <f t="shared" si="1"/>
        <v>0.56354452655331899</v>
      </c>
      <c r="F9" s="3">
        <f t="shared" si="1"/>
        <v>0.67161420162303775</v>
      </c>
      <c r="G9" s="3">
        <f t="shared" si="1"/>
        <v>0.6560947283053844</v>
      </c>
      <c r="H9" s="3">
        <f t="shared" si="1"/>
        <v>0.64020513276078028</v>
      </c>
      <c r="I9" s="3">
        <f t="shared" si="1"/>
        <v>0.61297539658724487</v>
      </c>
      <c r="J9" s="3">
        <f t="shared" si="1"/>
        <v>0.46466483204759101</v>
      </c>
      <c r="K9" s="3">
        <f t="shared" si="1"/>
        <v>0.72467877864626218</v>
      </c>
      <c r="L9" s="3">
        <f t="shared" si="1"/>
        <v>0.63915255928323977</v>
      </c>
      <c r="M9" s="3">
        <f t="shared" si="1"/>
        <v>0.60798326930850555</v>
      </c>
      <c r="N9" s="3">
        <f t="shared" si="1"/>
        <v>0.66962577463756567</v>
      </c>
      <c r="O9" s="3">
        <f t="shared" si="1"/>
        <v>0.51671260325702961</v>
      </c>
      <c r="P9" s="3">
        <f t="shared" si="1"/>
        <v>0.55753563363109393</v>
      </c>
      <c r="R9" s="3">
        <f>R15/R5</f>
        <v>0.61167485867852422</v>
      </c>
    </row>
    <row r="10" spans="1:21" x14ac:dyDescent="0.25">
      <c r="A10" t="s">
        <v>1220</v>
      </c>
      <c r="B10" s="3">
        <f>'[3]NW SERVICE 240'!$B$24</f>
        <v>0.40286250581657351</v>
      </c>
      <c r="C10" s="3">
        <f>'[4]NW SERVICE 240'!$B$24</f>
        <v>0.39713085654398822</v>
      </c>
      <c r="D10" s="3">
        <f>'[5]NW SERVICE 240'!$B$24</f>
        <v>0.39153370503311358</v>
      </c>
      <c r="E10" s="3">
        <f>'[6]NW SERVICE 240'!$B$24</f>
        <v>0.3591122785194748</v>
      </c>
      <c r="F10" s="3">
        <f>'[7]NW SERVICE 240'!$B$24</f>
        <v>0.35270085027926323</v>
      </c>
      <c r="G10" s="3">
        <f>'[8]NW SERVICE 240'!$B$24</f>
        <v>0.40819999575211252</v>
      </c>
      <c r="H10" s="3">
        <f>'[9]NW SERVICE 240'!$B$24</f>
        <v>0.41243678313689353</v>
      </c>
      <c r="I10" s="3">
        <f>'[10]NW SERVICE 240'!$B$24</f>
        <v>0.35946941996214443</v>
      </c>
      <c r="J10" s="3">
        <f>'[11]NW SERVICE 240'!$B$24</f>
        <v>0.39972877393652062</v>
      </c>
      <c r="K10" s="3">
        <f>'[12]NW SERVICE 240'!$B$24</f>
        <v>0.34639659971009967</v>
      </c>
      <c r="L10" s="3">
        <f>'[13]NW SERVICE 240'!$B$24</f>
        <v>0.26821349956937973</v>
      </c>
      <c r="M10" s="3">
        <f>'[14]NW SERVICE 240'!$B$24</f>
        <v>0.28844671602683009</v>
      </c>
      <c r="N10" s="3">
        <f>'[15]NW SERVICE 240'!$B$24</f>
        <v>0.35918987583661965</v>
      </c>
      <c r="O10" s="3">
        <f>'[16]NW SERVICE 240'!$B$24</f>
        <v>0.28239367638622193</v>
      </c>
      <c r="P10" s="3">
        <f>'[17]NW SERVICE 240'!$B$24</f>
        <v>0.33995526159778888</v>
      </c>
      <c r="R10" s="3">
        <f>R17/R6</f>
        <v>0.34607191953624783</v>
      </c>
    </row>
    <row r="11" spans="1:21" x14ac:dyDescent="0.25">
      <c r="A11" s="7" t="s">
        <v>1221</v>
      </c>
      <c r="B11" s="6">
        <f t="shared" ref="B11:P11" si="2">B4/B7</f>
        <v>14266.801481481481</v>
      </c>
      <c r="C11" s="6">
        <f t="shared" si="2"/>
        <v>15770.054814814815</v>
      </c>
      <c r="D11" s="6">
        <f t="shared" si="2"/>
        <v>21351.579259259262</v>
      </c>
      <c r="E11" s="6">
        <f t="shared" si="2"/>
        <v>15574.109629629629</v>
      </c>
      <c r="F11" s="6">
        <f t="shared" si="2"/>
        <v>20932.970769230767</v>
      </c>
      <c r="G11" s="6">
        <f t="shared" si="2"/>
        <v>20780.589629629631</v>
      </c>
      <c r="H11" s="6">
        <f t="shared" si="2"/>
        <v>20933.354782608698</v>
      </c>
      <c r="I11" s="6">
        <f t="shared" si="2"/>
        <v>25057.70260869565</v>
      </c>
      <c r="J11" s="6">
        <f t="shared" si="2"/>
        <v>24092.47789473684</v>
      </c>
      <c r="K11" s="6">
        <f t="shared" si="2"/>
        <v>22011.956521739132</v>
      </c>
      <c r="L11" s="6">
        <f t="shared" si="2"/>
        <v>22345.010370370372</v>
      </c>
      <c r="M11" s="6">
        <f t="shared" si="2"/>
        <v>20455.681481481482</v>
      </c>
      <c r="N11" s="6">
        <f t="shared" si="2"/>
        <v>16871.765925925927</v>
      </c>
      <c r="O11" s="6">
        <f t="shared" si="2"/>
        <v>18198.136551724136</v>
      </c>
      <c r="P11" s="6">
        <f t="shared" si="2"/>
        <v>18169.630344827587</v>
      </c>
      <c r="R11" s="6">
        <f>R4/R7/12</f>
        <v>20239.355439739418</v>
      </c>
    </row>
    <row r="12" spans="1:21" x14ac:dyDescent="0.25">
      <c r="A12" s="7" t="s">
        <v>1222</v>
      </c>
      <c r="B12" s="6">
        <f t="shared" ref="B12:P12" si="3">B14/B7</f>
        <v>10358.303703703705</v>
      </c>
      <c r="C12" s="6">
        <f t="shared" si="3"/>
        <v>11182.36740740741</v>
      </c>
      <c r="D12" s="6">
        <f t="shared" si="3"/>
        <v>15679.728888888891</v>
      </c>
      <c r="E12" s="6">
        <f t="shared" si="3"/>
        <v>9790.9555555555526</v>
      </c>
      <c r="F12" s="6">
        <f t="shared" si="3"/>
        <v>15922.575384615386</v>
      </c>
      <c r="G12" s="6">
        <f t="shared" si="3"/>
        <v>13544.841481481481</v>
      </c>
      <c r="H12" s="6">
        <f t="shared" si="3"/>
        <v>14385.135652173911</v>
      </c>
      <c r="I12" s="6">
        <f t="shared" si="3"/>
        <v>19271.220869565212</v>
      </c>
      <c r="J12" s="6">
        <f t="shared" si="3"/>
        <v>17963.911578947365</v>
      </c>
      <c r="K12" s="6">
        <f t="shared" si="3"/>
        <v>14825.25391304348</v>
      </c>
      <c r="L12" s="6">
        <f t="shared" si="3"/>
        <v>15307.157037037039</v>
      </c>
      <c r="M12" s="6">
        <f t="shared" si="3"/>
        <v>13251.346666666668</v>
      </c>
      <c r="N12" s="6">
        <f t="shared" si="3"/>
        <v>12251.296296296296</v>
      </c>
      <c r="O12" s="6">
        <f t="shared" si="3"/>
        <v>11366.642758620688</v>
      </c>
      <c r="P12" s="6">
        <f t="shared" si="3"/>
        <v>12078.948965517242</v>
      </c>
      <c r="R12" s="6">
        <f>R14/R7/12</f>
        <v>13948.637133550488</v>
      </c>
    </row>
    <row r="13" spans="1:21" x14ac:dyDescent="0.25">
      <c r="B13" s="3"/>
      <c r="C13" s="3"/>
      <c r="D13" s="3"/>
      <c r="E13" s="3"/>
      <c r="F13" s="3"/>
      <c r="G13" s="3"/>
      <c r="H13" s="3"/>
      <c r="I13" s="3"/>
      <c r="J13" s="3"/>
      <c r="K13" s="3"/>
      <c r="L13" s="3"/>
      <c r="M13" s="3"/>
      <c r="N13" s="3"/>
      <c r="O13" s="3"/>
      <c r="P13" s="3"/>
      <c r="R13" s="6"/>
      <c r="T13" t="s">
        <v>1234</v>
      </c>
      <c r="U13" t="s">
        <v>1235</v>
      </c>
    </row>
    <row r="14" spans="1:21" x14ac:dyDescent="0.25">
      <c r="A14" s="7" t="s">
        <v>1223</v>
      </c>
      <c r="B14" s="6">
        <f t="shared" ref="B14:O14" si="4">B4*B8</f>
        <v>69918.55</v>
      </c>
      <c r="C14" s="6">
        <f t="shared" si="4"/>
        <v>75480.98000000001</v>
      </c>
      <c r="D14" s="6">
        <f t="shared" si="4"/>
        <v>105838.17000000001</v>
      </c>
      <c r="E14" s="6">
        <f t="shared" si="4"/>
        <v>66088.949999999983</v>
      </c>
      <c r="F14" s="6">
        <f t="shared" si="4"/>
        <v>103496.74</v>
      </c>
      <c r="G14" s="6">
        <f t="shared" si="4"/>
        <v>91427.68</v>
      </c>
      <c r="H14" s="6">
        <f t="shared" si="4"/>
        <v>82714.529999999984</v>
      </c>
      <c r="I14" s="6">
        <f t="shared" si="4"/>
        <v>110809.51999999997</v>
      </c>
      <c r="J14" s="6">
        <f t="shared" si="4"/>
        <v>85328.579999999987</v>
      </c>
      <c r="K14" s="6">
        <f t="shared" si="4"/>
        <v>85245.21</v>
      </c>
      <c r="L14" s="6">
        <f t="shared" si="4"/>
        <v>103323.31000000001</v>
      </c>
      <c r="M14" s="6">
        <f t="shared" si="4"/>
        <v>89446.590000000011</v>
      </c>
      <c r="N14" s="6">
        <f t="shared" si="4"/>
        <v>82696.25</v>
      </c>
      <c r="O14" s="6">
        <f t="shared" si="4"/>
        <v>82408.159999999989</v>
      </c>
      <c r="P14" s="6">
        <f>P4*P8</f>
        <v>87572.38</v>
      </c>
      <c r="R14" s="6">
        <f>SUM(E14:P14)</f>
        <v>1070557.8999999999</v>
      </c>
      <c r="T14" s="7">
        <f>SUM(E14:O14)</f>
        <v>982985.5199999999</v>
      </c>
      <c r="U14" s="7">
        <f>SUM(E15:O15)</f>
        <v>378821.06000000006</v>
      </c>
    </row>
    <row r="15" spans="1:21" x14ac:dyDescent="0.25">
      <c r="A15" s="7" t="s">
        <v>1224</v>
      </c>
      <c r="B15" s="6">
        <f t="shared" ref="B15:P15" si="5">B16-B14</f>
        <v>23233.349999999991</v>
      </c>
      <c r="C15" s="6">
        <f t="shared" si="5"/>
        <v>26853.22</v>
      </c>
      <c r="D15" s="6">
        <f t="shared" si="5"/>
        <v>37112.289999999979</v>
      </c>
      <c r="E15" s="6">
        <f t="shared" si="5"/>
        <v>28168.080000000002</v>
      </c>
      <c r="F15" s="6">
        <f t="shared" si="5"/>
        <v>41764.900000000009</v>
      </c>
      <c r="G15" s="6">
        <f t="shared" si="5"/>
        <v>38945.56</v>
      </c>
      <c r="H15" s="6">
        <f t="shared" si="5"/>
        <v>33438.900000000009</v>
      </c>
      <c r="I15" s="6">
        <f t="shared" si="5"/>
        <v>37729.87999999999</v>
      </c>
      <c r="J15" s="6">
        <f t="shared" si="5"/>
        <v>24120.310000000012</v>
      </c>
      <c r="K15" s="6">
        <f t="shared" si="5"/>
        <v>36610.539999999994</v>
      </c>
      <c r="L15" s="6">
        <f t="shared" si="5"/>
        <v>41448.040000000023</v>
      </c>
      <c r="M15" s="6">
        <f t="shared" si="5"/>
        <v>34909.08</v>
      </c>
      <c r="N15" s="6">
        <f t="shared" si="5"/>
        <v>33351.08</v>
      </c>
      <c r="O15" s="6">
        <f t="shared" si="5"/>
        <v>28334.689999999988</v>
      </c>
      <c r="P15" s="6">
        <f t="shared" si="5"/>
        <v>29403.369999999995</v>
      </c>
      <c r="R15" s="6">
        <f>SUM(E15:P15)</f>
        <v>408224.43000000005</v>
      </c>
      <c r="T15" s="7">
        <f>SUM(E4:O4)</f>
        <v>1421640.7100000002</v>
      </c>
      <c r="U15" s="7">
        <f>SUM(E5:O5)</f>
        <v>614649.85000000009</v>
      </c>
    </row>
    <row r="16" spans="1:21" x14ac:dyDescent="0.25">
      <c r="A16" s="7" t="s">
        <v>1225</v>
      </c>
      <c r="B16" s="6">
        <f>'[3]NW SERVICE 240'!$B$21</f>
        <v>93151.9</v>
      </c>
      <c r="C16" s="6">
        <f>'[4]NW SERVICE 240'!$B$21</f>
        <v>102334.20000000001</v>
      </c>
      <c r="D16" s="6">
        <f>'[5]NW SERVICE 240'!$B$21</f>
        <v>142950.46</v>
      </c>
      <c r="E16" s="6">
        <f>'[6]NW SERVICE 240'!$B$21</f>
        <v>94257.029999999984</v>
      </c>
      <c r="F16" s="6">
        <f>'[7]NW SERVICE 240'!$B$21</f>
        <v>145261.64000000001</v>
      </c>
      <c r="G16" s="6">
        <f>'[8]NW SERVICE 240'!$B$21</f>
        <v>130373.23999999999</v>
      </c>
      <c r="H16" s="6">
        <f>'[9]NW SERVICE 240'!$B$21</f>
        <v>116153.43</v>
      </c>
      <c r="I16" s="6">
        <f>'[10]NW SERVICE 240'!$B$21</f>
        <v>148539.39999999997</v>
      </c>
      <c r="J16" s="6">
        <f>'[11]NW SERVICE 240'!$B$21</f>
        <v>109448.89</v>
      </c>
      <c r="K16" s="6">
        <f>'[12]NW SERVICE 240'!$B$21</f>
        <v>121855.75</v>
      </c>
      <c r="L16" s="6">
        <f>'[13]NW SERVICE 240'!$B$21</f>
        <v>144771.35000000003</v>
      </c>
      <c r="M16" s="6">
        <f>'[14]NW SERVICE 240'!$B$21</f>
        <v>124355.67000000001</v>
      </c>
      <c r="N16" s="6">
        <f>'[15]NW SERVICE 240'!$B$21</f>
        <v>116047.33</v>
      </c>
      <c r="O16" s="6">
        <f>'[16]NW SERVICE 240'!$B$21</f>
        <v>110742.84999999998</v>
      </c>
      <c r="P16" s="6">
        <f>'[17]NW SERVICE 240'!$B$21</f>
        <v>116975.75</v>
      </c>
      <c r="R16" s="6">
        <f>SUM(E16:P16)</f>
        <v>1478782.33</v>
      </c>
      <c r="T16" s="3">
        <f>T14/T15</f>
        <v>0.69144440862276646</v>
      </c>
      <c r="U16" s="3">
        <f>U14/U15</f>
        <v>0.61632010485319411</v>
      </c>
    </row>
    <row r="17" spans="1:20" x14ac:dyDescent="0.25">
      <c r="A17" s="7" t="s">
        <v>1226</v>
      </c>
      <c r="B17" s="6">
        <f t="shared" ref="B17:M17" si="6">B6*B10</f>
        <v>57616.609999999993</v>
      </c>
      <c r="C17" s="6">
        <f t="shared" si="6"/>
        <v>61569.229999999996</v>
      </c>
      <c r="D17" s="6">
        <f t="shared" si="6"/>
        <v>84674.7</v>
      </c>
      <c r="E17" s="6">
        <f t="shared" si="6"/>
        <v>55701.55</v>
      </c>
      <c r="F17" s="6">
        <f t="shared" si="6"/>
        <v>69922.999999999985</v>
      </c>
      <c r="G17" s="6">
        <f t="shared" si="6"/>
        <v>81488.41</v>
      </c>
      <c r="H17" s="6">
        <f t="shared" si="6"/>
        <v>71185.899999999994</v>
      </c>
      <c r="I17" s="6">
        <f t="shared" si="6"/>
        <v>73919.070000000007</v>
      </c>
      <c r="J17" s="6">
        <f t="shared" si="6"/>
        <v>66494.209999999992</v>
      </c>
      <c r="K17" s="6">
        <f t="shared" si="6"/>
        <v>61342.83</v>
      </c>
      <c r="L17" s="6">
        <f t="shared" si="6"/>
        <v>57847.55</v>
      </c>
      <c r="M17" s="6">
        <f t="shared" si="6"/>
        <v>56389.51</v>
      </c>
      <c r="N17" s="6">
        <f>N6*N10</f>
        <v>58795.78</v>
      </c>
      <c r="O17" s="6">
        <f>O6*O10</f>
        <v>52743.500000000015</v>
      </c>
      <c r="P17" s="6">
        <f>P6*P10</f>
        <v>62710.84</v>
      </c>
      <c r="Q17" s="131"/>
      <c r="R17" s="6">
        <f>SUM(E17:P17)</f>
        <v>768542.15</v>
      </c>
      <c r="T17" s="7">
        <f>T15/T7/11</f>
        <v>20455.262014388489</v>
      </c>
    </row>
    <row r="18" spans="1:20" ht="15.75" thickBot="1" x14ac:dyDescent="0.3">
      <c r="A18" s="9" t="s">
        <v>1078</v>
      </c>
      <c r="B18" s="10">
        <f t="shared" ref="B18:P18" si="7">B16-B17</f>
        <v>35535.29</v>
      </c>
      <c r="C18" s="10">
        <f t="shared" si="7"/>
        <v>40764.970000000016</v>
      </c>
      <c r="D18" s="10">
        <f t="shared" si="7"/>
        <v>58275.759999999995</v>
      </c>
      <c r="E18" s="10">
        <f t="shared" si="7"/>
        <v>38555.479999999981</v>
      </c>
      <c r="F18" s="10">
        <f t="shared" si="7"/>
        <v>75338.640000000029</v>
      </c>
      <c r="G18" s="10">
        <f t="shared" si="7"/>
        <v>48884.829999999987</v>
      </c>
      <c r="H18" s="10">
        <f t="shared" si="7"/>
        <v>44967.53</v>
      </c>
      <c r="I18" s="10">
        <f t="shared" si="7"/>
        <v>74620.329999999958</v>
      </c>
      <c r="J18" s="10">
        <f t="shared" si="7"/>
        <v>42954.680000000008</v>
      </c>
      <c r="K18" s="10">
        <f t="shared" si="7"/>
        <v>60512.92</v>
      </c>
      <c r="L18" s="10">
        <f t="shared" si="7"/>
        <v>86923.800000000032</v>
      </c>
      <c r="M18" s="10">
        <f t="shared" si="7"/>
        <v>67966.16</v>
      </c>
      <c r="N18" s="10">
        <f t="shared" si="7"/>
        <v>57251.55</v>
      </c>
      <c r="O18" s="10">
        <f t="shared" si="7"/>
        <v>57999.349999999962</v>
      </c>
      <c r="P18" s="10">
        <f t="shared" si="7"/>
        <v>54264.91</v>
      </c>
      <c r="Q18" s="131"/>
      <c r="R18" s="10">
        <f>R16-R17</f>
        <v>710240.18</v>
      </c>
      <c r="T18" s="3"/>
    </row>
    <row r="19" spans="1:20" ht="15.75" thickTop="1" x14ac:dyDescent="0.25">
      <c r="Q19" s="131"/>
    </row>
    <row r="21" spans="1:20" ht="15.75" x14ac:dyDescent="0.25">
      <c r="A21" s="11" t="s">
        <v>1213</v>
      </c>
      <c r="B21" s="5">
        <v>45292</v>
      </c>
      <c r="C21" s="5">
        <v>45323</v>
      </c>
      <c r="D21" s="5">
        <v>45352</v>
      </c>
      <c r="E21" s="5">
        <v>45383</v>
      </c>
      <c r="F21" s="5">
        <v>45413</v>
      </c>
      <c r="G21" s="5">
        <v>45444</v>
      </c>
      <c r="H21" s="5">
        <v>45474</v>
      </c>
      <c r="I21" s="5">
        <v>45505</v>
      </c>
      <c r="J21" s="5">
        <v>45536</v>
      </c>
      <c r="K21" s="5">
        <v>45566</v>
      </c>
      <c r="L21" s="5">
        <v>45597</v>
      </c>
      <c r="M21" s="5">
        <v>45627</v>
      </c>
      <c r="N21" s="5">
        <v>45658</v>
      </c>
      <c r="O21" s="5">
        <v>45689</v>
      </c>
      <c r="P21" s="5">
        <v>45717</v>
      </c>
      <c r="R21" s="5" t="s">
        <v>955</v>
      </c>
    </row>
    <row r="22" spans="1:20" x14ac:dyDescent="0.25">
      <c r="A22" s="4"/>
      <c r="B22" s="5" t="s">
        <v>958</v>
      </c>
      <c r="C22" s="5" t="s">
        <v>959</v>
      </c>
      <c r="D22" s="5" t="s">
        <v>959</v>
      </c>
      <c r="E22" s="5" t="s">
        <v>959</v>
      </c>
      <c r="F22" s="5" t="s">
        <v>959</v>
      </c>
      <c r="G22" s="5" t="s">
        <v>959</v>
      </c>
      <c r="H22" s="5" t="s">
        <v>959</v>
      </c>
      <c r="I22" s="5" t="s">
        <v>959</v>
      </c>
      <c r="J22" s="5" t="s">
        <v>959</v>
      </c>
      <c r="K22" s="5" t="s">
        <v>959</v>
      </c>
      <c r="L22" s="5" t="s">
        <v>959</v>
      </c>
      <c r="M22" s="5" t="s">
        <v>959</v>
      </c>
      <c r="N22" s="5" t="s">
        <v>959</v>
      </c>
      <c r="O22" s="5" t="s">
        <v>959</v>
      </c>
      <c r="P22" s="5" t="s">
        <v>959</v>
      </c>
      <c r="Q22" s="129"/>
      <c r="R22" s="5" t="s">
        <v>961</v>
      </c>
    </row>
    <row r="23" spans="1:20" x14ac:dyDescent="0.25">
      <c r="Q23" s="129"/>
    </row>
    <row r="24" spans="1:20" x14ac:dyDescent="0.25">
      <c r="A24" s="7" t="s">
        <v>1214</v>
      </c>
      <c r="B24" s="6">
        <f t="shared" ref="B24:D32" si="8">N4</f>
        <v>113884.42000000001</v>
      </c>
      <c r="C24" s="6">
        <f t="shared" si="8"/>
        <v>131936.49</v>
      </c>
      <c r="D24" s="6">
        <f t="shared" si="8"/>
        <v>131729.82</v>
      </c>
      <c r="E24" s="6">
        <f t="shared" ref="E24:P24" si="9">$R$24*E43/12</f>
        <v>128588.00251159423</v>
      </c>
      <c r="F24" s="6">
        <f t="shared" si="9"/>
        <v>146122.73012681163</v>
      </c>
      <c r="G24" s="6">
        <f t="shared" si="9"/>
        <v>119820.63870398553</v>
      </c>
      <c r="H24" s="6">
        <f t="shared" si="9"/>
        <v>146122.73012681163</v>
      </c>
      <c r="I24" s="6">
        <f t="shared" si="9"/>
        <v>143200.27552427541</v>
      </c>
      <c r="J24" s="6">
        <f t="shared" si="9"/>
        <v>134432.91171666668</v>
      </c>
      <c r="K24" s="6">
        <f t="shared" si="9"/>
        <v>140277.82092173916</v>
      </c>
      <c r="L24" s="6">
        <f t="shared" si="9"/>
        <v>137355.36631920293</v>
      </c>
      <c r="M24" s="6">
        <f t="shared" si="9"/>
        <v>128588.00251159423</v>
      </c>
      <c r="N24" s="6">
        <f t="shared" si="9"/>
        <v>128588.00251159423</v>
      </c>
      <c r="O24" s="6">
        <f t="shared" si="9"/>
        <v>122743.09330652175</v>
      </c>
      <c r="P24" s="6">
        <f t="shared" si="9"/>
        <v>137355.36631920293</v>
      </c>
      <c r="Q24" s="116" t="s">
        <v>1236</v>
      </c>
      <c r="R24" s="6">
        <f>R4*(1+2%)+28757</f>
        <v>1613194.9406000003</v>
      </c>
      <c r="S24" s="127" t="s">
        <v>1241</v>
      </c>
    </row>
    <row r="25" spans="1:20" x14ac:dyDescent="0.25">
      <c r="A25" s="7" t="s">
        <v>1215</v>
      </c>
      <c r="B25" s="6">
        <f t="shared" si="8"/>
        <v>49805.549999999988</v>
      </c>
      <c r="C25" s="6">
        <f t="shared" si="8"/>
        <v>54836.460000000021</v>
      </c>
      <c r="D25" s="6">
        <f t="shared" si="8"/>
        <v>52738.100000000006</v>
      </c>
      <c r="E25" s="6">
        <f t="shared" ref="E25:P25" si="10">E26-E24</f>
        <v>54683.151855072458</v>
      </c>
      <c r="F25" s="6">
        <f t="shared" si="10"/>
        <v>62139.945289855037</v>
      </c>
      <c r="G25" s="6">
        <f t="shared" si="10"/>
        <v>50954.755137681132</v>
      </c>
      <c r="H25" s="6">
        <f t="shared" si="10"/>
        <v>62139.945289855037</v>
      </c>
      <c r="I25" s="6">
        <f t="shared" si="10"/>
        <v>60897.146384057938</v>
      </c>
      <c r="J25" s="6">
        <f t="shared" si="10"/>
        <v>57168.74966666667</v>
      </c>
      <c r="K25" s="6">
        <f t="shared" si="10"/>
        <v>59654.347478260839</v>
      </c>
      <c r="L25" s="6">
        <f t="shared" si="10"/>
        <v>58411.548572463769</v>
      </c>
      <c r="M25" s="6">
        <f t="shared" si="10"/>
        <v>54683.151855072458</v>
      </c>
      <c r="N25" s="6">
        <f t="shared" si="10"/>
        <v>54683.151855072458</v>
      </c>
      <c r="O25" s="6">
        <f t="shared" si="10"/>
        <v>52197.554043478231</v>
      </c>
      <c r="P25" s="6">
        <f t="shared" si="10"/>
        <v>58411.548572463769</v>
      </c>
      <c r="Q25" s="131"/>
      <c r="R25" s="6">
        <f>R26-R24</f>
        <v>686024.99599999981</v>
      </c>
      <c r="S25" s="34" t="s">
        <v>1237</v>
      </c>
    </row>
    <row r="26" spans="1:20" x14ac:dyDescent="0.25">
      <c r="A26" s="7" t="s">
        <v>1216</v>
      </c>
      <c r="B26" s="6">
        <f t="shared" si="8"/>
        <v>163689.97</v>
      </c>
      <c r="C26" s="6">
        <f t="shared" si="8"/>
        <v>186772.95</v>
      </c>
      <c r="D26" s="6">
        <f t="shared" si="8"/>
        <v>184467.92</v>
      </c>
      <c r="E26" s="6">
        <f t="shared" ref="E26:P26" si="11">$R$26*E43/12</f>
        <v>183271.15436666668</v>
      </c>
      <c r="F26" s="6">
        <f t="shared" si="11"/>
        <v>208262.67541666667</v>
      </c>
      <c r="G26" s="6">
        <f t="shared" si="11"/>
        <v>170775.39384166666</v>
      </c>
      <c r="H26" s="6">
        <f t="shared" si="11"/>
        <v>208262.67541666667</v>
      </c>
      <c r="I26" s="6">
        <f t="shared" si="11"/>
        <v>204097.42190833334</v>
      </c>
      <c r="J26" s="6">
        <f t="shared" si="11"/>
        <v>191601.66138333335</v>
      </c>
      <c r="K26" s="6">
        <f t="shared" si="11"/>
        <v>199932.1684</v>
      </c>
      <c r="L26" s="6">
        <f t="shared" si="11"/>
        <v>195766.9148916667</v>
      </c>
      <c r="M26" s="6">
        <f t="shared" si="11"/>
        <v>183271.15436666668</v>
      </c>
      <c r="N26" s="6">
        <f t="shared" si="11"/>
        <v>183271.15436666668</v>
      </c>
      <c r="O26" s="6">
        <f t="shared" si="11"/>
        <v>174940.64734999998</v>
      </c>
      <c r="P26" s="6">
        <f t="shared" si="11"/>
        <v>195766.9148916667</v>
      </c>
      <c r="Q26" s="122" t="s">
        <v>1238</v>
      </c>
      <c r="R26" s="6">
        <f>R6*(1+2%)+34046.287</f>
        <v>2299219.9366000001</v>
      </c>
      <c r="S26" s="127" t="s">
        <v>1241</v>
      </c>
    </row>
    <row r="27" spans="1:20" x14ac:dyDescent="0.25">
      <c r="A27" t="s">
        <v>1217</v>
      </c>
      <c r="B27" s="2">
        <f t="shared" si="8"/>
        <v>6.75</v>
      </c>
      <c r="C27" s="2">
        <f t="shared" si="8"/>
        <v>7.25</v>
      </c>
      <c r="D27" s="2">
        <f t="shared" si="8"/>
        <v>7.25</v>
      </c>
      <c r="E27" s="237">
        <v>6.75</v>
      </c>
      <c r="F27" s="237">
        <v>6.75</v>
      </c>
      <c r="G27" s="237">
        <v>6.75</v>
      </c>
      <c r="H27" s="237">
        <v>6.75</v>
      </c>
      <c r="I27" s="237">
        <v>6.75</v>
      </c>
      <c r="J27" s="237">
        <v>6.75</v>
      </c>
      <c r="K27" s="237">
        <v>6.75</v>
      </c>
      <c r="L27" s="237">
        <v>6.75</v>
      </c>
      <c r="M27" s="237">
        <v>6.75</v>
      </c>
      <c r="N27" s="237">
        <v>6.75</v>
      </c>
      <c r="O27" s="237">
        <v>6.75</v>
      </c>
      <c r="P27" s="237">
        <v>6.75</v>
      </c>
      <c r="Q27" s="132"/>
      <c r="R27" s="237">
        <f>AVERAGE(E27:P27)</f>
        <v>6.75</v>
      </c>
    </row>
    <row r="28" spans="1:20" x14ac:dyDescent="0.25">
      <c r="A28" t="s">
        <v>1218</v>
      </c>
      <c r="B28" s="3">
        <f t="shared" si="8"/>
        <v>0.72614190773417464</v>
      </c>
      <c r="C28" s="3">
        <f t="shared" si="8"/>
        <v>0.62460476248837604</v>
      </c>
      <c r="D28" s="3">
        <f t="shared" si="8"/>
        <v>0.66478782101121825</v>
      </c>
      <c r="E28" s="3">
        <f>$T$16</f>
        <v>0.69144440862276646</v>
      </c>
      <c r="F28" s="3">
        <f t="shared" ref="F28:P28" si="12">$T$16</f>
        <v>0.69144440862276646</v>
      </c>
      <c r="G28" s="3">
        <f t="shared" si="12"/>
        <v>0.69144440862276646</v>
      </c>
      <c r="H28" s="3">
        <f t="shared" si="12"/>
        <v>0.69144440862276646</v>
      </c>
      <c r="I28" s="3">
        <f t="shared" si="12"/>
        <v>0.69144440862276646</v>
      </c>
      <c r="J28" s="3">
        <f t="shared" si="12"/>
        <v>0.69144440862276646</v>
      </c>
      <c r="K28" s="3">
        <f t="shared" si="12"/>
        <v>0.69144440862276646</v>
      </c>
      <c r="L28" s="3">
        <f t="shared" si="12"/>
        <v>0.69144440862276646</v>
      </c>
      <c r="M28" s="3">
        <f t="shared" si="12"/>
        <v>0.69144440862276646</v>
      </c>
      <c r="N28" s="3">
        <f t="shared" si="12"/>
        <v>0.69144440862276646</v>
      </c>
      <c r="O28" s="3">
        <f t="shared" si="12"/>
        <v>0.69144440862276646</v>
      </c>
      <c r="P28" s="3">
        <f t="shared" si="12"/>
        <v>0.69144440862276646</v>
      </c>
      <c r="Q28" s="122"/>
      <c r="R28" s="3">
        <f>R34/R24</f>
        <v>0.69144440862276646</v>
      </c>
      <c r="S28" s="34" t="s">
        <v>1199</v>
      </c>
    </row>
    <row r="29" spans="1:20" x14ac:dyDescent="0.25">
      <c r="A29" t="s">
        <v>1219</v>
      </c>
      <c r="B29" s="3">
        <f t="shared" si="8"/>
        <v>0.66962577463756567</v>
      </c>
      <c r="C29" s="3">
        <f t="shared" si="8"/>
        <v>0.51671260325702961</v>
      </c>
      <c r="D29" s="3">
        <f t="shared" si="8"/>
        <v>0.55753563363109393</v>
      </c>
      <c r="E29" s="3">
        <f>$U$16</f>
        <v>0.61632010485319411</v>
      </c>
      <c r="F29" s="3">
        <f t="shared" ref="F29:P29" si="13">$U$16</f>
        <v>0.61632010485319411</v>
      </c>
      <c r="G29" s="3">
        <f t="shared" si="13"/>
        <v>0.61632010485319411</v>
      </c>
      <c r="H29" s="3">
        <f t="shared" si="13"/>
        <v>0.61632010485319411</v>
      </c>
      <c r="I29" s="3">
        <f t="shared" si="13"/>
        <v>0.61632010485319411</v>
      </c>
      <c r="J29" s="3">
        <f t="shared" si="13"/>
        <v>0.61632010485319411</v>
      </c>
      <c r="K29" s="3">
        <f t="shared" si="13"/>
        <v>0.61632010485319411</v>
      </c>
      <c r="L29" s="3">
        <f t="shared" si="13"/>
        <v>0.61632010485319411</v>
      </c>
      <c r="M29" s="3">
        <f t="shared" si="13"/>
        <v>0.61632010485319411</v>
      </c>
      <c r="N29" s="3">
        <f t="shared" si="13"/>
        <v>0.61632010485319411</v>
      </c>
      <c r="O29" s="3">
        <f t="shared" si="13"/>
        <v>0.61632010485319411</v>
      </c>
      <c r="P29" s="3">
        <f t="shared" si="13"/>
        <v>0.61632010485319411</v>
      </c>
      <c r="Q29" s="122"/>
      <c r="R29" s="3">
        <f>R35/R25</f>
        <v>0.61632010485319411</v>
      </c>
      <c r="S29" s="34" t="s">
        <v>1199</v>
      </c>
    </row>
    <row r="30" spans="1:20" x14ac:dyDescent="0.25">
      <c r="A30" t="s">
        <v>1220</v>
      </c>
      <c r="B30" s="3">
        <f t="shared" si="8"/>
        <v>0.35918987583661965</v>
      </c>
      <c r="C30" s="3">
        <f t="shared" si="8"/>
        <v>0.28239367638622193</v>
      </c>
      <c r="D30" s="3">
        <f t="shared" si="8"/>
        <v>0.33995526159778888</v>
      </c>
      <c r="E30" s="3">
        <f>E37/E26</f>
        <v>0.38242552303324223</v>
      </c>
      <c r="F30" s="3">
        <f t="shared" ref="F30:P30" si="14">F37/F26</f>
        <v>0.33653446026925321</v>
      </c>
      <c r="G30" s="3">
        <f t="shared" si="14"/>
        <v>0.41040787837713805</v>
      </c>
      <c r="H30" s="3">
        <f t="shared" si="14"/>
        <v>0.33653446026925321</v>
      </c>
      <c r="I30" s="3">
        <f t="shared" si="14"/>
        <v>0.34340251047882975</v>
      </c>
      <c r="J30" s="3">
        <f t="shared" si="14"/>
        <v>0.36579832637962301</v>
      </c>
      <c r="K30" s="3">
        <f t="shared" si="14"/>
        <v>0.35055672944713873</v>
      </c>
      <c r="L30" s="3">
        <f t="shared" si="14"/>
        <v>0.35801538326516291</v>
      </c>
      <c r="M30" s="3">
        <f t="shared" si="14"/>
        <v>0.38242552303324223</v>
      </c>
      <c r="N30" s="3">
        <f t="shared" si="14"/>
        <v>0.38242552303324223</v>
      </c>
      <c r="O30" s="3">
        <f t="shared" si="14"/>
        <v>0.40063626222530146</v>
      </c>
      <c r="P30" s="3">
        <f t="shared" si="14"/>
        <v>0.35801538326516291</v>
      </c>
      <c r="Q30" s="122"/>
      <c r="R30" s="3">
        <f>(R37)/R26</f>
        <v>0.36579832637962295</v>
      </c>
    </row>
    <row r="31" spans="1:20" x14ac:dyDescent="0.25">
      <c r="A31" s="7" t="s">
        <v>1221</v>
      </c>
      <c r="B31" s="6">
        <f t="shared" si="8"/>
        <v>16871.765925925927</v>
      </c>
      <c r="C31" s="6">
        <f t="shared" si="8"/>
        <v>18198.136551724136</v>
      </c>
      <c r="D31" s="6">
        <f t="shared" si="8"/>
        <v>18169.630344827587</v>
      </c>
      <c r="E31" s="6">
        <f>E24/E27</f>
        <v>19050.074446162107</v>
      </c>
      <c r="F31" s="6">
        <f t="shared" ref="F31:P31" si="15">F24/F27</f>
        <v>21647.811870638761</v>
      </c>
      <c r="G31" s="6">
        <f t="shared" si="15"/>
        <v>17751.205733923784</v>
      </c>
      <c r="H31" s="6">
        <f t="shared" si="15"/>
        <v>21647.811870638761</v>
      </c>
      <c r="I31" s="6">
        <f t="shared" si="15"/>
        <v>21214.855633225987</v>
      </c>
      <c r="J31" s="6">
        <f t="shared" si="15"/>
        <v>19915.986920987656</v>
      </c>
      <c r="K31" s="6">
        <f t="shared" si="15"/>
        <v>20781.899395813209</v>
      </c>
      <c r="L31" s="6">
        <f t="shared" si="15"/>
        <v>20348.943158400434</v>
      </c>
      <c r="M31" s="6">
        <f t="shared" si="15"/>
        <v>19050.074446162107</v>
      </c>
      <c r="N31" s="6">
        <f t="shared" si="15"/>
        <v>19050.074446162107</v>
      </c>
      <c r="O31" s="6">
        <f t="shared" si="15"/>
        <v>18184.161971336554</v>
      </c>
      <c r="P31" s="6">
        <f t="shared" si="15"/>
        <v>20348.943158400434</v>
      </c>
      <c r="Q31" s="116"/>
      <c r="R31" s="6">
        <f>R24/R27/12</f>
        <v>19915.98692098766</v>
      </c>
      <c r="S31" s="34" t="s">
        <v>1242</v>
      </c>
    </row>
    <row r="32" spans="1:20" x14ac:dyDescent="0.25">
      <c r="A32" s="7" t="s">
        <v>1222</v>
      </c>
      <c r="B32" s="6">
        <f t="shared" si="8"/>
        <v>12251.296296296296</v>
      </c>
      <c r="C32" s="6">
        <f t="shared" si="8"/>
        <v>11366.642758620688</v>
      </c>
      <c r="D32" s="6">
        <f t="shared" si="8"/>
        <v>12078.948965517242</v>
      </c>
      <c r="E32" s="6">
        <f>E34/E27</f>
        <v>13172.067459646232</v>
      </c>
      <c r="F32" s="6">
        <f t="shared" ref="F32:P32" si="16">F34/F27</f>
        <v>14968.25847687072</v>
      </c>
      <c r="G32" s="6">
        <f t="shared" si="16"/>
        <v>12273.971951033991</v>
      </c>
      <c r="H32" s="6">
        <f t="shared" si="16"/>
        <v>14968.25847687072</v>
      </c>
      <c r="I32" s="6">
        <f t="shared" si="16"/>
        <v>14668.893307333308</v>
      </c>
      <c r="J32" s="6">
        <f t="shared" si="16"/>
        <v>13770.797798721062</v>
      </c>
      <c r="K32" s="6">
        <f t="shared" si="16"/>
        <v>14369.528137795893</v>
      </c>
      <c r="L32" s="6">
        <f t="shared" si="16"/>
        <v>14070.162968258479</v>
      </c>
      <c r="M32" s="6">
        <f t="shared" si="16"/>
        <v>13172.067459646232</v>
      </c>
      <c r="N32" s="6">
        <f t="shared" si="16"/>
        <v>13172.067459646232</v>
      </c>
      <c r="O32" s="6">
        <f t="shared" si="16"/>
        <v>12573.337120571405</v>
      </c>
      <c r="P32" s="6">
        <f t="shared" si="16"/>
        <v>14070.162968258479</v>
      </c>
      <c r="Q32" s="116"/>
      <c r="R32" s="6">
        <f>R34/R27/12</f>
        <v>13770.797798721062</v>
      </c>
    </row>
    <row r="33" spans="1:20" x14ac:dyDescent="0.25">
      <c r="A33" s="7"/>
      <c r="B33" s="6"/>
      <c r="C33" s="6"/>
      <c r="D33" s="6"/>
      <c r="E33" s="6"/>
      <c r="F33" s="6"/>
      <c r="G33" s="6"/>
      <c r="H33" s="6"/>
      <c r="I33" s="6"/>
      <c r="J33" s="6"/>
      <c r="K33" s="6"/>
      <c r="L33" s="6"/>
      <c r="M33" s="6"/>
      <c r="N33" s="6"/>
      <c r="O33" s="6"/>
      <c r="P33" s="6"/>
      <c r="Q33" s="116"/>
      <c r="R33" s="6"/>
      <c r="T33">
        <f>S34/R28</f>
        <v>28756.788951171609</v>
      </c>
    </row>
    <row r="34" spans="1:20" x14ac:dyDescent="0.25">
      <c r="A34" s="7" t="s">
        <v>1223</v>
      </c>
      <c r="B34" s="6">
        <f t="shared" ref="B34:D37" si="17">N14</f>
        <v>82696.25</v>
      </c>
      <c r="C34" s="6">
        <f t="shared" si="17"/>
        <v>82408.159999999989</v>
      </c>
      <c r="D34" s="6">
        <f t="shared" si="17"/>
        <v>87572.38</v>
      </c>
      <c r="E34" s="6">
        <f>E24*E28</f>
        <v>88911.455352612073</v>
      </c>
      <c r="F34" s="6">
        <f t="shared" ref="F34:P35" si="18">F24*F28</f>
        <v>101035.74471887737</v>
      </c>
      <c r="G34" s="6">
        <f t="shared" si="18"/>
        <v>82849.310669479441</v>
      </c>
      <c r="H34" s="6">
        <f t="shared" si="18"/>
        <v>101035.74471887737</v>
      </c>
      <c r="I34" s="6">
        <f t="shared" si="18"/>
        <v>99015.029824499827</v>
      </c>
      <c r="J34" s="6">
        <f t="shared" si="18"/>
        <v>92952.885141367165</v>
      </c>
      <c r="K34" s="6">
        <f t="shared" si="18"/>
        <v>96994.314930122273</v>
      </c>
      <c r="L34" s="6">
        <f t="shared" si="18"/>
        <v>94973.600035744734</v>
      </c>
      <c r="M34" s="6">
        <f t="shared" si="18"/>
        <v>88911.455352612073</v>
      </c>
      <c r="N34" s="6">
        <f t="shared" si="18"/>
        <v>88911.455352612073</v>
      </c>
      <c r="O34" s="6">
        <f t="shared" si="18"/>
        <v>84870.02556385698</v>
      </c>
      <c r="P34" s="6">
        <f t="shared" si="18"/>
        <v>94973.600035744734</v>
      </c>
      <c r="R34" s="6">
        <f>SUM(E34:P34)</f>
        <v>1115434.621696406</v>
      </c>
      <c r="S34" s="34">
        <f>95000*R27/'Service - Group '!R27</f>
        <v>19883.720930232557</v>
      </c>
      <c r="T34" s="7" t="s">
        <v>1334</v>
      </c>
    </row>
    <row r="35" spans="1:20" x14ac:dyDescent="0.25">
      <c r="A35" s="7" t="s">
        <v>1224</v>
      </c>
      <c r="B35" s="6">
        <f t="shared" si="17"/>
        <v>33351.08</v>
      </c>
      <c r="C35" s="6">
        <f t="shared" si="17"/>
        <v>28334.689999999988</v>
      </c>
      <c r="D35" s="6">
        <f t="shared" si="17"/>
        <v>29403.369999999995</v>
      </c>
      <c r="E35" s="6">
        <f>E25*E29</f>
        <v>33702.32588502139</v>
      </c>
      <c r="F35" s="6">
        <f t="shared" si="18"/>
        <v>38298.097596615204</v>
      </c>
      <c r="G35" s="6">
        <f t="shared" si="18"/>
        <v>31404.440029224465</v>
      </c>
      <c r="H35" s="6">
        <f t="shared" si="18"/>
        <v>38298.097596615204</v>
      </c>
      <c r="I35" s="6">
        <f t="shared" si="18"/>
        <v>37532.135644682901</v>
      </c>
      <c r="J35" s="6">
        <f t="shared" si="18"/>
        <v>35234.249788886009</v>
      </c>
      <c r="K35" s="6">
        <f t="shared" si="18"/>
        <v>36766.173692750599</v>
      </c>
      <c r="L35" s="6">
        <f t="shared" si="18"/>
        <v>36000.211740818311</v>
      </c>
      <c r="M35" s="6">
        <f t="shared" si="18"/>
        <v>33702.32588502139</v>
      </c>
      <c r="N35" s="6">
        <f t="shared" si="18"/>
        <v>33702.32588502139</v>
      </c>
      <c r="O35" s="6">
        <f t="shared" si="18"/>
        <v>32170.40198115677</v>
      </c>
      <c r="P35" s="6">
        <f t="shared" si="18"/>
        <v>36000.211740818311</v>
      </c>
      <c r="R35" s="6">
        <f>SUM(E35:P35)</f>
        <v>422810.99746663193</v>
      </c>
    </row>
    <row r="36" spans="1:20" x14ac:dyDescent="0.25">
      <c r="A36" s="7" t="s">
        <v>1225</v>
      </c>
      <c r="B36" s="6">
        <f t="shared" si="17"/>
        <v>116047.33</v>
      </c>
      <c r="C36" s="6">
        <f t="shared" si="17"/>
        <v>110742.84999999998</v>
      </c>
      <c r="D36" s="6">
        <f t="shared" si="17"/>
        <v>116975.75</v>
      </c>
      <c r="E36" s="6">
        <f>E34+E35</f>
        <v>122613.78123763346</v>
      </c>
      <c r="F36" s="6">
        <f t="shared" ref="F36:P36" si="19">F34+F35</f>
        <v>139333.84231549257</v>
      </c>
      <c r="G36" s="6">
        <f t="shared" si="19"/>
        <v>114253.75069870391</v>
      </c>
      <c r="H36" s="6">
        <f t="shared" si="19"/>
        <v>139333.84231549257</v>
      </c>
      <c r="I36" s="6">
        <f t="shared" si="19"/>
        <v>136547.16546918271</v>
      </c>
      <c r="J36" s="6">
        <f t="shared" si="19"/>
        <v>128187.13493025317</v>
      </c>
      <c r="K36" s="6">
        <f t="shared" si="19"/>
        <v>133760.48862287286</v>
      </c>
      <c r="L36" s="6">
        <f t="shared" si="19"/>
        <v>130973.81177656304</v>
      </c>
      <c r="M36" s="6">
        <f t="shared" si="19"/>
        <v>122613.78123763346</v>
      </c>
      <c r="N36" s="6">
        <f t="shared" si="19"/>
        <v>122613.78123763346</v>
      </c>
      <c r="O36" s="6">
        <f t="shared" si="19"/>
        <v>117040.42754501375</v>
      </c>
      <c r="P36" s="6">
        <f t="shared" si="19"/>
        <v>130973.81177656304</v>
      </c>
      <c r="R36" s="6">
        <f>SUM(E36:P36)</f>
        <v>1538245.6191630382</v>
      </c>
    </row>
    <row r="37" spans="1:20" x14ac:dyDescent="0.25">
      <c r="A37" s="7" t="s">
        <v>1226</v>
      </c>
      <c r="B37" s="6">
        <f t="shared" si="17"/>
        <v>58795.78</v>
      </c>
      <c r="C37" s="6">
        <f t="shared" si="17"/>
        <v>52743.500000000015</v>
      </c>
      <c r="D37" s="6">
        <f t="shared" si="17"/>
        <v>62710.84</v>
      </c>
      <c r="E37" s="6">
        <f>E44</f>
        <v>70087.56706557858</v>
      </c>
      <c r="F37" s="6">
        <f t="shared" ref="F37:P37" si="20">F44</f>
        <v>70087.56706557858</v>
      </c>
      <c r="G37" s="6">
        <f t="shared" si="20"/>
        <v>70087.56706557858</v>
      </c>
      <c r="H37" s="6">
        <f t="shared" si="20"/>
        <v>70087.56706557858</v>
      </c>
      <c r="I37" s="6">
        <f t="shared" si="20"/>
        <v>70087.56706557858</v>
      </c>
      <c r="J37" s="6">
        <f t="shared" si="20"/>
        <v>70087.56706557858</v>
      </c>
      <c r="K37" s="6">
        <f t="shared" si="20"/>
        <v>70087.56706557858</v>
      </c>
      <c r="L37" s="6">
        <f t="shared" si="20"/>
        <v>70087.56706557858</v>
      </c>
      <c r="M37" s="6">
        <f t="shared" si="20"/>
        <v>70087.56706557858</v>
      </c>
      <c r="N37" s="6">
        <f t="shared" si="20"/>
        <v>70087.56706557858</v>
      </c>
      <c r="O37" s="6">
        <f t="shared" si="20"/>
        <v>70087.56706557858</v>
      </c>
      <c r="P37" s="6">
        <f t="shared" si="20"/>
        <v>70087.56706557858</v>
      </c>
      <c r="Q37" s="131"/>
      <c r="R37" s="6">
        <f>SUM(E37:P37)</f>
        <v>841050.80478694278</v>
      </c>
    </row>
    <row r="38" spans="1:20" ht="15.75" thickBot="1" x14ac:dyDescent="0.3">
      <c r="A38" s="9" t="s">
        <v>1078</v>
      </c>
      <c r="B38" s="10">
        <f>B36-B37</f>
        <v>57251.55</v>
      </c>
      <c r="C38" s="10">
        <f>C36-C37</f>
        <v>57999.349999999962</v>
      </c>
      <c r="D38" s="10">
        <f>D36-D37</f>
        <v>54264.91</v>
      </c>
      <c r="E38" s="10">
        <f t="shared" ref="E38:P38" si="21">E36-E37</f>
        <v>52526.214172054883</v>
      </c>
      <c r="F38" s="10">
        <f t="shared" si="21"/>
        <v>69246.27524991399</v>
      </c>
      <c r="G38" s="10">
        <f t="shared" si="21"/>
        <v>44166.183633125329</v>
      </c>
      <c r="H38" s="10">
        <f t="shared" si="21"/>
        <v>69246.27524991399</v>
      </c>
      <c r="I38" s="10">
        <f t="shared" si="21"/>
        <v>66459.598403604134</v>
      </c>
      <c r="J38" s="10">
        <f t="shared" si="21"/>
        <v>58099.567864674595</v>
      </c>
      <c r="K38" s="10">
        <f t="shared" si="21"/>
        <v>63672.921557294278</v>
      </c>
      <c r="L38" s="10">
        <f t="shared" si="21"/>
        <v>60886.244710984465</v>
      </c>
      <c r="M38" s="10">
        <f t="shared" si="21"/>
        <v>52526.214172054883</v>
      </c>
      <c r="N38" s="10">
        <f t="shared" si="21"/>
        <v>52526.214172054883</v>
      </c>
      <c r="O38" s="10">
        <f t="shared" si="21"/>
        <v>46952.86047943517</v>
      </c>
      <c r="P38" s="10">
        <f t="shared" si="21"/>
        <v>60886.244710984465</v>
      </c>
      <c r="Q38" s="131"/>
      <c r="R38" s="10">
        <f>R36-R37</f>
        <v>697194.81437609543</v>
      </c>
    </row>
    <row r="39" spans="1:20" ht="15.75" thickTop="1" x14ac:dyDescent="0.25"/>
    <row r="40" spans="1:20" x14ac:dyDescent="0.25">
      <c r="R40" t="s">
        <v>1205</v>
      </c>
    </row>
    <row r="41" spans="1:20" x14ac:dyDescent="0.25">
      <c r="A41" t="s">
        <v>1206</v>
      </c>
      <c r="B41" s="121">
        <f t="shared" ref="B41:O41" si="22">B4/$R$41</f>
        <v>0.74393771330269787</v>
      </c>
      <c r="C41" s="121">
        <f t="shared" si="22"/>
        <v>0.82232436841710899</v>
      </c>
      <c r="D41" s="121">
        <f t="shared" si="22"/>
        <v>1.1133711413979253</v>
      </c>
      <c r="E41" s="121">
        <f t="shared" si="22"/>
        <v>0.81210687059963704</v>
      </c>
      <c r="F41" s="121">
        <f t="shared" si="22"/>
        <v>1.0511154218948648</v>
      </c>
      <c r="G41" s="121">
        <f t="shared" si="22"/>
        <v>1.0835970732623592</v>
      </c>
      <c r="H41" s="121">
        <f t="shared" si="22"/>
        <v>0.92984993091120371</v>
      </c>
      <c r="I41" s="121">
        <f t="shared" si="22"/>
        <v>1.1130515524843898</v>
      </c>
      <c r="J41" s="121">
        <f t="shared" si="22"/>
        <v>0.88405902743629339</v>
      </c>
      <c r="K41" s="121">
        <f t="shared" si="22"/>
        <v>0.97776092095683043</v>
      </c>
      <c r="L41" s="121">
        <f t="shared" si="22"/>
        <v>1.1651732828998629</v>
      </c>
      <c r="M41" s="121">
        <f t="shared" si="22"/>
        <v>1.0666548437738159</v>
      </c>
      <c r="N41" s="121">
        <f t="shared" si="22"/>
        <v>0.87977273522756994</v>
      </c>
      <c r="O41" s="121">
        <f t="shared" si="22"/>
        <v>1.019227447298102</v>
      </c>
      <c r="P41" s="121">
        <f>P4/$R$41</f>
        <v>1.0176308932550688</v>
      </c>
      <c r="R41" s="7">
        <f>AVERAGE(E4:P4)</f>
        <v>129447.54416666669</v>
      </c>
    </row>
    <row r="42" spans="1:20" x14ac:dyDescent="0.25">
      <c r="E42" s="121">
        <v>0.83449968963120247</v>
      </c>
      <c r="F42" s="121">
        <v>1.0638387585162097</v>
      </c>
      <c r="G42" s="121">
        <v>1.1017122859696349</v>
      </c>
      <c r="H42" s="121">
        <v>0.92859357205110848</v>
      </c>
      <c r="I42" s="121">
        <v>1.104015808582006</v>
      </c>
      <c r="J42" s="121">
        <v>0.87011409613710322</v>
      </c>
      <c r="K42" s="121">
        <v>0.94288365685224496</v>
      </c>
      <c r="L42" s="121">
        <v>1.176953241363337</v>
      </c>
      <c r="M42" s="121">
        <v>1.054568445824436</v>
      </c>
      <c r="N42" s="121">
        <v>0.87456946050677575</v>
      </c>
      <c r="O42" s="121">
        <v>1.0102416777485261</v>
      </c>
      <c r="P42" s="121">
        <v>1.0380093068174161</v>
      </c>
      <c r="R42" s="15">
        <v>12080.628100000064</v>
      </c>
    </row>
    <row r="43" spans="1:20" x14ac:dyDescent="0.25">
      <c r="A43" s="137" t="s">
        <v>1345</v>
      </c>
      <c r="B43" s="137"/>
      <c r="C43" s="137"/>
      <c r="D43" s="137"/>
      <c r="E43" s="282">
        <v>0.95652173913043481</v>
      </c>
      <c r="F43" s="282">
        <v>1.0869565217391304</v>
      </c>
      <c r="G43" s="282">
        <v>0.89130434782608692</v>
      </c>
      <c r="H43" s="282">
        <v>1.0869565217391304</v>
      </c>
      <c r="I43" s="282">
        <v>1.0652173913043479</v>
      </c>
      <c r="J43" s="282">
        <v>1</v>
      </c>
      <c r="K43" s="282">
        <v>1.0434782608695652</v>
      </c>
      <c r="L43" s="282">
        <v>1.0217391304347827</v>
      </c>
      <c r="M43" s="282">
        <v>0.95652173913043481</v>
      </c>
      <c r="N43" s="282">
        <v>0.95652173913043481</v>
      </c>
      <c r="O43" s="282">
        <v>0.91304347826086951</v>
      </c>
      <c r="P43" s="282">
        <v>1.0217391304347827</v>
      </c>
    </row>
    <row r="44" spans="1:20" x14ac:dyDescent="0.25">
      <c r="A44" s="7" t="s">
        <v>1076</v>
      </c>
      <c r="E44" s="7">
        <f>SUMIFS('[18]Summary - Selling Expenses'!Z:Z,'[18]Summary - Selling Expenses'!$E:$E,3,'[18]Summary - Selling Expenses'!$C:$C,240)</f>
        <v>70087.56706557858</v>
      </c>
      <c r="F44" s="7">
        <f>SUMIFS('[18]Summary - Selling Expenses'!AA:AA,'[18]Summary - Selling Expenses'!$E:$E,3,'[18]Summary - Selling Expenses'!$C:$C,240)</f>
        <v>70087.56706557858</v>
      </c>
      <c r="G44" s="7">
        <f>SUMIFS('[18]Summary - Selling Expenses'!AB:AB,'[18]Summary - Selling Expenses'!$E:$E,3,'[18]Summary - Selling Expenses'!$C:$C,240)</f>
        <v>70087.56706557858</v>
      </c>
      <c r="H44" s="7">
        <f>SUMIFS('[18]Summary - Selling Expenses'!AC:AC,'[18]Summary - Selling Expenses'!$E:$E,3,'[18]Summary - Selling Expenses'!$C:$C,240)</f>
        <v>70087.56706557858</v>
      </c>
      <c r="I44" s="7">
        <f>SUMIFS('[18]Summary - Selling Expenses'!AD:AD,'[18]Summary - Selling Expenses'!$E:$E,3,'[18]Summary - Selling Expenses'!$C:$C,240)</f>
        <v>70087.56706557858</v>
      </c>
      <c r="J44" s="7">
        <f>SUMIFS('[18]Summary - Selling Expenses'!AE:AE,'[18]Summary - Selling Expenses'!$E:$E,3,'[18]Summary - Selling Expenses'!$C:$C,240)</f>
        <v>70087.56706557858</v>
      </c>
      <c r="K44" s="7">
        <f>SUMIFS('[18]Summary - Selling Expenses'!AF:AF,'[18]Summary - Selling Expenses'!$E:$E,3,'[18]Summary - Selling Expenses'!$C:$C,240)</f>
        <v>70087.56706557858</v>
      </c>
      <c r="L44" s="7">
        <f>SUMIFS('[18]Summary - Selling Expenses'!AG:AG,'[18]Summary - Selling Expenses'!$E:$E,3,'[18]Summary - Selling Expenses'!$C:$C,240)</f>
        <v>70087.56706557858</v>
      </c>
      <c r="M44" s="7">
        <f>SUMIFS('[18]Summary - Selling Expenses'!AH:AH,'[18]Summary - Selling Expenses'!$E:$E,3,'[18]Summary - Selling Expenses'!$C:$C,240)</f>
        <v>70087.56706557858</v>
      </c>
      <c r="N44" s="7">
        <f>SUMIFS('[18]Summary - Selling Expenses'!AI:AI,'[18]Summary - Selling Expenses'!$E:$E,3,'[18]Summary - Selling Expenses'!$C:$C,240)</f>
        <v>70087.56706557858</v>
      </c>
      <c r="O44" s="7">
        <f>SUMIFS('[18]Summary - Selling Expenses'!AJ:AJ,'[18]Summary - Selling Expenses'!$E:$E,3,'[18]Summary - Selling Expenses'!$C:$C,240)</f>
        <v>70087.56706557858</v>
      </c>
      <c r="P44" s="7">
        <f>SUMIFS('[18]Summary - Selling Expenses'!AK:AK,'[18]Summary - Selling Expenses'!$E:$E,3,'[18]Summary - Selling Expenses'!$C:$C,240)</f>
        <v>70087.56706557858</v>
      </c>
      <c r="R44" s="6">
        <f>SUM(E44:P44)</f>
        <v>841050.80478694278</v>
      </c>
    </row>
    <row r="45" spans="1:20" x14ac:dyDescent="0.25">
      <c r="R45" s="7">
        <f>R44-SUMIFS('[18]Summary - Selling Expenses'!$AL:$AL,'[18]Summary - Selling Expenses'!$C:$C,240,'[18]Summary - Selling Expenses'!$D:$D,'[18]Summary - Selling Expenses'!$D$11)</f>
        <v>0</v>
      </c>
      <c r="S45" s="34" t="s">
        <v>1093</v>
      </c>
    </row>
    <row r="46" spans="1:20" x14ac:dyDescent="0.25">
      <c r="A46" t="s">
        <v>1319</v>
      </c>
      <c r="E46" s="7">
        <f>E14</f>
        <v>66088.949999999983</v>
      </c>
      <c r="F46" s="7">
        <f t="shared" ref="F46:P46" si="23">F14</f>
        <v>103496.74</v>
      </c>
      <c r="G46" s="7">
        <f t="shared" si="23"/>
        <v>91427.68</v>
      </c>
      <c r="H46" s="7">
        <f t="shared" si="23"/>
        <v>82714.529999999984</v>
      </c>
      <c r="I46" s="7">
        <f t="shared" si="23"/>
        <v>110809.51999999997</v>
      </c>
      <c r="J46" s="7">
        <f t="shared" si="23"/>
        <v>85328.579999999987</v>
      </c>
      <c r="K46" s="7">
        <f t="shared" si="23"/>
        <v>85245.21</v>
      </c>
      <c r="L46" s="7">
        <f t="shared" si="23"/>
        <v>103323.31000000001</v>
      </c>
      <c r="M46" s="7">
        <f t="shared" si="23"/>
        <v>89446.590000000011</v>
      </c>
      <c r="N46" s="7">
        <f t="shared" si="23"/>
        <v>82696.25</v>
      </c>
      <c r="O46" s="7">
        <f t="shared" si="23"/>
        <v>82408.159999999989</v>
      </c>
      <c r="P46" s="7">
        <f t="shared" si="23"/>
        <v>87572.38</v>
      </c>
      <c r="R46" s="7">
        <f>SUM(E46:P46)</f>
        <v>1070557.8999999999</v>
      </c>
    </row>
    <row r="47" spans="1:20" x14ac:dyDescent="0.25">
      <c r="A47" t="s">
        <v>1320</v>
      </c>
      <c r="E47" s="7">
        <f>E34</f>
        <v>88911.455352612073</v>
      </c>
      <c r="F47" s="7">
        <f t="shared" ref="F47:P47" si="24">F34</f>
        <v>101035.74471887737</v>
      </c>
      <c r="G47" s="7">
        <f t="shared" si="24"/>
        <v>82849.310669479441</v>
      </c>
      <c r="H47" s="7">
        <f t="shared" si="24"/>
        <v>101035.74471887737</v>
      </c>
      <c r="I47" s="7">
        <f t="shared" si="24"/>
        <v>99015.029824499827</v>
      </c>
      <c r="J47" s="7">
        <f t="shared" si="24"/>
        <v>92952.885141367165</v>
      </c>
      <c r="K47" s="7">
        <f t="shared" si="24"/>
        <v>96994.314930122273</v>
      </c>
      <c r="L47" s="7">
        <f t="shared" si="24"/>
        <v>94973.600035744734</v>
      </c>
      <c r="M47" s="7">
        <f t="shared" si="24"/>
        <v>88911.455352612073</v>
      </c>
      <c r="N47" s="7">
        <f t="shared" si="24"/>
        <v>88911.455352612073</v>
      </c>
      <c r="O47" s="7">
        <f t="shared" si="24"/>
        <v>84870.02556385698</v>
      </c>
      <c r="P47" s="7">
        <f t="shared" si="24"/>
        <v>94973.600035744734</v>
      </c>
      <c r="R47" s="7">
        <f>SUM(E47:P47)</f>
        <v>1115434.621696406</v>
      </c>
    </row>
  </sheetData>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CC4D6-8C4E-4B8D-BA37-916DAA9627A8}">
  <sheetPr>
    <tabColor theme="9" tint="0.79998168889431442"/>
  </sheetPr>
  <dimension ref="A1:U47"/>
  <sheetViews>
    <sheetView topLeftCell="A21" zoomScale="85" zoomScaleNormal="85" workbookViewId="0">
      <selection activeCell="P7" sqref="P7"/>
    </sheetView>
  </sheetViews>
  <sheetFormatPr defaultRowHeight="15" x14ac:dyDescent="0.25"/>
  <cols>
    <col min="1" max="1" width="25.7109375" customWidth="1"/>
    <col min="2" max="4" width="11.140625" hidden="1" customWidth="1"/>
    <col min="5" max="16" width="11.140625" bestFit="1" customWidth="1"/>
    <col min="17" max="17" width="2.85546875" customWidth="1"/>
    <col min="18" max="18" width="12.42578125" customWidth="1"/>
    <col min="19" max="19" width="10.28515625" bestFit="1" customWidth="1"/>
    <col min="20" max="20" width="10.140625" bestFit="1" customWidth="1"/>
  </cols>
  <sheetData>
    <row r="1" spans="1:21" ht="15.75" x14ac:dyDescent="0.25">
      <c r="A1" s="11" t="s">
        <v>1213</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1"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4" spans="1:21" x14ac:dyDescent="0.25">
      <c r="A4" s="7" t="s">
        <v>1214</v>
      </c>
      <c r="B4" s="6">
        <f>'[3]NW SERVICE 340'!$B$9</f>
        <v>53436.310000000005</v>
      </c>
      <c r="C4" s="6">
        <f>'[4]NW SERVICE 340'!$B$9</f>
        <v>71121.999999999985</v>
      </c>
      <c r="D4" s="6">
        <f>'[5]NW SERVICE 340'!$B$9</f>
        <v>105399.52000000002</v>
      </c>
      <c r="E4" s="6">
        <f>'[6]NW SERVICE 340'!$B$9</f>
        <v>64476.19</v>
      </c>
      <c r="F4" s="6">
        <f>'[7]NW SERVICE 340'!$B$9</f>
        <v>82566.060000000012</v>
      </c>
      <c r="G4" s="6">
        <f>'[8]NW SERVICE 340'!$B$9</f>
        <v>79617.080000000016</v>
      </c>
      <c r="H4" s="6">
        <f>'[9]NW SERVICE 340'!$B$9</f>
        <v>83585.320000000007</v>
      </c>
      <c r="I4" s="6">
        <f>'[10]NW SERVICE 340'!$B$9</f>
        <v>95304.12000000001</v>
      </c>
      <c r="J4" s="6">
        <f>'[11]NW SERVICE 340'!$B$9</f>
        <v>78382.460000000006</v>
      </c>
      <c r="K4" s="6">
        <f>'[12]NW SERVICE 340'!$B$9</f>
        <v>97161.239999999991</v>
      </c>
      <c r="L4" s="6">
        <f>'[13]NW SERVICE 340'!$B$9</f>
        <v>92476.68</v>
      </c>
      <c r="M4" s="6">
        <f>'[14]NW SERVICE 340'!$B$9</f>
        <v>84763.549999999988</v>
      </c>
      <c r="N4" s="6">
        <f>'[15]NW SERVICE 340'!$B$9</f>
        <v>81246.099999999991</v>
      </c>
      <c r="O4" s="6">
        <f>'[16]NW SERVICE 340'!$B$9</f>
        <v>81097.010000000009</v>
      </c>
      <c r="P4" s="6">
        <f>'[17]NW SERVICE 340'!$B$9</f>
        <v>84134.050000000017</v>
      </c>
      <c r="Q4" s="8"/>
      <c r="R4" s="6">
        <f>SUM(E4:P4)</f>
        <v>1004809.86</v>
      </c>
    </row>
    <row r="5" spans="1:21" x14ac:dyDescent="0.25">
      <c r="A5" s="7" t="s">
        <v>1215</v>
      </c>
      <c r="B5" s="6">
        <f t="shared" ref="B5:P5" si="0">B6-B4</f>
        <v>29541.68</v>
      </c>
      <c r="C5" s="6">
        <f t="shared" si="0"/>
        <v>37048.630000000005</v>
      </c>
      <c r="D5" s="6">
        <f t="shared" si="0"/>
        <v>54491.390000000014</v>
      </c>
      <c r="E5" s="6">
        <f t="shared" si="0"/>
        <v>31969.259999999995</v>
      </c>
      <c r="F5" s="6">
        <f t="shared" si="0"/>
        <v>46321.569999999992</v>
      </c>
      <c r="G5" s="6">
        <f t="shared" si="0"/>
        <v>45102.14</v>
      </c>
      <c r="H5" s="6">
        <f t="shared" si="0"/>
        <v>45549.56</v>
      </c>
      <c r="I5" s="6">
        <f t="shared" si="0"/>
        <v>48267.749999999985</v>
      </c>
      <c r="J5" s="6">
        <f t="shared" si="0"/>
        <v>42243.53</v>
      </c>
      <c r="K5" s="6">
        <f t="shared" si="0"/>
        <v>48470.150000000023</v>
      </c>
      <c r="L5" s="6">
        <f t="shared" si="0"/>
        <v>47462.880000000005</v>
      </c>
      <c r="M5" s="6">
        <f t="shared" si="0"/>
        <v>47881.640000000014</v>
      </c>
      <c r="N5" s="6">
        <f t="shared" si="0"/>
        <v>36274.999999999985</v>
      </c>
      <c r="O5" s="6">
        <f t="shared" si="0"/>
        <v>39230.44</v>
      </c>
      <c r="P5" s="6">
        <f t="shared" si="0"/>
        <v>38469.949999999997</v>
      </c>
      <c r="Q5" s="1"/>
      <c r="R5" s="6">
        <f>SUM(E5:P5)</f>
        <v>517243.87</v>
      </c>
    </row>
    <row r="6" spans="1:21" x14ac:dyDescent="0.25">
      <c r="A6" s="7" t="s">
        <v>1216</v>
      </c>
      <c r="B6" s="6">
        <f>'[3]NW SERVICE 340'!$B$12</f>
        <v>82977.990000000005</v>
      </c>
      <c r="C6" s="6">
        <f>'[4]NW SERVICE 340'!$B$12</f>
        <v>108170.62999999999</v>
      </c>
      <c r="D6" s="6">
        <f>'[5]NW SERVICE 340'!$B$12</f>
        <v>159890.91000000003</v>
      </c>
      <c r="E6" s="6">
        <f>'[6]NW SERVICE 340'!$B$12</f>
        <v>96445.45</v>
      </c>
      <c r="F6" s="6">
        <f>'[7]NW SERVICE 340'!$B$12</f>
        <v>128887.63</v>
      </c>
      <c r="G6" s="6">
        <f>'[8]NW SERVICE 340'!$B$12</f>
        <v>124719.22000000002</v>
      </c>
      <c r="H6" s="6">
        <f>'[9]NW SERVICE 340'!$B$12</f>
        <v>129134.88</v>
      </c>
      <c r="I6" s="6">
        <f>'[10]NW SERVICE 340'!$B$12</f>
        <v>143571.87</v>
      </c>
      <c r="J6" s="6">
        <f>'[11]NW SERVICE 340'!$B$12</f>
        <v>120625.99</v>
      </c>
      <c r="K6" s="6">
        <f>'[12]NW SERVICE 340'!$B$12</f>
        <v>145631.39000000001</v>
      </c>
      <c r="L6" s="6">
        <f>'[13]NW SERVICE 340'!$B$12</f>
        <v>139939.56</v>
      </c>
      <c r="M6" s="6">
        <f>'[14]NW SERVICE 340'!$B$12</f>
        <v>132645.19</v>
      </c>
      <c r="N6" s="6">
        <f>'[15]NW SERVICE 340'!$B$12</f>
        <v>117521.09999999998</v>
      </c>
      <c r="O6" s="6">
        <f>'[16]NW SERVICE 340'!$B$12</f>
        <v>120327.45000000001</v>
      </c>
      <c r="P6" s="6">
        <f>'[17]NW SERVICE 340'!$B$12</f>
        <v>122604.00000000001</v>
      </c>
      <c r="Q6" s="3"/>
      <c r="R6" s="6">
        <f>SUM(E6:P6)</f>
        <v>1522053.7299999997</v>
      </c>
    </row>
    <row r="7" spans="1:21" x14ac:dyDescent="0.25">
      <c r="A7" t="s">
        <v>1217</v>
      </c>
      <c r="B7" s="16">
        <f>'[3]NW SERVICE 340'!$B$33</f>
        <v>4.5</v>
      </c>
      <c r="C7" s="16">
        <f>'[4]NW SERVICE 340'!$B$33</f>
        <v>4.5</v>
      </c>
      <c r="D7" s="16">
        <f>'[5]NW SERVICE 340'!$B$33</f>
        <v>4.5</v>
      </c>
      <c r="E7" s="16">
        <f>'[6]NW SERVICE 340'!$B$33</f>
        <v>4.5</v>
      </c>
      <c r="F7" s="16">
        <f>'[7]NW SERVICE 340'!$B$33</f>
        <v>4.5</v>
      </c>
      <c r="G7" s="16">
        <f>'[8]NW SERVICE 340'!$B$33</f>
        <v>4.5</v>
      </c>
      <c r="H7" s="16">
        <f>'[9]NW SERVICE 340'!$B$33</f>
        <v>4.5</v>
      </c>
      <c r="I7" s="16">
        <f>'[10]NW SERVICE 340'!$B$33</f>
        <v>4.5</v>
      </c>
      <c r="J7" s="16">
        <f>'[11]NW SERVICE 340'!$B$33</f>
        <v>4.5</v>
      </c>
      <c r="K7" s="16">
        <f>'[12]NW SERVICE 340'!$B$33</f>
        <v>5.5</v>
      </c>
      <c r="L7" s="16">
        <f>'[13]NW SERVICE 340'!$B$33</f>
        <v>5.5</v>
      </c>
      <c r="M7" s="16">
        <f>'[14]NW SERVICE 340'!$B$33</f>
        <v>4.5</v>
      </c>
      <c r="N7" s="16">
        <f>M7</f>
        <v>4.5</v>
      </c>
      <c r="O7" s="16">
        <f>N7</f>
        <v>4.5</v>
      </c>
      <c r="P7" s="16">
        <f>O7</f>
        <v>4.5</v>
      </c>
      <c r="Q7" s="3"/>
      <c r="R7" s="2">
        <f>AVERAGE(E7:P7)</f>
        <v>4.666666666666667</v>
      </c>
      <c r="T7" s="134">
        <f>AVERAGE(E7:O7)</f>
        <v>4.6818181818181817</v>
      </c>
    </row>
    <row r="8" spans="1:21" x14ac:dyDescent="0.25">
      <c r="A8" t="s">
        <v>1218</v>
      </c>
      <c r="B8" s="3">
        <f>'[3]NW SERVICE 340'!$B$17</f>
        <v>0.92387722879817114</v>
      </c>
      <c r="C8" s="3">
        <f>'[4]NW SERVICE 340'!$B$17</f>
        <v>0.75242808132504724</v>
      </c>
      <c r="D8" s="3">
        <f>'[5]NW SERVICE 340'!$B$17</f>
        <v>0.71516245994289163</v>
      </c>
      <c r="E8" s="3">
        <f>'[6]NW SERVICE 340'!$B$17</f>
        <v>0.7193336020630251</v>
      </c>
      <c r="F8" s="3">
        <f>'[7]NW SERVICE 340'!$B$17</f>
        <v>0.74116083533597221</v>
      </c>
      <c r="G8" s="3">
        <f>'[8]NW SERVICE 340'!$B$17</f>
        <v>0.72326465627727099</v>
      </c>
      <c r="H8" s="3">
        <f>'[9]NW SERVICE 340'!$B$17</f>
        <v>0.769088160456884</v>
      </c>
      <c r="I8" s="3">
        <f>'[10]NW SERVICE 340'!$B$17</f>
        <v>0.75557614927875116</v>
      </c>
      <c r="J8" s="3">
        <f>'[11]NW SERVICE 340'!$B$17</f>
        <v>0.81854231163451607</v>
      </c>
      <c r="K8" s="3">
        <f>'[12]NW SERVICE 340'!$B$17</f>
        <v>0.73391282367330823</v>
      </c>
      <c r="L8" s="3">
        <f>'[13]NW SERVICE 340'!$B$17</f>
        <v>0.75633046082536715</v>
      </c>
      <c r="M8" s="3">
        <f>'[14]NW SERVICE 340'!$B$17</f>
        <v>0.71594335065013215</v>
      </c>
      <c r="N8" s="3">
        <f>'[15]NW SERVICE 340'!$B$17</f>
        <v>0.70933164791910008</v>
      </c>
      <c r="O8" s="3">
        <f>'[16]NW SERVICE 340'!$B$17</f>
        <v>0.76302245915108347</v>
      </c>
      <c r="P8" s="3">
        <f>'[17]NW SERVICE 340'!$B$17</f>
        <v>0.74803221763364547</v>
      </c>
      <c r="Q8" s="1"/>
      <c r="R8" s="3">
        <f>R14/R4</f>
        <v>0.7464030657501709</v>
      </c>
      <c r="T8" s="7"/>
    </row>
    <row r="9" spans="1:21" x14ac:dyDescent="0.25">
      <c r="A9" t="s">
        <v>1219</v>
      </c>
      <c r="B9" s="3">
        <f t="shared" ref="B9:P9" si="1">B15/B5</f>
        <v>0.12948992745165469</v>
      </c>
      <c r="C9" s="3">
        <f t="shared" si="1"/>
        <v>0.52408361658717162</v>
      </c>
      <c r="D9" s="3">
        <f t="shared" si="1"/>
        <v>0.43610797962760695</v>
      </c>
      <c r="E9" s="3">
        <f t="shared" si="1"/>
        <v>0.52756741945231156</v>
      </c>
      <c r="F9" s="3">
        <f t="shared" si="1"/>
        <v>0.50370702029313785</v>
      </c>
      <c r="G9" s="3">
        <f t="shared" si="1"/>
        <v>0.50422352464871956</v>
      </c>
      <c r="H9" s="3">
        <f t="shared" si="1"/>
        <v>0.48969935165125644</v>
      </c>
      <c r="I9" s="3">
        <f t="shared" si="1"/>
        <v>0.46172962278125695</v>
      </c>
      <c r="J9" s="3">
        <f t="shared" si="1"/>
        <v>0.46894423832478033</v>
      </c>
      <c r="K9" s="3">
        <f t="shared" si="1"/>
        <v>0.4919464866520939</v>
      </c>
      <c r="L9" s="3">
        <f t="shared" si="1"/>
        <v>0.66583106629854727</v>
      </c>
      <c r="M9" s="3">
        <f t="shared" si="1"/>
        <v>0.27589677379471522</v>
      </c>
      <c r="N9" s="3">
        <f t="shared" si="1"/>
        <v>0.51428752584424553</v>
      </c>
      <c r="O9" s="3">
        <f t="shared" si="1"/>
        <v>0.49671938423326384</v>
      </c>
      <c r="P9" s="3">
        <f t="shared" si="1"/>
        <v>0.44106555896225508</v>
      </c>
      <c r="R9" s="3">
        <f>R15/R5</f>
        <v>0.48547610627072302</v>
      </c>
    </row>
    <row r="10" spans="1:21" x14ac:dyDescent="0.25">
      <c r="A10" t="s">
        <v>1220</v>
      </c>
      <c r="B10" s="3">
        <f>'[3]NW SERVICE 340'!$B$24</f>
        <v>0.72944415742054003</v>
      </c>
      <c r="C10" s="3">
        <f>'[4]NW SERVICE 340'!$B$24</f>
        <v>0.45114944786768835</v>
      </c>
      <c r="D10" s="3">
        <f>'[5]NW SERVICE 340'!$B$24</f>
        <v>0.3929932602172318</v>
      </c>
      <c r="E10" s="3">
        <f>'[6]NW SERVICE 340'!$B$24</f>
        <v>0.55977477423766486</v>
      </c>
      <c r="F10" s="3">
        <f>'[7]NW SERVICE 340'!$B$24</f>
        <v>0.43742428967000163</v>
      </c>
      <c r="G10" s="3">
        <f>'[8]NW SERVICE 340'!$B$24</f>
        <v>0.45820227227206833</v>
      </c>
      <c r="H10" s="3">
        <f>'[9]NW SERVICE 340'!$B$24</f>
        <v>0.49168760601318556</v>
      </c>
      <c r="I10" s="3">
        <f>'[10]NW SERVICE 340'!$B$24</f>
        <v>0.46011875446074502</v>
      </c>
      <c r="J10" s="3">
        <f>'[11]NW SERVICE 340'!$B$24</f>
        <v>0.48326442750853277</v>
      </c>
      <c r="K10" s="3">
        <f>'[12]NW SERVICE 340'!$B$24</f>
        <v>0.36828516159874591</v>
      </c>
      <c r="L10" s="3">
        <f>'[13]NW SERVICE 340'!$B$24</f>
        <v>0.28764675264092587</v>
      </c>
      <c r="M10" s="3">
        <f>'[14]NW SERVICE 340'!$B$24</f>
        <v>0.30878790252401916</v>
      </c>
      <c r="N10" s="3">
        <f>'[15]NW SERVICE 340'!$B$24</f>
        <v>0.4565984321113401</v>
      </c>
      <c r="O10" s="3">
        <f>'[16]NW SERVICE 340'!$B$24</f>
        <v>0.27651180175429629</v>
      </c>
      <c r="P10" s="3">
        <f>'[17]NW SERVICE 340'!$B$24</f>
        <v>0.36795390036214148</v>
      </c>
      <c r="R10" s="3">
        <f>R17/R6</f>
        <v>0.40882401700759929</v>
      </c>
    </row>
    <row r="11" spans="1:21" x14ac:dyDescent="0.25">
      <c r="A11" s="7" t="s">
        <v>1221</v>
      </c>
      <c r="B11" s="6">
        <f t="shared" ref="B11:P11" si="2">B4/B7</f>
        <v>11874.735555555557</v>
      </c>
      <c r="C11" s="6">
        <f t="shared" si="2"/>
        <v>15804.888888888885</v>
      </c>
      <c r="D11" s="6">
        <f t="shared" si="2"/>
        <v>23422.11555555556</v>
      </c>
      <c r="E11" s="6">
        <f t="shared" si="2"/>
        <v>14328.042222222222</v>
      </c>
      <c r="F11" s="6">
        <f t="shared" si="2"/>
        <v>18348.013333333336</v>
      </c>
      <c r="G11" s="6">
        <f t="shared" si="2"/>
        <v>17692.684444444447</v>
      </c>
      <c r="H11" s="6">
        <f t="shared" si="2"/>
        <v>18574.515555555558</v>
      </c>
      <c r="I11" s="6">
        <f t="shared" si="2"/>
        <v>21178.693333333336</v>
      </c>
      <c r="J11" s="6">
        <f t="shared" si="2"/>
        <v>17418.324444444446</v>
      </c>
      <c r="K11" s="6">
        <f t="shared" si="2"/>
        <v>17665.679999999997</v>
      </c>
      <c r="L11" s="6">
        <f t="shared" si="2"/>
        <v>16813.941818181818</v>
      </c>
      <c r="M11" s="6">
        <f t="shared" si="2"/>
        <v>18836.344444444443</v>
      </c>
      <c r="N11" s="6">
        <f t="shared" si="2"/>
        <v>18054.688888888886</v>
      </c>
      <c r="O11" s="6">
        <f t="shared" si="2"/>
        <v>18021.55777777778</v>
      </c>
      <c r="P11" s="6">
        <f t="shared" si="2"/>
        <v>18696.45555555556</v>
      </c>
      <c r="R11" s="6">
        <f>R4/R7/12</f>
        <v>17943.033214285711</v>
      </c>
      <c r="S11" s="7"/>
    </row>
    <row r="12" spans="1:21" x14ac:dyDescent="0.25">
      <c r="A12" s="7" t="s">
        <v>1222</v>
      </c>
      <c r="B12" s="6">
        <f t="shared" ref="B12:P12" si="3">B14/B7</f>
        <v>10970.797777777778</v>
      </c>
      <c r="C12" s="6">
        <f t="shared" si="3"/>
        <v>11892.042222222222</v>
      </c>
      <c r="D12" s="6">
        <f t="shared" si="3"/>
        <v>16750.617777777781</v>
      </c>
      <c r="E12" s="6">
        <f t="shared" si="3"/>
        <v>10306.642222222223</v>
      </c>
      <c r="F12" s="6">
        <f t="shared" si="3"/>
        <v>13598.828888888891</v>
      </c>
      <c r="G12" s="6">
        <f t="shared" si="3"/>
        <v>12796.493333333334</v>
      </c>
      <c r="H12" s="6">
        <f t="shared" si="3"/>
        <v>14285.44</v>
      </c>
      <c r="I12" s="6">
        <f t="shared" si="3"/>
        <v>16002.11555555556</v>
      </c>
      <c r="J12" s="6">
        <f t="shared" si="3"/>
        <v>14257.635555555555</v>
      </c>
      <c r="K12" s="6">
        <f t="shared" si="3"/>
        <v>12965.069090909086</v>
      </c>
      <c r="L12" s="6">
        <f t="shared" si="3"/>
        <v>12716.896363636364</v>
      </c>
      <c r="M12" s="6">
        <f t="shared" si="3"/>
        <v>13485.755555555555</v>
      </c>
      <c r="N12" s="6">
        <f t="shared" si="3"/>
        <v>12806.76222222222</v>
      </c>
      <c r="O12" s="6">
        <f t="shared" si="3"/>
        <v>13750.853333333336</v>
      </c>
      <c r="P12" s="6">
        <f t="shared" si="3"/>
        <v>13985.551111111117</v>
      </c>
      <c r="R12" s="6">
        <f>R14/R7/12</f>
        <v>13392.735000000001</v>
      </c>
    </row>
    <row r="13" spans="1:21" x14ac:dyDescent="0.25">
      <c r="B13" s="3"/>
      <c r="C13" s="3"/>
      <c r="D13" s="3"/>
      <c r="E13" s="3"/>
      <c r="F13" s="3"/>
      <c r="G13" s="3"/>
      <c r="H13" s="3"/>
      <c r="I13" s="3"/>
      <c r="J13" s="3"/>
      <c r="K13" s="3"/>
      <c r="L13" s="3"/>
      <c r="M13" s="3"/>
      <c r="N13" s="3"/>
      <c r="O13" s="3"/>
      <c r="P13" s="3"/>
      <c r="R13" s="6"/>
      <c r="T13" t="s">
        <v>1234</v>
      </c>
      <c r="U13" t="s">
        <v>1235</v>
      </c>
    </row>
    <row r="14" spans="1:21" x14ac:dyDescent="0.25">
      <c r="A14" s="7" t="s">
        <v>1223</v>
      </c>
      <c r="B14" s="6">
        <f t="shared" ref="B14:P14" si="4">B4*B8</f>
        <v>49368.590000000004</v>
      </c>
      <c r="C14" s="6">
        <f t="shared" si="4"/>
        <v>53514.19</v>
      </c>
      <c r="D14" s="6">
        <f t="shared" si="4"/>
        <v>75377.780000000013</v>
      </c>
      <c r="E14" s="6">
        <f t="shared" si="4"/>
        <v>46379.89</v>
      </c>
      <c r="F14" s="6">
        <f t="shared" si="4"/>
        <v>61194.73000000001</v>
      </c>
      <c r="G14" s="6">
        <f t="shared" si="4"/>
        <v>57584.22</v>
      </c>
      <c r="H14" s="6">
        <f t="shared" si="4"/>
        <v>64284.480000000003</v>
      </c>
      <c r="I14" s="6">
        <f t="shared" si="4"/>
        <v>72009.520000000019</v>
      </c>
      <c r="J14" s="6">
        <f t="shared" si="4"/>
        <v>64159.359999999993</v>
      </c>
      <c r="K14" s="6">
        <f t="shared" si="4"/>
        <v>71307.879999999976</v>
      </c>
      <c r="L14" s="6">
        <f t="shared" si="4"/>
        <v>69942.930000000008</v>
      </c>
      <c r="M14" s="6">
        <f t="shared" si="4"/>
        <v>60685.9</v>
      </c>
      <c r="N14" s="6">
        <f t="shared" si="4"/>
        <v>57630.429999999993</v>
      </c>
      <c r="O14" s="6">
        <f t="shared" si="4"/>
        <v>61878.840000000011</v>
      </c>
      <c r="P14" s="6">
        <f t="shared" si="4"/>
        <v>62934.980000000025</v>
      </c>
      <c r="R14" s="6">
        <f>SUM(E14:P14)</f>
        <v>749993.16</v>
      </c>
      <c r="T14" s="7">
        <f>SUM(E14:O14)</f>
        <v>687058.18</v>
      </c>
      <c r="U14" s="7">
        <f>SUM(E15:O15)</f>
        <v>234141.77000000002</v>
      </c>
    </row>
    <row r="15" spans="1:21" x14ac:dyDescent="0.25">
      <c r="A15" s="7" t="s">
        <v>1224</v>
      </c>
      <c r="B15" s="6">
        <f t="shared" ref="B15:P15" si="5">B16-B14</f>
        <v>3825.3499999999985</v>
      </c>
      <c r="C15" s="6">
        <f t="shared" si="5"/>
        <v>19416.579999999987</v>
      </c>
      <c r="D15" s="6">
        <f t="shared" si="5"/>
        <v>23764.12999999999</v>
      </c>
      <c r="E15" s="6">
        <f t="shared" si="5"/>
        <v>16865.940000000002</v>
      </c>
      <c r="F15" s="6">
        <f t="shared" si="5"/>
        <v>23332.5</v>
      </c>
      <c r="G15" s="6">
        <f t="shared" si="5"/>
        <v>22741.559999999998</v>
      </c>
      <c r="H15" s="6">
        <f t="shared" si="5"/>
        <v>22305.590000000004</v>
      </c>
      <c r="I15" s="6">
        <f t="shared" si="5"/>
        <v>22286.650000000009</v>
      </c>
      <c r="J15" s="6">
        <f t="shared" si="5"/>
        <v>19809.860000000008</v>
      </c>
      <c r="K15" s="6">
        <f t="shared" si="5"/>
        <v>23844.720000000001</v>
      </c>
      <c r="L15" s="6">
        <f t="shared" si="5"/>
        <v>31602.259999999995</v>
      </c>
      <c r="M15" s="6">
        <f t="shared" si="5"/>
        <v>13210.389999999992</v>
      </c>
      <c r="N15" s="6">
        <f t="shared" si="5"/>
        <v>18655.78</v>
      </c>
      <c r="O15" s="6">
        <f t="shared" si="5"/>
        <v>19486.520000000004</v>
      </c>
      <c r="P15" s="6">
        <f t="shared" si="5"/>
        <v>16967.770000000004</v>
      </c>
      <c r="R15" s="6">
        <f>SUM(E15:P15)</f>
        <v>251109.54000000004</v>
      </c>
      <c r="T15" s="7">
        <f>SUM(E4:O4)</f>
        <v>920675.80999999994</v>
      </c>
      <c r="U15" s="7">
        <f>SUM(E5:O5)</f>
        <v>478773.92</v>
      </c>
    </row>
    <row r="16" spans="1:21" x14ac:dyDescent="0.25">
      <c r="A16" s="7" t="s">
        <v>1225</v>
      </c>
      <c r="B16" s="6">
        <f>'[3]NW SERVICE 340'!$B$21</f>
        <v>53193.94</v>
      </c>
      <c r="C16" s="6">
        <f>'[4]NW SERVICE 340'!$B$21</f>
        <v>72930.76999999999</v>
      </c>
      <c r="D16" s="6">
        <f>'[5]NW SERVICE 340'!$B$21</f>
        <v>99141.91</v>
      </c>
      <c r="E16" s="6">
        <f>'[6]NW SERVICE 340'!$B$21</f>
        <v>63245.83</v>
      </c>
      <c r="F16" s="6">
        <f>'[7]NW SERVICE 340'!$B$21</f>
        <v>84527.23000000001</v>
      </c>
      <c r="G16" s="6">
        <f>'[8]NW SERVICE 340'!$B$21</f>
        <v>80325.78</v>
      </c>
      <c r="H16" s="6">
        <f>'[9]NW SERVICE 340'!$B$21</f>
        <v>86590.07</v>
      </c>
      <c r="I16" s="6">
        <f>'[10]NW SERVICE 340'!$B$21</f>
        <v>94296.170000000027</v>
      </c>
      <c r="J16" s="6">
        <f>'[11]NW SERVICE 340'!$B$21</f>
        <v>83969.22</v>
      </c>
      <c r="K16" s="6">
        <f>'[12]NW SERVICE 340'!$B$21</f>
        <v>95152.599999999977</v>
      </c>
      <c r="L16" s="6">
        <f>'[13]NW SERVICE 340'!$B$21</f>
        <v>101545.19</v>
      </c>
      <c r="M16" s="6">
        <f>'[14]NW SERVICE 340'!$B$21</f>
        <v>73896.289999999994</v>
      </c>
      <c r="N16" s="6">
        <f>'[15]NW SERVICE 340'!$B$21</f>
        <v>76286.209999999992</v>
      </c>
      <c r="O16" s="6">
        <f>'[16]NW SERVICE 340'!$B$21</f>
        <v>81365.360000000015</v>
      </c>
      <c r="P16" s="6">
        <f>'[17]NW SERVICE 340'!$B$21</f>
        <v>79902.750000000029</v>
      </c>
      <c r="R16" s="6">
        <f>SUM(E16:P16)</f>
        <v>1001102.7000000001</v>
      </c>
      <c r="T16" s="3">
        <f>T14/T15</f>
        <v>0.74625418908312591</v>
      </c>
      <c r="U16" s="3">
        <f>U14/U15</f>
        <v>0.4890445369288286</v>
      </c>
    </row>
    <row r="17" spans="1:20" x14ac:dyDescent="0.25">
      <c r="A17" s="7" t="s">
        <v>1226</v>
      </c>
      <c r="B17" s="6">
        <f t="shared" ref="B17:M17" si="6">B6*B10</f>
        <v>60527.81</v>
      </c>
      <c r="C17" s="6">
        <f t="shared" si="6"/>
        <v>48801.120000000003</v>
      </c>
      <c r="D17" s="6">
        <f t="shared" si="6"/>
        <v>62836.05</v>
      </c>
      <c r="E17" s="6">
        <f t="shared" si="6"/>
        <v>53987.729999999996</v>
      </c>
      <c r="F17" s="6">
        <f t="shared" si="6"/>
        <v>56378.579999999994</v>
      </c>
      <c r="G17" s="6">
        <f t="shared" si="6"/>
        <v>57146.63</v>
      </c>
      <c r="H17" s="6">
        <f t="shared" si="6"/>
        <v>63494.02</v>
      </c>
      <c r="I17" s="6">
        <f t="shared" si="6"/>
        <v>66060.11</v>
      </c>
      <c r="J17" s="6">
        <f t="shared" si="6"/>
        <v>58294.25</v>
      </c>
      <c r="K17" s="6">
        <f t="shared" si="6"/>
        <v>53633.88</v>
      </c>
      <c r="L17" s="6">
        <f t="shared" si="6"/>
        <v>40253.160000000003</v>
      </c>
      <c r="M17" s="6">
        <f t="shared" si="6"/>
        <v>40959.230000000003</v>
      </c>
      <c r="N17" s="6">
        <f>N6*N10</f>
        <v>53659.95</v>
      </c>
      <c r="O17" s="6">
        <f>O6*O10</f>
        <v>33271.960000000006</v>
      </c>
      <c r="P17" s="6">
        <f>P6*P10</f>
        <v>45112.62</v>
      </c>
      <c r="Q17" s="1"/>
      <c r="R17" s="6">
        <f>SUM(E17:P17)</f>
        <v>622252.11999999988</v>
      </c>
      <c r="T17" s="7">
        <f>T15/T7/11</f>
        <v>17877.200194174759</v>
      </c>
    </row>
    <row r="18" spans="1:20" ht="15.75" thickBot="1" x14ac:dyDescent="0.3">
      <c r="A18" s="9" t="s">
        <v>1078</v>
      </c>
      <c r="B18" s="10">
        <f t="shared" ref="B18:P18" si="7">B16-B17</f>
        <v>-7333.8699999999953</v>
      </c>
      <c r="C18" s="10">
        <f t="shared" si="7"/>
        <v>24129.649999999987</v>
      </c>
      <c r="D18" s="10">
        <f t="shared" si="7"/>
        <v>36305.86</v>
      </c>
      <c r="E18" s="10">
        <f t="shared" si="7"/>
        <v>9258.1000000000058</v>
      </c>
      <c r="F18" s="10">
        <f t="shared" si="7"/>
        <v>28148.650000000016</v>
      </c>
      <c r="G18" s="10">
        <f t="shared" si="7"/>
        <v>23179.15</v>
      </c>
      <c r="H18" s="10">
        <f t="shared" si="7"/>
        <v>23096.05000000001</v>
      </c>
      <c r="I18" s="10">
        <f t="shared" si="7"/>
        <v>28236.060000000027</v>
      </c>
      <c r="J18" s="10">
        <f t="shared" si="7"/>
        <v>25674.97</v>
      </c>
      <c r="K18" s="10">
        <f t="shared" si="7"/>
        <v>41518.719999999979</v>
      </c>
      <c r="L18" s="10">
        <f t="shared" si="7"/>
        <v>61292.03</v>
      </c>
      <c r="M18" s="10">
        <f t="shared" si="7"/>
        <v>32937.05999999999</v>
      </c>
      <c r="N18" s="10">
        <f t="shared" si="7"/>
        <v>22626.259999999995</v>
      </c>
      <c r="O18" s="10">
        <f t="shared" si="7"/>
        <v>48093.400000000009</v>
      </c>
      <c r="P18" s="10">
        <f t="shared" si="7"/>
        <v>34790.130000000026</v>
      </c>
      <c r="Q18" s="1"/>
      <c r="R18" s="10">
        <f>R16-R17</f>
        <v>378850.58000000019</v>
      </c>
      <c r="T18" s="3"/>
    </row>
    <row r="19" spans="1:20" ht="15.75" thickTop="1" x14ac:dyDescent="0.25">
      <c r="Q19" s="131"/>
      <c r="S19" s="34"/>
    </row>
    <row r="20" spans="1:20" x14ac:dyDescent="0.25">
      <c r="Q20" s="34"/>
      <c r="S20" s="34"/>
    </row>
    <row r="21" spans="1:20" ht="15.75" x14ac:dyDescent="0.25">
      <c r="A21" s="11" t="s">
        <v>1213</v>
      </c>
      <c r="B21" s="5">
        <v>45292</v>
      </c>
      <c r="C21" s="5">
        <v>45323</v>
      </c>
      <c r="D21" s="5">
        <v>45352</v>
      </c>
      <c r="E21" s="5">
        <v>45383</v>
      </c>
      <c r="F21" s="5">
        <v>45413</v>
      </c>
      <c r="G21" s="5">
        <v>45444</v>
      </c>
      <c r="H21" s="5">
        <v>45474</v>
      </c>
      <c r="I21" s="5">
        <v>45505</v>
      </c>
      <c r="J21" s="5">
        <v>45536</v>
      </c>
      <c r="K21" s="5">
        <v>45566</v>
      </c>
      <c r="L21" s="5">
        <v>45597</v>
      </c>
      <c r="M21" s="5">
        <v>45627</v>
      </c>
      <c r="N21" s="5">
        <v>45658</v>
      </c>
      <c r="O21" s="5">
        <v>45689</v>
      </c>
      <c r="P21" s="5">
        <v>45717</v>
      </c>
      <c r="Q21" s="34"/>
      <c r="R21" s="5" t="s">
        <v>955</v>
      </c>
      <c r="S21" s="34"/>
    </row>
    <row r="22" spans="1:20" x14ac:dyDescent="0.25">
      <c r="A22" s="4"/>
      <c r="B22" s="5" t="s">
        <v>958</v>
      </c>
      <c r="C22" s="5" t="s">
        <v>959</v>
      </c>
      <c r="D22" s="5" t="s">
        <v>959</v>
      </c>
      <c r="E22" s="5" t="s">
        <v>959</v>
      </c>
      <c r="F22" s="5" t="s">
        <v>959</v>
      </c>
      <c r="G22" s="5" t="s">
        <v>959</v>
      </c>
      <c r="H22" s="5" t="s">
        <v>959</v>
      </c>
      <c r="I22" s="5" t="s">
        <v>959</v>
      </c>
      <c r="J22" s="5" t="s">
        <v>959</v>
      </c>
      <c r="K22" s="5" t="s">
        <v>959</v>
      </c>
      <c r="L22" s="5" t="s">
        <v>959</v>
      </c>
      <c r="M22" s="5" t="s">
        <v>959</v>
      </c>
      <c r="N22" s="5" t="s">
        <v>959</v>
      </c>
      <c r="O22" s="5" t="s">
        <v>959</v>
      </c>
      <c r="P22" s="5" t="s">
        <v>959</v>
      </c>
      <c r="Q22" s="129"/>
      <c r="R22" s="5" t="s">
        <v>961</v>
      </c>
      <c r="S22" s="34"/>
    </row>
    <row r="23" spans="1:20" x14ac:dyDescent="0.25">
      <c r="Q23" s="129"/>
      <c r="S23" s="34"/>
    </row>
    <row r="24" spans="1:20" x14ac:dyDescent="0.25">
      <c r="A24" s="7" t="s">
        <v>1214</v>
      </c>
      <c r="B24" s="6">
        <f>N4</f>
        <v>81246.099999999991</v>
      </c>
      <c r="C24" s="6">
        <f t="shared" ref="C24:D32" si="8">O4</f>
        <v>81097.010000000009</v>
      </c>
      <c r="D24" s="6">
        <f t="shared" si="8"/>
        <v>84134.050000000017</v>
      </c>
      <c r="E24" s="6">
        <f t="shared" ref="E24:P24" si="9">$R$24*E43/12</f>
        <v>83111.301660869576</v>
      </c>
      <c r="F24" s="6">
        <f t="shared" si="9"/>
        <v>94444.660978260872</v>
      </c>
      <c r="G24" s="6">
        <f t="shared" si="9"/>
        <v>77444.622002173914</v>
      </c>
      <c r="H24" s="6">
        <f t="shared" si="9"/>
        <v>94444.660978260872</v>
      </c>
      <c r="I24" s="6">
        <f t="shared" si="9"/>
        <v>92555.767758695656</v>
      </c>
      <c r="J24" s="6">
        <f t="shared" si="9"/>
        <v>86889.088100000008</v>
      </c>
      <c r="K24" s="6">
        <f t="shared" si="9"/>
        <v>90666.87453913044</v>
      </c>
      <c r="L24" s="6">
        <f t="shared" si="9"/>
        <v>88777.981319565224</v>
      </c>
      <c r="M24" s="6">
        <f t="shared" si="9"/>
        <v>83111.301660869576</v>
      </c>
      <c r="N24" s="6">
        <f t="shared" si="9"/>
        <v>83111.301660869576</v>
      </c>
      <c r="O24" s="6">
        <f t="shared" si="9"/>
        <v>79333.51522173913</v>
      </c>
      <c r="P24" s="6">
        <f t="shared" si="9"/>
        <v>88777.981319565224</v>
      </c>
      <c r="Q24" s="116" t="s">
        <v>1236</v>
      </c>
      <c r="R24" s="6">
        <f>R4*(1+2%)+17763</f>
        <v>1042669.0572</v>
      </c>
      <c r="S24" s="127" t="s">
        <v>1241</v>
      </c>
    </row>
    <row r="25" spans="1:20" x14ac:dyDescent="0.25">
      <c r="A25" s="7" t="s">
        <v>1215</v>
      </c>
      <c r="B25" s="6">
        <f t="shared" ref="B25:D37" si="10">N5</f>
        <v>36274.999999999985</v>
      </c>
      <c r="C25" s="6">
        <f t="shared" si="8"/>
        <v>39230.44</v>
      </c>
      <c r="D25" s="6">
        <f t="shared" si="8"/>
        <v>38469.949999999997</v>
      </c>
      <c r="E25" s="6">
        <f t="shared" ref="E25:P25" si="11">E26-E24</f>
        <v>43175.108995652146</v>
      </c>
      <c r="F25" s="6">
        <f t="shared" si="11"/>
        <v>49062.623858695631</v>
      </c>
      <c r="G25" s="6">
        <f t="shared" si="11"/>
        <v>40231.351564130411</v>
      </c>
      <c r="H25" s="6">
        <f t="shared" si="11"/>
        <v>49062.623858695631</v>
      </c>
      <c r="I25" s="6">
        <f t="shared" si="11"/>
        <v>48081.371381521734</v>
      </c>
      <c r="J25" s="6">
        <f t="shared" si="11"/>
        <v>45137.613949999984</v>
      </c>
      <c r="K25" s="6">
        <f t="shared" si="11"/>
        <v>47100.118904347808</v>
      </c>
      <c r="L25" s="6">
        <f t="shared" si="11"/>
        <v>46118.866427173911</v>
      </c>
      <c r="M25" s="6">
        <f t="shared" si="11"/>
        <v>43175.108995652146</v>
      </c>
      <c r="N25" s="6">
        <f t="shared" si="11"/>
        <v>43175.108995652146</v>
      </c>
      <c r="O25" s="6">
        <f t="shared" si="11"/>
        <v>41212.604041304323</v>
      </c>
      <c r="P25" s="6">
        <f t="shared" si="11"/>
        <v>46118.866427173911</v>
      </c>
      <c r="Q25" s="131"/>
      <c r="R25" s="6">
        <f>R26-R24</f>
        <v>541651.36739999976</v>
      </c>
      <c r="S25" s="34" t="s">
        <v>1237</v>
      </c>
    </row>
    <row r="26" spans="1:20" x14ac:dyDescent="0.25">
      <c r="A26" s="7" t="s">
        <v>1216</v>
      </c>
      <c r="B26" s="6">
        <f t="shared" si="10"/>
        <v>117521.09999999998</v>
      </c>
      <c r="C26" s="6">
        <f t="shared" si="8"/>
        <v>120327.45000000001</v>
      </c>
      <c r="D26" s="6">
        <f t="shared" si="8"/>
        <v>122604.00000000001</v>
      </c>
      <c r="E26" s="6">
        <f t="shared" ref="E26:P26" si="12">$R$26*E43/12</f>
        <v>126286.41065652172</v>
      </c>
      <c r="F26" s="6">
        <f t="shared" si="12"/>
        <v>143507.2848369565</v>
      </c>
      <c r="G26" s="6">
        <f t="shared" si="12"/>
        <v>117675.97356630432</v>
      </c>
      <c r="H26" s="6">
        <f t="shared" si="12"/>
        <v>143507.2848369565</v>
      </c>
      <c r="I26" s="6">
        <f t="shared" si="12"/>
        <v>140637.13914021739</v>
      </c>
      <c r="J26" s="6">
        <f t="shared" si="12"/>
        <v>132026.70204999999</v>
      </c>
      <c r="K26" s="6">
        <f t="shared" si="12"/>
        <v>137766.99344347825</v>
      </c>
      <c r="L26" s="6">
        <f t="shared" si="12"/>
        <v>134896.84774673913</v>
      </c>
      <c r="M26" s="6">
        <f t="shared" si="12"/>
        <v>126286.41065652172</v>
      </c>
      <c r="N26" s="6">
        <f t="shared" si="12"/>
        <v>126286.41065652172</v>
      </c>
      <c r="O26" s="6">
        <f t="shared" si="12"/>
        <v>120546.11926304345</v>
      </c>
      <c r="P26" s="6">
        <f t="shared" si="12"/>
        <v>134896.84774673913</v>
      </c>
      <c r="Q26" s="122" t="s">
        <v>1238</v>
      </c>
      <c r="R26" s="6">
        <f>R6*(1+2%)+31825.62</f>
        <v>1584320.4245999998</v>
      </c>
      <c r="S26" s="127" t="s">
        <v>1241</v>
      </c>
    </row>
    <row r="27" spans="1:20" x14ac:dyDescent="0.25">
      <c r="A27" t="s">
        <v>1217</v>
      </c>
      <c r="B27" s="2">
        <f t="shared" si="10"/>
        <v>4.5</v>
      </c>
      <c r="C27" s="2">
        <f t="shared" si="8"/>
        <v>4.5</v>
      </c>
      <c r="D27" s="2">
        <f t="shared" si="8"/>
        <v>4.5</v>
      </c>
      <c r="E27" s="237">
        <f>D27</f>
        <v>4.5</v>
      </c>
      <c r="F27" s="237">
        <f t="shared" ref="F27:P27" si="13">E27</f>
        <v>4.5</v>
      </c>
      <c r="G27" s="237">
        <f t="shared" si="13"/>
        <v>4.5</v>
      </c>
      <c r="H27" s="237">
        <f t="shared" si="13"/>
        <v>4.5</v>
      </c>
      <c r="I27" s="237">
        <f t="shared" si="13"/>
        <v>4.5</v>
      </c>
      <c r="J27" s="237">
        <f t="shared" si="13"/>
        <v>4.5</v>
      </c>
      <c r="K27" s="237">
        <f t="shared" si="13"/>
        <v>4.5</v>
      </c>
      <c r="L27" s="237">
        <f t="shared" si="13"/>
        <v>4.5</v>
      </c>
      <c r="M27" s="237">
        <f t="shared" si="13"/>
        <v>4.5</v>
      </c>
      <c r="N27" s="237">
        <f t="shared" si="13"/>
        <v>4.5</v>
      </c>
      <c r="O27" s="237">
        <f t="shared" si="13"/>
        <v>4.5</v>
      </c>
      <c r="P27" s="237">
        <f t="shared" si="13"/>
        <v>4.5</v>
      </c>
      <c r="Q27" s="122" t="s">
        <v>1238</v>
      </c>
      <c r="R27" s="2">
        <f>AVERAGE(E27:P27)</f>
        <v>4.5</v>
      </c>
      <c r="S27" s="34"/>
    </row>
    <row r="28" spans="1:20" x14ac:dyDescent="0.25">
      <c r="A28" t="s">
        <v>1218</v>
      </c>
      <c r="B28" s="3">
        <f t="shared" si="10"/>
        <v>0.70933164791910008</v>
      </c>
      <c r="C28" s="3">
        <f t="shared" si="8"/>
        <v>0.76302245915108347</v>
      </c>
      <c r="D28" s="3">
        <f t="shared" si="8"/>
        <v>0.74803221763364547</v>
      </c>
      <c r="E28" s="3">
        <f>$T$16</f>
        <v>0.74625418908312591</v>
      </c>
      <c r="F28" s="3">
        <f t="shared" ref="F28:P28" si="14">$T$16</f>
        <v>0.74625418908312591</v>
      </c>
      <c r="G28" s="3">
        <f t="shared" si="14"/>
        <v>0.74625418908312591</v>
      </c>
      <c r="H28" s="3">
        <f t="shared" si="14"/>
        <v>0.74625418908312591</v>
      </c>
      <c r="I28" s="3">
        <f t="shared" si="14"/>
        <v>0.74625418908312591</v>
      </c>
      <c r="J28" s="3">
        <f t="shared" si="14"/>
        <v>0.74625418908312591</v>
      </c>
      <c r="K28" s="3">
        <f t="shared" si="14"/>
        <v>0.74625418908312591</v>
      </c>
      <c r="L28" s="3">
        <f t="shared" si="14"/>
        <v>0.74625418908312591</v>
      </c>
      <c r="M28" s="3">
        <f t="shared" si="14"/>
        <v>0.74625418908312591</v>
      </c>
      <c r="N28" s="3">
        <f t="shared" si="14"/>
        <v>0.74625418908312591</v>
      </c>
      <c r="O28" s="3">
        <f t="shared" si="14"/>
        <v>0.74625418908312591</v>
      </c>
      <c r="P28" s="3">
        <f t="shared" si="14"/>
        <v>0.74625418908312591</v>
      </c>
      <c r="Q28" s="132"/>
      <c r="R28" s="3">
        <f>R34/R24</f>
        <v>0.74625418908312591</v>
      </c>
      <c r="S28" s="34" t="s">
        <v>1199</v>
      </c>
    </row>
    <row r="29" spans="1:20" x14ac:dyDescent="0.25">
      <c r="A29" t="s">
        <v>1219</v>
      </c>
      <c r="B29" s="3">
        <f t="shared" si="10"/>
        <v>0.51428752584424553</v>
      </c>
      <c r="C29" s="3">
        <f t="shared" si="8"/>
        <v>0.49671938423326384</v>
      </c>
      <c r="D29" s="3">
        <f t="shared" si="8"/>
        <v>0.44106555896225508</v>
      </c>
      <c r="E29" s="3">
        <f>$U$16</f>
        <v>0.4890445369288286</v>
      </c>
      <c r="F29" s="3">
        <f t="shared" ref="F29:P29" si="15">$U$16</f>
        <v>0.4890445369288286</v>
      </c>
      <c r="G29" s="3">
        <f t="shared" si="15"/>
        <v>0.4890445369288286</v>
      </c>
      <c r="H29" s="3">
        <f t="shared" si="15"/>
        <v>0.4890445369288286</v>
      </c>
      <c r="I29" s="3">
        <f t="shared" si="15"/>
        <v>0.4890445369288286</v>
      </c>
      <c r="J29" s="3">
        <f t="shared" si="15"/>
        <v>0.4890445369288286</v>
      </c>
      <c r="K29" s="3">
        <f t="shared" si="15"/>
        <v>0.4890445369288286</v>
      </c>
      <c r="L29" s="3">
        <f t="shared" si="15"/>
        <v>0.4890445369288286</v>
      </c>
      <c r="M29" s="3">
        <f t="shared" si="15"/>
        <v>0.4890445369288286</v>
      </c>
      <c r="N29" s="3">
        <f t="shared" si="15"/>
        <v>0.4890445369288286</v>
      </c>
      <c r="O29" s="3">
        <f t="shared" si="15"/>
        <v>0.4890445369288286</v>
      </c>
      <c r="P29" s="3">
        <f t="shared" si="15"/>
        <v>0.4890445369288286</v>
      </c>
      <c r="Q29" s="122"/>
      <c r="R29" s="3">
        <f>R35/R25</f>
        <v>0.48904453692882865</v>
      </c>
      <c r="S29" s="34" t="s">
        <v>1199</v>
      </c>
    </row>
    <row r="30" spans="1:20" x14ac:dyDescent="0.25">
      <c r="A30" t="s">
        <v>1220</v>
      </c>
      <c r="B30" s="3">
        <f t="shared" si="10"/>
        <v>0.4565984321113401</v>
      </c>
      <c r="C30" s="3">
        <f t="shared" si="8"/>
        <v>0.27651180175429629</v>
      </c>
      <c r="D30" s="3">
        <f t="shared" si="8"/>
        <v>0.36795390036214148</v>
      </c>
      <c r="E30" s="3">
        <f>E37/E26</f>
        <v>0.39855453764072052</v>
      </c>
      <c r="F30" s="3">
        <f t="shared" ref="F30:P30" si="16">F37/F26</f>
        <v>0.35072799312383407</v>
      </c>
      <c r="G30" s="3">
        <f t="shared" si="16"/>
        <v>0.42771706478516353</v>
      </c>
      <c r="H30" s="3">
        <f t="shared" si="16"/>
        <v>0.35072799312383407</v>
      </c>
      <c r="I30" s="3">
        <f t="shared" si="16"/>
        <v>0.35788570726921842</v>
      </c>
      <c r="J30" s="3">
        <f t="shared" si="16"/>
        <v>0.38122607948242831</v>
      </c>
      <c r="K30" s="3">
        <f t="shared" si="16"/>
        <v>0.36534165950399383</v>
      </c>
      <c r="L30" s="3">
        <f t="shared" si="16"/>
        <v>0.37311488630195111</v>
      </c>
      <c r="M30" s="3">
        <f t="shared" si="16"/>
        <v>0.39855453764072052</v>
      </c>
      <c r="N30" s="3">
        <f t="shared" si="16"/>
        <v>0.39855453764072052</v>
      </c>
      <c r="O30" s="3">
        <f t="shared" si="16"/>
        <v>0.41753332514742153</v>
      </c>
      <c r="P30" s="3">
        <f t="shared" si="16"/>
        <v>0.37311488630195111</v>
      </c>
      <c r="Q30" s="122"/>
      <c r="R30" s="3">
        <f>R37/R26</f>
        <v>0.38122607948242837</v>
      </c>
      <c r="S30" s="34"/>
    </row>
    <row r="31" spans="1:20" x14ac:dyDescent="0.25">
      <c r="A31" s="7" t="s">
        <v>1221</v>
      </c>
      <c r="B31" s="6">
        <f t="shared" si="10"/>
        <v>18054.688888888886</v>
      </c>
      <c r="C31" s="6">
        <f t="shared" si="8"/>
        <v>18021.55777777778</v>
      </c>
      <c r="D31" s="6">
        <f t="shared" si="8"/>
        <v>18696.45555555556</v>
      </c>
      <c r="E31" s="6">
        <f>E24/E27</f>
        <v>18469.178146859907</v>
      </c>
      <c r="F31" s="6">
        <f t="shared" ref="F31:P31" si="17">F24/F27</f>
        <v>20987.702439613528</v>
      </c>
      <c r="G31" s="6">
        <f t="shared" si="17"/>
        <v>17209.916000483092</v>
      </c>
      <c r="H31" s="6">
        <f t="shared" si="17"/>
        <v>20987.702439613528</v>
      </c>
      <c r="I31" s="6">
        <f t="shared" si="17"/>
        <v>20567.948390821257</v>
      </c>
      <c r="J31" s="6">
        <f t="shared" si="17"/>
        <v>19308.686244444445</v>
      </c>
      <c r="K31" s="6">
        <f t="shared" si="17"/>
        <v>20148.194342028986</v>
      </c>
      <c r="L31" s="6">
        <f t="shared" si="17"/>
        <v>19728.440293236716</v>
      </c>
      <c r="M31" s="6">
        <f t="shared" si="17"/>
        <v>18469.178146859907</v>
      </c>
      <c r="N31" s="6">
        <f t="shared" si="17"/>
        <v>18469.178146859907</v>
      </c>
      <c r="O31" s="6">
        <f t="shared" si="17"/>
        <v>17629.670049275363</v>
      </c>
      <c r="P31" s="6">
        <f t="shared" si="17"/>
        <v>19728.440293236716</v>
      </c>
      <c r="Q31" s="116"/>
      <c r="R31" s="6">
        <f>R24/R27/12</f>
        <v>19308.686244444445</v>
      </c>
      <c r="S31" s="34" t="s">
        <v>1243</v>
      </c>
    </row>
    <row r="32" spans="1:20" x14ac:dyDescent="0.25">
      <c r="A32" s="7" t="s">
        <v>1222</v>
      </c>
      <c r="B32" s="6">
        <f t="shared" si="10"/>
        <v>12806.76222222222</v>
      </c>
      <c r="C32" s="6">
        <f t="shared" si="8"/>
        <v>13750.853333333336</v>
      </c>
      <c r="D32" s="6">
        <f t="shared" si="8"/>
        <v>13985.551111111117</v>
      </c>
      <c r="E32" s="6">
        <f>E34/E27</f>
        <v>13782.701561016729</v>
      </c>
      <c r="F32" s="6">
        <f t="shared" ref="F32:P32" si="18">F34/F27</f>
        <v>15662.160864791736</v>
      </c>
      <c r="G32" s="6">
        <f t="shared" si="18"/>
        <v>12842.971909129223</v>
      </c>
      <c r="H32" s="6">
        <f t="shared" si="18"/>
        <v>15662.160864791736</v>
      </c>
      <c r="I32" s="6">
        <f t="shared" si="18"/>
        <v>15348.917647495902</v>
      </c>
      <c r="J32" s="6">
        <f t="shared" si="18"/>
        <v>14409.187995608398</v>
      </c>
      <c r="K32" s="6">
        <f t="shared" si="18"/>
        <v>15035.674430200066</v>
      </c>
      <c r="L32" s="6">
        <f t="shared" si="18"/>
        <v>14722.431212904232</v>
      </c>
      <c r="M32" s="6">
        <f t="shared" si="18"/>
        <v>13782.701561016729</v>
      </c>
      <c r="N32" s="6">
        <f t="shared" si="18"/>
        <v>13782.701561016729</v>
      </c>
      <c r="O32" s="6">
        <f t="shared" si="18"/>
        <v>13156.215126425057</v>
      </c>
      <c r="P32" s="6">
        <f t="shared" si="18"/>
        <v>14722.431212904232</v>
      </c>
      <c r="Q32" s="116"/>
      <c r="R32" s="6">
        <f>R34/R27/12</f>
        <v>14409.187995608399</v>
      </c>
      <c r="S32" s="34"/>
    </row>
    <row r="33" spans="1:20" x14ac:dyDescent="0.25">
      <c r="A33" s="7"/>
      <c r="B33" s="6"/>
      <c r="C33" s="6"/>
      <c r="D33" s="6"/>
      <c r="E33" s="6"/>
      <c r="F33" s="6"/>
      <c r="G33" s="6"/>
      <c r="H33" s="6"/>
      <c r="I33" s="6"/>
      <c r="J33" s="6"/>
      <c r="K33" s="6"/>
      <c r="L33" s="6"/>
      <c r="M33" s="6"/>
      <c r="N33" s="6"/>
      <c r="O33" s="6"/>
      <c r="P33" s="6"/>
      <c r="Q33" s="116"/>
      <c r="R33" s="6"/>
      <c r="S33" s="34"/>
      <c r="T33">
        <f>S34/R28</f>
        <v>17763.135064976894</v>
      </c>
    </row>
    <row r="34" spans="1:20" x14ac:dyDescent="0.25">
      <c r="A34" s="7" t="s">
        <v>1223</v>
      </c>
      <c r="B34" s="6">
        <f t="shared" si="10"/>
        <v>57630.429999999993</v>
      </c>
      <c r="C34" s="6">
        <f t="shared" si="10"/>
        <v>61878.840000000011</v>
      </c>
      <c r="D34" s="6">
        <f t="shared" si="10"/>
        <v>62934.980000000025</v>
      </c>
      <c r="E34" s="6">
        <f>E24*E28</f>
        <v>62022.157024575281</v>
      </c>
      <c r="F34" s="6">
        <f t="shared" ref="F34:P35" si="19">F24*F28</f>
        <v>70479.723891562811</v>
      </c>
      <c r="G34" s="6">
        <f t="shared" si="19"/>
        <v>57793.373591081501</v>
      </c>
      <c r="H34" s="6">
        <f t="shared" si="19"/>
        <v>70479.723891562811</v>
      </c>
      <c r="I34" s="6">
        <f t="shared" si="19"/>
        <v>69070.129413731556</v>
      </c>
      <c r="J34" s="6">
        <f t="shared" si="19"/>
        <v>64841.345980237791</v>
      </c>
      <c r="K34" s="6">
        <f t="shared" si="19"/>
        <v>67660.534935900301</v>
      </c>
      <c r="L34" s="6">
        <f t="shared" si="19"/>
        <v>66250.940458069046</v>
      </c>
      <c r="M34" s="6">
        <f t="shared" si="19"/>
        <v>62022.157024575281</v>
      </c>
      <c r="N34" s="6">
        <f t="shared" si="19"/>
        <v>62022.157024575281</v>
      </c>
      <c r="O34" s="6">
        <f t="shared" si="19"/>
        <v>59202.968068912756</v>
      </c>
      <c r="P34" s="6">
        <f t="shared" si="19"/>
        <v>66250.940458069046</v>
      </c>
      <c r="Q34" s="116"/>
      <c r="R34" s="6">
        <f>SUM(E34:P34)</f>
        <v>778096.15176285349</v>
      </c>
      <c r="S34" s="34">
        <f>95000*R27/'Service - Group '!R27</f>
        <v>13255.813953488372</v>
      </c>
      <c r="T34" s="7" t="s">
        <v>1334</v>
      </c>
    </row>
    <row r="35" spans="1:20" x14ac:dyDescent="0.25">
      <c r="A35" s="7" t="s">
        <v>1224</v>
      </c>
      <c r="B35" s="6">
        <f t="shared" si="10"/>
        <v>18655.78</v>
      </c>
      <c r="C35" s="6">
        <f t="shared" si="10"/>
        <v>19486.520000000004</v>
      </c>
      <c r="D35" s="6">
        <f t="shared" si="10"/>
        <v>16967.770000000004</v>
      </c>
      <c r="E35" s="6">
        <f>E25*E29</f>
        <v>21114.551185630407</v>
      </c>
      <c r="F35" s="6">
        <f t="shared" si="19"/>
        <v>23993.808165489103</v>
      </c>
      <c r="G35" s="6">
        <f t="shared" si="19"/>
        <v>19674.922695701061</v>
      </c>
      <c r="H35" s="6">
        <f t="shared" si="19"/>
        <v>23993.808165489103</v>
      </c>
      <c r="I35" s="6">
        <f t="shared" si="19"/>
        <v>23513.932002179328</v>
      </c>
      <c r="J35" s="6">
        <f t="shared" si="19"/>
        <v>22074.303512249975</v>
      </c>
      <c r="K35" s="6">
        <f t="shared" si="19"/>
        <v>23034.055838869539</v>
      </c>
      <c r="L35" s="6">
        <f t="shared" si="19"/>
        <v>22554.179675559764</v>
      </c>
      <c r="M35" s="6">
        <f t="shared" si="19"/>
        <v>21114.551185630407</v>
      </c>
      <c r="N35" s="6">
        <f t="shared" si="19"/>
        <v>21114.551185630407</v>
      </c>
      <c r="O35" s="6">
        <f t="shared" si="19"/>
        <v>20154.798859010843</v>
      </c>
      <c r="P35" s="6">
        <f t="shared" si="19"/>
        <v>22554.179675559764</v>
      </c>
      <c r="Q35" s="34"/>
      <c r="R35" s="6">
        <f>SUM(E35:P35)</f>
        <v>264891.64214699971</v>
      </c>
      <c r="S35" s="34"/>
    </row>
    <row r="36" spans="1:20" x14ac:dyDescent="0.25">
      <c r="A36" s="7" t="s">
        <v>1225</v>
      </c>
      <c r="B36" s="6">
        <f t="shared" si="10"/>
        <v>76286.209999999992</v>
      </c>
      <c r="C36" s="6">
        <f t="shared" si="10"/>
        <v>81365.360000000015</v>
      </c>
      <c r="D36" s="6">
        <f t="shared" si="10"/>
        <v>79902.750000000029</v>
      </c>
      <c r="E36" s="6">
        <f>E34+E35</f>
        <v>83136.708210205688</v>
      </c>
      <c r="F36" s="6">
        <f t="shared" ref="F36:P36" si="20">F34+F35</f>
        <v>94473.532057051911</v>
      </c>
      <c r="G36" s="6">
        <f t="shared" si="20"/>
        <v>77468.29628678257</v>
      </c>
      <c r="H36" s="6">
        <f t="shared" si="20"/>
        <v>94473.532057051911</v>
      </c>
      <c r="I36" s="6">
        <f t="shared" si="20"/>
        <v>92584.061415910881</v>
      </c>
      <c r="J36" s="6">
        <f t="shared" si="20"/>
        <v>86915.649492487762</v>
      </c>
      <c r="K36" s="6">
        <f t="shared" si="20"/>
        <v>90694.590774769837</v>
      </c>
      <c r="L36" s="6">
        <f t="shared" si="20"/>
        <v>88805.120133628807</v>
      </c>
      <c r="M36" s="6">
        <f t="shared" si="20"/>
        <v>83136.708210205688</v>
      </c>
      <c r="N36" s="6">
        <f t="shared" si="20"/>
        <v>83136.708210205688</v>
      </c>
      <c r="O36" s="6">
        <f t="shared" si="20"/>
        <v>79357.7669279236</v>
      </c>
      <c r="P36" s="6">
        <f t="shared" si="20"/>
        <v>88805.120133628807</v>
      </c>
      <c r="Q36" s="34"/>
      <c r="R36" s="6">
        <f>SUM(E36:P36)</f>
        <v>1042987.7939098531</v>
      </c>
      <c r="S36" s="34"/>
    </row>
    <row r="37" spans="1:20" x14ac:dyDescent="0.25">
      <c r="A37" s="7" t="s">
        <v>1226</v>
      </c>
      <c r="B37" s="6">
        <f t="shared" si="10"/>
        <v>53659.95</v>
      </c>
      <c r="C37" s="6">
        <f t="shared" si="10"/>
        <v>33271.960000000006</v>
      </c>
      <c r="D37" s="6">
        <f t="shared" si="10"/>
        <v>45112.62</v>
      </c>
      <c r="E37" s="6">
        <f>E44</f>
        <v>50332.022009516179</v>
      </c>
      <c r="F37" s="6">
        <f t="shared" ref="F37:P37" si="21">F44</f>
        <v>50332.022009516179</v>
      </c>
      <c r="G37" s="6">
        <f t="shared" si="21"/>
        <v>50332.022009516179</v>
      </c>
      <c r="H37" s="6">
        <f t="shared" si="21"/>
        <v>50332.022009516179</v>
      </c>
      <c r="I37" s="6">
        <f t="shared" si="21"/>
        <v>50332.022009516179</v>
      </c>
      <c r="J37" s="6">
        <f t="shared" si="21"/>
        <v>50332.022009516179</v>
      </c>
      <c r="K37" s="6">
        <f t="shared" si="21"/>
        <v>50332.022009516179</v>
      </c>
      <c r="L37" s="6">
        <f t="shared" si="21"/>
        <v>50332.022009516179</v>
      </c>
      <c r="M37" s="6">
        <f t="shared" si="21"/>
        <v>50332.022009516179</v>
      </c>
      <c r="N37" s="6">
        <f t="shared" si="21"/>
        <v>50332.022009516179</v>
      </c>
      <c r="O37" s="6">
        <f t="shared" si="21"/>
        <v>50332.022009516179</v>
      </c>
      <c r="P37" s="6">
        <f t="shared" si="21"/>
        <v>50332.022009516179</v>
      </c>
      <c r="Q37" s="131"/>
      <c r="R37" s="6">
        <f>SUM(E37:P37)</f>
        <v>603984.2641141942</v>
      </c>
      <c r="S37" s="120"/>
    </row>
    <row r="38" spans="1:20" ht="15.75" thickBot="1" x14ac:dyDescent="0.3">
      <c r="A38" s="9" t="s">
        <v>1078</v>
      </c>
      <c r="B38" s="10">
        <f>B36-B37</f>
        <v>22626.259999999995</v>
      </c>
      <c r="C38" s="10">
        <f t="shared" ref="C38:P38" si="22">C36-C37</f>
        <v>48093.400000000009</v>
      </c>
      <c r="D38" s="10">
        <f t="shared" si="22"/>
        <v>34790.130000000026</v>
      </c>
      <c r="E38" s="10">
        <f t="shared" si="22"/>
        <v>32804.68620068951</v>
      </c>
      <c r="F38" s="10">
        <f t="shared" si="22"/>
        <v>44141.510047535732</v>
      </c>
      <c r="G38" s="10">
        <f t="shared" si="22"/>
        <v>27136.274277266391</v>
      </c>
      <c r="H38" s="10">
        <f t="shared" si="22"/>
        <v>44141.510047535732</v>
      </c>
      <c r="I38" s="10">
        <f t="shared" si="22"/>
        <v>42252.039406394702</v>
      </c>
      <c r="J38" s="10">
        <f t="shared" si="22"/>
        <v>36583.627482971584</v>
      </c>
      <c r="K38" s="10">
        <f t="shared" si="22"/>
        <v>40362.568765253658</v>
      </c>
      <c r="L38" s="10">
        <f t="shared" si="22"/>
        <v>38473.098124112628</v>
      </c>
      <c r="M38" s="10">
        <f t="shared" si="22"/>
        <v>32804.68620068951</v>
      </c>
      <c r="N38" s="10">
        <f t="shared" si="22"/>
        <v>32804.68620068951</v>
      </c>
      <c r="O38" s="10">
        <f t="shared" si="22"/>
        <v>29025.744918407421</v>
      </c>
      <c r="P38" s="10">
        <f t="shared" si="22"/>
        <v>38473.098124112628</v>
      </c>
      <c r="Q38" s="131"/>
      <c r="R38" s="10">
        <f>R36-R37</f>
        <v>439003.52979565889</v>
      </c>
      <c r="S38" s="34"/>
    </row>
    <row r="39" spans="1:20" ht="15.75" thickTop="1" x14ac:dyDescent="0.25">
      <c r="Q39" s="34"/>
      <c r="S39" s="34"/>
    </row>
    <row r="40" spans="1:20" x14ac:dyDescent="0.25">
      <c r="Q40" s="34"/>
      <c r="R40" t="s">
        <v>1205</v>
      </c>
      <c r="S40" s="34"/>
    </row>
    <row r="41" spans="1:20" x14ac:dyDescent="0.25">
      <c r="A41" t="s">
        <v>1206</v>
      </c>
      <c r="B41" s="121">
        <f t="shared" ref="B41:P41" si="23">B4/$R$41</f>
        <v>0.63816622977803983</v>
      </c>
      <c r="C41" s="121">
        <f t="shared" si="23"/>
        <v>0.84937860780944152</v>
      </c>
      <c r="D41" s="121">
        <f t="shared" si="23"/>
        <v>1.2587398774132255</v>
      </c>
      <c r="E41" s="121">
        <f t="shared" si="23"/>
        <v>0.7700106366392544</v>
      </c>
      <c r="F41" s="121">
        <f t="shared" si="23"/>
        <v>0.98604995775021576</v>
      </c>
      <c r="G41" s="121">
        <f t="shared" si="23"/>
        <v>0.95083159315335564</v>
      </c>
      <c r="H41" s="121">
        <f t="shared" si="23"/>
        <v>0.99822252938481326</v>
      </c>
      <c r="I41" s="121">
        <f t="shared" si="23"/>
        <v>1.1381749777017516</v>
      </c>
      <c r="J41" s="121">
        <f t="shared" si="23"/>
        <v>0.93608707223474108</v>
      </c>
      <c r="K41" s="121">
        <f t="shared" si="23"/>
        <v>1.1603537409555276</v>
      </c>
      <c r="L41" s="121">
        <f t="shared" si="23"/>
        <v>1.1044081116003379</v>
      </c>
      <c r="M41" s="121">
        <f t="shared" si="23"/>
        <v>1.0122936094596044</v>
      </c>
      <c r="N41" s="121">
        <f t="shared" si="23"/>
        <v>0.97028625893460074</v>
      </c>
      <c r="O41" s="121">
        <f t="shared" si="23"/>
        <v>0.96850574296713221</v>
      </c>
      <c r="P41" s="121">
        <f t="shared" si="23"/>
        <v>1.0047757692186661</v>
      </c>
      <c r="Q41" s="34"/>
      <c r="R41" s="7">
        <f>AVERAGE(E4:P4)</f>
        <v>83734.154999999999</v>
      </c>
      <c r="S41" s="34"/>
    </row>
    <row r="42" spans="1:20" x14ac:dyDescent="0.25">
      <c r="E42" s="121">
        <v>0.75052815347173807</v>
      </c>
      <c r="F42" s="121">
        <v>0.9708886992492668</v>
      </c>
      <c r="G42" s="121">
        <v>0.94567266692519492</v>
      </c>
      <c r="H42" s="121">
        <v>0.95455724117275065</v>
      </c>
      <c r="I42" s="121">
        <v>1.1503090837735466</v>
      </c>
      <c r="J42" s="121">
        <v>0.9021384279250767</v>
      </c>
      <c r="K42" s="121">
        <v>1.1396226255673798</v>
      </c>
      <c r="L42" s="121">
        <v>1.0721972903417929</v>
      </c>
      <c r="M42" s="121">
        <v>0.94787050210052259</v>
      </c>
      <c r="N42" s="121">
        <v>0.97484704599706062</v>
      </c>
      <c r="O42" s="121">
        <v>0.94379940103273663</v>
      </c>
      <c r="P42" s="121">
        <v>1.2475688624429355</v>
      </c>
      <c r="R42" s="7">
        <v>8237.3784000000214</v>
      </c>
    </row>
    <row r="43" spans="1:20" x14ac:dyDescent="0.25">
      <c r="A43" s="137" t="s">
        <v>1345</v>
      </c>
      <c r="B43" s="137"/>
      <c r="C43" s="137"/>
      <c r="D43" s="137"/>
      <c r="E43" s="282">
        <v>0.95652173913043481</v>
      </c>
      <c r="F43" s="282">
        <v>1.0869565217391304</v>
      </c>
      <c r="G43" s="282">
        <v>0.89130434782608692</v>
      </c>
      <c r="H43" s="282">
        <v>1.0869565217391304</v>
      </c>
      <c r="I43" s="282">
        <v>1.0652173913043479</v>
      </c>
      <c r="J43" s="282">
        <v>1</v>
      </c>
      <c r="K43" s="282">
        <v>1.0434782608695652</v>
      </c>
      <c r="L43" s="282">
        <v>1.0217391304347827</v>
      </c>
      <c r="M43" s="282">
        <v>0.95652173913043481</v>
      </c>
      <c r="N43" s="282">
        <v>0.95652173913043481</v>
      </c>
      <c r="O43" s="282">
        <v>0.91304347826086951</v>
      </c>
      <c r="P43" s="282">
        <v>1.0217391304347827</v>
      </c>
    </row>
    <row r="44" spans="1:20" x14ac:dyDescent="0.25">
      <c r="A44" s="7" t="s">
        <v>1076</v>
      </c>
      <c r="E44" s="7">
        <f>SUMIFS('[18]Summary - Selling Expenses'!Z:Z,'[18]Summary - Selling Expenses'!$E:$E,3,'[18]Summary - Selling Expenses'!$C:$C,340)</f>
        <v>50332.022009516179</v>
      </c>
      <c r="F44" s="7">
        <f>SUMIFS('[18]Summary - Selling Expenses'!AA:AA,'[18]Summary - Selling Expenses'!$E:$E,3,'[18]Summary - Selling Expenses'!$C:$C,340)</f>
        <v>50332.022009516179</v>
      </c>
      <c r="G44" s="7">
        <f>SUMIFS('[18]Summary - Selling Expenses'!AB:AB,'[18]Summary - Selling Expenses'!$E:$E,3,'[18]Summary - Selling Expenses'!$C:$C,340)</f>
        <v>50332.022009516179</v>
      </c>
      <c r="H44" s="7">
        <f>SUMIFS('[18]Summary - Selling Expenses'!AC:AC,'[18]Summary - Selling Expenses'!$E:$E,3,'[18]Summary - Selling Expenses'!$C:$C,340)</f>
        <v>50332.022009516179</v>
      </c>
      <c r="I44" s="7">
        <f>SUMIFS('[18]Summary - Selling Expenses'!AD:AD,'[18]Summary - Selling Expenses'!$E:$E,3,'[18]Summary - Selling Expenses'!$C:$C,340)</f>
        <v>50332.022009516179</v>
      </c>
      <c r="J44" s="7">
        <f>SUMIFS('[18]Summary - Selling Expenses'!AE:AE,'[18]Summary - Selling Expenses'!$E:$E,3,'[18]Summary - Selling Expenses'!$C:$C,340)</f>
        <v>50332.022009516179</v>
      </c>
      <c r="K44" s="7">
        <f>SUMIFS('[18]Summary - Selling Expenses'!AF:AF,'[18]Summary - Selling Expenses'!$E:$E,3,'[18]Summary - Selling Expenses'!$C:$C,340)</f>
        <v>50332.022009516179</v>
      </c>
      <c r="L44" s="7">
        <f>SUMIFS('[18]Summary - Selling Expenses'!AG:AG,'[18]Summary - Selling Expenses'!$E:$E,3,'[18]Summary - Selling Expenses'!$C:$C,340)</f>
        <v>50332.022009516179</v>
      </c>
      <c r="M44" s="7">
        <f>SUMIFS('[18]Summary - Selling Expenses'!AH:AH,'[18]Summary - Selling Expenses'!$E:$E,3,'[18]Summary - Selling Expenses'!$C:$C,340)</f>
        <v>50332.022009516179</v>
      </c>
      <c r="N44" s="7">
        <f>SUMIFS('[18]Summary - Selling Expenses'!AI:AI,'[18]Summary - Selling Expenses'!$E:$E,3,'[18]Summary - Selling Expenses'!$C:$C,340)</f>
        <v>50332.022009516179</v>
      </c>
      <c r="O44" s="7">
        <f>SUMIFS('[18]Summary - Selling Expenses'!AJ:AJ,'[18]Summary - Selling Expenses'!$E:$E,3,'[18]Summary - Selling Expenses'!$C:$C,340)</f>
        <v>50332.022009516179</v>
      </c>
      <c r="P44" s="7">
        <f>SUMIFS('[18]Summary - Selling Expenses'!AK:AK,'[18]Summary - Selling Expenses'!$E:$E,3,'[18]Summary - Selling Expenses'!$C:$C,340)</f>
        <v>50332.022009516179</v>
      </c>
      <c r="R44" s="6">
        <f>SUM(E44:P44)</f>
        <v>603984.2641141942</v>
      </c>
    </row>
    <row r="45" spans="1:20" x14ac:dyDescent="0.25">
      <c r="R45" s="7">
        <f>R44-SUMIFS('[18]Summary - Selling Expenses'!$AL:$AL,'[18]Summary - Selling Expenses'!$C:$C,340,'[18]Summary - Selling Expenses'!$D:$D,'[18]Summary - Selling Expenses'!$D$11)</f>
        <v>0</v>
      </c>
      <c r="S45" s="34" t="s">
        <v>1093</v>
      </c>
    </row>
    <row r="46" spans="1:20" x14ac:dyDescent="0.25">
      <c r="A46" t="s">
        <v>1319</v>
      </c>
      <c r="E46" s="7">
        <f>E14</f>
        <v>46379.89</v>
      </c>
      <c r="F46" s="7">
        <f t="shared" ref="F46:P46" si="24">F14</f>
        <v>61194.73000000001</v>
      </c>
      <c r="G46" s="7">
        <f t="shared" si="24"/>
        <v>57584.22</v>
      </c>
      <c r="H46" s="7">
        <f t="shared" si="24"/>
        <v>64284.480000000003</v>
      </c>
      <c r="I46" s="7">
        <f t="shared" si="24"/>
        <v>72009.520000000019</v>
      </c>
      <c r="J46" s="7">
        <f t="shared" si="24"/>
        <v>64159.359999999993</v>
      </c>
      <c r="K46" s="7">
        <f t="shared" si="24"/>
        <v>71307.879999999976</v>
      </c>
      <c r="L46" s="7">
        <f t="shared" si="24"/>
        <v>69942.930000000008</v>
      </c>
      <c r="M46" s="7">
        <f t="shared" si="24"/>
        <v>60685.9</v>
      </c>
      <c r="N46" s="7">
        <f t="shared" si="24"/>
        <v>57630.429999999993</v>
      </c>
      <c r="O46" s="7">
        <f t="shared" si="24"/>
        <v>61878.840000000011</v>
      </c>
      <c r="P46" s="7">
        <f t="shared" si="24"/>
        <v>62934.980000000025</v>
      </c>
      <c r="Q46" s="34"/>
      <c r="R46" s="7">
        <f>SUM(E46:P46)</f>
        <v>749993.16</v>
      </c>
    </row>
    <row r="47" spans="1:20" x14ac:dyDescent="0.25">
      <c r="A47" t="s">
        <v>1320</v>
      </c>
      <c r="E47" s="7">
        <f>E34</f>
        <v>62022.157024575281</v>
      </c>
      <c r="F47" s="7">
        <f t="shared" ref="F47:P47" si="25">F34</f>
        <v>70479.723891562811</v>
      </c>
      <c r="G47" s="7">
        <f t="shared" si="25"/>
        <v>57793.373591081501</v>
      </c>
      <c r="H47" s="7">
        <f t="shared" si="25"/>
        <v>70479.723891562811</v>
      </c>
      <c r="I47" s="7">
        <f t="shared" si="25"/>
        <v>69070.129413731556</v>
      </c>
      <c r="J47" s="7">
        <f t="shared" si="25"/>
        <v>64841.345980237791</v>
      </c>
      <c r="K47" s="7">
        <f t="shared" si="25"/>
        <v>67660.534935900301</v>
      </c>
      <c r="L47" s="7">
        <f t="shared" si="25"/>
        <v>66250.940458069046</v>
      </c>
      <c r="M47" s="7">
        <f t="shared" si="25"/>
        <v>62022.157024575281</v>
      </c>
      <c r="N47" s="7">
        <f t="shared" si="25"/>
        <v>62022.157024575281</v>
      </c>
      <c r="O47" s="7">
        <f t="shared" si="25"/>
        <v>59202.968068912756</v>
      </c>
      <c r="P47" s="7">
        <f t="shared" si="25"/>
        <v>66250.940458069046</v>
      </c>
      <c r="Q47" s="34"/>
      <c r="R47" s="7">
        <f>SUM(E47:P47)</f>
        <v>778096.15176285349</v>
      </c>
    </row>
  </sheetData>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B0500-060E-4B41-BD9C-1FCD1E0AED3A}">
  <sheetPr>
    <tabColor theme="9" tint="0.79998168889431442"/>
  </sheetPr>
  <dimension ref="A1:U47"/>
  <sheetViews>
    <sheetView topLeftCell="A23" zoomScale="85" zoomScaleNormal="85" workbookViewId="0">
      <selection activeCell="O2" sqref="O2:P2"/>
    </sheetView>
  </sheetViews>
  <sheetFormatPr defaultRowHeight="15" x14ac:dyDescent="0.25"/>
  <cols>
    <col min="1" max="1" width="25.7109375" customWidth="1"/>
    <col min="2" max="4" width="11.140625" hidden="1" customWidth="1"/>
    <col min="5" max="16" width="11.140625" bestFit="1" customWidth="1"/>
    <col min="17" max="17" width="2.85546875" customWidth="1"/>
    <col min="18" max="18" width="12.42578125" customWidth="1"/>
    <col min="19" max="19" width="10.28515625" bestFit="1" customWidth="1"/>
    <col min="20" max="20" width="10.140625" bestFit="1" customWidth="1"/>
  </cols>
  <sheetData>
    <row r="1" spans="1:21" ht="15.75" x14ac:dyDescent="0.25">
      <c r="A1" s="11" t="s">
        <v>1213</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1"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4" spans="1:21" x14ac:dyDescent="0.25">
      <c r="A4" s="7" t="s">
        <v>1214</v>
      </c>
      <c r="B4" s="6">
        <f>'[3]NW SERVICE 440'!$B$9</f>
        <v>86364.840000000011</v>
      </c>
      <c r="C4" s="6">
        <f>'[4]NW SERVICE 440'!$B$9</f>
        <v>86415.93</v>
      </c>
      <c r="D4" s="6">
        <f>'[5]NW SERVICE 440'!$B$9</f>
        <v>124586.83</v>
      </c>
      <c r="E4" s="6">
        <f>'[6]NW SERVICE 440'!$B$9</f>
        <v>91730.209999999992</v>
      </c>
      <c r="F4" s="6">
        <f>'[7]NW SERVICE 440'!$B$9</f>
        <v>131873.03</v>
      </c>
      <c r="G4" s="6">
        <f>'[8]NW SERVICE 440'!$B$9</f>
        <v>107959.38</v>
      </c>
      <c r="H4" s="6">
        <f>'[9]NW SERVICE 440'!$B$9</f>
        <v>107195.59</v>
      </c>
      <c r="I4" s="6">
        <f>'[10]NW SERVICE 440'!$B$9</f>
        <v>120172.88999999998</v>
      </c>
      <c r="J4" s="6">
        <f>'[11]NW SERVICE 440'!$B$9</f>
        <v>114678.62</v>
      </c>
      <c r="K4" s="6">
        <f>'[12]NW SERVICE 440'!$B$9</f>
        <v>108785.5</v>
      </c>
      <c r="L4" s="6">
        <f>'[13]NW SERVICE 440'!$B$9</f>
        <v>138916.15</v>
      </c>
      <c r="M4" s="6">
        <f>'[14]NW SERVICE 440'!$B$9</f>
        <v>110330.79999999999</v>
      </c>
      <c r="N4" s="6">
        <f>'[15]NW SERVICE 440'!$B$9</f>
        <v>123525.82</v>
      </c>
      <c r="O4" s="6">
        <f>'[16]NW SERVICE 440'!$B$9</f>
        <v>125586.08</v>
      </c>
      <c r="P4" s="6">
        <f>'[17]NW SERVICE 440'!$B$9</f>
        <v>121337.69</v>
      </c>
      <c r="Q4" s="8"/>
      <c r="R4" s="6">
        <f>SUM(E4:P4)</f>
        <v>1402091.76</v>
      </c>
    </row>
    <row r="5" spans="1:21" x14ac:dyDescent="0.25">
      <c r="A5" s="7" t="s">
        <v>1215</v>
      </c>
      <c r="B5" s="6">
        <f t="shared" ref="B5:P5" si="0">B6-B4</f>
        <v>14828.160000000003</v>
      </c>
      <c r="C5" s="6">
        <f t="shared" si="0"/>
        <v>14666.050000000003</v>
      </c>
      <c r="D5" s="6">
        <f t="shared" si="0"/>
        <v>29045.020000000004</v>
      </c>
      <c r="E5" s="6">
        <f t="shared" si="0"/>
        <v>10978.11</v>
      </c>
      <c r="F5" s="6">
        <f t="shared" si="0"/>
        <v>29094.350000000006</v>
      </c>
      <c r="G5" s="6">
        <f t="shared" si="0"/>
        <v>29071.100000000006</v>
      </c>
      <c r="H5" s="6">
        <f t="shared" si="0"/>
        <v>27223.619999999995</v>
      </c>
      <c r="I5" s="6">
        <f t="shared" si="0"/>
        <v>43071.399999999994</v>
      </c>
      <c r="J5" s="6">
        <f t="shared" si="0"/>
        <v>35760.760000000009</v>
      </c>
      <c r="K5" s="6">
        <f t="shared" si="0"/>
        <v>21577.990000000005</v>
      </c>
      <c r="L5" s="6">
        <f t="shared" si="0"/>
        <v>37546.429999999993</v>
      </c>
      <c r="M5" s="6">
        <f t="shared" si="0"/>
        <v>32576.270000000019</v>
      </c>
      <c r="N5" s="6">
        <f t="shared" si="0"/>
        <v>24414.390000000014</v>
      </c>
      <c r="O5" s="6">
        <f t="shared" si="0"/>
        <v>33884.67</v>
      </c>
      <c r="P5" s="6">
        <f t="shared" si="0"/>
        <v>35016.330000000016</v>
      </c>
      <c r="Q5" s="1"/>
      <c r="R5" s="6">
        <f>SUM(E5:P5)</f>
        <v>360215.42000000004</v>
      </c>
    </row>
    <row r="6" spans="1:21" x14ac:dyDescent="0.25">
      <c r="A6" s="7" t="s">
        <v>1216</v>
      </c>
      <c r="B6" s="6">
        <f>'[3]NW SERVICE 440'!$B$12</f>
        <v>101193.00000000001</v>
      </c>
      <c r="C6" s="6">
        <f>'[4]NW SERVICE 440'!$B$12</f>
        <v>101081.98</v>
      </c>
      <c r="D6" s="6">
        <f>'[5]NW SERVICE 440'!$B$12</f>
        <v>153631.85</v>
      </c>
      <c r="E6" s="6">
        <f>'[6]NW SERVICE 440'!$B$12</f>
        <v>102708.31999999999</v>
      </c>
      <c r="F6" s="6">
        <f>'[7]NW SERVICE 440'!$B$12</f>
        <v>160967.38</v>
      </c>
      <c r="G6" s="6">
        <f>'[8]NW SERVICE 440'!$B$12</f>
        <v>137030.48000000001</v>
      </c>
      <c r="H6" s="6">
        <f>'[9]NW SERVICE 440'!$B$12</f>
        <v>134419.21</v>
      </c>
      <c r="I6" s="6">
        <f>'[10]NW SERVICE 440'!$B$12</f>
        <v>163244.28999999998</v>
      </c>
      <c r="J6" s="6">
        <f>'[11]NW SERVICE 440'!$B$12</f>
        <v>150439.38</v>
      </c>
      <c r="K6" s="6">
        <f>'[12]NW SERVICE 440'!$B$12</f>
        <v>130363.49</v>
      </c>
      <c r="L6" s="6">
        <f>'[13]NW SERVICE 440'!$B$12</f>
        <v>176462.58</v>
      </c>
      <c r="M6" s="6">
        <f>'[14]NW SERVICE 440'!$B$12</f>
        <v>142907.07</v>
      </c>
      <c r="N6" s="6">
        <f>'[15]NW SERVICE 440'!$B$12</f>
        <v>147940.21000000002</v>
      </c>
      <c r="O6" s="6">
        <f>'[16]NW SERVICE 440'!$B$12</f>
        <v>159470.75</v>
      </c>
      <c r="P6" s="6">
        <f>'[17]NW SERVICE 440'!$B$12</f>
        <v>156354.02000000002</v>
      </c>
      <c r="Q6" s="3"/>
      <c r="R6" s="6">
        <f>SUM(E6:P6)</f>
        <v>1762307.18</v>
      </c>
    </row>
    <row r="7" spans="1:21" x14ac:dyDescent="0.25">
      <c r="A7" t="s">
        <v>1217</v>
      </c>
      <c r="B7" s="16">
        <f>'[3]NW SERVICE 440'!$B$33</f>
        <v>4.5</v>
      </c>
      <c r="C7" s="16">
        <f>'[4]NW SERVICE 440'!$B$33</f>
        <v>4.5</v>
      </c>
      <c r="D7" s="16">
        <f>'[5]NW SERVICE 440'!$B$33</f>
        <v>5.5</v>
      </c>
      <c r="E7" s="16">
        <f>'[6]NW SERVICE 440'!$B$33</f>
        <v>5.5</v>
      </c>
      <c r="F7" s="16">
        <f>'[7]NW SERVICE 440'!$B$33</f>
        <v>5.5</v>
      </c>
      <c r="G7" s="16">
        <f>'[8]NW SERVICE 440'!$B$33</f>
        <v>5.5</v>
      </c>
      <c r="H7" s="16">
        <f>'[9]NW SERVICE 440'!$B$33</f>
        <v>5.5</v>
      </c>
      <c r="I7" s="16">
        <f>'[10]NW SERVICE 440'!$B$33</f>
        <v>6.5</v>
      </c>
      <c r="J7" s="16">
        <f>'[11]NW SERVICE 440'!$B$33</f>
        <v>6.5</v>
      </c>
      <c r="K7" s="16">
        <f>'[12]NW SERVICE 440'!$B$33</f>
        <v>6.5</v>
      </c>
      <c r="L7" s="16">
        <f>'[13]NW SERVICE 440'!$B$33</f>
        <v>6.5</v>
      </c>
      <c r="M7" s="16">
        <f>'[14]NW SERVICE 440'!$B$33</f>
        <v>6.5</v>
      </c>
      <c r="N7" s="16">
        <f>M7</f>
        <v>6.5</v>
      </c>
      <c r="O7" s="16">
        <f>N7</f>
        <v>6.5</v>
      </c>
      <c r="P7" s="16">
        <f>O7</f>
        <v>6.5</v>
      </c>
      <c r="Q7" s="3"/>
      <c r="R7" s="237">
        <f>AVERAGE(E7:P7)</f>
        <v>6.166666666666667</v>
      </c>
      <c r="T7" s="134">
        <f>AVERAGE(E7:O7)</f>
        <v>6.1363636363636367</v>
      </c>
    </row>
    <row r="8" spans="1:21" x14ac:dyDescent="0.25">
      <c r="A8" t="s">
        <v>1218</v>
      </c>
      <c r="B8" s="3">
        <f>'[3]NW SERVICE 440'!$B$17</f>
        <v>0.68173691979282314</v>
      </c>
      <c r="C8" s="3">
        <f>'[4]NW SERVICE 440'!$B$17</f>
        <v>0.71332716086027204</v>
      </c>
      <c r="D8" s="3">
        <f>'[5]NW SERVICE 440'!$B$17</f>
        <v>0.73387941566536374</v>
      </c>
      <c r="E8" s="3">
        <f>'[6]NW SERVICE 440'!$B$17</f>
        <v>0.65350608049409242</v>
      </c>
      <c r="F8" s="3">
        <f>'[7]NW SERVICE 440'!$B$17</f>
        <v>0.70873915614132776</v>
      </c>
      <c r="G8" s="3">
        <f>'[8]NW SERVICE 440'!$B$17</f>
        <v>0.68991578128736941</v>
      </c>
      <c r="H8" s="3">
        <f>'[9]NW SERVICE 440'!$B$17</f>
        <v>0.63311373163765416</v>
      </c>
      <c r="I8" s="3">
        <f>'[10]NW SERVICE 440'!$B$17</f>
        <v>0.69225904444837771</v>
      </c>
      <c r="J8" s="3">
        <f>'[11]NW SERVICE 440'!$B$17</f>
        <v>0.59850493492160961</v>
      </c>
      <c r="K8" s="3">
        <f>'[12]NW SERVICE 440'!$B$17</f>
        <v>0.67210381898322846</v>
      </c>
      <c r="L8" s="3">
        <f>'[13]NW SERVICE 440'!$B$17</f>
        <v>0.66354473543932802</v>
      </c>
      <c r="M8" s="3">
        <f>'[14]NW SERVICE 440'!$B$17</f>
        <v>0.64512692738564392</v>
      </c>
      <c r="N8" s="3">
        <f>'[15]NW SERVICE 440'!$B$17</f>
        <v>0.68292766645872094</v>
      </c>
      <c r="O8" s="3">
        <f>'[16]NW SERVICE 440'!$B$17</f>
        <v>0.63413134640399638</v>
      </c>
      <c r="P8" s="3">
        <f>'[17]NW SERVICE 440'!$B$17</f>
        <v>0.65737167074797609</v>
      </c>
      <c r="Q8" s="1"/>
      <c r="R8" s="3">
        <f>R14/R4</f>
        <v>0.66173773819197113</v>
      </c>
      <c r="T8" s="7"/>
    </row>
    <row r="9" spans="1:21" x14ac:dyDescent="0.25">
      <c r="A9" t="s">
        <v>1219</v>
      </c>
      <c r="B9" s="3">
        <f t="shared" ref="B9:P9" si="1">B15/B5</f>
        <v>-3.3950941991454112E-2</v>
      </c>
      <c r="C9" s="3">
        <f t="shared" si="1"/>
        <v>0.49375735116135561</v>
      </c>
      <c r="D9" s="3">
        <f t="shared" si="1"/>
        <v>7.1698005372350077E-2</v>
      </c>
      <c r="E9" s="3">
        <f t="shared" si="1"/>
        <v>0.21653362919482405</v>
      </c>
      <c r="F9" s="3">
        <f t="shared" si="1"/>
        <v>0.20498859744245854</v>
      </c>
      <c r="G9" s="3">
        <f t="shared" si="1"/>
        <v>0.58189542191385923</v>
      </c>
      <c r="H9" s="3">
        <f t="shared" si="1"/>
        <v>-7.7897796105000139E-2</v>
      </c>
      <c r="I9" s="3">
        <f t="shared" si="1"/>
        <v>0.27608157617351659</v>
      </c>
      <c r="J9" s="3">
        <f t="shared" si="1"/>
        <v>0.24802856538843135</v>
      </c>
      <c r="K9" s="3">
        <f t="shared" si="1"/>
        <v>-0.14808747246615614</v>
      </c>
      <c r="L9" s="3">
        <f t="shared" si="1"/>
        <v>0.34655411979248124</v>
      </c>
      <c r="M9" s="3">
        <f t="shared" si="1"/>
        <v>0.51330431630140538</v>
      </c>
      <c r="N9" s="3">
        <f t="shared" si="1"/>
        <v>0.5275519888066017</v>
      </c>
      <c r="O9" s="3">
        <f t="shared" si="1"/>
        <v>0.44227492845584737</v>
      </c>
      <c r="P9" s="3">
        <f t="shared" si="1"/>
        <v>0.29777392433758743</v>
      </c>
      <c r="R9" s="3">
        <f>R15/R5</f>
        <v>0.30184399102070641</v>
      </c>
    </row>
    <row r="10" spans="1:21" x14ac:dyDescent="0.25">
      <c r="A10" t="s">
        <v>1220</v>
      </c>
      <c r="B10" s="3">
        <f>'[3]NW SERVICE 440'!$B$24</f>
        <v>0.37985433775063493</v>
      </c>
      <c r="C10" s="3">
        <f>'[4]NW SERVICE 440'!$B$24</f>
        <v>0.40234441391037257</v>
      </c>
      <c r="D10" s="3">
        <f>'[5]NW SERVICE 440'!$B$24</f>
        <v>0.3678097998559543</v>
      </c>
      <c r="E10" s="3">
        <f>'[6]NW SERVICE 440'!$B$24</f>
        <v>0.42578829056886536</v>
      </c>
      <c r="F10" s="3">
        <f>'[7]NW SERVICE 440'!$B$24</f>
        <v>0.30801010738945983</v>
      </c>
      <c r="G10" s="3">
        <f>'[8]NW SERVICE 440'!$B$24</f>
        <v>0.46921341879558476</v>
      </c>
      <c r="H10" s="3">
        <f>'[9]NW SERVICE 440'!$B$24</f>
        <v>0.54420354055049125</v>
      </c>
      <c r="I10" s="3">
        <f>'[10]NW SERVICE 440'!$B$24</f>
        <v>0.4971203586967729</v>
      </c>
      <c r="J10" s="3">
        <f>'[11]NW SERVICE 440'!$B$24</f>
        <v>0.32043591245855974</v>
      </c>
      <c r="K10" s="3">
        <f>'[12]NW SERVICE 440'!$B$24</f>
        <v>0.51417394548120798</v>
      </c>
      <c r="L10" s="3">
        <f>'[13]NW SERVICE 440'!$B$24</f>
        <v>0.31466331275446613</v>
      </c>
      <c r="M10" s="3">
        <f>'[14]NW SERVICE 440'!$B$24</f>
        <v>0.44206434293278835</v>
      </c>
      <c r="N10" s="3">
        <f>'[15]NW SERVICE 440'!$B$24</f>
        <v>0.40448712354808741</v>
      </c>
      <c r="O10" s="3">
        <f>'[16]NW SERVICE 440'!$B$24</f>
        <v>0.34544040208000526</v>
      </c>
      <c r="P10" s="3">
        <f>'[17]NW SERVICE 440'!$B$24</f>
        <v>0.45939656684234909</v>
      </c>
      <c r="R10" s="3">
        <f>R17/R6</f>
        <v>0.41570718108292565</v>
      </c>
    </row>
    <row r="11" spans="1:21" x14ac:dyDescent="0.25">
      <c r="A11" s="7" t="s">
        <v>1221</v>
      </c>
      <c r="B11" s="6">
        <f t="shared" ref="B11:P11" si="2">B4/B7</f>
        <v>19192.186666666668</v>
      </c>
      <c r="C11" s="6">
        <f t="shared" si="2"/>
        <v>19203.539999999997</v>
      </c>
      <c r="D11" s="6">
        <f t="shared" si="2"/>
        <v>22652.150909090909</v>
      </c>
      <c r="E11" s="6">
        <f t="shared" si="2"/>
        <v>16678.219999999998</v>
      </c>
      <c r="F11" s="6">
        <f t="shared" si="2"/>
        <v>23976.914545454547</v>
      </c>
      <c r="G11" s="6">
        <f t="shared" si="2"/>
        <v>19628.978181818184</v>
      </c>
      <c r="H11" s="6">
        <f t="shared" si="2"/>
        <v>19490.107272727273</v>
      </c>
      <c r="I11" s="6">
        <f t="shared" si="2"/>
        <v>18488.13692307692</v>
      </c>
      <c r="J11" s="6">
        <f t="shared" si="2"/>
        <v>17642.864615384613</v>
      </c>
      <c r="K11" s="6">
        <f t="shared" si="2"/>
        <v>16736.23076923077</v>
      </c>
      <c r="L11" s="6">
        <f t="shared" si="2"/>
        <v>21371.715384615385</v>
      </c>
      <c r="M11" s="6">
        <f t="shared" si="2"/>
        <v>16973.969230769228</v>
      </c>
      <c r="N11" s="6">
        <f t="shared" si="2"/>
        <v>19003.972307692307</v>
      </c>
      <c r="O11" s="6">
        <f t="shared" si="2"/>
        <v>19320.935384615386</v>
      </c>
      <c r="P11" s="6">
        <f t="shared" si="2"/>
        <v>18667.336923076924</v>
      </c>
      <c r="R11" s="6">
        <f>R4/R7/12</f>
        <v>18947.185945945945</v>
      </c>
      <c r="S11" s="7"/>
    </row>
    <row r="12" spans="1:21" x14ac:dyDescent="0.25">
      <c r="A12" s="7" t="s">
        <v>1222</v>
      </c>
      <c r="B12" s="6">
        <f t="shared" ref="B12:P12" si="3">B14/B7</f>
        <v>13084.022222222226</v>
      </c>
      <c r="C12" s="6">
        <f t="shared" si="3"/>
        <v>13698.406666666668</v>
      </c>
      <c r="D12" s="6">
        <f t="shared" si="3"/>
        <v>16623.947272727273</v>
      </c>
      <c r="E12" s="6">
        <f t="shared" si="3"/>
        <v>10899.318181818182</v>
      </c>
      <c r="F12" s="6">
        <f t="shared" si="3"/>
        <v>16993.378181818181</v>
      </c>
      <c r="G12" s="6">
        <f t="shared" si="3"/>
        <v>13542.34181818182</v>
      </c>
      <c r="H12" s="6">
        <f t="shared" si="3"/>
        <v>12339.454545454546</v>
      </c>
      <c r="I12" s="6">
        <f t="shared" si="3"/>
        <v>12798.579999999998</v>
      </c>
      <c r="J12" s="6">
        <f t="shared" si="3"/>
        <v>10559.341538461538</v>
      </c>
      <c r="K12" s="6">
        <f t="shared" si="3"/>
        <v>11248.484615384614</v>
      </c>
      <c r="L12" s="6">
        <f t="shared" si="3"/>
        <v>14181.08923076923</v>
      </c>
      <c r="M12" s="6">
        <f t="shared" si="3"/>
        <v>10950.364615384615</v>
      </c>
      <c r="N12" s="6">
        <f t="shared" si="3"/>
        <v>12978.338461538464</v>
      </c>
      <c r="O12" s="6">
        <f t="shared" si="3"/>
        <v>12252.01076923077</v>
      </c>
      <c r="P12" s="6">
        <f t="shared" si="3"/>
        <v>12271.378461538461</v>
      </c>
      <c r="R12" s="6">
        <f>R14/R7/12</f>
        <v>12538.067972972973</v>
      </c>
    </row>
    <row r="13" spans="1:21" x14ac:dyDescent="0.25">
      <c r="B13" s="3"/>
      <c r="C13" s="3"/>
      <c r="D13" s="3"/>
      <c r="E13" s="3"/>
      <c r="F13" s="3"/>
      <c r="G13" s="3"/>
      <c r="H13" s="3"/>
      <c r="I13" s="3"/>
      <c r="J13" s="3"/>
      <c r="K13" s="3"/>
      <c r="L13" s="3"/>
      <c r="M13" s="3"/>
      <c r="N13" s="3"/>
      <c r="O13" s="3"/>
      <c r="P13" s="3"/>
      <c r="R13" s="6"/>
      <c r="T13" t="s">
        <v>1234</v>
      </c>
      <c r="U13" t="s">
        <v>1235</v>
      </c>
    </row>
    <row r="14" spans="1:21" x14ac:dyDescent="0.25">
      <c r="A14" s="7" t="s">
        <v>1223</v>
      </c>
      <c r="B14" s="6">
        <f t="shared" ref="B14:P14" si="4">B4*B8</f>
        <v>58878.100000000013</v>
      </c>
      <c r="C14" s="6">
        <f t="shared" si="4"/>
        <v>61642.83</v>
      </c>
      <c r="D14" s="6">
        <f t="shared" si="4"/>
        <v>91431.71</v>
      </c>
      <c r="E14" s="6">
        <f t="shared" si="4"/>
        <v>59946.25</v>
      </c>
      <c r="F14" s="6">
        <f t="shared" si="4"/>
        <v>93463.58</v>
      </c>
      <c r="G14" s="6">
        <f t="shared" si="4"/>
        <v>74482.880000000005</v>
      </c>
      <c r="H14" s="6">
        <f t="shared" si="4"/>
        <v>67867</v>
      </c>
      <c r="I14" s="6">
        <f t="shared" si="4"/>
        <v>83190.76999999999</v>
      </c>
      <c r="J14" s="6">
        <f t="shared" si="4"/>
        <v>68635.72</v>
      </c>
      <c r="K14" s="6">
        <f t="shared" si="4"/>
        <v>73115.149999999994</v>
      </c>
      <c r="L14" s="6">
        <f t="shared" si="4"/>
        <v>92177.08</v>
      </c>
      <c r="M14" s="6">
        <f t="shared" si="4"/>
        <v>71177.37</v>
      </c>
      <c r="N14" s="6">
        <f t="shared" si="4"/>
        <v>84359.200000000012</v>
      </c>
      <c r="O14" s="6">
        <f t="shared" si="4"/>
        <v>79638.070000000007</v>
      </c>
      <c r="P14" s="6">
        <f t="shared" si="4"/>
        <v>79763.959999999992</v>
      </c>
      <c r="R14" s="6">
        <f>SUM(E14:P14)</f>
        <v>927817.03</v>
      </c>
      <c r="T14" s="7">
        <f>SUM(E14:O14)</f>
        <v>848053.07000000007</v>
      </c>
      <c r="U14" s="7">
        <f>SUM(E15:O15)</f>
        <v>98301.91</v>
      </c>
    </row>
    <row r="15" spans="1:21" x14ac:dyDescent="0.25">
      <c r="A15" s="7" t="s">
        <v>1224</v>
      </c>
      <c r="B15" s="6">
        <f t="shared" ref="B15:P15" si="5">B16-B14</f>
        <v>-503.43000000000029</v>
      </c>
      <c r="C15" s="6">
        <f t="shared" si="5"/>
        <v>7241.4700000000012</v>
      </c>
      <c r="D15" s="6">
        <f t="shared" si="5"/>
        <v>2082.4700000000157</v>
      </c>
      <c r="E15" s="6">
        <f t="shared" si="5"/>
        <v>2377.1299999999901</v>
      </c>
      <c r="F15" s="6">
        <f t="shared" si="5"/>
        <v>5964.0099999999948</v>
      </c>
      <c r="G15" s="6">
        <f t="shared" si="5"/>
        <v>16916.339999999997</v>
      </c>
      <c r="H15" s="6">
        <f t="shared" si="5"/>
        <v>-2120.6600000000035</v>
      </c>
      <c r="I15" s="6">
        <f t="shared" si="5"/>
        <v>11891.220000000001</v>
      </c>
      <c r="J15" s="6">
        <f t="shared" si="5"/>
        <v>8869.6900000000023</v>
      </c>
      <c r="K15" s="6">
        <f t="shared" si="5"/>
        <v>-3195.429999999993</v>
      </c>
      <c r="L15" s="6">
        <f t="shared" si="5"/>
        <v>13011.87000000001</v>
      </c>
      <c r="M15" s="6">
        <f t="shared" si="5"/>
        <v>16721.539999999994</v>
      </c>
      <c r="N15" s="6">
        <f t="shared" si="5"/>
        <v>12879.860000000015</v>
      </c>
      <c r="O15" s="6">
        <f t="shared" si="5"/>
        <v>14986.339999999997</v>
      </c>
      <c r="P15" s="6">
        <f t="shared" si="5"/>
        <v>10426.949999999997</v>
      </c>
      <c r="R15" s="6">
        <f>SUM(E15:P15)</f>
        <v>108728.86</v>
      </c>
      <c r="T15" s="7">
        <f>SUM(E4:O4)</f>
        <v>1280754.07</v>
      </c>
      <c r="U15" s="7">
        <f>SUM(E5:O5)</f>
        <v>325199.09000000003</v>
      </c>
    </row>
    <row r="16" spans="1:21" x14ac:dyDescent="0.25">
      <c r="A16" s="7" t="s">
        <v>1225</v>
      </c>
      <c r="B16" s="6">
        <f>'[3]NW SERVICE 440'!$B$21</f>
        <v>58374.670000000013</v>
      </c>
      <c r="C16" s="6">
        <f>'[4]NW SERVICE 440'!$B$21</f>
        <v>68884.3</v>
      </c>
      <c r="D16" s="6">
        <f>'[5]NW SERVICE 440'!$B$21</f>
        <v>93514.180000000022</v>
      </c>
      <c r="E16" s="6">
        <f>'[6]NW SERVICE 440'!$B$21</f>
        <v>62323.37999999999</v>
      </c>
      <c r="F16" s="6">
        <f>'[7]NW SERVICE 440'!$B$21</f>
        <v>99427.59</v>
      </c>
      <c r="G16" s="6">
        <f>'[8]NW SERVICE 440'!$B$21</f>
        <v>91399.22</v>
      </c>
      <c r="H16" s="6">
        <f>'[9]NW SERVICE 440'!$B$21</f>
        <v>65746.34</v>
      </c>
      <c r="I16" s="6">
        <f>'[10]NW SERVICE 440'!$B$21</f>
        <v>95081.989999999991</v>
      </c>
      <c r="J16" s="6">
        <f>'[11]NW SERVICE 440'!$B$21</f>
        <v>77505.41</v>
      </c>
      <c r="K16" s="6">
        <f>'[12]NW SERVICE 440'!$B$21</f>
        <v>69919.72</v>
      </c>
      <c r="L16" s="6">
        <f>'[13]NW SERVICE 440'!$B$21</f>
        <v>105188.95000000001</v>
      </c>
      <c r="M16" s="6">
        <f>'[14]NW SERVICE 440'!$B$21</f>
        <v>87898.909999999989</v>
      </c>
      <c r="N16" s="6">
        <f>'[15]NW SERVICE 440'!$B$21</f>
        <v>97239.060000000027</v>
      </c>
      <c r="O16" s="6">
        <f>'[16]NW SERVICE 440'!$B$21</f>
        <v>94624.41</v>
      </c>
      <c r="P16" s="6">
        <f>'[17]NW SERVICE 440'!$B$21</f>
        <v>90190.909999999989</v>
      </c>
      <c r="R16" s="6">
        <f>SUM(E16:P16)</f>
        <v>1036545.89</v>
      </c>
      <c r="T16" s="3">
        <f>T14/T15</f>
        <v>0.66215137618106501</v>
      </c>
      <c r="U16" s="3">
        <f>U14/U15</f>
        <v>0.30228224193370279</v>
      </c>
    </row>
    <row r="17" spans="1:20" x14ac:dyDescent="0.25">
      <c r="A17" s="7" t="s">
        <v>1226</v>
      </c>
      <c r="B17" s="6">
        <f t="shared" ref="B17:M17" si="6">B6*B10</f>
        <v>38438.600000000006</v>
      </c>
      <c r="C17" s="6">
        <f t="shared" si="6"/>
        <v>40669.769999999997</v>
      </c>
      <c r="D17" s="6">
        <f t="shared" si="6"/>
        <v>56507.299999999996</v>
      </c>
      <c r="E17" s="6">
        <f t="shared" si="6"/>
        <v>43732</v>
      </c>
      <c r="F17" s="6">
        <f t="shared" si="6"/>
        <v>49579.579999999987</v>
      </c>
      <c r="G17" s="6">
        <f t="shared" si="6"/>
        <v>64296.540000000008</v>
      </c>
      <c r="H17" s="6">
        <f t="shared" si="6"/>
        <v>73151.409999999989</v>
      </c>
      <c r="I17" s="6">
        <f t="shared" si="6"/>
        <v>81152.060000000012</v>
      </c>
      <c r="J17" s="6">
        <f t="shared" si="6"/>
        <v>48206.18</v>
      </c>
      <c r="K17" s="6">
        <f t="shared" si="6"/>
        <v>67029.510000000009</v>
      </c>
      <c r="L17" s="6">
        <f t="shared" si="6"/>
        <v>55526.299999999996</v>
      </c>
      <c r="M17" s="6">
        <f t="shared" si="6"/>
        <v>63174.119999999995</v>
      </c>
      <c r="N17" s="6">
        <f>N6*N10</f>
        <v>59839.91</v>
      </c>
      <c r="O17" s="6">
        <f>O6*O10</f>
        <v>55087.64</v>
      </c>
      <c r="P17" s="6">
        <f>P6*P10</f>
        <v>71828.5</v>
      </c>
      <c r="Q17" s="1"/>
      <c r="R17" s="6">
        <f>SUM(E17:P17)</f>
        <v>732603.75</v>
      </c>
      <c r="T17" s="7">
        <f>T15/T7/11</f>
        <v>18974.134370370371</v>
      </c>
    </row>
    <row r="18" spans="1:20" ht="15.75" thickBot="1" x14ac:dyDescent="0.3">
      <c r="A18" s="9" t="s">
        <v>1078</v>
      </c>
      <c r="B18" s="10">
        <f t="shared" ref="B18:P18" si="7">B16-B17</f>
        <v>19936.070000000007</v>
      </c>
      <c r="C18" s="10">
        <f t="shared" si="7"/>
        <v>28214.530000000006</v>
      </c>
      <c r="D18" s="10">
        <f t="shared" si="7"/>
        <v>37006.880000000026</v>
      </c>
      <c r="E18" s="10">
        <f t="shared" si="7"/>
        <v>18591.37999999999</v>
      </c>
      <c r="F18" s="10">
        <f t="shared" si="7"/>
        <v>49848.010000000009</v>
      </c>
      <c r="G18" s="10">
        <f t="shared" si="7"/>
        <v>27102.679999999993</v>
      </c>
      <c r="H18" s="10">
        <f t="shared" si="7"/>
        <v>-7405.0699999999924</v>
      </c>
      <c r="I18" s="10">
        <f t="shared" si="7"/>
        <v>13929.929999999978</v>
      </c>
      <c r="J18" s="10">
        <f t="shared" si="7"/>
        <v>29299.230000000003</v>
      </c>
      <c r="K18" s="10">
        <f t="shared" si="7"/>
        <v>2890.2099999999919</v>
      </c>
      <c r="L18" s="10">
        <f t="shared" si="7"/>
        <v>49662.650000000016</v>
      </c>
      <c r="M18" s="10">
        <f t="shared" si="7"/>
        <v>24724.789999999994</v>
      </c>
      <c r="N18" s="10">
        <f t="shared" si="7"/>
        <v>37399.150000000023</v>
      </c>
      <c r="O18" s="10">
        <f t="shared" si="7"/>
        <v>39536.770000000004</v>
      </c>
      <c r="P18" s="10">
        <f t="shared" si="7"/>
        <v>18362.409999999989</v>
      </c>
      <c r="Q18" s="1"/>
      <c r="R18" s="10">
        <f>R16-R17</f>
        <v>303942.14</v>
      </c>
      <c r="T18" s="3"/>
    </row>
    <row r="19" spans="1:20" ht="15.75" thickTop="1" x14ac:dyDescent="0.25"/>
    <row r="21" spans="1:20" ht="15.75" x14ac:dyDescent="0.25">
      <c r="A21" s="11" t="s">
        <v>1213</v>
      </c>
      <c r="B21" s="5">
        <v>45292</v>
      </c>
      <c r="C21" s="5">
        <v>45323</v>
      </c>
      <c r="D21" s="5">
        <v>45352</v>
      </c>
      <c r="E21" s="5">
        <v>45383</v>
      </c>
      <c r="F21" s="5">
        <v>45413</v>
      </c>
      <c r="G21" s="5">
        <v>45444</v>
      </c>
      <c r="H21" s="5">
        <v>45474</v>
      </c>
      <c r="I21" s="5">
        <v>45505</v>
      </c>
      <c r="J21" s="5">
        <v>45536</v>
      </c>
      <c r="K21" s="5">
        <v>45566</v>
      </c>
      <c r="L21" s="5">
        <v>45597</v>
      </c>
      <c r="M21" s="5">
        <v>45627</v>
      </c>
      <c r="N21" s="5">
        <v>45658</v>
      </c>
      <c r="O21" s="5">
        <v>45689</v>
      </c>
      <c r="P21" s="5">
        <v>45717</v>
      </c>
      <c r="Q21" s="34"/>
      <c r="R21" s="5" t="s">
        <v>955</v>
      </c>
      <c r="S21" s="34"/>
    </row>
    <row r="22" spans="1:20" x14ac:dyDescent="0.25">
      <c r="A22" s="4"/>
      <c r="B22" s="5" t="s">
        <v>958</v>
      </c>
      <c r="C22" s="5" t="s">
        <v>959</v>
      </c>
      <c r="D22" s="5" t="s">
        <v>959</v>
      </c>
      <c r="E22" s="5" t="s">
        <v>959</v>
      </c>
      <c r="F22" s="5" t="s">
        <v>959</v>
      </c>
      <c r="G22" s="5" t="s">
        <v>959</v>
      </c>
      <c r="H22" s="5" t="s">
        <v>959</v>
      </c>
      <c r="I22" s="5" t="s">
        <v>959</v>
      </c>
      <c r="J22" s="5" t="s">
        <v>959</v>
      </c>
      <c r="K22" s="5" t="s">
        <v>959</v>
      </c>
      <c r="L22" s="5" t="s">
        <v>959</v>
      </c>
      <c r="M22" s="5" t="s">
        <v>959</v>
      </c>
      <c r="N22" s="5" t="s">
        <v>959</v>
      </c>
      <c r="O22" s="5" t="s">
        <v>959</v>
      </c>
      <c r="P22" s="5" t="s">
        <v>959</v>
      </c>
      <c r="Q22" s="129"/>
      <c r="R22" s="5" t="s">
        <v>961</v>
      </c>
      <c r="S22" s="34"/>
    </row>
    <row r="23" spans="1:20" x14ac:dyDescent="0.25">
      <c r="Q23" s="129"/>
      <c r="S23" s="34"/>
    </row>
    <row r="24" spans="1:20" x14ac:dyDescent="0.25">
      <c r="A24" s="7" t="s">
        <v>1214</v>
      </c>
      <c r="B24" s="6">
        <f>N4</f>
        <v>123525.82</v>
      </c>
      <c r="C24" s="6">
        <f t="shared" ref="C24:D32" si="8">O4</f>
        <v>125586.08</v>
      </c>
      <c r="D24" s="6">
        <f t="shared" si="8"/>
        <v>121337.69</v>
      </c>
      <c r="E24" s="6">
        <f t="shared" ref="E24:P24" si="9">$R$24*E43/12</f>
        <v>125242.00939130438</v>
      </c>
      <c r="F24" s="6">
        <f t="shared" si="9"/>
        <v>142320.46521739132</v>
      </c>
      <c r="G24" s="6">
        <f t="shared" si="9"/>
        <v>116702.78147826088</v>
      </c>
      <c r="H24" s="6">
        <f t="shared" si="9"/>
        <v>142320.46521739132</v>
      </c>
      <c r="I24" s="6">
        <f t="shared" si="9"/>
        <v>139474.0559130435</v>
      </c>
      <c r="J24" s="6">
        <f t="shared" si="9"/>
        <v>130934.82800000002</v>
      </c>
      <c r="K24" s="6">
        <f t="shared" si="9"/>
        <v>136627.64660869565</v>
      </c>
      <c r="L24" s="6">
        <f t="shared" si="9"/>
        <v>133781.23730434786</v>
      </c>
      <c r="M24" s="6">
        <f t="shared" si="9"/>
        <v>125242.00939130438</v>
      </c>
      <c r="N24" s="6">
        <f t="shared" si="9"/>
        <v>125242.00939130438</v>
      </c>
      <c r="O24" s="6">
        <f t="shared" si="9"/>
        <v>119549.1907826087</v>
      </c>
      <c r="P24" s="6">
        <f t="shared" si="9"/>
        <v>133781.23730434786</v>
      </c>
      <c r="Q24" s="116" t="s">
        <v>1236</v>
      </c>
      <c r="R24" s="6">
        <f>R4*(1+10%)+28917</f>
        <v>1571217.9360000002</v>
      </c>
      <c r="S24" s="127" t="s">
        <v>1244</v>
      </c>
    </row>
    <row r="25" spans="1:20" x14ac:dyDescent="0.25">
      <c r="A25" s="7" t="s">
        <v>1215</v>
      </c>
      <c r="B25" s="6">
        <f t="shared" ref="B25:D37" si="10">N5</f>
        <v>24414.390000000014</v>
      </c>
      <c r="C25" s="6">
        <f t="shared" si="8"/>
        <v>33884.67</v>
      </c>
      <c r="D25" s="6">
        <f t="shared" si="8"/>
        <v>35016.330000000016</v>
      </c>
      <c r="E25" s="6">
        <f t="shared" ref="E25:P25" si="11">E26-E24</f>
        <v>32138.1653043478</v>
      </c>
      <c r="F25" s="6">
        <f t="shared" si="11"/>
        <v>36520.642391304311</v>
      </c>
      <c r="G25" s="6">
        <f t="shared" si="11"/>
        <v>29946.926760869537</v>
      </c>
      <c r="H25" s="6">
        <f t="shared" si="11"/>
        <v>36520.642391304311</v>
      </c>
      <c r="I25" s="6">
        <f t="shared" si="11"/>
        <v>35790.229543478257</v>
      </c>
      <c r="J25" s="6">
        <f t="shared" si="11"/>
        <v>33598.990999999965</v>
      </c>
      <c r="K25" s="6">
        <f t="shared" si="11"/>
        <v>35059.816695652175</v>
      </c>
      <c r="L25" s="6">
        <f t="shared" si="11"/>
        <v>34329.403847826063</v>
      </c>
      <c r="M25" s="6">
        <f t="shared" si="11"/>
        <v>32138.1653043478</v>
      </c>
      <c r="N25" s="6">
        <f t="shared" si="11"/>
        <v>32138.1653043478</v>
      </c>
      <c r="O25" s="6">
        <f t="shared" si="11"/>
        <v>30677.339608695649</v>
      </c>
      <c r="P25" s="6">
        <f t="shared" si="11"/>
        <v>34329.403847826063</v>
      </c>
      <c r="Q25" s="131"/>
      <c r="R25" s="6">
        <f>R26-R24</f>
        <v>403187.89199999976</v>
      </c>
      <c r="S25" s="34" t="s">
        <v>1237</v>
      </c>
    </row>
    <row r="26" spans="1:20" x14ac:dyDescent="0.25">
      <c r="A26" s="7" t="s">
        <v>1216</v>
      </c>
      <c r="B26" s="6">
        <f t="shared" si="10"/>
        <v>147940.21000000002</v>
      </c>
      <c r="C26" s="6">
        <f t="shared" si="8"/>
        <v>159470.75</v>
      </c>
      <c r="D26" s="6">
        <f t="shared" si="8"/>
        <v>156354.02000000002</v>
      </c>
      <c r="E26" s="6">
        <f t="shared" ref="E26:P26" si="12">$R$26*E43/12</f>
        <v>157380.17469565218</v>
      </c>
      <c r="F26" s="6">
        <f t="shared" si="12"/>
        <v>178841.10760869563</v>
      </c>
      <c r="G26" s="6">
        <f t="shared" si="12"/>
        <v>146649.70823913041</v>
      </c>
      <c r="H26" s="6">
        <f t="shared" si="12"/>
        <v>178841.10760869563</v>
      </c>
      <c r="I26" s="6">
        <f t="shared" si="12"/>
        <v>175264.28545652176</v>
      </c>
      <c r="J26" s="6">
        <f t="shared" si="12"/>
        <v>164533.81899999999</v>
      </c>
      <c r="K26" s="6">
        <f t="shared" si="12"/>
        <v>171687.46330434782</v>
      </c>
      <c r="L26" s="6">
        <f t="shared" si="12"/>
        <v>168110.64115217392</v>
      </c>
      <c r="M26" s="6">
        <f t="shared" si="12"/>
        <v>157380.17469565218</v>
      </c>
      <c r="N26" s="6">
        <f t="shared" si="12"/>
        <v>157380.17469565218</v>
      </c>
      <c r="O26" s="6">
        <f t="shared" si="12"/>
        <v>150226.53039130435</v>
      </c>
      <c r="P26" s="6">
        <f t="shared" si="12"/>
        <v>168110.64115217392</v>
      </c>
      <c r="Q26" s="122" t="s">
        <v>1238</v>
      </c>
      <c r="R26" s="6">
        <f>R6*(1+10%)+35867.93</f>
        <v>1974405.828</v>
      </c>
      <c r="S26" s="127" t="s">
        <v>1244</v>
      </c>
    </row>
    <row r="27" spans="1:20" x14ac:dyDescent="0.25">
      <c r="A27" t="s">
        <v>1217</v>
      </c>
      <c r="B27" s="2">
        <f t="shared" si="10"/>
        <v>6.5</v>
      </c>
      <c r="C27" s="2">
        <f t="shared" si="8"/>
        <v>6.5</v>
      </c>
      <c r="D27" s="2">
        <f t="shared" si="8"/>
        <v>6.5</v>
      </c>
      <c r="E27" s="237">
        <f>D27</f>
        <v>6.5</v>
      </c>
      <c r="F27" s="237">
        <f t="shared" ref="F27:P27" si="13">E27</f>
        <v>6.5</v>
      </c>
      <c r="G27" s="237">
        <f t="shared" si="13"/>
        <v>6.5</v>
      </c>
      <c r="H27" s="237">
        <f t="shared" si="13"/>
        <v>6.5</v>
      </c>
      <c r="I27" s="237">
        <f t="shared" si="13"/>
        <v>6.5</v>
      </c>
      <c r="J27" s="237">
        <f t="shared" si="13"/>
        <v>6.5</v>
      </c>
      <c r="K27" s="237">
        <f t="shared" si="13"/>
        <v>6.5</v>
      </c>
      <c r="L27" s="237">
        <f t="shared" si="13"/>
        <v>6.5</v>
      </c>
      <c r="M27" s="237">
        <f t="shared" si="13"/>
        <v>6.5</v>
      </c>
      <c r="N27" s="237">
        <f t="shared" si="13"/>
        <v>6.5</v>
      </c>
      <c r="O27" s="237">
        <f t="shared" si="13"/>
        <v>6.5</v>
      </c>
      <c r="P27" s="237">
        <f t="shared" si="13"/>
        <v>6.5</v>
      </c>
      <c r="Q27" s="122" t="s">
        <v>1238</v>
      </c>
      <c r="R27" s="237">
        <f>AVERAGE(E27:P27)</f>
        <v>6.5</v>
      </c>
      <c r="S27" s="34"/>
    </row>
    <row r="28" spans="1:20" x14ac:dyDescent="0.25">
      <c r="A28" t="s">
        <v>1218</v>
      </c>
      <c r="B28" s="3">
        <f t="shared" si="10"/>
        <v>0.68292766645872094</v>
      </c>
      <c r="C28" s="3">
        <f t="shared" si="8"/>
        <v>0.63413134640399638</v>
      </c>
      <c r="D28" s="3">
        <f t="shared" si="8"/>
        <v>0.65737167074797609</v>
      </c>
      <c r="E28" s="3">
        <f>$T$16</f>
        <v>0.66215137618106501</v>
      </c>
      <c r="F28" s="3">
        <f t="shared" ref="F28:P28" si="14">$T$16</f>
        <v>0.66215137618106501</v>
      </c>
      <c r="G28" s="3">
        <f t="shared" si="14"/>
        <v>0.66215137618106501</v>
      </c>
      <c r="H28" s="3">
        <f t="shared" si="14"/>
        <v>0.66215137618106501</v>
      </c>
      <c r="I28" s="3">
        <f t="shared" si="14"/>
        <v>0.66215137618106501</v>
      </c>
      <c r="J28" s="3">
        <f t="shared" si="14"/>
        <v>0.66215137618106501</v>
      </c>
      <c r="K28" s="3">
        <f t="shared" si="14"/>
        <v>0.66215137618106501</v>
      </c>
      <c r="L28" s="3">
        <f t="shared" si="14"/>
        <v>0.66215137618106501</v>
      </c>
      <c r="M28" s="3">
        <f t="shared" si="14"/>
        <v>0.66215137618106501</v>
      </c>
      <c r="N28" s="3">
        <f t="shared" si="14"/>
        <v>0.66215137618106501</v>
      </c>
      <c r="O28" s="3">
        <f t="shared" si="14"/>
        <v>0.66215137618106501</v>
      </c>
      <c r="P28" s="3">
        <f t="shared" si="14"/>
        <v>0.66215137618106501</v>
      </c>
      <c r="Q28" s="132"/>
      <c r="R28" s="3">
        <f>R34/R24</f>
        <v>0.66215137618106512</v>
      </c>
      <c r="S28" s="34" t="s">
        <v>1199</v>
      </c>
    </row>
    <row r="29" spans="1:20" x14ac:dyDescent="0.25">
      <c r="A29" t="s">
        <v>1219</v>
      </c>
      <c r="B29" s="3">
        <f t="shared" si="10"/>
        <v>0.5275519888066017</v>
      </c>
      <c r="C29" s="3">
        <f t="shared" si="8"/>
        <v>0.44227492845584737</v>
      </c>
      <c r="D29" s="3">
        <f t="shared" si="8"/>
        <v>0.29777392433758743</v>
      </c>
      <c r="E29" s="3">
        <f>$U$16</f>
        <v>0.30228224193370279</v>
      </c>
      <c r="F29" s="3">
        <f t="shared" ref="F29:P29" si="15">$U$16</f>
        <v>0.30228224193370279</v>
      </c>
      <c r="G29" s="3">
        <f t="shared" si="15"/>
        <v>0.30228224193370279</v>
      </c>
      <c r="H29" s="3">
        <f t="shared" si="15"/>
        <v>0.30228224193370279</v>
      </c>
      <c r="I29" s="3">
        <f t="shared" si="15"/>
        <v>0.30228224193370279</v>
      </c>
      <c r="J29" s="3">
        <f t="shared" si="15"/>
        <v>0.30228224193370279</v>
      </c>
      <c r="K29" s="3">
        <f t="shared" si="15"/>
        <v>0.30228224193370279</v>
      </c>
      <c r="L29" s="3">
        <f t="shared" si="15"/>
        <v>0.30228224193370279</v>
      </c>
      <c r="M29" s="3">
        <f t="shared" si="15"/>
        <v>0.30228224193370279</v>
      </c>
      <c r="N29" s="3">
        <f t="shared" si="15"/>
        <v>0.30228224193370279</v>
      </c>
      <c r="O29" s="3">
        <f t="shared" si="15"/>
        <v>0.30228224193370279</v>
      </c>
      <c r="P29" s="3">
        <f t="shared" si="15"/>
        <v>0.30228224193370279</v>
      </c>
      <c r="Q29" s="122"/>
      <c r="R29" s="3">
        <f>R35/R25</f>
        <v>0.30228224193370279</v>
      </c>
      <c r="S29" s="34" t="s">
        <v>1199</v>
      </c>
    </row>
    <row r="30" spans="1:20" x14ac:dyDescent="0.25">
      <c r="A30" t="s">
        <v>1220</v>
      </c>
      <c r="B30" s="3">
        <f t="shared" si="10"/>
        <v>0.40448712354808741</v>
      </c>
      <c r="C30" s="3">
        <f t="shared" si="8"/>
        <v>0.34544040208000526</v>
      </c>
      <c r="D30" s="3">
        <f t="shared" si="8"/>
        <v>0.45939656684234909</v>
      </c>
      <c r="E30" s="3">
        <f>E37/E26</f>
        <v>0.33029306686402554</v>
      </c>
      <c r="F30" s="3">
        <f t="shared" ref="F30:P30" si="16">F37/F26</f>
        <v>0.29065789884034254</v>
      </c>
      <c r="G30" s="3">
        <f t="shared" si="16"/>
        <v>0.35446085224432017</v>
      </c>
      <c r="H30" s="3">
        <f t="shared" si="16"/>
        <v>0.29065789884034254</v>
      </c>
      <c r="I30" s="3">
        <f t="shared" si="16"/>
        <v>0.29658969269422703</v>
      </c>
      <c r="J30" s="3">
        <f t="shared" si="16"/>
        <v>0.31593249873950274</v>
      </c>
      <c r="K30" s="3">
        <f t="shared" si="16"/>
        <v>0.30276864462535674</v>
      </c>
      <c r="L30" s="3">
        <f t="shared" si="16"/>
        <v>0.3092105306812154</v>
      </c>
      <c r="M30" s="3">
        <f t="shared" si="16"/>
        <v>0.33029306686402554</v>
      </c>
      <c r="N30" s="3">
        <f t="shared" si="16"/>
        <v>0.33029306686402554</v>
      </c>
      <c r="O30" s="3">
        <f t="shared" si="16"/>
        <v>0.34602130814326487</v>
      </c>
      <c r="P30" s="3">
        <f t="shared" si="16"/>
        <v>0.3092105306812154</v>
      </c>
      <c r="Q30" s="122"/>
      <c r="R30" s="3">
        <f>R37/R26</f>
        <v>0.31593249873950269</v>
      </c>
      <c r="S30" s="34"/>
    </row>
    <row r="31" spans="1:20" x14ac:dyDescent="0.25">
      <c r="A31" s="7" t="s">
        <v>1221</v>
      </c>
      <c r="B31" s="6">
        <f t="shared" si="10"/>
        <v>19003.972307692307</v>
      </c>
      <c r="C31" s="6">
        <f t="shared" si="8"/>
        <v>19320.935384615386</v>
      </c>
      <c r="D31" s="6">
        <f t="shared" si="8"/>
        <v>18667.336923076924</v>
      </c>
      <c r="E31" s="6">
        <f>E24/E27</f>
        <v>19268.001444816058</v>
      </c>
      <c r="F31" s="6">
        <f t="shared" ref="F31:P31" si="17">F24/F27</f>
        <v>21895.456187290973</v>
      </c>
      <c r="G31" s="6">
        <f t="shared" si="17"/>
        <v>17954.274073578596</v>
      </c>
      <c r="H31" s="6">
        <f t="shared" si="17"/>
        <v>21895.456187290973</v>
      </c>
      <c r="I31" s="6">
        <f t="shared" si="17"/>
        <v>21457.547063545153</v>
      </c>
      <c r="J31" s="6">
        <f t="shared" si="17"/>
        <v>20143.819692307698</v>
      </c>
      <c r="K31" s="6">
        <f t="shared" si="17"/>
        <v>21019.63793979933</v>
      </c>
      <c r="L31" s="6">
        <f t="shared" si="17"/>
        <v>20581.728816053517</v>
      </c>
      <c r="M31" s="6">
        <f t="shared" si="17"/>
        <v>19268.001444816058</v>
      </c>
      <c r="N31" s="6">
        <f t="shared" si="17"/>
        <v>19268.001444816058</v>
      </c>
      <c r="O31" s="6">
        <f t="shared" si="17"/>
        <v>18392.183197324415</v>
      </c>
      <c r="P31" s="6">
        <f t="shared" si="17"/>
        <v>20581.728816053517</v>
      </c>
      <c r="Q31" s="116"/>
      <c r="R31" s="6">
        <f>R24/R27/12</f>
        <v>20143.819692307694</v>
      </c>
      <c r="S31" s="34" t="s">
        <v>1245</v>
      </c>
    </row>
    <row r="32" spans="1:20" x14ac:dyDescent="0.25">
      <c r="A32" s="7" t="s">
        <v>1222</v>
      </c>
      <c r="B32" s="6">
        <f t="shared" si="10"/>
        <v>12978.338461538464</v>
      </c>
      <c r="C32" s="6">
        <f t="shared" si="8"/>
        <v>12252.01076923077</v>
      </c>
      <c r="D32" s="6">
        <f t="shared" si="8"/>
        <v>12271.378461538461</v>
      </c>
      <c r="E32" s="6">
        <f>E34/E27</f>
        <v>12758.333672943701</v>
      </c>
      <c r="F32" s="6">
        <f t="shared" ref="F32:P32" si="18">F34/F27</f>
        <v>14498.106446526932</v>
      </c>
      <c r="G32" s="6">
        <f t="shared" si="18"/>
        <v>11888.447286152084</v>
      </c>
      <c r="H32" s="6">
        <f t="shared" si="18"/>
        <v>14498.106446526932</v>
      </c>
      <c r="I32" s="6">
        <f t="shared" si="18"/>
        <v>14208.144317596394</v>
      </c>
      <c r="J32" s="6">
        <f t="shared" si="18"/>
        <v>13338.257930804779</v>
      </c>
      <c r="K32" s="6">
        <f t="shared" si="18"/>
        <v>13918.182188665853</v>
      </c>
      <c r="L32" s="6">
        <f t="shared" si="18"/>
        <v>13628.220059735319</v>
      </c>
      <c r="M32" s="6">
        <f t="shared" si="18"/>
        <v>12758.333672943701</v>
      </c>
      <c r="N32" s="6">
        <f t="shared" si="18"/>
        <v>12758.333672943701</v>
      </c>
      <c r="O32" s="6">
        <f t="shared" si="18"/>
        <v>12178.40941508262</v>
      </c>
      <c r="P32" s="6">
        <f t="shared" si="18"/>
        <v>13628.220059735319</v>
      </c>
      <c r="Q32" s="116"/>
      <c r="R32" s="6">
        <f>R34/R27/12</f>
        <v>13338.257930804779</v>
      </c>
      <c r="S32" s="34"/>
    </row>
    <row r="33" spans="1:20" x14ac:dyDescent="0.25">
      <c r="A33" s="7"/>
      <c r="B33" s="6"/>
      <c r="C33" s="6"/>
      <c r="D33" s="6"/>
      <c r="E33" s="6"/>
      <c r="F33" s="6"/>
      <c r="G33" s="6"/>
      <c r="H33" s="6"/>
      <c r="I33" s="6"/>
      <c r="J33" s="6"/>
      <c r="K33" s="6"/>
      <c r="L33" s="6"/>
      <c r="M33" s="6"/>
      <c r="N33" s="6"/>
      <c r="O33" s="6"/>
      <c r="P33" s="6"/>
      <c r="Q33" s="116"/>
      <c r="R33" s="6"/>
      <c r="S33" s="34"/>
      <c r="T33">
        <f>S34/R28</f>
        <v>28916.781736733272</v>
      </c>
    </row>
    <row r="34" spans="1:20" x14ac:dyDescent="0.25">
      <c r="A34" s="7" t="s">
        <v>1223</v>
      </c>
      <c r="B34" s="6">
        <f t="shared" si="10"/>
        <v>84359.200000000012</v>
      </c>
      <c r="C34" s="6">
        <f t="shared" si="10"/>
        <v>79638.070000000007</v>
      </c>
      <c r="D34" s="6">
        <f t="shared" si="10"/>
        <v>79763.959999999992</v>
      </c>
      <c r="E34" s="6">
        <f>E24*E28</f>
        <v>82929.168874134062</v>
      </c>
      <c r="F34" s="6">
        <f t="shared" ref="F34:P35" si="19">F24*F28</f>
        <v>94237.691902425053</v>
      </c>
      <c r="G34" s="6">
        <f t="shared" si="19"/>
        <v>77274.907359988545</v>
      </c>
      <c r="H34" s="6">
        <f t="shared" si="19"/>
        <v>94237.691902425053</v>
      </c>
      <c r="I34" s="6">
        <f t="shared" si="19"/>
        <v>92352.938064376562</v>
      </c>
      <c r="J34" s="6">
        <f t="shared" si="19"/>
        <v>86698.676550231059</v>
      </c>
      <c r="K34" s="6">
        <f t="shared" si="19"/>
        <v>90468.184226328041</v>
      </c>
      <c r="L34" s="6">
        <f t="shared" si="19"/>
        <v>88583.430388279565</v>
      </c>
      <c r="M34" s="6">
        <f t="shared" si="19"/>
        <v>82929.168874134062</v>
      </c>
      <c r="N34" s="6">
        <f t="shared" si="19"/>
        <v>82929.168874134062</v>
      </c>
      <c r="O34" s="6">
        <f t="shared" si="19"/>
        <v>79159.661198037036</v>
      </c>
      <c r="P34" s="6">
        <f t="shared" si="19"/>
        <v>88583.430388279565</v>
      </c>
      <c r="Q34" s="116"/>
      <c r="R34" s="6">
        <f>SUM(E34:P34)</f>
        <v>1040384.1186027728</v>
      </c>
      <c r="S34" s="34">
        <f>95000*R27/'Service - Group '!R27</f>
        <v>19147.286821705427</v>
      </c>
      <c r="T34" s="7" t="s">
        <v>1334</v>
      </c>
    </row>
    <row r="35" spans="1:20" x14ac:dyDescent="0.25">
      <c r="A35" s="7" t="s">
        <v>1224</v>
      </c>
      <c r="B35" s="6">
        <f t="shared" si="10"/>
        <v>12879.860000000015</v>
      </c>
      <c r="C35" s="6">
        <f t="shared" si="10"/>
        <v>14986.339999999997</v>
      </c>
      <c r="D35" s="6">
        <f t="shared" si="10"/>
        <v>10426.949999999997</v>
      </c>
      <c r="E35" s="6">
        <f>E25*E29</f>
        <v>9714.7966598341955</v>
      </c>
      <c r="F35" s="6">
        <f t="shared" si="19"/>
        <v>11039.541658902492</v>
      </c>
      <c r="G35" s="6">
        <f t="shared" si="19"/>
        <v>9052.4241603000446</v>
      </c>
      <c r="H35" s="6">
        <f t="shared" si="19"/>
        <v>11039.541658902492</v>
      </c>
      <c r="I35" s="6">
        <f t="shared" si="19"/>
        <v>10818.750825724452</v>
      </c>
      <c r="J35" s="6">
        <f t="shared" si="19"/>
        <v>10156.378326190292</v>
      </c>
      <c r="K35" s="6">
        <f t="shared" si="19"/>
        <v>10597.959992546403</v>
      </c>
      <c r="L35" s="6">
        <f t="shared" si="19"/>
        <v>10377.169159368344</v>
      </c>
      <c r="M35" s="6">
        <f t="shared" si="19"/>
        <v>9714.7966598341955</v>
      </c>
      <c r="N35" s="6">
        <f t="shared" si="19"/>
        <v>9714.7966598341955</v>
      </c>
      <c r="O35" s="6">
        <f t="shared" si="19"/>
        <v>9273.214993478101</v>
      </c>
      <c r="P35" s="6">
        <f t="shared" si="19"/>
        <v>10377.169159368344</v>
      </c>
      <c r="Q35" s="34"/>
      <c r="R35" s="6">
        <f>SUM(E35:P35)</f>
        <v>121876.53991428357</v>
      </c>
      <c r="S35" s="34"/>
    </row>
    <row r="36" spans="1:20" x14ac:dyDescent="0.25">
      <c r="A36" s="7" t="s">
        <v>1225</v>
      </c>
      <c r="B36" s="6">
        <f t="shared" si="10"/>
        <v>97239.060000000027</v>
      </c>
      <c r="C36" s="6">
        <f t="shared" si="10"/>
        <v>94624.41</v>
      </c>
      <c r="D36" s="6">
        <f t="shared" si="10"/>
        <v>90190.909999999989</v>
      </c>
      <c r="E36" s="6">
        <f>E34+E35</f>
        <v>92643.965533968265</v>
      </c>
      <c r="F36" s="6">
        <f t="shared" ref="F36:P36" si="20">F34+F35</f>
        <v>105277.23356132755</v>
      </c>
      <c r="G36" s="6">
        <f t="shared" si="20"/>
        <v>86327.331520288586</v>
      </c>
      <c r="H36" s="6">
        <f t="shared" si="20"/>
        <v>105277.23356132755</v>
      </c>
      <c r="I36" s="6">
        <f t="shared" si="20"/>
        <v>103171.68889010101</v>
      </c>
      <c r="J36" s="6">
        <f t="shared" si="20"/>
        <v>96855.054876421345</v>
      </c>
      <c r="K36" s="6">
        <f t="shared" si="20"/>
        <v>101066.14421887444</v>
      </c>
      <c r="L36" s="6">
        <f t="shared" si="20"/>
        <v>98960.599547647915</v>
      </c>
      <c r="M36" s="6">
        <f t="shared" si="20"/>
        <v>92643.965533968265</v>
      </c>
      <c r="N36" s="6">
        <f t="shared" si="20"/>
        <v>92643.965533968265</v>
      </c>
      <c r="O36" s="6">
        <f t="shared" si="20"/>
        <v>88432.876191515141</v>
      </c>
      <c r="P36" s="6">
        <f t="shared" si="20"/>
        <v>98960.599547647915</v>
      </c>
      <c r="Q36" s="34"/>
      <c r="R36" s="6">
        <f>SUM(E36:P36)</f>
        <v>1162260.6585170561</v>
      </c>
      <c r="S36" s="34"/>
    </row>
    <row r="37" spans="1:20" x14ac:dyDescent="0.25">
      <c r="A37" s="7" t="s">
        <v>1226</v>
      </c>
      <c r="B37" s="6">
        <f t="shared" si="10"/>
        <v>59839.91</v>
      </c>
      <c r="C37" s="6">
        <f t="shared" si="10"/>
        <v>55087.64</v>
      </c>
      <c r="D37" s="6">
        <f t="shared" si="10"/>
        <v>71828.5</v>
      </c>
      <c r="E37" s="6">
        <f>E44</f>
        <v>51981.580563823067</v>
      </c>
      <c r="F37" s="6">
        <f t="shared" ref="F37:P37" si="21">F44</f>
        <v>51981.580563823067</v>
      </c>
      <c r="G37" s="6">
        <f t="shared" si="21"/>
        <v>51981.580563823067</v>
      </c>
      <c r="H37" s="6">
        <f t="shared" si="21"/>
        <v>51981.580563823067</v>
      </c>
      <c r="I37" s="6">
        <f t="shared" si="21"/>
        <v>51981.580563823067</v>
      </c>
      <c r="J37" s="6">
        <f t="shared" si="21"/>
        <v>51981.580563823067</v>
      </c>
      <c r="K37" s="6">
        <f t="shared" si="21"/>
        <v>51981.580563823067</v>
      </c>
      <c r="L37" s="6">
        <f t="shared" si="21"/>
        <v>51981.580563823067</v>
      </c>
      <c r="M37" s="6">
        <f t="shared" si="21"/>
        <v>51981.580563823067</v>
      </c>
      <c r="N37" s="6">
        <f t="shared" si="21"/>
        <v>51981.580563823067</v>
      </c>
      <c r="O37" s="6">
        <f t="shared" si="21"/>
        <v>51981.580563823067</v>
      </c>
      <c r="P37" s="6">
        <f t="shared" si="21"/>
        <v>51981.580563823067</v>
      </c>
      <c r="Q37" s="131"/>
      <c r="R37" s="6">
        <f>SUM(E37:P37)</f>
        <v>623778.96676587674</v>
      </c>
      <c r="S37" s="34"/>
    </row>
    <row r="38" spans="1:20" ht="15.75" thickBot="1" x14ac:dyDescent="0.3">
      <c r="A38" s="9" t="s">
        <v>1078</v>
      </c>
      <c r="B38" s="10">
        <f>B36-B37</f>
        <v>37399.150000000023</v>
      </c>
      <c r="C38" s="10">
        <f t="shared" ref="C38:P38" si="22">C36-C37</f>
        <v>39536.770000000004</v>
      </c>
      <c r="D38" s="10">
        <f t="shared" si="22"/>
        <v>18362.409999999989</v>
      </c>
      <c r="E38" s="10">
        <f t="shared" si="22"/>
        <v>40662.384970145198</v>
      </c>
      <c r="F38" s="10">
        <f t="shared" si="22"/>
        <v>53295.652997504483</v>
      </c>
      <c r="G38" s="10">
        <f t="shared" si="22"/>
        <v>34345.750956465519</v>
      </c>
      <c r="H38" s="10">
        <f t="shared" si="22"/>
        <v>53295.652997504483</v>
      </c>
      <c r="I38" s="10">
        <f t="shared" si="22"/>
        <v>51190.108326277943</v>
      </c>
      <c r="J38" s="10">
        <f t="shared" si="22"/>
        <v>44873.474312598279</v>
      </c>
      <c r="K38" s="10">
        <f t="shared" si="22"/>
        <v>49084.563655051374</v>
      </c>
      <c r="L38" s="10">
        <f t="shared" si="22"/>
        <v>46979.018983824848</v>
      </c>
      <c r="M38" s="10">
        <f t="shared" si="22"/>
        <v>40662.384970145198</v>
      </c>
      <c r="N38" s="10">
        <f t="shared" si="22"/>
        <v>40662.384970145198</v>
      </c>
      <c r="O38" s="10">
        <f t="shared" si="22"/>
        <v>36451.295627692074</v>
      </c>
      <c r="P38" s="10">
        <f t="shared" si="22"/>
        <v>46979.018983824848</v>
      </c>
      <c r="Q38" s="131"/>
      <c r="R38" s="10">
        <f>R36-R37</f>
        <v>538481.6917511794</v>
      </c>
      <c r="S38" s="34"/>
    </row>
    <row r="39" spans="1:20" ht="15.75" thickTop="1" x14ac:dyDescent="0.25">
      <c r="Q39" s="34"/>
      <c r="S39" s="34"/>
    </row>
    <row r="40" spans="1:20" x14ac:dyDescent="0.25">
      <c r="Q40" s="34"/>
      <c r="R40" t="s">
        <v>1205</v>
      </c>
      <c r="S40" s="34"/>
    </row>
    <row r="41" spans="1:20" x14ac:dyDescent="0.25">
      <c r="A41" t="s">
        <v>1206</v>
      </c>
      <c r="B41" s="121">
        <f t="shared" ref="B41:P41" si="23">B4/$R$41</f>
        <v>0.73916565917197896</v>
      </c>
      <c r="C41" s="121">
        <f t="shared" si="23"/>
        <v>0.73960292013983442</v>
      </c>
      <c r="D41" s="121">
        <f t="shared" si="23"/>
        <v>1.0662939492633492</v>
      </c>
      <c r="E41" s="121">
        <f t="shared" si="23"/>
        <v>0.78508593474652466</v>
      </c>
      <c r="F41" s="121">
        <f t="shared" si="23"/>
        <v>1.1286539191985552</v>
      </c>
      <c r="G41" s="121">
        <f t="shared" si="23"/>
        <v>0.92398557423944927</v>
      </c>
      <c r="H41" s="121">
        <f t="shared" si="23"/>
        <v>0.91744856984253298</v>
      </c>
      <c r="I41" s="121">
        <f t="shared" si="23"/>
        <v>1.0285166214798951</v>
      </c>
      <c r="J41" s="121">
        <f t="shared" si="23"/>
        <v>0.98149313708255437</v>
      </c>
      <c r="K41" s="121">
        <f t="shared" si="23"/>
        <v>0.93105603872887754</v>
      </c>
      <c r="L41" s="121">
        <f t="shared" si="23"/>
        <v>1.1889334546834509</v>
      </c>
      <c r="M41" s="121">
        <f t="shared" si="23"/>
        <v>0.94428170664094047</v>
      </c>
      <c r="N41" s="121">
        <f t="shared" si="23"/>
        <v>1.0572131455932672</v>
      </c>
      <c r="O41" s="121">
        <f t="shared" si="23"/>
        <v>1.07484617126628</v>
      </c>
      <c r="P41" s="121">
        <f t="shared" si="23"/>
        <v>1.0384857264976723</v>
      </c>
      <c r="Q41" s="34"/>
      <c r="R41" s="7">
        <f>AVERAGE(E4:P4)</f>
        <v>116840.98</v>
      </c>
      <c r="S41" s="34"/>
    </row>
    <row r="42" spans="1:20" x14ac:dyDescent="0.25">
      <c r="E42" s="121">
        <v>0.83696056931976148</v>
      </c>
      <c r="F42" s="121">
        <v>1.100231941457984</v>
      </c>
      <c r="G42" s="121">
        <v>0.92779479496871775</v>
      </c>
      <c r="H42" s="121">
        <v>0.91683168379443747</v>
      </c>
      <c r="I42" s="121">
        <v>1.0984967202361693</v>
      </c>
      <c r="J42" s="121">
        <v>0.96759854824345959</v>
      </c>
      <c r="K42" s="121">
        <v>0.89918285337477133</v>
      </c>
      <c r="L42" s="121">
        <v>1.1672065670213687</v>
      </c>
      <c r="M42" s="121">
        <v>0.87429680443767099</v>
      </c>
      <c r="N42" s="121">
        <v>1.0291822541939886</v>
      </c>
      <c r="O42" s="121">
        <v>1.1620546873406674</v>
      </c>
      <c r="P42" s="121">
        <v>1.0201625756110027</v>
      </c>
      <c r="R42">
        <v>12650.606000000073</v>
      </c>
    </row>
    <row r="43" spans="1:20" x14ac:dyDescent="0.25">
      <c r="A43" s="137" t="s">
        <v>1345</v>
      </c>
      <c r="B43" s="137"/>
      <c r="C43" s="137"/>
      <c r="D43" s="137"/>
      <c r="E43" s="282">
        <v>0.95652173913043481</v>
      </c>
      <c r="F43" s="282">
        <v>1.0869565217391304</v>
      </c>
      <c r="G43" s="282">
        <v>0.89130434782608692</v>
      </c>
      <c r="H43" s="282">
        <v>1.0869565217391304</v>
      </c>
      <c r="I43" s="282">
        <v>1.0652173913043479</v>
      </c>
      <c r="J43" s="282">
        <v>1</v>
      </c>
      <c r="K43" s="282">
        <v>1.0434782608695652</v>
      </c>
      <c r="L43" s="282">
        <v>1.0217391304347827</v>
      </c>
      <c r="M43" s="282">
        <v>0.95652173913043481</v>
      </c>
      <c r="N43" s="282">
        <v>0.95652173913043481</v>
      </c>
      <c r="O43" s="282">
        <v>0.91304347826086951</v>
      </c>
      <c r="P43" s="282">
        <v>1.0217391304347827</v>
      </c>
    </row>
    <row r="44" spans="1:20" x14ac:dyDescent="0.25">
      <c r="A44" s="7" t="s">
        <v>1076</v>
      </c>
      <c r="E44" s="7">
        <f>SUMIFS('[18]Summary - Selling Expenses'!Z:Z,'[18]Summary - Selling Expenses'!$E:$E,3,'[18]Summary - Selling Expenses'!$C:$C,440)</f>
        <v>51981.580563823067</v>
      </c>
      <c r="F44" s="7">
        <f>SUMIFS('[18]Summary - Selling Expenses'!AA:AA,'[18]Summary - Selling Expenses'!$E:$E,3,'[18]Summary - Selling Expenses'!$C:$C,440)</f>
        <v>51981.580563823067</v>
      </c>
      <c r="G44" s="7">
        <f>SUMIFS('[18]Summary - Selling Expenses'!AB:AB,'[18]Summary - Selling Expenses'!$E:$E,3,'[18]Summary - Selling Expenses'!$C:$C,440)</f>
        <v>51981.580563823067</v>
      </c>
      <c r="H44" s="7">
        <f>SUMIFS('[18]Summary - Selling Expenses'!AC:AC,'[18]Summary - Selling Expenses'!$E:$E,3,'[18]Summary - Selling Expenses'!$C:$C,440)</f>
        <v>51981.580563823067</v>
      </c>
      <c r="I44" s="7">
        <f>SUMIFS('[18]Summary - Selling Expenses'!AD:AD,'[18]Summary - Selling Expenses'!$E:$E,3,'[18]Summary - Selling Expenses'!$C:$C,440)</f>
        <v>51981.580563823067</v>
      </c>
      <c r="J44" s="7">
        <f>SUMIFS('[18]Summary - Selling Expenses'!AE:AE,'[18]Summary - Selling Expenses'!$E:$E,3,'[18]Summary - Selling Expenses'!$C:$C,440)</f>
        <v>51981.580563823067</v>
      </c>
      <c r="K44" s="7">
        <f>SUMIFS('[18]Summary - Selling Expenses'!AF:AF,'[18]Summary - Selling Expenses'!$E:$E,3,'[18]Summary - Selling Expenses'!$C:$C,440)</f>
        <v>51981.580563823067</v>
      </c>
      <c r="L44" s="7">
        <f>SUMIFS('[18]Summary - Selling Expenses'!AG:AG,'[18]Summary - Selling Expenses'!$E:$E,3,'[18]Summary - Selling Expenses'!$C:$C,440)</f>
        <v>51981.580563823067</v>
      </c>
      <c r="M44" s="7">
        <f>SUMIFS('[18]Summary - Selling Expenses'!AH:AH,'[18]Summary - Selling Expenses'!$E:$E,3,'[18]Summary - Selling Expenses'!$C:$C,440)</f>
        <v>51981.580563823067</v>
      </c>
      <c r="N44" s="7">
        <f>SUMIFS('[18]Summary - Selling Expenses'!AI:AI,'[18]Summary - Selling Expenses'!$E:$E,3,'[18]Summary - Selling Expenses'!$C:$C,440)</f>
        <v>51981.580563823067</v>
      </c>
      <c r="O44" s="7">
        <f>SUMIFS('[18]Summary - Selling Expenses'!AJ:AJ,'[18]Summary - Selling Expenses'!$E:$E,3,'[18]Summary - Selling Expenses'!$C:$C,440)</f>
        <v>51981.580563823067</v>
      </c>
      <c r="P44" s="7">
        <f>SUMIFS('[18]Summary - Selling Expenses'!AK:AK,'[18]Summary - Selling Expenses'!$E:$E,3,'[18]Summary - Selling Expenses'!$C:$C,440)</f>
        <v>51981.580563823067</v>
      </c>
      <c r="R44" s="6">
        <f>SUM(E44:P44)</f>
        <v>623778.96676587674</v>
      </c>
    </row>
    <row r="45" spans="1:20" x14ac:dyDescent="0.25">
      <c r="R45" s="7">
        <f>R44-SUMIFS('[18]Summary - Selling Expenses'!$AL:$AL,'[18]Summary - Selling Expenses'!$C:$C,440,'[18]Summary - Selling Expenses'!$D:$D,'[18]Summary - Selling Expenses'!$D$11)</f>
        <v>0</v>
      </c>
      <c r="S45" s="34" t="s">
        <v>1093</v>
      </c>
    </row>
    <row r="46" spans="1:20" x14ac:dyDescent="0.25">
      <c r="A46" t="s">
        <v>1319</v>
      </c>
      <c r="E46" s="7">
        <f>E14</f>
        <v>59946.25</v>
      </c>
      <c r="F46" s="7">
        <f t="shared" ref="F46:P46" si="24">F14</f>
        <v>93463.58</v>
      </c>
      <c r="G46" s="7">
        <f t="shared" si="24"/>
        <v>74482.880000000005</v>
      </c>
      <c r="H46" s="7">
        <f t="shared" si="24"/>
        <v>67867</v>
      </c>
      <c r="I46" s="7">
        <f t="shared" si="24"/>
        <v>83190.76999999999</v>
      </c>
      <c r="J46" s="7">
        <f t="shared" si="24"/>
        <v>68635.72</v>
      </c>
      <c r="K46" s="7">
        <f t="shared" si="24"/>
        <v>73115.149999999994</v>
      </c>
      <c r="L46" s="7">
        <f t="shared" si="24"/>
        <v>92177.08</v>
      </c>
      <c r="M46" s="7">
        <f t="shared" si="24"/>
        <v>71177.37</v>
      </c>
      <c r="N46" s="7">
        <f t="shared" si="24"/>
        <v>84359.200000000012</v>
      </c>
      <c r="O46" s="7">
        <f t="shared" si="24"/>
        <v>79638.070000000007</v>
      </c>
      <c r="P46" s="7">
        <f t="shared" si="24"/>
        <v>79763.959999999992</v>
      </c>
      <c r="Q46" s="34"/>
      <c r="R46" s="7">
        <f>SUM(E46:P46)</f>
        <v>927817.03</v>
      </c>
    </row>
    <row r="47" spans="1:20" x14ac:dyDescent="0.25">
      <c r="A47" t="s">
        <v>1320</v>
      </c>
      <c r="E47" s="7">
        <f>E34</f>
        <v>82929.168874134062</v>
      </c>
      <c r="F47" s="7">
        <f t="shared" ref="F47:P47" si="25">F34</f>
        <v>94237.691902425053</v>
      </c>
      <c r="G47" s="7">
        <f t="shared" si="25"/>
        <v>77274.907359988545</v>
      </c>
      <c r="H47" s="7">
        <f t="shared" si="25"/>
        <v>94237.691902425053</v>
      </c>
      <c r="I47" s="7">
        <f t="shared" si="25"/>
        <v>92352.938064376562</v>
      </c>
      <c r="J47" s="7">
        <f t="shared" si="25"/>
        <v>86698.676550231059</v>
      </c>
      <c r="K47" s="7">
        <f t="shared" si="25"/>
        <v>90468.184226328041</v>
      </c>
      <c r="L47" s="7">
        <f t="shared" si="25"/>
        <v>88583.430388279565</v>
      </c>
      <c r="M47" s="7">
        <f t="shared" si="25"/>
        <v>82929.168874134062</v>
      </c>
      <c r="N47" s="7">
        <f t="shared" si="25"/>
        <v>82929.168874134062</v>
      </c>
      <c r="O47" s="7">
        <f t="shared" si="25"/>
        <v>79159.661198037036</v>
      </c>
      <c r="P47" s="7">
        <f t="shared" si="25"/>
        <v>88583.430388279565</v>
      </c>
      <c r="Q47" s="34"/>
      <c r="R47" s="7">
        <f>SUM(E47:P47)</f>
        <v>1040384.1186027728</v>
      </c>
    </row>
  </sheetData>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38F81-3F8E-49F1-82E0-AD53D1AC8F6C}">
  <sheetPr codeName="Sheet24">
    <tabColor theme="9" tint="0.79998168889431442"/>
  </sheetPr>
  <dimension ref="A1:Z42"/>
  <sheetViews>
    <sheetView zoomScale="85" zoomScaleNormal="85" workbookViewId="0">
      <selection activeCell="X22" sqref="X22"/>
    </sheetView>
  </sheetViews>
  <sheetFormatPr defaultRowHeight="15" x14ac:dyDescent="0.25"/>
  <cols>
    <col min="1" max="1" width="28.5703125" bestFit="1" customWidth="1"/>
    <col min="2" max="4" width="10.140625" hidden="1" customWidth="1"/>
    <col min="5" max="5" width="12.85546875" customWidth="1"/>
    <col min="6" max="16" width="10.7109375" customWidth="1"/>
    <col min="17" max="17" width="2.85546875" customWidth="1"/>
    <col min="18" max="19" width="14.28515625" bestFit="1" customWidth="1"/>
    <col min="20" max="20" width="11.140625" bestFit="1" customWidth="1"/>
    <col min="21" max="21" width="13.28515625" bestFit="1" customWidth="1"/>
    <col min="22" max="22" width="11.5703125" bestFit="1" customWidth="1"/>
    <col min="24" max="24" width="13.42578125" bestFit="1" customWidth="1"/>
    <col min="25" max="25" width="13.28515625" customWidth="1"/>
    <col min="26" max="26" width="11.5703125" bestFit="1" customWidth="1"/>
  </cols>
  <sheetData>
    <row r="1" spans="1:26" ht="15.75" x14ac:dyDescent="0.25">
      <c r="A1" s="11" t="s">
        <v>1246</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c r="S1" s="5" t="s">
        <v>951</v>
      </c>
      <c r="U1" t="s">
        <v>1247</v>
      </c>
    </row>
    <row r="2" spans="1:26"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960</v>
      </c>
      <c r="S2" s="5" t="s">
        <v>961</v>
      </c>
    </row>
    <row r="4" spans="1:26" x14ac:dyDescent="0.25">
      <c r="A4" s="9" t="s">
        <v>1248</v>
      </c>
      <c r="B4" s="20">
        <f>'[3]ADMIN &amp; OTHER'!$B$6</f>
        <v>499466.25</v>
      </c>
      <c r="C4" s="20">
        <f>'[4]ADMIN &amp; OTHER'!$B$6</f>
        <v>553670.17999999993</v>
      </c>
      <c r="D4" s="20">
        <f>'[5]ADMIN &amp; OTHER'!$B$6</f>
        <v>126684.46999999986</v>
      </c>
      <c r="E4" s="20">
        <f>'[6]ADMIN &amp; OTHER'!$B$6</f>
        <v>540083.30999999971</v>
      </c>
      <c r="F4" s="20">
        <f>'[7]ADMIN &amp; OTHER'!$B$6</f>
        <v>648053.46999999951</v>
      </c>
      <c r="G4" s="20">
        <f>'[8]ADMIN &amp; OTHER'!$B$6</f>
        <v>596262.0400000005</v>
      </c>
      <c r="H4" s="20">
        <f>'[9]ADMIN &amp; OTHER'!$B$6</f>
        <v>543170.77000000014</v>
      </c>
      <c r="I4" s="20">
        <f>'[10]ADMIN &amp; OTHER'!$B$6</f>
        <v>612226.25999999966</v>
      </c>
      <c r="J4" s="20">
        <f>'[11]ADMIN &amp; OTHER'!$B$6</f>
        <v>561055.66999999981</v>
      </c>
      <c r="K4" s="20">
        <f>'[12]ADMIN &amp; OTHER'!$B$6</f>
        <v>547436.88000000024</v>
      </c>
      <c r="L4" s="20">
        <f>'[13]ADMIN &amp; OTHER'!$B$6</f>
        <v>571713.93999999959</v>
      </c>
      <c r="M4" s="20">
        <f>'[14]ADMIN &amp; OTHER'!$B$6</f>
        <v>560376.72000000055</v>
      </c>
      <c r="N4" s="8">
        <f>'[15]ADMIN &amp; OTHER'!$B$6</f>
        <v>571135.65999999992</v>
      </c>
      <c r="O4" s="8">
        <f>'[16]ADMIN &amp; OTHER'!$B$6</f>
        <v>551693.85999999929</v>
      </c>
      <c r="P4" s="8">
        <f>'[17]ADMIN &amp; OTHER'!$B$6</f>
        <v>562294.41000000015</v>
      </c>
      <c r="Q4" s="8"/>
      <c r="R4" s="8">
        <f>SUM(B4:M4)</f>
        <v>6360199.959999999</v>
      </c>
      <c r="S4" s="8">
        <f>SUM(E4:P4)</f>
        <v>6865502.9900000002</v>
      </c>
      <c r="U4" s="15">
        <f>SUM(E4:M4)</f>
        <v>5180379.0600000005</v>
      </c>
      <c r="V4" s="15">
        <f>U4/9</f>
        <v>575597.67333333334</v>
      </c>
      <c r="Y4" s="15"/>
      <c r="Z4" s="15"/>
    </row>
    <row r="5" spans="1:26" x14ac:dyDescent="0.25">
      <c r="B5" s="2"/>
      <c r="C5" s="2"/>
      <c r="D5" s="2"/>
      <c r="E5" s="2"/>
      <c r="F5" s="2"/>
      <c r="G5" s="2"/>
      <c r="H5" s="2"/>
      <c r="I5" s="2"/>
      <c r="J5" s="2"/>
      <c r="K5" s="2"/>
      <c r="L5" s="1"/>
      <c r="M5" s="1"/>
      <c r="N5" s="1"/>
      <c r="O5" s="1"/>
      <c r="P5" s="1"/>
      <c r="Q5" s="1"/>
      <c r="R5" s="1"/>
      <c r="S5" s="1"/>
      <c r="Y5" s="15"/>
    </row>
    <row r="6" spans="1:26" x14ac:dyDescent="0.25">
      <c r="A6" t="s">
        <v>1249</v>
      </c>
      <c r="B6" s="62">
        <f t="shared" ref="B6:L6" si="0">B4/B7</f>
        <v>0.42745436404511056</v>
      </c>
      <c r="C6" s="62">
        <f t="shared" si="0"/>
        <v>0.4754941571013222</v>
      </c>
      <c r="D6" s="62">
        <f t="shared" si="0"/>
        <v>6.4392549276390293E-2</v>
      </c>
      <c r="E6" s="62">
        <f t="shared" si="0"/>
        <v>0.44166534323797696</v>
      </c>
      <c r="F6" s="62">
        <f t="shared" si="0"/>
        <v>0.43519210662111218</v>
      </c>
      <c r="G6" s="62">
        <f t="shared" si="0"/>
        <v>0.26282761059090903</v>
      </c>
      <c r="H6" s="62">
        <f t="shared" si="0"/>
        <v>0.49601945793990737</v>
      </c>
      <c r="I6" s="62">
        <f>I4/I7</f>
        <v>0.42179635707590818</v>
      </c>
      <c r="J6" s="62">
        <f t="shared" si="0"/>
        <v>0.3220432296176533</v>
      </c>
      <c r="K6" s="62">
        <f t="shared" si="0"/>
        <v>0.43004430234124991</v>
      </c>
      <c r="L6" s="62">
        <f t="shared" si="0"/>
        <v>0.37707848481278045</v>
      </c>
      <c r="M6" s="62">
        <f>M4/M7</f>
        <v>0.34327904812876053</v>
      </c>
      <c r="N6" s="62">
        <f>N4/N7</f>
        <v>0.42771792584511231</v>
      </c>
      <c r="O6" s="62">
        <f>O4/O7</f>
        <v>0.41523858416683557</v>
      </c>
      <c r="P6" s="62">
        <f>P4/P7</f>
        <v>0.32646381912644729</v>
      </c>
      <c r="Q6" s="3"/>
      <c r="R6" s="62">
        <f>R4/R7</f>
        <v>0.35351868510093254</v>
      </c>
      <c r="S6" s="62">
        <f>S4/S7</f>
        <v>0.37978837344719485</v>
      </c>
      <c r="U6" s="62">
        <f>U4/U7</f>
        <v>0.37838192538520488</v>
      </c>
      <c r="Y6" s="15"/>
    </row>
    <row r="7" spans="1:26" x14ac:dyDescent="0.25">
      <c r="A7" t="s">
        <v>1250</v>
      </c>
      <c r="B7" s="7">
        <f>SUM(B8:B12)</f>
        <v>1168466.8400000001</v>
      </c>
      <c r="C7" s="7">
        <f t="shared" ref="C7:P7" si="1">SUM(C8:C12)</f>
        <v>1164410.0599999998</v>
      </c>
      <c r="D7" s="7">
        <f t="shared" si="1"/>
        <v>1967377.7700000003</v>
      </c>
      <c r="E7" s="7">
        <f t="shared" si="1"/>
        <v>1222833.8</v>
      </c>
      <c r="F7" s="7">
        <f t="shared" si="1"/>
        <v>1489120.4599999997</v>
      </c>
      <c r="G7" s="7">
        <f t="shared" si="1"/>
        <v>2268643.08</v>
      </c>
      <c r="H7" s="7">
        <f t="shared" si="1"/>
        <v>1095059.3999999999</v>
      </c>
      <c r="I7" s="7">
        <f t="shared" si="1"/>
        <v>1451473.56</v>
      </c>
      <c r="J7" s="7">
        <f t="shared" si="1"/>
        <v>1742175.0200000003</v>
      </c>
      <c r="K7" s="7">
        <f t="shared" si="1"/>
        <v>1272977.8699999999</v>
      </c>
      <c r="L7" s="7">
        <f t="shared" si="1"/>
        <v>1516166.9600000002</v>
      </c>
      <c r="M7" s="7">
        <f t="shared" si="1"/>
        <v>1632423.31</v>
      </c>
      <c r="N7" s="7">
        <f t="shared" si="1"/>
        <v>1335309.1499999999</v>
      </c>
      <c r="O7" s="7">
        <f t="shared" si="1"/>
        <v>1328618.9699999997</v>
      </c>
      <c r="P7" s="7">
        <f t="shared" si="1"/>
        <v>1722378.95</v>
      </c>
      <c r="R7" s="61">
        <f>SUM(R8:R12)</f>
        <v>17991128.129999999</v>
      </c>
      <c r="S7" s="61">
        <f>SUM(S8:S12)</f>
        <v>18077180.530000001</v>
      </c>
      <c r="U7" s="61">
        <f>SUM(U8:U12)</f>
        <v>13690873.459999997</v>
      </c>
      <c r="Y7" s="15"/>
    </row>
    <row r="8" spans="1:26" x14ac:dyDescent="0.25">
      <c r="A8" t="s">
        <v>1251</v>
      </c>
      <c r="B8" s="7">
        <f>'Overall '!B4</f>
        <v>235946.4</v>
      </c>
      <c r="C8" s="7">
        <f>'Overall '!C4</f>
        <v>149272.12</v>
      </c>
      <c r="D8" s="7">
        <f>'Overall '!D4</f>
        <v>321380.92000000004</v>
      </c>
      <c r="E8" s="7">
        <f>'Overall '!E4</f>
        <v>283912.3</v>
      </c>
      <c r="F8" s="7">
        <f>'Overall '!F4</f>
        <v>280824</v>
      </c>
      <c r="G8" s="7">
        <f>'Overall '!G4</f>
        <v>587463.18000000005</v>
      </c>
      <c r="H8" s="7">
        <f>'Overall '!H4</f>
        <v>108493.68</v>
      </c>
      <c r="I8" s="7">
        <f>'Overall '!I4</f>
        <v>258995.4200000001</v>
      </c>
      <c r="J8" s="7">
        <f>'Overall '!J4</f>
        <v>310064.15000000002</v>
      </c>
      <c r="K8" s="7">
        <f>'Overall '!K4</f>
        <v>157019.91999999998</v>
      </c>
      <c r="L8" s="7">
        <f>'Overall '!L4</f>
        <v>212664.96999999994</v>
      </c>
      <c r="M8" s="7">
        <f>'Overall '!M4</f>
        <v>254575.2</v>
      </c>
      <c r="N8" s="7">
        <f>'Overall '!N4</f>
        <v>247768.77</v>
      </c>
      <c r="O8" s="7">
        <f>'Overall '!O4</f>
        <v>176629.27</v>
      </c>
      <c r="P8" s="7">
        <f>'Overall '!P4</f>
        <v>314984.34999999992</v>
      </c>
      <c r="Q8" s="1"/>
      <c r="R8" s="61">
        <f>SUM(B8:M8)</f>
        <v>3160612.26</v>
      </c>
      <c r="S8" s="61">
        <f>SUM(E8:P8)</f>
        <v>3193395.21</v>
      </c>
      <c r="T8" s="14"/>
      <c r="U8" s="61">
        <f>SUM(E8:M8)</f>
        <v>2454012.8199999998</v>
      </c>
      <c r="Y8" s="15"/>
    </row>
    <row r="9" spans="1:26" x14ac:dyDescent="0.25">
      <c r="A9" t="s">
        <v>1252</v>
      </c>
      <c r="B9" s="7">
        <f>'Overall '!B5</f>
        <v>161476.22000000012</v>
      </c>
      <c r="C9" s="7">
        <f>'Overall '!C5</f>
        <v>248128.22999999984</v>
      </c>
      <c r="D9" s="7">
        <f>'Overall '!D5</f>
        <v>293152.72999999981</v>
      </c>
      <c r="E9" s="7">
        <f>'Overall '!E5</f>
        <v>186659.14</v>
      </c>
      <c r="F9" s="7">
        <f>'Overall '!F5</f>
        <v>192979.51999999973</v>
      </c>
      <c r="G9" s="7">
        <f>'Overall '!G5</f>
        <v>322087.64000000013</v>
      </c>
      <c r="H9" s="7">
        <f>'Overall '!H5</f>
        <v>185605.65</v>
      </c>
      <c r="I9" s="7">
        <f>'Overall '!I5</f>
        <v>221465.96000000002</v>
      </c>
      <c r="J9" s="7">
        <f>'Overall '!J5</f>
        <v>291674.07000000012</v>
      </c>
      <c r="K9" s="7">
        <f>'Overall '!K5</f>
        <v>223015.61000000004</v>
      </c>
      <c r="L9" s="7">
        <f>'Overall '!L5</f>
        <v>197174.68000000011</v>
      </c>
      <c r="M9" s="7">
        <f>'Overall '!M5</f>
        <v>282964.18999999994</v>
      </c>
      <c r="N9" s="7">
        <f>'Overall '!N5</f>
        <v>244080.81000000011</v>
      </c>
      <c r="O9" s="7">
        <f>'Overall '!O5</f>
        <v>226949.52999999985</v>
      </c>
      <c r="P9" s="7">
        <f>'Overall '!P5</f>
        <v>313777.93</v>
      </c>
      <c r="Q9" s="1"/>
      <c r="R9" s="61">
        <f>SUM(B9:M9)</f>
        <v>2806383.6399999997</v>
      </c>
      <c r="S9" s="61">
        <f>SUM(E9:P9)</f>
        <v>2888434.73</v>
      </c>
      <c r="T9" s="14"/>
      <c r="U9" s="61">
        <f>SUM(E9:M9)</f>
        <v>2103626.46</v>
      </c>
      <c r="Y9" s="15"/>
    </row>
    <row r="10" spans="1:26" x14ac:dyDescent="0.25">
      <c r="A10" t="s">
        <v>1253</v>
      </c>
      <c r="B10" s="7">
        <f>'Overall '!B6</f>
        <v>133391.37</v>
      </c>
      <c r="C10" s="7">
        <f>'Overall '!C6</f>
        <v>125628.19000000002</v>
      </c>
      <c r="D10" s="7">
        <f>'Overall '!D6</f>
        <v>332335.28999999998</v>
      </c>
      <c r="E10" s="7">
        <f>'Overall '!E6</f>
        <v>150006.46000000002</v>
      </c>
      <c r="F10" s="7">
        <f>'Overall '!F6</f>
        <v>168139.02999999997</v>
      </c>
      <c r="G10" s="7">
        <f>'Overall '!G6</f>
        <v>419093.80999999994</v>
      </c>
      <c r="H10" s="7">
        <f>'Overall '!H6</f>
        <v>86055.72</v>
      </c>
      <c r="I10" s="7">
        <f>'Overall '!I6</f>
        <v>126021.19</v>
      </c>
      <c r="J10" s="7">
        <f>'Overall '!J6</f>
        <v>273129.20999999996</v>
      </c>
      <c r="K10" s="7">
        <f>'Overall '!K6</f>
        <v>138773.15</v>
      </c>
      <c r="L10" s="7">
        <f>'Overall '!L6</f>
        <v>172104.92</v>
      </c>
      <c r="M10" s="7">
        <f>'Overall '!M6</f>
        <v>237357.05</v>
      </c>
      <c r="N10" s="7">
        <f>'Overall '!N6</f>
        <v>151593.87</v>
      </c>
      <c r="O10" s="7">
        <f>'Overall '!O6</f>
        <v>148915.72</v>
      </c>
      <c r="P10" s="7">
        <f>'Overall '!P6</f>
        <v>198014.64</v>
      </c>
      <c r="R10" s="61">
        <f>SUM(B10:M10)</f>
        <v>2362035.3899999997</v>
      </c>
      <c r="S10" s="61">
        <f>SUM(E10:P10)</f>
        <v>2269204.7699999996</v>
      </c>
      <c r="U10" s="61">
        <f>SUM(E10:M10)</f>
        <v>1770680.5399999998</v>
      </c>
      <c r="Y10" s="15"/>
    </row>
    <row r="11" spans="1:26" x14ac:dyDescent="0.25">
      <c r="A11" t="s">
        <v>1254</v>
      </c>
      <c r="B11" s="7">
        <f>'Overall '!B7</f>
        <v>225653.55000000002</v>
      </c>
      <c r="C11" s="7">
        <f>'Overall '!C7</f>
        <v>209744.87</v>
      </c>
      <c r="D11" s="7">
        <f>'Overall '!D7</f>
        <v>437050.03000000014</v>
      </c>
      <c r="E11" s="7">
        <f>'Overall '!E7</f>
        <v>233454.56999999998</v>
      </c>
      <c r="F11" s="7">
        <f>'Overall '!F7</f>
        <v>249262.66</v>
      </c>
      <c r="G11" s="7">
        <f>'Overall '!G7</f>
        <v>435376.72000000003</v>
      </c>
      <c r="H11" s="7">
        <f>'Overall '!H7</f>
        <v>265233.52999999997</v>
      </c>
      <c r="I11" s="7">
        <f>'Overall '!I7</f>
        <v>266030.30000000005</v>
      </c>
      <c r="J11" s="7">
        <f>'Overall '!J7</f>
        <v>374300.31</v>
      </c>
      <c r="K11" s="7">
        <f>'Overall '!K7</f>
        <v>254952.01999999996</v>
      </c>
      <c r="L11" s="7">
        <f>'Overall '!L7</f>
        <v>333713.92000000004</v>
      </c>
      <c r="M11" s="7">
        <f>'Overall '!M7</f>
        <v>328297.55</v>
      </c>
      <c r="N11" s="7">
        <f>'Overall '!N7</f>
        <v>200493.9599999999</v>
      </c>
      <c r="O11" s="7">
        <f>'Overall '!O7</f>
        <v>279581.93</v>
      </c>
      <c r="P11" s="7">
        <f>'Overall '!P7</f>
        <v>376121.5</v>
      </c>
      <c r="R11" s="61">
        <f>SUM(B11:M11)</f>
        <v>3613070.0300000003</v>
      </c>
      <c r="S11" s="61">
        <f>SUM(E11:P11)</f>
        <v>3596818.97</v>
      </c>
      <c r="T11" s="14"/>
      <c r="U11" s="61">
        <f>SUM(E11:M11)</f>
        <v>2740621.58</v>
      </c>
      <c r="Y11" s="15"/>
    </row>
    <row r="12" spans="1:26" x14ac:dyDescent="0.25">
      <c r="A12" t="s">
        <v>1255</v>
      </c>
      <c r="B12" s="7">
        <f>'Overall '!B8</f>
        <v>411999.29999999993</v>
      </c>
      <c r="C12" s="7">
        <f>'Overall '!C8</f>
        <v>431636.64999999997</v>
      </c>
      <c r="D12" s="7">
        <f>'Overall '!D8</f>
        <v>583458.80000000005</v>
      </c>
      <c r="E12" s="7">
        <f>'Overall '!E8</f>
        <v>368801.33</v>
      </c>
      <c r="F12" s="7">
        <f>'Overall '!F8</f>
        <v>597915.25</v>
      </c>
      <c r="G12" s="7">
        <f>'Overall '!G8</f>
        <v>504621.73</v>
      </c>
      <c r="H12" s="7">
        <f>'Overall '!H8</f>
        <v>449670.81999999995</v>
      </c>
      <c r="I12" s="7">
        <f>'Overall '!I8</f>
        <v>578960.68999999994</v>
      </c>
      <c r="J12" s="7">
        <f>'Overall '!J8</f>
        <v>493007.28</v>
      </c>
      <c r="K12" s="7">
        <f>'Overall '!K8</f>
        <v>499217.16999999993</v>
      </c>
      <c r="L12" s="7">
        <f>'Overall '!L8</f>
        <v>600508.47000000009</v>
      </c>
      <c r="M12" s="7">
        <f>'Overall '!M8</f>
        <v>529229.31999999995</v>
      </c>
      <c r="N12" s="7">
        <f>'Overall '!N8</f>
        <v>491371.74</v>
      </c>
      <c r="O12" s="7">
        <f>'Overall '!O8</f>
        <v>496542.52</v>
      </c>
      <c r="P12" s="7">
        <f>'Overall '!P8</f>
        <v>519480.52999999997</v>
      </c>
      <c r="R12" s="61">
        <f>SUM(B12:M12)</f>
        <v>6049026.8099999996</v>
      </c>
      <c r="S12" s="61">
        <f>SUM(E12:P12)</f>
        <v>6129326.8500000006</v>
      </c>
      <c r="U12" s="61">
        <f>SUM(E12:M12)</f>
        <v>4621932.0599999996</v>
      </c>
      <c r="Y12" s="15"/>
    </row>
    <row r="13" spans="1:26" x14ac:dyDescent="0.25">
      <c r="M13" s="16"/>
      <c r="N13" s="16"/>
      <c r="O13" s="16"/>
      <c r="P13" s="16"/>
      <c r="Q13" s="16"/>
      <c r="R13" s="16"/>
      <c r="S13" s="16"/>
    </row>
    <row r="15" spans="1:26" ht="15.75" x14ac:dyDescent="0.25">
      <c r="A15" s="11" t="s">
        <v>1246</v>
      </c>
      <c r="B15" s="5">
        <v>45292</v>
      </c>
      <c r="C15" s="5">
        <v>45323</v>
      </c>
      <c r="D15" s="5">
        <v>45352</v>
      </c>
      <c r="E15" s="5">
        <v>45383</v>
      </c>
      <c r="F15" s="5">
        <v>45413</v>
      </c>
      <c r="G15" s="5">
        <v>45444</v>
      </c>
      <c r="H15" s="5">
        <v>45474</v>
      </c>
      <c r="I15" s="5">
        <v>45505</v>
      </c>
      <c r="J15" s="5">
        <v>45536</v>
      </c>
      <c r="K15" s="5">
        <v>45566</v>
      </c>
      <c r="L15" s="5">
        <v>45597</v>
      </c>
      <c r="M15" s="5">
        <v>45627</v>
      </c>
      <c r="N15" s="5">
        <v>45658</v>
      </c>
      <c r="O15" s="5">
        <v>45689</v>
      </c>
      <c r="P15" s="5">
        <v>45717</v>
      </c>
      <c r="Q15" s="5"/>
      <c r="R15" s="5"/>
      <c r="S15" s="5" t="s">
        <v>955</v>
      </c>
    </row>
    <row r="16" spans="1:26" x14ac:dyDescent="0.25">
      <c r="A16" s="4"/>
      <c r="B16" s="5" t="s">
        <v>958</v>
      </c>
      <c r="C16" s="5" t="s">
        <v>959</v>
      </c>
      <c r="D16" s="5" t="s">
        <v>959</v>
      </c>
      <c r="E16" s="5" t="s">
        <v>959</v>
      </c>
      <c r="F16" s="5" t="s">
        <v>959</v>
      </c>
      <c r="G16" s="5" t="s">
        <v>959</v>
      </c>
      <c r="H16" s="5" t="s">
        <v>959</v>
      </c>
      <c r="I16" s="5" t="s">
        <v>959</v>
      </c>
      <c r="J16" s="5" t="s">
        <v>959</v>
      </c>
      <c r="K16" s="5" t="s">
        <v>959</v>
      </c>
      <c r="L16" s="5" t="s">
        <v>959</v>
      </c>
      <c r="M16" s="5" t="s">
        <v>959</v>
      </c>
      <c r="N16" s="5" t="s">
        <v>959</v>
      </c>
      <c r="O16" s="5" t="s">
        <v>959</v>
      </c>
      <c r="P16" s="5" t="s">
        <v>959</v>
      </c>
      <c r="Q16" s="5"/>
      <c r="R16" s="5"/>
      <c r="S16" s="5" t="s">
        <v>961</v>
      </c>
    </row>
    <row r="18" spans="1:26" x14ac:dyDescent="0.25">
      <c r="A18" s="9" t="s">
        <v>1248</v>
      </c>
      <c r="B18" s="63">
        <f>N4</f>
        <v>571135.65999999992</v>
      </c>
      <c r="C18" s="63">
        <f>O4</f>
        <v>551693.85999999929</v>
      </c>
      <c r="D18" s="63">
        <f>P4</f>
        <v>562294.41000000015</v>
      </c>
      <c r="E18" s="63">
        <f>SUMIFS('[18]Summary - Overhead Expenses'!V:V,'[18]Summary - Overhead Expenses'!$C:$C,'[18]Summary - Overhead Expenses'!$C$5)</f>
        <v>684555.61304695136</v>
      </c>
      <c r="F18" s="63">
        <f>SUMIFS('[18]Summary - Overhead Expenses'!W:W,'[18]Summary - Overhead Expenses'!$C:$C,'[18]Summary - Overhead Expenses'!$C$5)</f>
        <v>670946.20245284727</v>
      </c>
      <c r="G18" s="63">
        <f>SUMIFS('[18]Summary - Overhead Expenses'!X:X,'[18]Summary - Overhead Expenses'!$C:$C,'[18]Summary - Overhead Expenses'!$C$5)</f>
        <v>655178.44251394877</v>
      </c>
      <c r="H18" s="63">
        <f>SUMIFS('[18]Summary - Overhead Expenses'!Y:Y,'[18]Summary - Overhead Expenses'!$C:$C,'[18]Summary - Overhead Expenses'!$C$5)</f>
        <v>659930.5700861403</v>
      </c>
      <c r="I18" s="63">
        <f>SUMIFS('[18]Summary - Overhead Expenses'!Z:Z,'[18]Summary - Overhead Expenses'!$C:$C,'[18]Summary - Overhead Expenses'!$C$5)</f>
        <v>666883.14056225494</v>
      </c>
      <c r="J18" s="63">
        <f>SUMIFS('[18]Summary - Overhead Expenses'!AA:AA,'[18]Summary - Overhead Expenses'!$C:$C,'[18]Summary - Overhead Expenses'!$C$5)</f>
        <v>671043.76540865586</v>
      </c>
      <c r="K18" s="63">
        <f>SUMIFS('[18]Summary - Overhead Expenses'!AB:AB,'[18]Summary - Overhead Expenses'!$C:$C,'[18]Summary - Overhead Expenses'!$C$5)</f>
        <v>686396.57191477169</v>
      </c>
      <c r="L18" s="63">
        <f>SUMIFS('[18]Summary - Overhead Expenses'!AC:AC,'[18]Summary - Overhead Expenses'!$C:$C,'[18]Summary - Overhead Expenses'!$C$5)</f>
        <v>671987.29967814463</v>
      </c>
      <c r="M18" s="63">
        <f>SUMIFS('[18]Summary - Overhead Expenses'!AD:AD,'[18]Summary - Overhead Expenses'!$C:$C,'[18]Summary - Overhead Expenses'!$C$5)</f>
        <v>656953.76567639725</v>
      </c>
      <c r="N18" s="63">
        <f>SUMIFS('[18]Summary - Overhead Expenses'!AE:AE,'[18]Summary - Overhead Expenses'!$C:$C,'[18]Summary - Overhead Expenses'!$C$5)</f>
        <v>684380.11399244482</v>
      </c>
      <c r="O18" s="63">
        <f>SUMIFS('[18]Summary - Overhead Expenses'!AF:AF,'[18]Summary - Overhead Expenses'!$C:$C,'[18]Summary - Overhead Expenses'!$C$5)</f>
        <v>687647.6160174153</v>
      </c>
      <c r="P18" s="63">
        <f>SUMIFS('[18]Summary - Overhead Expenses'!AG:AG,'[18]Summary - Overhead Expenses'!$C:$C,'[18]Summary - Overhead Expenses'!$C$5)</f>
        <v>671316.86102660303</v>
      </c>
      <c r="Q18" s="8"/>
      <c r="R18" s="61"/>
      <c r="S18" s="61">
        <f>SUM(E18:P18)</f>
        <v>8067219.962376575</v>
      </c>
      <c r="T18" s="15"/>
      <c r="U18" s="15"/>
      <c r="Y18" s="15"/>
    </row>
    <row r="19" spans="1:26" x14ac:dyDescent="0.25">
      <c r="B19" s="2"/>
      <c r="C19" s="2"/>
      <c r="D19" s="2"/>
      <c r="E19" s="2"/>
      <c r="F19" s="2"/>
      <c r="G19" s="2"/>
      <c r="H19" s="2"/>
      <c r="I19" s="2"/>
      <c r="J19" s="2"/>
      <c r="K19" s="2"/>
      <c r="L19" s="1"/>
      <c r="M19" s="1"/>
      <c r="N19" s="1"/>
      <c r="O19" s="1"/>
      <c r="P19" s="1"/>
      <c r="Q19" s="1"/>
      <c r="R19" s="1"/>
      <c r="S19" s="1"/>
      <c r="U19" s="15"/>
      <c r="V19" s="15"/>
    </row>
    <row r="20" spans="1:26" x14ac:dyDescent="0.25">
      <c r="A20" t="s">
        <v>1249</v>
      </c>
      <c r="B20" s="62">
        <f t="shared" ref="B20:P20" si="2">B18/B21</f>
        <v>0.42771792584511231</v>
      </c>
      <c r="C20" s="62">
        <f t="shared" si="2"/>
        <v>0.41523858416683557</v>
      </c>
      <c r="D20" s="62">
        <f t="shared" si="2"/>
        <v>0.32646381912644729</v>
      </c>
      <c r="E20" s="62">
        <f t="shared" si="2"/>
        <v>0.48864059940465859</v>
      </c>
      <c r="F20" s="62">
        <f t="shared" si="2"/>
        <v>0.43133893360019004</v>
      </c>
      <c r="G20" s="62">
        <f t="shared" si="2"/>
        <v>0.36593473905164964</v>
      </c>
      <c r="H20" s="62">
        <f t="shared" si="2"/>
        <v>0.41775615348603234</v>
      </c>
      <c r="I20" s="62">
        <f t="shared" si="2"/>
        <v>0.42305872456007731</v>
      </c>
      <c r="J20" s="62">
        <f t="shared" si="2"/>
        <v>0.35824547710604898</v>
      </c>
      <c r="K20" s="62">
        <f t="shared" si="2"/>
        <v>0.44199433149235651</v>
      </c>
      <c r="L20" s="62">
        <f t="shared" si="2"/>
        <v>0.41687463290538385</v>
      </c>
      <c r="M20" s="62">
        <f t="shared" si="2"/>
        <v>0.37409836629232363</v>
      </c>
      <c r="N20" s="62">
        <f t="shared" si="2"/>
        <v>0.48262095961036094</v>
      </c>
      <c r="O20" s="62">
        <f t="shared" si="2"/>
        <v>0.49709149925977009</v>
      </c>
      <c r="P20" s="62">
        <f t="shared" si="2"/>
        <v>0.35298692172029927</v>
      </c>
      <c r="Q20" s="3"/>
      <c r="R20" s="62"/>
      <c r="S20" s="62">
        <f>S18/S21</f>
        <v>0.41583039381697995</v>
      </c>
    </row>
    <row r="21" spans="1:26" x14ac:dyDescent="0.25">
      <c r="A21" t="s">
        <v>1250</v>
      </c>
      <c r="B21" s="7">
        <f t="shared" ref="B21:D21" si="3">SUM(B22:B30)</f>
        <v>1335309.1499999999</v>
      </c>
      <c r="C21" s="7">
        <f t="shared" si="3"/>
        <v>1328618.9699999997</v>
      </c>
      <c r="D21" s="7">
        <f t="shared" si="3"/>
        <v>1722378.95</v>
      </c>
      <c r="E21" s="7">
        <f>SUM(E22:E26)</f>
        <v>1400938.8779421691</v>
      </c>
      <c r="F21" s="7">
        <f t="shared" ref="F21:P21" si="4">SUM(F22:F26)</f>
        <v>1555496.5021422117</v>
      </c>
      <c r="G21" s="7">
        <f t="shared" si="4"/>
        <v>1790424.2822419601</v>
      </c>
      <c r="H21" s="7">
        <f t="shared" si="4"/>
        <v>1579702.811267399</v>
      </c>
      <c r="I21" s="7">
        <f t="shared" si="4"/>
        <v>1576337.0469565929</v>
      </c>
      <c r="J21" s="7">
        <f t="shared" si="4"/>
        <v>1873139.5322264216</v>
      </c>
      <c r="K21" s="7">
        <f t="shared" si="4"/>
        <v>1552953.336748034</v>
      </c>
      <c r="L21" s="7">
        <f t="shared" si="4"/>
        <v>1611964.9569338572</v>
      </c>
      <c r="M21" s="7">
        <f t="shared" si="4"/>
        <v>1756098.9966020007</v>
      </c>
      <c r="N21" s="7">
        <f t="shared" si="4"/>
        <v>1418048.8857031241</v>
      </c>
      <c r="O21" s="7">
        <f t="shared" si="4"/>
        <v>1383342.1352837586</v>
      </c>
      <c r="P21" s="7">
        <f t="shared" si="4"/>
        <v>1901817.9420214975</v>
      </c>
      <c r="R21" s="61"/>
      <c r="S21" s="61">
        <f>SUM(S22:S26)</f>
        <v>19400265.306069024</v>
      </c>
    </row>
    <row r="22" spans="1:26" x14ac:dyDescent="0.25">
      <c r="A22" t="s">
        <v>1251</v>
      </c>
      <c r="B22" s="7">
        <f>'Overall '!N4</f>
        <v>247768.77</v>
      </c>
      <c r="C22" s="7">
        <f>'Overall '!O4</f>
        <v>176629.27</v>
      </c>
      <c r="D22" s="7">
        <f>'Overall '!P4</f>
        <v>314984.34999999992</v>
      </c>
      <c r="E22" s="7">
        <f>'Overall '!Y4</f>
        <v>243276.93888888889</v>
      </c>
      <c r="F22" s="7">
        <f>'Overall '!Z4</f>
        <v>243276.93888888889</v>
      </c>
      <c r="G22" s="7">
        <f>'Overall '!AA4</f>
        <v>290808.18888888886</v>
      </c>
      <c r="H22" s="7">
        <f>'Overall '!AB4</f>
        <v>237126.93888888889</v>
      </c>
      <c r="I22" s="7">
        <f>'Overall '!AC4</f>
        <v>237126.93888888889</v>
      </c>
      <c r="J22" s="7">
        <f>'Overall '!AD4</f>
        <v>283439.43888888886</v>
      </c>
      <c r="K22" s="7">
        <f>'Overall '!AE4</f>
        <v>243276.93888888889</v>
      </c>
      <c r="L22" s="7">
        <f>'Overall '!AF4</f>
        <v>235076.93888888889</v>
      </c>
      <c r="M22" s="7">
        <f>'Overall '!AG4</f>
        <v>258876.93888888889</v>
      </c>
      <c r="N22" s="7">
        <f>'Overall '!AH4</f>
        <v>216626.93888888889</v>
      </c>
      <c r="O22" s="7">
        <f>'Overall '!AI4</f>
        <v>216626.93888888889</v>
      </c>
      <c r="P22" s="7">
        <f>'Overall '!AJ4</f>
        <v>303089.43888888886</v>
      </c>
      <c r="Q22" s="1"/>
      <c r="R22" s="61"/>
      <c r="S22" s="61">
        <f>SUM(E22:P22)</f>
        <v>3008629.5166666661</v>
      </c>
    </row>
    <row r="23" spans="1:26" x14ac:dyDescent="0.25">
      <c r="A23" t="s">
        <v>1252</v>
      </c>
      <c r="B23" s="7">
        <f>'Overall '!N5</f>
        <v>244080.81000000011</v>
      </c>
      <c r="C23" s="7">
        <f>'Overall '!O5</f>
        <v>226949.52999999985</v>
      </c>
      <c r="D23" s="7">
        <f>'Overall '!P5</f>
        <v>313777.93</v>
      </c>
      <c r="E23" s="7">
        <f>'Overall '!Y5</f>
        <v>240792.00000000003</v>
      </c>
      <c r="F23" s="7">
        <f>'Overall '!Z5</f>
        <v>282133.66666666663</v>
      </c>
      <c r="G23" s="7">
        <f>'Overall '!AA5</f>
        <v>420394.0833333332</v>
      </c>
      <c r="H23" s="7">
        <f>'Overall '!AB5</f>
        <v>311892</v>
      </c>
      <c r="I23" s="7">
        <f>'Overall '!AC5</f>
        <v>323142</v>
      </c>
      <c r="J23" s="7">
        <f>'Overall '!AD5</f>
        <v>430579.5</v>
      </c>
      <c r="K23" s="7">
        <f>'Overall '!AE5</f>
        <v>311892</v>
      </c>
      <c r="L23" s="7">
        <f>'Overall '!AF5</f>
        <v>381892</v>
      </c>
      <c r="M23" s="7">
        <f>'Overall '!AG5</f>
        <v>392079.5</v>
      </c>
      <c r="N23" s="7">
        <f>'Overall '!AH5</f>
        <v>286892</v>
      </c>
      <c r="O23" s="7">
        <f>'Overall '!AI5</f>
        <v>286892</v>
      </c>
      <c r="P23" s="7">
        <f>'Overall '!AJ5</f>
        <v>424704.50000000006</v>
      </c>
      <c r="Q23" s="1"/>
      <c r="R23" s="61"/>
      <c r="S23" s="61">
        <f>SUM(E23:P23)</f>
        <v>4093285.25</v>
      </c>
    </row>
    <row r="24" spans="1:26" x14ac:dyDescent="0.25">
      <c r="A24" t="s">
        <v>1253</v>
      </c>
      <c r="B24" s="7">
        <f>'Overall '!N6</f>
        <v>151593.87</v>
      </c>
      <c r="C24" s="7">
        <f>'Overall '!O6</f>
        <v>148915.72</v>
      </c>
      <c r="D24" s="7">
        <f>'Overall '!P6</f>
        <v>198014.64</v>
      </c>
      <c r="E24" s="7">
        <f>'Overall '!Y6</f>
        <v>153321.42982724719</v>
      </c>
      <c r="F24" s="7">
        <f>'Overall '!Z6</f>
        <v>162417.13610252808</v>
      </c>
      <c r="G24" s="7">
        <f>'Overall '!AA6</f>
        <v>258046.12642275283</v>
      </c>
      <c r="H24" s="7">
        <f>'Overall '!AB6</f>
        <v>163015.11189438205</v>
      </c>
      <c r="I24" s="7">
        <f>'Overall '!AC6</f>
        <v>165752.72279325844</v>
      </c>
      <c r="J24" s="7">
        <f>'Overall '!AD6</f>
        <v>253990.33369213482</v>
      </c>
      <c r="K24" s="7">
        <f>'Overall '!AE6</f>
        <v>164822.38779438203</v>
      </c>
      <c r="L24" s="7">
        <f>'Overall '!AF6</f>
        <v>179387.38318988762</v>
      </c>
      <c r="M24" s="7">
        <f>'Overall '!AG6</f>
        <v>237219.04848707866</v>
      </c>
      <c r="N24" s="7">
        <f>'Overall '!AH6</f>
        <v>150981.43758820224</v>
      </c>
      <c r="O24" s="7">
        <f>'Overall '!AI6</f>
        <v>150981.43758820224</v>
      </c>
      <c r="P24" s="7">
        <f>'Overall '!AJ6</f>
        <v>255290.36827752812</v>
      </c>
      <c r="R24" s="61"/>
      <c r="S24" s="61">
        <f>SUM(E24:P24)</f>
        <v>2295224.9236575845</v>
      </c>
    </row>
    <row r="25" spans="1:26" x14ac:dyDescent="0.25">
      <c r="A25" t="s">
        <v>1254</v>
      </c>
      <c r="B25" s="7">
        <f>'Overall '!N7</f>
        <v>200493.9599999999</v>
      </c>
      <c r="C25" s="7">
        <f>'Overall '!O7</f>
        <v>279581.93</v>
      </c>
      <c r="D25" s="7">
        <f>'Overall '!P7</f>
        <v>376121.5</v>
      </c>
      <c r="E25" s="7">
        <f>'Overall '!Y7</f>
        <v>251248.42354300572</v>
      </c>
      <c r="F25" s="7">
        <f>'Overall '!Z7</f>
        <v>285509.572207961</v>
      </c>
      <c r="G25" s="7">
        <f>'Overall '!AA7</f>
        <v>343805.34921052807</v>
      </c>
      <c r="H25" s="7">
        <f>'Overall '!AB7</f>
        <v>285509.572207961</v>
      </c>
      <c r="I25" s="7">
        <f>'Overall '!AC7</f>
        <v>279799.3807638018</v>
      </c>
      <c r="J25" s="7">
        <f>'Overall '!AD7</f>
        <v>369543.80643132416</v>
      </c>
      <c r="K25" s="7">
        <f>'Overall '!AE7</f>
        <v>274089.18931964261</v>
      </c>
      <c r="L25" s="7">
        <f>'Overall '!AF7</f>
        <v>268378.99787548342</v>
      </c>
      <c r="M25" s="7">
        <f>'Overall '!AG7</f>
        <v>355623.42354300572</v>
      </c>
      <c r="N25" s="7">
        <f>'Overall '!AH7</f>
        <v>251248.42354300572</v>
      </c>
      <c r="O25" s="7">
        <f>'Overall '!AI7</f>
        <v>239828.04065468727</v>
      </c>
      <c r="P25" s="7">
        <f>'Overall '!AJ7</f>
        <v>371503.99787548342</v>
      </c>
      <c r="R25" s="61"/>
      <c r="S25" s="61">
        <f>SUM(E25:P25)</f>
        <v>3576088.1771758897</v>
      </c>
    </row>
    <row r="26" spans="1:26" x14ac:dyDescent="0.25">
      <c r="A26" t="s">
        <v>1255</v>
      </c>
      <c r="B26" s="7">
        <f>'Overall '!N8</f>
        <v>491371.74</v>
      </c>
      <c r="C26" s="7">
        <f>'Overall '!O8</f>
        <v>496542.52</v>
      </c>
      <c r="D26" s="7">
        <f>'Overall '!P8</f>
        <v>519480.52999999997</v>
      </c>
      <c r="E26" s="7">
        <f>'Overall '!Y8</f>
        <v>512300.08568302717</v>
      </c>
      <c r="F26" s="7">
        <f>'Overall '!Z8</f>
        <v>582159.18827616703</v>
      </c>
      <c r="G26" s="7">
        <f>'Overall '!AA8</f>
        <v>477370.534386457</v>
      </c>
      <c r="H26" s="7">
        <f>'Overall '!AB8</f>
        <v>582159.18827616703</v>
      </c>
      <c r="I26" s="7">
        <f>'Overall '!AC8</f>
        <v>570516.00451064389</v>
      </c>
      <c r="J26" s="7">
        <f>'Overall '!AD8</f>
        <v>535586.45321407379</v>
      </c>
      <c r="K26" s="7">
        <f>'Overall '!AE8</f>
        <v>558872.82074512041</v>
      </c>
      <c r="L26" s="7">
        <f>'Overall '!AF8</f>
        <v>547229.63697959716</v>
      </c>
      <c r="M26" s="7">
        <f>'Overall '!AG8</f>
        <v>512300.08568302717</v>
      </c>
      <c r="N26" s="7">
        <f>'Overall '!AH8</f>
        <v>512300.08568302717</v>
      </c>
      <c r="O26" s="7">
        <f>'Overall '!AI8</f>
        <v>489013.71815198037</v>
      </c>
      <c r="P26" s="7">
        <f>'Overall '!AJ8</f>
        <v>547229.63697959716</v>
      </c>
      <c r="R26" s="61"/>
      <c r="S26" s="61">
        <f>SUM(E26:P26)</f>
        <v>6427037.4385688845</v>
      </c>
    </row>
    <row r="28" spans="1:26" x14ac:dyDescent="0.25">
      <c r="E28" s="5"/>
      <c r="R28" s="5" t="s">
        <v>951</v>
      </c>
      <c r="U28" s="5" t="s">
        <v>951</v>
      </c>
      <c r="V28" s="5" t="s">
        <v>951</v>
      </c>
      <c r="X28" s="5" t="s">
        <v>951</v>
      </c>
      <c r="Y28" s="5" t="s">
        <v>951</v>
      </c>
      <c r="Z28" s="5" t="s">
        <v>951</v>
      </c>
    </row>
    <row r="29" spans="1:26" x14ac:dyDescent="0.25">
      <c r="E29" s="5" t="s">
        <v>1256</v>
      </c>
      <c r="R29" s="5" t="s">
        <v>1257</v>
      </c>
      <c r="U29" t="s">
        <v>1258</v>
      </c>
      <c r="V29" t="s">
        <v>1259</v>
      </c>
      <c r="X29" s="5" t="s">
        <v>1260</v>
      </c>
      <c r="Y29" t="s">
        <v>1258</v>
      </c>
      <c r="Z29" t="s">
        <v>1259</v>
      </c>
    </row>
    <row r="30" spans="1:26" x14ac:dyDescent="0.25">
      <c r="A30" t="s">
        <v>1261</v>
      </c>
      <c r="E30" s="33">
        <v>0.13200000000000001</v>
      </c>
      <c r="R30" s="183">
        <v>0.13200000000000001</v>
      </c>
      <c r="U30" s="16">
        <f>R30*$R$7</f>
        <v>2374828.91316</v>
      </c>
      <c r="V30" s="134">
        <f>U30/12</f>
        <v>197902.40943</v>
      </c>
      <c r="X30" s="33">
        <f t="shared" ref="X30:X38" si="5">R30</f>
        <v>0.13200000000000001</v>
      </c>
      <c r="Y30" s="16">
        <f>$S$21*X30</f>
        <v>2560835.0204011113</v>
      </c>
      <c r="Z30" s="134">
        <f>Y30/12</f>
        <v>213402.91836675929</v>
      </c>
    </row>
    <row r="31" spans="1:26" x14ac:dyDescent="0.25">
      <c r="A31" t="s">
        <v>1262</v>
      </c>
      <c r="E31" s="33">
        <v>9.5000000000000001E-2</v>
      </c>
      <c r="R31" s="183">
        <v>9.5000000000000001E-2</v>
      </c>
      <c r="U31" s="16">
        <f t="shared" ref="U31:U38" si="6">R31*$R$7</f>
        <v>1709157.1723499999</v>
      </c>
      <c r="V31" s="134">
        <f t="shared" ref="V31:V38" si="7">U31/12</f>
        <v>142429.76436249999</v>
      </c>
      <c r="X31" s="33">
        <f t="shared" si="5"/>
        <v>9.5000000000000001E-2</v>
      </c>
      <c r="Y31" s="16">
        <f t="shared" ref="Y31:Y38" si="8">$S$21*X31</f>
        <v>1843025.2040765572</v>
      </c>
      <c r="Z31" s="134">
        <f t="shared" ref="Z31:Z38" si="9">Y31/12</f>
        <v>153585.43367304644</v>
      </c>
    </row>
    <row r="32" spans="1:26" x14ac:dyDescent="0.25">
      <c r="A32" t="s">
        <v>1263</v>
      </c>
      <c r="E32" s="33">
        <v>3.7999999999999999E-2</v>
      </c>
      <c r="R32" s="183">
        <v>3.7999999999999999E-2</v>
      </c>
      <c r="U32" s="16">
        <f t="shared" si="6"/>
        <v>683662.86893999996</v>
      </c>
      <c r="V32" s="134">
        <f t="shared" si="7"/>
        <v>56971.905744999996</v>
      </c>
      <c r="X32" s="33">
        <f t="shared" si="5"/>
        <v>3.7999999999999999E-2</v>
      </c>
      <c r="Y32" s="16">
        <f t="shared" si="8"/>
        <v>737210.08163062285</v>
      </c>
      <c r="Z32" s="134">
        <f t="shared" si="9"/>
        <v>61434.173469218571</v>
      </c>
    </row>
    <row r="33" spans="1:26" x14ac:dyDescent="0.25">
      <c r="A33" t="s">
        <v>1264</v>
      </c>
      <c r="E33" s="33">
        <v>5.0000000000000001E-3</v>
      </c>
      <c r="R33" s="183">
        <v>5.0000000000000001E-3</v>
      </c>
      <c r="U33" s="16">
        <f t="shared" si="6"/>
        <v>89955.640650000001</v>
      </c>
      <c r="V33" s="134">
        <f t="shared" si="7"/>
        <v>7496.3033875000001</v>
      </c>
      <c r="X33" s="33">
        <f t="shared" si="5"/>
        <v>5.0000000000000001E-3</v>
      </c>
      <c r="Y33" s="16">
        <f t="shared" si="8"/>
        <v>97001.326530345119</v>
      </c>
      <c r="Z33" s="134">
        <f t="shared" si="9"/>
        <v>8083.4438775287599</v>
      </c>
    </row>
    <row r="34" spans="1:26" x14ac:dyDescent="0.25">
      <c r="A34" t="s">
        <v>1265</v>
      </c>
      <c r="E34" s="33">
        <v>2.1000000000000001E-2</v>
      </c>
      <c r="R34" s="183">
        <v>2.1000000000000001E-2</v>
      </c>
      <c r="U34" s="16">
        <f t="shared" si="6"/>
        <v>377813.69072999997</v>
      </c>
      <c r="V34" s="134">
        <f t="shared" si="7"/>
        <v>31484.474227499999</v>
      </c>
      <c r="X34" s="33">
        <f t="shared" si="5"/>
        <v>2.1000000000000001E-2</v>
      </c>
      <c r="Y34" s="16">
        <f t="shared" si="8"/>
        <v>407405.57142744953</v>
      </c>
      <c r="Z34" s="134">
        <f t="shared" si="9"/>
        <v>33950.464285620794</v>
      </c>
    </row>
    <row r="35" spans="1:26" x14ac:dyDescent="0.25">
      <c r="A35" t="s">
        <v>1266</v>
      </c>
      <c r="E35" s="33">
        <v>1.9E-2</v>
      </c>
      <c r="R35" s="183">
        <v>1.9E-2</v>
      </c>
      <c r="U35" s="16">
        <f t="shared" si="6"/>
        <v>341831.43446999998</v>
      </c>
      <c r="V35" s="134">
        <f t="shared" si="7"/>
        <v>28485.952872499998</v>
      </c>
      <c r="X35" s="33">
        <f t="shared" si="5"/>
        <v>1.9E-2</v>
      </c>
      <c r="Y35" s="16">
        <f t="shared" si="8"/>
        <v>368605.04081531143</v>
      </c>
      <c r="Z35" s="134">
        <f t="shared" si="9"/>
        <v>30717.086734609285</v>
      </c>
    </row>
    <row r="36" spans="1:26" x14ac:dyDescent="0.25">
      <c r="A36" t="s">
        <v>1267</v>
      </c>
      <c r="E36" s="33">
        <v>2.7E-2</v>
      </c>
      <c r="R36" s="183">
        <v>2.7E-2</v>
      </c>
      <c r="U36" s="16">
        <f t="shared" si="6"/>
        <v>485760.45950999996</v>
      </c>
      <c r="V36" s="134">
        <f t="shared" si="7"/>
        <v>40480.038292499994</v>
      </c>
      <c r="X36" s="33">
        <f t="shared" si="5"/>
        <v>2.7E-2</v>
      </c>
      <c r="Y36" s="16">
        <f t="shared" si="8"/>
        <v>523807.16326386365</v>
      </c>
      <c r="Z36" s="134">
        <f t="shared" si="9"/>
        <v>43650.596938655304</v>
      </c>
    </row>
    <row r="37" spans="1:26" x14ac:dyDescent="0.25">
      <c r="A37" t="s">
        <v>1268</v>
      </c>
      <c r="E37" s="33">
        <v>8.0000000000000002E-3</v>
      </c>
      <c r="R37" s="183">
        <v>8.0000000000000002E-3</v>
      </c>
      <c r="U37" s="16">
        <f t="shared" si="6"/>
        <v>143929.02504000001</v>
      </c>
      <c r="V37" s="134">
        <f t="shared" si="7"/>
        <v>11994.085420000001</v>
      </c>
      <c r="X37" s="33">
        <f t="shared" si="5"/>
        <v>8.0000000000000002E-3</v>
      </c>
      <c r="Y37" s="16">
        <f t="shared" si="8"/>
        <v>155202.1224485522</v>
      </c>
      <c r="Z37" s="134">
        <f t="shared" si="9"/>
        <v>12933.510204046017</v>
      </c>
    </row>
    <row r="38" spans="1:26" x14ac:dyDescent="0.25">
      <c r="A38" t="s">
        <v>1269</v>
      </c>
      <c r="E38" s="33">
        <v>3.7999999999999999E-2</v>
      </c>
      <c r="R38" s="183">
        <v>3.7999999999999999E-2</v>
      </c>
      <c r="U38" s="16">
        <f t="shared" si="6"/>
        <v>683662.86893999996</v>
      </c>
      <c r="V38" s="134">
        <f t="shared" si="7"/>
        <v>56971.905744999996</v>
      </c>
      <c r="X38" s="33">
        <f t="shared" si="5"/>
        <v>3.7999999999999999E-2</v>
      </c>
      <c r="Y38" s="16">
        <f t="shared" si="8"/>
        <v>737210.08163062285</v>
      </c>
      <c r="Z38" s="134">
        <f t="shared" si="9"/>
        <v>61434.173469218571</v>
      </c>
    </row>
    <row r="39" spans="1:26" x14ac:dyDescent="0.25">
      <c r="R39" s="183">
        <f>SUM(R30:R38)</f>
        <v>0.38300000000000006</v>
      </c>
      <c r="U39" s="16">
        <f>SUM(U30:U38)</f>
        <v>6890602.0737900008</v>
      </c>
      <c r="V39" s="134">
        <f>U39/12</f>
        <v>574216.8394825001</v>
      </c>
      <c r="Y39" s="16">
        <f>SUM(Y30:Y38)</f>
        <v>7430301.6122244364</v>
      </c>
      <c r="Z39" s="134">
        <f>Y39/12</f>
        <v>619191.80101870303</v>
      </c>
    </row>
    <row r="40" spans="1:26" x14ac:dyDescent="0.25">
      <c r="U40" s="134"/>
      <c r="V40" s="134">
        <f>U40/12</f>
        <v>0</v>
      </c>
      <c r="Y40" s="134"/>
      <c r="Z40" s="134"/>
    </row>
    <row r="42" spans="1:26" x14ac:dyDescent="0.25">
      <c r="Y42" s="134"/>
    </row>
  </sheetData>
  <pageMargins left="0.7" right="0.7" top="0.75" bottom="0.75" header="0.3" footer="0.3"/>
  <pageSetup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DECB6-EFE4-4207-BE6C-2C6BE11E1CA0}">
  <sheetPr codeName="Sheet35">
    <tabColor theme="9" tint="0.79998168889431442"/>
  </sheetPr>
  <dimension ref="A1:S38"/>
  <sheetViews>
    <sheetView workbookViewId="0"/>
  </sheetViews>
  <sheetFormatPr defaultColWidth="20" defaultRowHeight="15" x14ac:dyDescent="0.25"/>
  <cols>
    <col min="1" max="1" width="22.28515625" bestFit="1" customWidth="1"/>
    <col min="2" max="2" width="15.42578125" bestFit="1" customWidth="1"/>
    <col min="3" max="3" width="12" customWidth="1"/>
    <col min="4" max="5" width="15.140625" bestFit="1" customWidth="1"/>
  </cols>
  <sheetData>
    <row r="1" spans="1:19" x14ac:dyDescent="0.25">
      <c r="C1" t="s">
        <v>1006</v>
      </c>
      <c r="G1" s="184" t="s">
        <v>1007</v>
      </c>
      <c r="K1" s="184" t="s">
        <v>1008</v>
      </c>
      <c r="O1" s="184" t="s">
        <v>1009</v>
      </c>
      <c r="S1" s="184" t="s">
        <v>1010</v>
      </c>
    </row>
    <row r="2" spans="1:19" x14ac:dyDescent="0.25">
      <c r="A2" t="s">
        <v>1011</v>
      </c>
      <c r="E2" t="s">
        <v>1011</v>
      </c>
      <c r="G2">
        <f>SUM('LEX - New Vehicles'!E23:G23)</f>
        <v>84</v>
      </c>
      <c r="I2" t="s">
        <v>1011</v>
      </c>
      <c r="K2">
        <f>SUM('LEX - New Vehicles'!H23:J23)</f>
        <v>84</v>
      </c>
      <c r="M2" t="s">
        <v>1011</v>
      </c>
      <c r="O2">
        <f>SUM('LEX - New Vehicles'!K23:M23)</f>
        <v>84</v>
      </c>
      <c r="Q2" t="s">
        <v>1011</v>
      </c>
      <c r="S2">
        <f>SUM('LEX - New Vehicles'!N23:P23)</f>
        <v>83</v>
      </c>
    </row>
    <row r="3" spans="1:19" x14ac:dyDescent="0.25">
      <c r="A3" t="s">
        <v>1012</v>
      </c>
      <c r="C3">
        <v>100</v>
      </c>
      <c r="E3" t="s">
        <v>1012</v>
      </c>
      <c r="G3">
        <f>F28</f>
        <v>100</v>
      </c>
      <c r="I3" t="s">
        <v>1012</v>
      </c>
      <c r="K3">
        <v>100</v>
      </c>
      <c r="M3" t="s">
        <v>1012</v>
      </c>
      <c r="O3">
        <v>100</v>
      </c>
      <c r="Q3" t="s">
        <v>1012</v>
      </c>
      <c r="S3">
        <v>100</v>
      </c>
    </row>
    <row r="4" spans="1:19" x14ac:dyDescent="0.25">
      <c r="A4" t="s">
        <v>1013</v>
      </c>
      <c r="C4" cm="1">
        <f t="array" ref="C4">_xlfn.IFS(C3&lt;70,0,C3&lt;80,1000,C3&lt;90,1250,C3&lt;100,1750,C3=100,2000)*C34</f>
        <v>1700</v>
      </c>
      <c r="E4" t="s">
        <v>1013</v>
      </c>
      <c r="G4" cm="1">
        <f t="array" ref="G4">_xlfn.IFS(G3&lt;70,0,G3&lt;80,1000,G3&lt;90,1250,G3&lt;100,1750,G3=100,2000)*G34</f>
        <v>1700</v>
      </c>
      <c r="I4" t="s">
        <v>1013</v>
      </c>
      <c r="K4" cm="1">
        <f t="array" ref="K4">_xlfn.IFS(C3&lt;70,0,C3&lt;80,1000,C3&lt;90,1250,C3&lt;100,1750,C3=100,2000)*C34</f>
        <v>1700</v>
      </c>
      <c r="M4" t="s">
        <v>1013</v>
      </c>
      <c r="O4" cm="1">
        <f t="array" ref="O4">_xlfn.IFS(C3&lt;70,0,C3&lt;80,1000,C3&lt;90,1250,C3&lt;100,1750,C3=100,2000)*C34</f>
        <v>1700</v>
      </c>
      <c r="Q4" t="s">
        <v>1013</v>
      </c>
      <c r="S4" cm="1">
        <f t="array" ref="S4">_xlfn.IFS(C3&lt;70,0,C3&lt;80,1000,C3&lt;90,1250,C3&lt;100,1750,C3=100,2000)*C34</f>
        <v>1700</v>
      </c>
    </row>
    <row r="5" spans="1:19" ht="15.75" thickBot="1" x14ac:dyDescent="0.3"/>
    <row r="6" spans="1:19" ht="30" x14ac:dyDescent="0.25">
      <c r="A6" s="100" t="s">
        <v>1014</v>
      </c>
      <c r="B6" s="101" t="s">
        <v>1015</v>
      </c>
      <c r="C6" s="101" t="s">
        <v>1016</v>
      </c>
      <c r="E6" s="100" t="s">
        <v>1014</v>
      </c>
      <c r="F6" s="101" t="s">
        <v>1015</v>
      </c>
      <c r="G6" s="101" t="s">
        <v>1016</v>
      </c>
      <c r="I6" s="100" t="s">
        <v>1014</v>
      </c>
      <c r="J6" s="101" t="s">
        <v>1015</v>
      </c>
      <c r="K6" s="101" t="s">
        <v>1016</v>
      </c>
      <c r="M6" s="100" t="s">
        <v>1014</v>
      </c>
      <c r="N6" s="101" t="s">
        <v>1015</v>
      </c>
      <c r="O6" s="101" t="s">
        <v>1016</v>
      </c>
      <c r="Q6" s="100" t="s">
        <v>1014</v>
      </c>
      <c r="R6" s="101" t="s">
        <v>1015</v>
      </c>
      <c r="S6" s="101" t="s">
        <v>1016</v>
      </c>
    </row>
    <row r="7" spans="1:19" x14ac:dyDescent="0.25">
      <c r="A7" s="102"/>
      <c r="B7" s="103"/>
      <c r="C7" s="103"/>
      <c r="E7" s="102"/>
      <c r="F7" s="165"/>
      <c r="G7" s="165">
        <f>G2*$G$4</f>
        <v>142800</v>
      </c>
      <c r="I7" s="102"/>
      <c r="J7" s="165"/>
      <c r="K7" s="165">
        <f>K2*$K$4</f>
        <v>142800</v>
      </c>
      <c r="M7" s="102"/>
      <c r="N7" s="165"/>
      <c r="O7" s="165">
        <f>O2*$O$4</f>
        <v>142800</v>
      </c>
      <c r="Q7" s="102"/>
      <c r="R7" s="165"/>
      <c r="S7" s="165">
        <f>S2*$S$4</f>
        <v>141100</v>
      </c>
    </row>
    <row r="8" spans="1:19" x14ac:dyDescent="0.25">
      <c r="A8" s="102" t="s">
        <v>966</v>
      </c>
      <c r="B8" s="103"/>
      <c r="C8" s="103"/>
      <c r="E8" s="102" t="s">
        <v>966</v>
      </c>
      <c r="F8" s="165"/>
      <c r="G8" s="103"/>
      <c r="I8" s="102" t="s">
        <v>966</v>
      </c>
      <c r="J8" s="165"/>
      <c r="K8" s="103"/>
      <c r="M8" s="102" t="s">
        <v>966</v>
      </c>
      <c r="N8" s="165"/>
      <c r="O8" s="103"/>
      <c r="Q8" s="102" t="s">
        <v>966</v>
      </c>
      <c r="R8" s="165"/>
      <c r="S8" s="103"/>
    </row>
    <row r="9" spans="1:19" x14ac:dyDescent="0.25">
      <c r="A9" s="104" t="s">
        <v>1270</v>
      </c>
      <c r="B9" s="112">
        <v>15</v>
      </c>
      <c r="C9" s="105"/>
      <c r="E9" s="104" t="s">
        <v>1270</v>
      </c>
      <c r="F9" s="169">
        <v>15</v>
      </c>
      <c r="G9" s="105">
        <f>G$7*$F9/$F$28</f>
        <v>21420</v>
      </c>
      <c r="I9" s="104" t="s">
        <v>1270</v>
      </c>
      <c r="J9" s="169">
        <v>15</v>
      </c>
      <c r="K9" s="105">
        <f>K$7*$J9/$J$28</f>
        <v>21420</v>
      </c>
      <c r="M9" s="104" t="s">
        <v>1270</v>
      </c>
      <c r="N9" s="169">
        <v>15</v>
      </c>
      <c r="O9" s="105">
        <f>O$7*$N9/$N$28</f>
        <v>21420</v>
      </c>
      <c r="Q9" s="104" t="s">
        <v>1270</v>
      </c>
      <c r="R9" s="169">
        <v>15</v>
      </c>
      <c r="S9" s="105">
        <f>S$7*$R9/$R$28</f>
        <v>21165</v>
      </c>
    </row>
    <row r="10" spans="1:19" x14ac:dyDescent="0.25">
      <c r="A10" s="171" t="s">
        <v>1271</v>
      </c>
      <c r="B10" s="174">
        <v>10</v>
      </c>
      <c r="C10" s="105"/>
      <c r="E10" s="171" t="s">
        <v>1271</v>
      </c>
      <c r="F10" s="172">
        <v>10</v>
      </c>
      <c r="G10" s="173">
        <f>G$7*$F10/$F$28</f>
        <v>14280</v>
      </c>
      <c r="I10" s="171" t="s">
        <v>1271</v>
      </c>
      <c r="J10" s="172">
        <v>10</v>
      </c>
      <c r="K10" s="173">
        <f>K$7*$J10/$J$28</f>
        <v>14280</v>
      </c>
      <c r="M10" s="171" t="s">
        <v>1271</v>
      </c>
      <c r="N10" s="172">
        <v>10</v>
      </c>
      <c r="O10" s="173">
        <f>O$7*$N10/$N$28</f>
        <v>14280</v>
      </c>
      <c r="Q10" s="171" t="s">
        <v>1271</v>
      </c>
      <c r="R10" s="172">
        <v>10</v>
      </c>
      <c r="S10" s="173">
        <f>S$7*$R10/$R$28</f>
        <v>14110</v>
      </c>
    </row>
    <row r="11" spans="1:19" ht="15.75" thickBot="1" x14ac:dyDescent="0.3">
      <c r="A11" s="104"/>
      <c r="B11" s="112"/>
      <c r="C11" s="107">
        <f>SUM(C9:C10)</f>
        <v>0</v>
      </c>
      <c r="E11" s="104"/>
      <c r="F11" s="169"/>
      <c r="G11" s="170">
        <f>SUM(G9:G10)</f>
        <v>35700</v>
      </c>
      <c r="I11" s="104"/>
      <c r="J11" s="169"/>
      <c r="K11" s="170">
        <f>SUM(K9:K10)</f>
        <v>35700</v>
      </c>
      <c r="M11" s="104"/>
      <c r="N11" s="169"/>
      <c r="O11" s="170">
        <f>SUM(O9:O10)</f>
        <v>35700</v>
      </c>
      <c r="Q11" s="104"/>
      <c r="R11" s="169"/>
      <c r="S11" s="170">
        <f>SUM(S9:S10)</f>
        <v>35275</v>
      </c>
    </row>
    <row r="12" spans="1:19" ht="15.75" thickTop="1" x14ac:dyDescent="0.25">
      <c r="A12" s="104"/>
      <c r="B12" s="112"/>
      <c r="C12" s="105"/>
      <c r="E12" s="104"/>
      <c r="F12" s="169"/>
      <c r="G12" s="105"/>
      <c r="I12" s="104"/>
      <c r="J12" s="169"/>
      <c r="K12" s="105"/>
      <c r="M12" s="104"/>
      <c r="N12" s="169"/>
      <c r="O12" s="105"/>
      <c r="Q12" s="104"/>
      <c r="R12" s="169"/>
      <c r="S12" s="105"/>
    </row>
    <row r="13" spans="1:19" x14ac:dyDescent="0.25">
      <c r="A13" s="102" t="s">
        <v>964</v>
      </c>
      <c r="B13" s="103"/>
      <c r="C13" s="103"/>
      <c r="E13" s="102" t="s">
        <v>964</v>
      </c>
      <c r="F13" s="165"/>
      <c r="G13" s="103"/>
      <c r="I13" s="102" t="s">
        <v>964</v>
      </c>
      <c r="J13" s="165"/>
      <c r="K13" s="165"/>
      <c r="M13" s="102" t="s">
        <v>964</v>
      </c>
      <c r="N13" s="165"/>
      <c r="O13" s="103"/>
      <c r="Q13" s="102" t="s">
        <v>964</v>
      </c>
      <c r="R13" s="165"/>
      <c r="S13" s="103"/>
    </row>
    <row r="14" spans="1:19" x14ac:dyDescent="0.25">
      <c r="A14" s="104" t="s">
        <v>1272</v>
      </c>
      <c r="B14" s="112">
        <v>15</v>
      </c>
      <c r="C14" s="105"/>
      <c r="E14" s="104" t="s">
        <v>1272</v>
      </c>
      <c r="F14" s="169">
        <v>15</v>
      </c>
      <c r="G14" s="105">
        <f>G$7*$F14/$F$28</f>
        <v>21420</v>
      </c>
      <c r="I14" s="104" t="s">
        <v>1272</v>
      </c>
      <c r="J14" s="169">
        <v>15</v>
      </c>
      <c r="K14" s="105">
        <f>K$7*$J14/$J$28</f>
        <v>21420</v>
      </c>
      <c r="M14" s="104" t="s">
        <v>1272</v>
      </c>
      <c r="N14" s="169">
        <v>15</v>
      </c>
      <c r="O14" s="105">
        <f>O$7*$N14/$N$28</f>
        <v>21420</v>
      </c>
      <c r="Q14" s="104" t="s">
        <v>1272</v>
      </c>
      <c r="R14" s="169">
        <v>15</v>
      </c>
      <c r="S14" s="105">
        <f>S$7*$R14/$R$28</f>
        <v>21165</v>
      </c>
    </row>
    <row r="15" spans="1:19" x14ac:dyDescent="0.25">
      <c r="A15" s="104" t="s">
        <v>1024</v>
      </c>
      <c r="B15" s="112">
        <v>15</v>
      </c>
      <c r="C15" s="105"/>
      <c r="E15" s="104" t="s">
        <v>1024</v>
      </c>
      <c r="F15" s="169">
        <v>15</v>
      </c>
      <c r="G15" s="105">
        <f>G$7*$F15/$F$28</f>
        <v>21420</v>
      </c>
      <c r="I15" s="104" t="s">
        <v>1024</v>
      </c>
      <c r="J15" s="169">
        <v>15</v>
      </c>
      <c r="K15" s="105">
        <f>K$7*$J15/$J$28</f>
        <v>21420</v>
      </c>
      <c r="M15" s="104" t="s">
        <v>1024</v>
      </c>
      <c r="N15" s="169">
        <v>15</v>
      </c>
      <c r="O15" s="105">
        <f>O$7*$N15/$N$28</f>
        <v>21420</v>
      </c>
      <c r="Q15" s="104" t="s">
        <v>1024</v>
      </c>
      <c r="R15" s="169">
        <v>15</v>
      </c>
      <c r="S15" s="105">
        <f>S$7*$R15/$R$28</f>
        <v>21165</v>
      </c>
    </row>
    <row r="16" spans="1:19" x14ac:dyDescent="0.25">
      <c r="A16" s="171" t="s">
        <v>1273</v>
      </c>
      <c r="B16" s="174">
        <v>15</v>
      </c>
      <c r="C16" s="105"/>
      <c r="E16" s="171" t="s">
        <v>1273</v>
      </c>
      <c r="F16" s="172">
        <v>15</v>
      </c>
      <c r="G16" s="105">
        <f>G$7*$F16/$F$28</f>
        <v>21420</v>
      </c>
      <c r="I16" s="171" t="s">
        <v>1273</v>
      </c>
      <c r="J16" s="172">
        <v>15</v>
      </c>
      <c r="K16" s="105">
        <f>K$7*$J16/$J$28</f>
        <v>21420</v>
      </c>
      <c r="M16" s="171" t="s">
        <v>1273</v>
      </c>
      <c r="N16" s="172">
        <v>15</v>
      </c>
      <c r="O16" s="105">
        <f>O$7*$N16/$N$28</f>
        <v>21420</v>
      </c>
      <c r="Q16" s="171" t="s">
        <v>1273</v>
      </c>
      <c r="R16" s="172">
        <v>15</v>
      </c>
      <c r="S16" s="105">
        <f>S$7*$R16/$R$28</f>
        <v>21165</v>
      </c>
    </row>
    <row r="17" spans="1:19" ht="15.75" thickBot="1" x14ac:dyDescent="0.3">
      <c r="A17" s="104"/>
      <c r="B17" s="112"/>
      <c r="C17" s="107">
        <f>SUM(C14:C14)</f>
        <v>0</v>
      </c>
      <c r="E17" s="104"/>
      <c r="F17" s="169"/>
      <c r="G17" s="107">
        <f>SUM(G14:G16)</f>
        <v>64260</v>
      </c>
      <c r="I17" s="104"/>
      <c r="J17" s="169"/>
      <c r="K17" s="107">
        <f>SUM(K14:K16)</f>
        <v>64260</v>
      </c>
      <c r="M17" s="104"/>
      <c r="N17" s="169"/>
      <c r="O17" s="107">
        <f>SUM(O14:O16)</f>
        <v>64260</v>
      </c>
      <c r="Q17" s="104"/>
      <c r="R17" s="169"/>
      <c r="S17" s="107">
        <f>SUM(S14:S16)</f>
        <v>63495</v>
      </c>
    </row>
    <row r="18" spans="1:19" ht="15.75" thickTop="1" x14ac:dyDescent="0.25">
      <c r="A18" s="102"/>
      <c r="B18" s="103"/>
      <c r="C18" s="103"/>
      <c r="E18" s="102"/>
      <c r="F18" s="165"/>
      <c r="G18" s="103"/>
      <c r="I18" s="102"/>
      <c r="J18" s="165"/>
      <c r="K18" s="165"/>
      <c r="M18" s="102"/>
      <c r="N18" s="165"/>
      <c r="O18" s="103"/>
      <c r="Q18" s="102"/>
      <c r="R18" s="165"/>
      <c r="S18" s="103"/>
    </row>
    <row r="19" spans="1:19" x14ac:dyDescent="0.25">
      <c r="A19" s="108" t="s">
        <v>965</v>
      </c>
      <c r="B19" s="113"/>
      <c r="C19" s="105"/>
      <c r="E19" s="108" t="s">
        <v>965</v>
      </c>
      <c r="F19" s="113"/>
      <c r="G19" s="105"/>
      <c r="I19" s="108" t="s">
        <v>965</v>
      </c>
      <c r="J19" s="113"/>
      <c r="K19" s="105"/>
      <c r="M19" s="108" t="s">
        <v>965</v>
      </c>
      <c r="N19" s="113"/>
      <c r="O19" s="105"/>
      <c r="Q19" s="108" t="s">
        <v>965</v>
      </c>
      <c r="R19" s="113"/>
      <c r="S19" s="105"/>
    </row>
    <row r="20" spans="1:19" x14ac:dyDescent="0.25">
      <c r="A20" s="171" t="s">
        <v>1028</v>
      </c>
      <c r="B20" s="174">
        <v>15</v>
      </c>
      <c r="C20" s="105"/>
      <c r="E20" s="171" t="s">
        <v>1028</v>
      </c>
      <c r="F20" s="172">
        <v>15</v>
      </c>
      <c r="G20" s="105">
        <f>G$7*$F20/$F$28</f>
        <v>21420</v>
      </c>
      <c r="I20" s="171" t="s">
        <v>1028</v>
      </c>
      <c r="J20" s="172">
        <v>15</v>
      </c>
      <c r="K20" s="105">
        <f>K$7*$J20/$J$28</f>
        <v>21420</v>
      </c>
      <c r="M20" s="171" t="s">
        <v>1028</v>
      </c>
      <c r="N20" s="172">
        <v>15</v>
      </c>
      <c r="O20" s="105">
        <f>O$7*$N20/$N$28</f>
        <v>21420</v>
      </c>
      <c r="Q20" s="171" t="s">
        <v>1028</v>
      </c>
      <c r="R20" s="172">
        <v>15</v>
      </c>
      <c r="S20" s="105">
        <f>S$7*$R20/$R$28</f>
        <v>21165</v>
      </c>
    </row>
    <row r="21" spans="1:19" ht="15.75" thickBot="1" x14ac:dyDescent="0.3">
      <c r="A21" s="104"/>
      <c r="B21" s="112"/>
      <c r="C21" s="107">
        <f>SUM(C20:C20)</f>
        <v>0</v>
      </c>
      <c r="E21" s="104"/>
      <c r="F21" s="169"/>
      <c r="G21" s="107">
        <f>SUM(G20:G20)</f>
        <v>21420</v>
      </c>
      <c r="I21" s="104"/>
      <c r="J21" s="169"/>
      <c r="K21" s="107">
        <f>SUM(K20:K20)</f>
        <v>21420</v>
      </c>
      <c r="M21" s="104"/>
      <c r="N21" s="169"/>
      <c r="O21" s="107">
        <f>SUM(O20:O20)</f>
        <v>21420</v>
      </c>
      <c r="Q21" s="104"/>
      <c r="R21" s="169"/>
      <c r="S21" s="107">
        <f>SUM(S20:S20)</f>
        <v>21165</v>
      </c>
    </row>
    <row r="22" spans="1:19" ht="15.75" thickTop="1" x14ac:dyDescent="0.25">
      <c r="A22" s="109"/>
      <c r="B22" s="113"/>
      <c r="C22" s="105"/>
      <c r="E22" s="109"/>
      <c r="F22" s="113"/>
      <c r="G22" s="105"/>
      <c r="I22" s="109"/>
      <c r="J22" s="113"/>
      <c r="K22" s="105"/>
      <c r="M22" s="109"/>
      <c r="N22" s="113"/>
      <c r="O22" s="105"/>
      <c r="Q22" s="109"/>
      <c r="R22" s="113"/>
      <c r="S22" s="105"/>
    </row>
    <row r="23" spans="1:19" x14ac:dyDescent="0.25">
      <c r="A23" s="102" t="s">
        <v>1029</v>
      </c>
      <c r="B23" s="113"/>
      <c r="C23" s="105"/>
      <c r="E23" s="102" t="s">
        <v>1029</v>
      </c>
      <c r="F23" s="113"/>
      <c r="G23" s="105"/>
      <c r="I23" s="102" t="s">
        <v>1029</v>
      </c>
      <c r="J23" s="113"/>
      <c r="K23" s="105"/>
      <c r="M23" s="102" t="s">
        <v>1029</v>
      </c>
      <c r="N23" s="113"/>
      <c r="O23" s="105"/>
      <c r="Q23" s="102" t="s">
        <v>1029</v>
      </c>
      <c r="R23" s="113"/>
      <c r="S23" s="105"/>
    </row>
    <row r="24" spans="1:19" x14ac:dyDescent="0.25">
      <c r="A24" s="171" t="s">
        <v>1033</v>
      </c>
      <c r="B24" s="175">
        <v>15</v>
      </c>
      <c r="C24" s="105"/>
      <c r="E24" s="171" t="s">
        <v>1033</v>
      </c>
      <c r="F24" s="175">
        <v>15</v>
      </c>
      <c r="G24" s="105">
        <f>G$7*$F24/$F$28</f>
        <v>21420</v>
      </c>
      <c r="I24" s="171" t="s">
        <v>1033</v>
      </c>
      <c r="J24" s="175">
        <v>15</v>
      </c>
      <c r="K24" s="105">
        <f>K$7*$J24/$J$28</f>
        <v>21420</v>
      </c>
      <c r="M24" s="171" t="s">
        <v>1033</v>
      </c>
      <c r="N24" s="175">
        <v>15</v>
      </c>
      <c r="O24" s="105">
        <f>O$7*$N24/$N$28</f>
        <v>21420</v>
      </c>
      <c r="Q24" s="171" t="s">
        <v>1033</v>
      </c>
      <c r="R24" s="175">
        <v>15</v>
      </c>
      <c r="S24" s="105">
        <f>S$7*$R24/$R$28</f>
        <v>21165</v>
      </c>
    </row>
    <row r="25" spans="1:19" ht="15.75" thickBot="1" x14ac:dyDescent="0.3">
      <c r="A25" s="104"/>
      <c r="B25" s="113"/>
      <c r="C25" s="107">
        <f>SUM(C24:C24)</f>
        <v>0</v>
      </c>
      <c r="E25" s="104"/>
      <c r="F25" s="113"/>
      <c r="G25" s="107">
        <f>SUM(G24:G24)</f>
        <v>21420</v>
      </c>
      <c r="I25" s="104"/>
      <c r="J25" s="113"/>
      <c r="K25" s="107">
        <f>SUM(K24:K24)</f>
        <v>21420</v>
      </c>
      <c r="M25" s="104"/>
      <c r="N25" s="113"/>
      <c r="O25" s="107">
        <f>SUM(O24:O24)</f>
        <v>21420</v>
      </c>
      <c r="Q25" s="104"/>
      <c r="R25" s="113"/>
      <c r="S25" s="107">
        <f>SUM(S24:S24)</f>
        <v>21165</v>
      </c>
    </row>
    <row r="26" spans="1:19" ht="15.75" thickTop="1" x14ac:dyDescent="0.25">
      <c r="A26" s="104"/>
      <c r="B26" s="113"/>
      <c r="C26" s="105"/>
      <c r="E26" s="104"/>
      <c r="F26" s="113"/>
      <c r="G26" s="105"/>
      <c r="I26" s="104"/>
      <c r="J26" s="113"/>
      <c r="K26" s="105"/>
      <c r="M26" s="104"/>
      <c r="N26" s="113"/>
      <c r="O26" s="105"/>
      <c r="Q26" s="104"/>
      <c r="R26" s="113"/>
      <c r="S26" s="105"/>
    </row>
    <row r="27" spans="1:19" x14ac:dyDescent="0.25">
      <c r="A27" s="171"/>
      <c r="B27" s="175"/>
      <c r="C27" s="173"/>
      <c r="E27" s="171"/>
      <c r="F27" s="175"/>
      <c r="G27" s="173"/>
      <c r="I27" s="171"/>
      <c r="J27" s="175"/>
      <c r="K27" s="173"/>
      <c r="M27" s="171"/>
      <c r="N27" s="175"/>
      <c r="O27" s="173"/>
      <c r="Q27" s="171"/>
      <c r="R27" s="175"/>
      <c r="S27" s="173"/>
    </row>
    <row r="28" spans="1:19" ht="15.75" thickBot="1" x14ac:dyDescent="0.3">
      <c r="A28" s="110" t="s">
        <v>1003</v>
      </c>
      <c r="B28" s="114">
        <f>SUM(B9:B27)</f>
        <v>100</v>
      </c>
      <c r="C28" s="111">
        <f>C17+C21+C25+C11</f>
        <v>0</v>
      </c>
      <c r="E28" s="110" t="s">
        <v>1003</v>
      </c>
      <c r="F28" s="114">
        <f>SUM(F9:F27)</f>
        <v>100</v>
      </c>
      <c r="G28" s="111">
        <f>G17+G21+G25+G11</f>
        <v>142800</v>
      </c>
      <c r="I28" s="110" t="s">
        <v>1003</v>
      </c>
      <c r="J28" s="114">
        <f>SUM(J9:J27)</f>
        <v>100</v>
      </c>
      <c r="K28" s="111">
        <f>K17+K21+K25+K11</f>
        <v>142800</v>
      </c>
      <c r="M28" s="110" t="s">
        <v>1003</v>
      </c>
      <c r="N28" s="114">
        <f>SUM(N9:N27)</f>
        <v>100</v>
      </c>
      <c r="O28" s="111">
        <f>O17+O21+O25+O11</f>
        <v>142800</v>
      </c>
      <c r="Q28" s="110" t="s">
        <v>1003</v>
      </c>
      <c r="R28" s="114">
        <f>SUM(R9:R27)</f>
        <v>100</v>
      </c>
      <c r="S28" s="111">
        <f>S17+S21+S25+S11</f>
        <v>141100</v>
      </c>
    </row>
    <row r="31" spans="1:19" x14ac:dyDescent="0.25">
      <c r="A31" t="s">
        <v>989</v>
      </c>
      <c r="B31" t="s">
        <v>1034</v>
      </c>
      <c r="E31" t="s">
        <v>989</v>
      </c>
      <c r="F31" t="s">
        <v>1034</v>
      </c>
      <c r="I31" t="s">
        <v>989</v>
      </c>
      <c r="J31" t="s">
        <v>1034</v>
      </c>
      <c r="M31" t="s">
        <v>989</v>
      </c>
      <c r="N31" t="s">
        <v>1034</v>
      </c>
      <c r="Q31" t="s">
        <v>989</v>
      </c>
      <c r="R31" t="s">
        <v>1034</v>
      </c>
    </row>
    <row r="32" spans="1:19" x14ac:dyDescent="0.25">
      <c r="A32">
        <v>7</v>
      </c>
      <c r="B32">
        <v>3</v>
      </c>
      <c r="C32">
        <f>A32+B32</f>
        <v>10</v>
      </c>
      <c r="E32">
        <v>7</v>
      </c>
      <c r="F32">
        <v>3</v>
      </c>
      <c r="G32">
        <f>E32+F32</f>
        <v>10</v>
      </c>
      <c r="I32">
        <v>7</v>
      </c>
      <c r="J32">
        <v>3</v>
      </c>
      <c r="K32">
        <f>I32+J32</f>
        <v>10</v>
      </c>
      <c r="M32">
        <v>7</v>
      </c>
      <c r="N32">
        <v>3</v>
      </c>
      <c r="O32">
        <f>M32+N32</f>
        <v>10</v>
      </c>
      <c r="Q32">
        <v>7</v>
      </c>
      <c r="R32">
        <v>3</v>
      </c>
      <c r="S32">
        <f>Q32+R32</f>
        <v>10</v>
      </c>
    </row>
    <row r="33" spans="1:19" x14ac:dyDescent="0.25">
      <c r="A33">
        <v>2000</v>
      </c>
      <c r="B33">
        <f>A33*0.5</f>
        <v>1000</v>
      </c>
      <c r="C33">
        <f>(A33*A32+B33*B32)/C32</f>
        <v>1700</v>
      </c>
      <c r="E33">
        <v>2000</v>
      </c>
      <c r="F33">
        <f>E33*0.5</f>
        <v>1000</v>
      </c>
      <c r="G33">
        <f>(E33*E32+F33*F32)/G32</f>
        <v>1700</v>
      </c>
      <c r="I33">
        <v>2000</v>
      </c>
      <c r="J33">
        <f>I33*0.5</f>
        <v>1000</v>
      </c>
      <c r="K33">
        <f>(I33*I32+J33*J32)/K32</f>
        <v>1700</v>
      </c>
      <c r="M33">
        <v>2000</v>
      </c>
      <c r="N33">
        <f>M33*0.5</f>
        <v>1000</v>
      </c>
      <c r="O33">
        <f>(M33*M32+N33*N32)/O32</f>
        <v>1700</v>
      </c>
      <c r="Q33">
        <v>2000</v>
      </c>
      <c r="R33">
        <f>Q33*0.5</f>
        <v>1000</v>
      </c>
      <c r="S33">
        <f>(Q33*Q32+R33*R32)/S32</f>
        <v>1700</v>
      </c>
    </row>
    <row r="34" spans="1:19" x14ac:dyDescent="0.25">
      <c r="A34" t="s">
        <v>1274</v>
      </c>
      <c r="C34" s="137">
        <f>C33/A33</f>
        <v>0.85</v>
      </c>
      <c r="E34" t="s">
        <v>1274</v>
      </c>
      <c r="G34" s="137">
        <f>G33/E33</f>
        <v>0.85</v>
      </c>
      <c r="I34" t="s">
        <v>1274</v>
      </c>
      <c r="K34" s="137">
        <f>K33/I33</f>
        <v>0.85</v>
      </c>
      <c r="M34" t="s">
        <v>1274</v>
      </c>
      <c r="O34" s="137">
        <f>O33/M33</f>
        <v>0.85</v>
      </c>
      <c r="Q34" t="s">
        <v>1274</v>
      </c>
      <c r="S34" s="137">
        <f>S33/Q33</f>
        <v>0.85</v>
      </c>
    </row>
    <row r="37" spans="1:19" x14ac:dyDescent="0.25">
      <c r="G37" s="134">
        <f>G28+K28+O28+S28</f>
        <v>569500</v>
      </c>
      <c r="H37" s="15"/>
      <c r="I37" s="15"/>
      <c r="J37" s="7"/>
    </row>
    <row r="38" spans="1:19" x14ac:dyDescent="0.25">
      <c r="G38" s="134"/>
      <c r="H38" s="134"/>
      <c r="I38" s="134"/>
      <c r="J38" s="13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391EE-4F9B-4BE9-8AA8-03D2C0CA9ABB}">
  <sheetPr codeName="Sheet25">
    <tabColor theme="9" tint="0.79998168889431442"/>
  </sheetPr>
  <dimension ref="A1:V51"/>
  <sheetViews>
    <sheetView topLeftCell="A12" workbookViewId="0">
      <selection activeCell="E36" sqref="E36"/>
    </sheetView>
  </sheetViews>
  <sheetFormatPr defaultRowHeight="15" x14ac:dyDescent="0.25"/>
  <cols>
    <col min="1" max="1" width="24.28515625" customWidth="1"/>
    <col min="2" max="2" width="11.28515625" hidden="1" customWidth="1"/>
    <col min="3" max="3" width="12.5703125" hidden="1" customWidth="1"/>
    <col min="4" max="4" width="10.7109375" hidden="1" customWidth="1"/>
    <col min="5" max="5" width="11.28515625" customWidth="1"/>
    <col min="6" max="6" width="12.5703125" customWidth="1"/>
    <col min="7" max="9" width="10.7109375" customWidth="1"/>
    <col min="10" max="10" width="10.85546875" customWidth="1"/>
    <col min="11" max="16" width="10.7109375" customWidth="1"/>
    <col min="17" max="17" width="2.7109375" customWidth="1"/>
    <col min="18" max="18" width="13.7109375" customWidth="1"/>
    <col min="19" max="19" width="24.28515625" style="34" customWidth="1"/>
  </cols>
  <sheetData>
    <row r="1" spans="1:22" ht="15.75" x14ac:dyDescent="0.25">
      <c r="A1" s="11" t="s">
        <v>1064</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2" x14ac:dyDescent="0.25">
      <c r="D3" s="34"/>
      <c r="G3" s="34"/>
    </row>
    <row r="4" spans="1:22" x14ac:dyDescent="0.25">
      <c r="A4" t="s">
        <v>1065</v>
      </c>
      <c r="B4" s="2">
        <f>'[3]LEX NEW VEHICLE'!$B6</f>
        <v>6</v>
      </c>
      <c r="C4" s="2">
        <f>'[4]LEX NEW VEHICLE'!$B6</f>
        <v>7</v>
      </c>
      <c r="D4" s="2">
        <f>'[5]LEX NEW VEHICLE'!$B6</f>
        <v>25</v>
      </c>
      <c r="E4" s="2">
        <f>'[6]LEX NEW VEHICLE'!$B6</f>
        <v>30</v>
      </c>
      <c r="F4" s="2">
        <f>'[7]LEX NEW VEHICLE'!$B6</f>
        <v>31</v>
      </c>
      <c r="G4" s="2">
        <f>'[8]LEX NEW VEHICLE'!$B6</f>
        <v>30</v>
      </c>
      <c r="H4" s="2">
        <f>'[9]LEX NEW VEHICLE'!$B6</f>
        <v>21</v>
      </c>
      <c r="I4" s="2">
        <f>'[10]LEX NEW VEHICLE'!$B6</f>
        <v>28</v>
      </c>
      <c r="J4" s="2">
        <f>'[11]LEX NEW VEHICLE'!$B6</f>
        <v>27</v>
      </c>
      <c r="K4" s="2">
        <f>'[12]LEX NEW VEHICLE'!$B6</f>
        <v>29</v>
      </c>
      <c r="L4" s="2">
        <f>'[13]LEX NEW VEHICLE'!$B6</f>
        <v>33</v>
      </c>
      <c r="M4" s="2">
        <f>'[14]LEX NEW VEHICLE'!$B6</f>
        <v>23</v>
      </c>
      <c r="N4" s="2">
        <f>'[15]LEX NEW VEHICLE'!$B$6</f>
        <v>20</v>
      </c>
      <c r="O4" s="2">
        <f>'[16]LEX NEW VEHICLE'!$B$6</f>
        <v>27</v>
      </c>
      <c r="P4" s="2">
        <f>'[17]LEX NEW VEHICLE'!$B$6</f>
        <v>26</v>
      </c>
      <c r="Q4" s="2"/>
      <c r="R4" s="2">
        <f>SUM(E4:P4)</f>
        <v>325</v>
      </c>
      <c r="S4" s="132"/>
      <c r="T4" s="8"/>
      <c r="U4" s="2"/>
      <c r="V4" s="2"/>
    </row>
    <row r="5" spans="1:22" x14ac:dyDescent="0.25">
      <c r="A5" t="s">
        <v>1066</v>
      </c>
      <c r="B5" s="2">
        <f>'[3]LEX NEW VEHICLE'!$B27</f>
        <v>3</v>
      </c>
      <c r="C5" s="2">
        <f>'[4]LEX NEW VEHICLE'!$B27</f>
        <v>3</v>
      </c>
      <c r="D5" s="2">
        <f>'[5]LEX NEW VEHICLE'!$B27</f>
        <v>3</v>
      </c>
      <c r="E5" s="2">
        <f>'[6]LEX NEW VEHICLE'!$B27</f>
        <v>3</v>
      </c>
      <c r="F5" s="2">
        <f>'[7]LEX NEW VEHICLE'!$B27</f>
        <v>3</v>
      </c>
      <c r="G5" s="2">
        <f>'[8]LEX NEW VEHICLE'!$B27</f>
        <v>4</v>
      </c>
      <c r="H5" s="2">
        <f>'[9]LEX NEW VEHICLE'!$B27</f>
        <v>4</v>
      </c>
      <c r="I5" s="2">
        <f>'[10]LEX NEW VEHICLE'!$B27</f>
        <v>4</v>
      </c>
      <c r="J5" s="2">
        <f>'[11]LEX NEW VEHICLE'!$B27</f>
        <v>4</v>
      </c>
      <c r="K5" s="2">
        <f>'[12]LEX NEW VEHICLE'!$B27</f>
        <v>4</v>
      </c>
      <c r="L5" s="2">
        <f>'[13]LEX NEW VEHICLE'!$B27</f>
        <v>4</v>
      </c>
      <c r="M5" s="2">
        <f>'[14]LEX NEW VEHICLE'!$B27</f>
        <v>4</v>
      </c>
      <c r="N5" s="2">
        <f>'[15]LEX NEW VEHICLE'!$B$27</f>
        <v>4</v>
      </c>
      <c r="O5" s="2">
        <f>'[16]LEX NEW VEHICLE'!$B$27</f>
        <v>4</v>
      </c>
      <c r="P5" s="2">
        <f>'[17]LEX NEW VEHICLE'!$B$27</f>
        <v>4</v>
      </c>
      <c r="Q5" s="2"/>
      <c r="R5" s="2">
        <f>AVERAGE(E5:P5)</f>
        <v>3.8333333333333335</v>
      </c>
      <c r="S5" s="132"/>
      <c r="T5" s="1"/>
      <c r="U5" s="2"/>
      <c r="V5" s="2"/>
    </row>
    <row r="6" spans="1:22" s="39" customFormat="1" x14ac:dyDescent="0.25">
      <c r="A6" s="39" t="s">
        <v>1067</v>
      </c>
      <c r="B6" s="2">
        <f t="shared" ref="B6:M6" si="0">B4/B5</f>
        <v>2</v>
      </c>
      <c r="C6" s="2">
        <f t="shared" si="0"/>
        <v>2.3333333333333335</v>
      </c>
      <c r="D6" s="2">
        <f t="shared" si="0"/>
        <v>8.3333333333333339</v>
      </c>
      <c r="E6" s="2">
        <f t="shared" si="0"/>
        <v>10</v>
      </c>
      <c r="F6" s="2">
        <f t="shared" si="0"/>
        <v>10.333333333333334</v>
      </c>
      <c r="G6" s="2">
        <f t="shared" si="0"/>
        <v>7.5</v>
      </c>
      <c r="H6" s="2">
        <f t="shared" si="0"/>
        <v>5.25</v>
      </c>
      <c r="I6" s="2">
        <f t="shared" si="0"/>
        <v>7</v>
      </c>
      <c r="J6" s="2">
        <f t="shared" si="0"/>
        <v>6.75</v>
      </c>
      <c r="K6" s="2">
        <f t="shared" si="0"/>
        <v>7.25</v>
      </c>
      <c r="L6" s="2">
        <f t="shared" si="0"/>
        <v>8.25</v>
      </c>
      <c r="M6" s="2">
        <f t="shared" si="0"/>
        <v>5.75</v>
      </c>
      <c r="N6" s="2">
        <f>N4/N5</f>
        <v>5</v>
      </c>
      <c r="O6" s="2">
        <f>O4/O5</f>
        <v>6.75</v>
      </c>
      <c r="P6" s="2">
        <f>P4/P5</f>
        <v>6.5</v>
      </c>
      <c r="Q6" s="2"/>
      <c r="R6" s="2">
        <f>AVERAGE(E6:P6)</f>
        <v>7.1944444444444455</v>
      </c>
      <c r="S6" s="132"/>
      <c r="T6" s="3"/>
      <c r="U6" s="2"/>
      <c r="V6" s="2"/>
    </row>
    <row r="7" spans="1:22" x14ac:dyDescent="0.25">
      <c r="B7" s="2"/>
      <c r="C7" s="2"/>
      <c r="D7" s="2"/>
      <c r="E7" s="2"/>
      <c r="F7" s="2"/>
      <c r="G7" s="2"/>
      <c r="H7" s="2"/>
      <c r="I7" s="2"/>
      <c r="J7" s="2"/>
      <c r="K7" s="2"/>
      <c r="L7" s="2"/>
      <c r="M7" s="2"/>
      <c r="N7" s="2"/>
      <c r="O7" s="2"/>
      <c r="P7" s="2"/>
      <c r="Q7" s="2"/>
      <c r="R7" s="2"/>
      <c r="S7" s="132"/>
      <c r="T7" s="1"/>
      <c r="U7" s="2"/>
      <c r="V7" s="2"/>
    </row>
    <row r="8" spans="1:22" s="7" customFormat="1" x14ac:dyDescent="0.25">
      <c r="A8" s="7" t="s">
        <v>1275</v>
      </c>
      <c r="B8" s="6">
        <f>'[3]LEX NEW VEHICLE'!$B11-B9</f>
        <v>11926.790000000006</v>
      </c>
      <c r="C8" s="6">
        <f>'[4]LEX NEW VEHICLE'!$B11-C9</f>
        <v>13678.725714285729</v>
      </c>
      <c r="D8" s="6">
        <f>'[5]LEX NEW VEHICLE'!$B11-D9</f>
        <v>11587.523600000004</v>
      </c>
      <c r="E8" s="6">
        <f>'[6]LEX NEW VEHICLE'!$B11-E9</f>
        <v>10340.949999999995</v>
      </c>
      <c r="F8" s="6">
        <f>'[7]LEX NEW VEHICLE'!$B11-F9</f>
        <v>12310.364193548399</v>
      </c>
      <c r="G8" s="6">
        <f>'[8]LEX NEW VEHICLE'!$B11-G9</f>
        <v>9731.1553333333104</v>
      </c>
      <c r="H8" s="6">
        <f>'[9]LEX NEW VEHICLE'!$B11-H9</f>
        <v>11988.085238095238</v>
      </c>
      <c r="I8" s="6">
        <f>'[10]LEX NEW VEHICLE'!$B11-I9</f>
        <v>13402.959285714318</v>
      </c>
      <c r="J8" s="6">
        <f>'[11]LEX NEW VEHICLE'!$B11-J9</f>
        <v>10649.944074074076</v>
      </c>
      <c r="K8" s="6">
        <f>'[12]LEX NEW VEHICLE'!$B11-K9</f>
        <v>9352.5431034482644</v>
      </c>
      <c r="L8" s="6">
        <f>'[13]LEX NEW VEHICLE'!$B11-L9</f>
        <v>8824.9724242424054</v>
      </c>
      <c r="M8" s="6">
        <f>'[14]LEX NEW VEHICLE'!$B11-M9</f>
        <v>8414.413478260878</v>
      </c>
      <c r="N8" s="6">
        <f>'[15]LEX NEW VEHICLE'!$B$11</f>
        <v>12727.689999999991</v>
      </c>
      <c r="O8" s="6">
        <f>'[16]LEX NEW VEHICLE'!$B$11</f>
        <v>8605.5448148148225</v>
      </c>
      <c r="P8" s="6">
        <f>'[17]LEX NEW VEHICLE'!$B$11-P9</f>
        <v>9578.7269230768907</v>
      </c>
      <c r="Q8" s="6"/>
      <c r="R8" s="2">
        <f t="shared" ref="R8:R13" si="1">AVERAGE(E8:P8)</f>
        <v>10493.945739050716</v>
      </c>
      <c r="S8" s="116"/>
      <c r="T8" s="1"/>
      <c r="U8" s="6"/>
      <c r="V8" s="6"/>
    </row>
    <row r="9" spans="1:22" s="7" customFormat="1" x14ac:dyDescent="0.25">
      <c r="A9" s="7" t="s">
        <v>1070</v>
      </c>
      <c r="B9" s="6">
        <f>'[3]LEX NEW VEHICLE'!$B9</f>
        <v>3931.2016666666664</v>
      </c>
      <c r="C9" s="6">
        <f>'[4]LEX NEW VEHICLE'!$B9</f>
        <v>0</v>
      </c>
      <c r="D9" s="6">
        <f>'[5]LEX NEW VEHICLE'!$B9</f>
        <v>667.82600000000002</v>
      </c>
      <c r="E9" s="6">
        <f>'[6]LEX NEW VEHICLE'!$B9</f>
        <v>0</v>
      </c>
      <c r="F9" s="6">
        <f>'[7]LEX NEW VEHICLE'!$B9</f>
        <v>0</v>
      </c>
      <c r="G9" s="6">
        <f>'[8]LEX NEW VEHICLE'!$B9</f>
        <v>1408.6956666666667</v>
      </c>
      <c r="H9" s="6">
        <f>'[9]LEX NEW VEHICLE'!$B9</f>
        <v>0</v>
      </c>
      <c r="I9" s="6">
        <f>'[10]LEX NEW VEHICLE'!$B9</f>
        <v>0</v>
      </c>
      <c r="J9" s="6">
        <f>'[11]LEX NEW VEHICLE'!$B9</f>
        <v>1458.9374074074074</v>
      </c>
      <c r="K9" s="6">
        <f>'[12]LEX NEW VEHICLE'!$B9</f>
        <v>0</v>
      </c>
      <c r="L9" s="6">
        <f>'[13]LEX NEW VEHICLE'!$B9</f>
        <v>0</v>
      </c>
      <c r="M9" s="6">
        <f>'[14]LEX NEW VEHICLE'!$B9</f>
        <v>1281.6634782608694</v>
      </c>
      <c r="N9" s="6">
        <f>'[15]LEX NEW VEHICLE'!$B$9</f>
        <v>0</v>
      </c>
      <c r="O9" s="6">
        <f>'[16]LEX NEW VEHICLE'!$B$9</f>
        <v>0</v>
      </c>
      <c r="P9" s="6">
        <f>'[17]LEX NEW VEHICLE'!$B$9</f>
        <v>1324.4146153846154</v>
      </c>
      <c r="Q9" s="6"/>
      <c r="R9" s="2">
        <f t="shared" si="1"/>
        <v>456.14259730996326</v>
      </c>
      <c r="S9" s="116"/>
      <c r="T9" s="1"/>
      <c r="U9" s="6"/>
      <c r="V9" s="6"/>
    </row>
    <row r="10" spans="1:22" s="7" customFormat="1" x14ac:dyDescent="0.25">
      <c r="A10" s="7" t="s">
        <v>1071</v>
      </c>
      <c r="B10" s="6">
        <f>'[3]LEX NEW VEHICLE'!$B15</f>
        <v>3569.4566666666669</v>
      </c>
      <c r="C10" s="6">
        <f>'[4]LEX NEW VEHICLE'!$B15</f>
        <v>1777.5357142857142</v>
      </c>
      <c r="D10" s="6">
        <f>'[5]LEX NEW VEHICLE'!$B15</f>
        <v>2144.2676000000001</v>
      </c>
      <c r="E10" s="6">
        <f>'[6]LEX NEW VEHICLE'!$B15</f>
        <v>1655.5876666666666</v>
      </c>
      <c r="F10" s="6">
        <f>'[7]LEX NEW VEHICLE'!$B15</f>
        <v>2693.6241935483872</v>
      </c>
      <c r="G10" s="6">
        <f>'[8]LEX NEW VEHICLE'!$B15</f>
        <v>1742.9316666666666</v>
      </c>
      <c r="H10" s="6">
        <f>'[9]LEX NEW VEHICLE'!$B15</f>
        <v>2668.9485714285715</v>
      </c>
      <c r="I10" s="6">
        <f>'[10]LEX NEW VEHICLE'!$B15</f>
        <v>2627.7203571428572</v>
      </c>
      <c r="J10" s="6">
        <f>'[11]LEX NEW VEHICLE'!$B15</f>
        <v>2529.2762962962961</v>
      </c>
      <c r="K10" s="6">
        <f>'[12]LEX NEW VEHICLE'!$B15</f>
        <v>1000.2662068965517</v>
      </c>
      <c r="L10" s="6">
        <f>'[13]LEX NEW VEHICLE'!$B15</f>
        <v>1340.6606060606061</v>
      </c>
      <c r="M10" s="6">
        <f>'[14]LEX NEW VEHICLE'!$B15</f>
        <v>1150.7591304347825</v>
      </c>
      <c r="N10" s="6">
        <f>'[15]LEX NEW VEHICLE'!$B$15</f>
        <v>1792.9394999999997</v>
      </c>
      <c r="O10" s="6">
        <f>'[16]LEX NEW VEHICLE'!$B$15</f>
        <v>1285.4748148148149</v>
      </c>
      <c r="P10" s="6">
        <f>'[17]LEX NEW VEHICLE'!$B$15</f>
        <v>1725.1353846153843</v>
      </c>
      <c r="Q10" s="6"/>
      <c r="R10" s="2">
        <f>AVERAGE(E10:P10)</f>
        <v>1851.1103662142987</v>
      </c>
      <c r="S10" s="116"/>
      <c r="T10"/>
      <c r="U10" s="6"/>
      <c r="V10" s="6"/>
    </row>
    <row r="11" spans="1:22" s="7" customFormat="1" x14ac:dyDescent="0.25">
      <c r="A11" s="7" t="s">
        <v>1072</v>
      </c>
      <c r="B11" s="6">
        <f>'[3]LEX NEW VEHICLE'!$B20</f>
        <v>8378.5483333333341</v>
      </c>
      <c r="C11" s="6">
        <f>'[4]LEX NEW VEHICLE'!$B20</f>
        <v>3585.1542857142854</v>
      </c>
      <c r="D11" s="6">
        <f>'[5]LEX NEW VEHICLE'!$B20</f>
        <v>1665.0688000000002</v>
      </c>
      <c r="E11" s="6">
        <f>'[6]LEX NEW VEHICLE'!$B20</f>
        <v>2070.2923333333333</v>
      </c>
      <c r="F11" s="6">
        <f>'[7]LEX NEW VEHICLE'!$B20</f>
        <v>1472.2170967741936</v>
      </c>
      <c r="G11" s="6">
        <f>'[8]LEX NEW VEHICLE'!$B20</f>
        <v>2439.8919999999998</v>
      </c>
      <c r="H11" s="6">
        <f>'[9]LEX NEW VEHICLE'!$B20</f>
        <v>2224.8909523809525</v>
      </c>
      <c r="I11" s="6">
        <f>'[10]LEX NEW VEHICLE'!$B20</f>
        <v>2042.8285714285712</v>
      </c>
      <c r="J11" s="6">
        <f>'[11]LEX NEW VEHICLE'!$B20</f>
        <v>2227.5266666666666</v>
      </c>
      <c r="K11" s="6">
        <f>'[12]LEX NEW VEHICLE'!$B20</f>
        <v>1321.9444827586208</v>
      </c>
      <c r="L11" s="6">
        <f>'[13]LEX NEW VEHICLE'!$B20</f>
        <v>1326.4069696969698</v>
      </c>
      <c r="M11" s="6">
        <f>'[14]LEX NEW VEHICLE'!$B20</f>
        <v>1098.1026086956522</v>
      </c>
      <c r="N11" s="6">
        <f>'[15]LEX NEW VEHICLE'!$B$20</f>
        <v>1713.7494999999999</v>
      </c>
      <c r="O11" s="6">
        <f>'[16]LEX NEW VEHICLE'!$B$20</f>
        <v>1447.697037037037</v>
      </c>
      <c r="P11" s="6">
        <f>'[17]LEX NEW VEHICLE'!$B$20</f>
        <v>1105.8903846153846</v>
      </c>
      <c r="Q11" s="6"/>
      <c r="R11" s="2">
        <f>AVERAGE(E11:P11)</f>
        <v>1707.6198836156148</v>
      </c>
      <c r="S11" s="116"/>
      <c r="T11"/>
      <c r="U11" s="6"/>
      <c r="V11" s="6"/>
    </row>
    <row r="12" spans="1:22" s="7" customFormat="1" x14ac:dyDescent="0.25">
      <c r="A12" s="7" t="s">
        <v>1073</v>
      </c>
      <c r="B12" s="6">
        <f t="shared" ref="B12:M12" si="2">B10+B11</f>
        <v>11948.005000000001</v>
      </c>
      <c r="C12" s="6">
        <f t="shared" si="2"/>
        <v>5362.69</v>
      </c>
      <c r="D12" s="6">
        <f t="shared" si="2"/>
        <v>3809.3364000000001</v>
      </c>
      <c r="E12" s="6">
        <f t="shared" si="2"/>
        <v>3725.88</v>
      </c>
      <c r="F12" s="6">
        <f t="shared" si="2"/>
        <v>4165.8412903225808</v>
      </c>
      <c r="G12" s="6">
        <f t="shared" si="2"/>
        <v>4182.8236666666662</v>
      </c>
      <c r="H12" s="6">
        <f t="shared" si="2"/>
        <v>4893.8395238095236</v>
      </c>
      <c r="I12" s="6">
        <f t="shared" si="2"/>
        <v>4670.5489285714284</v>
      </c>
      <c r="J12" s="6">
        <f t="shared" si="2"/>
        <v>4756.8029629629627</v>
      </c>
      <c r="K12" s="6">
        <f t="shared" si="2"/>
        <v>2322.2106896551722</v>
      </c>
      <c r="L12" s="6">
        <f t="shared" si="2"/>
        <v>2667.0675757575759</v>
      </c>
      <c r="M12" s="6">
        <f t="shared" si="2"/>
        <v>2248.8617391304347</v>
      </c>
      <c r="N12" s="6">
        <f>N10+N11</f>
        <v>3506.6889999999994</v>
      </c>
      <c r="O12" s="6">
        <f>O10+O11</f>
        <v>2733.1718518518519</v>
      </c>
      <c r="P12" s="6">
        <f>P10+P11</f>
        <v>2831.0257692307687</v>
      </c>
      <c r="Q12" s="6"/>
      <c r="R12" s="2">
        <f t="shared" si="1"/>
        <v>3558.7302498299141</v>
      </c>
      <c r="S12" s="116"/>
      <c r="T12"/>
      <c r="U12" s="6"/>
      <c r="V12" s="6"/>
    </row>
    <row r="13" spans="1:22" s="7" customFormat="1" x14ac:dyDescent="0.25">
      <c r="A13" s="7" t="s">
        <v>1074</v>
      </c>
      <c r="B13" s="6">
        <f t="shared" ref="B13:M13" si="3">B8+B9-B12</f>
        <v>3909.9866666666712</v>
      </c>
      <c r="C13" s="6">
        <f t="shared" si="3"/>
        <v>8316.0357142857283</v>
      </c>
      <c r="D13" s="6">
        <f t="shared" si="3"/>
        <v>8446.0132000000049</v>
      </c>
      <c r="E13" s="6">
        <f t="shared" si="3"/>
        <v>6615.0699999999952</v>
      </c>
      <c r="F13" s="6">
        <f t="shared" si="3"/>
        <v>8144.5229032258185</v>
      </c>
      <c r="G13" s="6">
        <f t="shared" si="3"/>
        <v>6957.0273333333107</v>
      </c>
      <c r="H13" s="6">
        <f t="shared" si="3"/>
        <v>7094.2457142857147</v>
      </c>
      <c r="I13" s="6">
        <f t="shared" si="3"/>
        <v>8732.4103571428896</v>
      </c>
      <c r="J13" s="6">
        <f t="shared" si="3"/>
        <v>7352.0785185185205</v>
      </c>
      <c r="K13" s="6">
        <f t="shared" si="3"/>
        <v>7030.3324137930922</v>
      </c>
      <c r="L13" s="6">
        <f t="shared" si="3"/>
        <v>6157.9048484848299</v>
      </c>
      <c r="M13" s="6">
        <f t="shared" si="3"/>
        <v>7447.2152173913128</v>
      </c>
      <c r="N13" s="6">
        <f>N8+N9-N12</f>
        <v>9221.0009999999929</v>
      </c>
      <c r="O13" s="6">
        <f>O8+O9-O12</f>
        <v>5872.3729629629706</v>
      </c>
      <c r="P13" s="6">
        <f>P8+P9-P12</f>
        <v>8072.1157692307379</v>
      </c>
      <c r="Q13" s="6"/>
      <c r="R13" s="2">
        <f t="shared" si="1"/>
        <v>7391.3580865307658</v>
      </c>
      <c r="S13" s="116"/>
      <c r="T13"/>
      <c r="U13" s="6"/>
      <c r="V13" s="6"/>
    </row>
    <row r="14" spans="1:22" s="7" customFormat="1" x14ac:dyDescent="0.25">
      <c r="B14" s="6"/>
      <c r="C14" s="6"/>
      <c r="D14" s="6"/>
      <c r="E14" s="6"/>
      <c r="F14" s="6"/>
      <c r="G14" s="6"/>
      <c r="H14" s="6"/>
      <c r="I14" s="6"/>
      <c r="J14" s="6"/>
      <c r="K14" s="6"/>
      <c r="L14" s="6"/>
      <c r="M14" s="6"/>
      <c r="N14" s="6"/>
      <c r="O14" s="6"/>
      <c r="P14" s="6"/>
      <c r="Q14" s="6"/>
      <c r="R14" s="6"/>
      <c r="S14" s="116"/>
      <c r="T14"/>
      <c r="U14" s="6"/>
      <c r="V14" s="6"/>
    </row>
    <row r="15" spans="1:22" x14ac:dyDescent="0.25">
      <c r="A15" s="7" t="s">
        <v>1075</v>
      </c>
      <c r="B15" s="12">
        <f t="shared" ref="B15:L15" si="4">B8*B4+B9*B4</f>
        <v>95147.950000000041</v>
      </c>
      <c r="C15" s="12">
        <f t="shared" si="4"/>
        <v>95751.080000000104</v>
      </c>
      <c r="D15" s="12">
        <f t="shared" si="4"/>
        <v>306383.74000000011</v>
      </c>
      <c r="E15" s="12">
        <f t="shared" si="4"/>
        <v>310228.49999999988</v>
      </c>
      <c r="F15" s="12">
        <f t="shared" si="4"/>
        <v>381621.29000000039</v>
      </c>
      <c r="G15" s="12">
        <f t="shared" si="4"/>
        <v>334195.52999999933</v>
      </c>
      <c r="H15" s="12">
        <f t="shared" si="4"/>
        <v>251749.79</v>
      </c>
      <c r="I15" s="12">
        <f t="shared" si="4"/>
        <v>375282.86000000092</v>
      </c>
      <c r="J15" s="12">
        <f t="shared" si="4"/>
        <v>326939.80000000005</v>
      </c>
      <c r="K15" s="12">
        <f t="shared" si="4"/>
        <v>271223.74999999965</v>
      </c>
      <c r="L15" s="12">
        <f t="shared" si="4"/>
        <v>291224.08999999939</v>
      </c>
      <c r="M15" s="12">
        <f>M8*M4+M9*M4</f>
        <v>223009.77000000019</v>
      </c>
      <c r="N15" s="12">
        <f>N8*N4+N9*N4</f>
        <v>254553.79999999981</v>
      </c>
      <c r="O15" s="12">
        <f>O8*O4+O9*O4</f>
        <v>232349.7100000002</v>
      </c>
      <c r="P15" s="12">
        <f>P8*P4+P9*P4</f>
        <v>283481.67999999912</v>
      </c>
      <c r="R15" s="12">
        <f>SUM(E15:P15)</f>
        <v>3535860.5699999989</v>
      </c>
    </row>
    <row r="16" spans="1:22" x14ac:dyDescent="0.25">
      <c r="A16" s="7" t="s">
        <v>1076</v>
      </c>
      <c r="B16" s="12">
        <f t="shared" ref="B16:L16" si="5">B12*B4</f>
        <v>71688.03</v>
      </c>
      <c r="C16" s="12">
        <f t="shared" si="5"/>
        <v>37538.829999999994</v>
      </c>
      <c r="D16" s="12">
        <f t="shared" si="5"/>
        <v>95233.41</v>
      </c>
      <c r="E16" s="12">
        <f t="shared" si="5"/>
        <v>111776.40000000001</v>
      </c>
      <c r="F16" s="12">
        <f t="shared" si="5"/>
        <v>129141.08</v>
      </c>
      <c r="G16" s="12">
        <f t="shared" si="5"/>
        <v>125484.70999999999</v>
      </c>
      <c r="H16" s="12">
        <f t="shared" si="5"/>
        <v>102770.62999999999</v>
      </c>
      <c r="I16" s="12">
        <f t="shared" si="5"/>
        <v>130775.37</v>
      </c>
      <c r="J16" s="12">
        <f t="shared" si="5"/>
        <v>128433.68</v>
      </c>
      <c r="K16" s="12">
        <f t="shared" si="5"/>
        <v>67344.11</v>
      </c>
      <c r="L16" s="12">
        <f t="shared" si="5"/>
        <v>88013.23000000001</v>
      </c>
      <c r="M16" s="12">
        <f>M12*M4</f>
        <v>51723.82</v>
      </c>
      <c r="N16" s="12">
        <f>N12*N4</f>
        <v>70133.779999999984</v>
      </c>
      <c r="O16" s="12">
        <f>O12*O4</f>
        <v>73795.64</v>
      </c>
      <c r="P16" s="12">
        <f>P12*P4</f>
        <v>73606.669999999984</v>
      </c>
      <c r="R16" s="12">
        <f>SUM(E16:P16)</f>
        <v>1152999.1199999996</v>
      </c>
      <c r="S16" s="116"/>
    </row>
    <row r="17" spans="1:20" ht="15.75" thickBot="1" x14ac:dyDescent="0.3">
      <c r="A17" s="9" t="s">
        <v>1078</v>
      </c>
      <c r="B17" s="13">
        <f t="shared" ref="B17:P17" si="6">B15-B16</f>
        <v>23459.920000000042</v>
      </c>
      <c r="C17" s="13">
        <f t="shared" si="6"/>
        <v>58212.250000000109</v>
      </c>
      <c r="D17" s="13">
        <f t="shared" si="6"/>
        <v>211150.3300000001</v>
      </c>
      <c r="E17" s="13">
        <f t="shared" si="6"/>
        <v>198452.09999999986</v>
      </c>
      <c r="F17" s="13">
        <f t="shared" si="6"/>
        <v>252480.21000000037</v>
      </c>
      <c r="G17" s="13">
        <f t="shared" si="6"/>
        <v>208710.81999999934</v>
      </c>
      <c r="H17" s="13">
        <f t="shared" si="6"/>
        <v>148979.16000000003</v>
      </c>
      <c r="I17" s="13">
        <f t="shared" si="6"/>
        <v>244507.49000000092</v>
      </c>
      <c r="J17" s="13">
        <f t="shared" si="6"/>
        <v>198506.12000000005</v>
      </c>
      <c r="K17" s="13">
        <f t="shared" si="6"/>
        <v>203879.63999999966</v>
      </c>
      <c r="L17" s="13">
        <f t="shared" si="6"/>
        <v>203210.85999999937</v>
      </c>
      <c r="M17" s="13">
        <f>M15-M16</f>
        <v>171285.95000000019</v>
      </c>
      <c r="N17" s="13">
        <f t="shared" si="6"/>
        <v>184420.01999999984</v>
      </c>
      <c r="O17" s="13">
        <f t="shared" ref="O17" si="7">O15-O16</f>
        <v>158554.07000000018</v>
      </c>
      <c r="P17" s="13">
        <f t="shared" si="6"/>
        <v>209875.00999999914</v>
      </c>
      <c r="Q17" s="35"/>
      <c r="R17" s="13">
        <f>R15-R16</f>
        <v>2382861.4499999993</v>
      </c>
    </row>
    <row r="18" spans="1:20" ht="15.75" thickTop="1" x14ac:dyDescent="0.25">
      <c r="B18" s="36"/>
      <c r="C18" s="37"/>
      <c r="D18" s="37"/>
      <c r="E18" s="36"/>
      <c r="F18" s="37"/>
      <c r="G18" s="37"/>
      <c r="H18" s="37"/>
      <c r="I18" s="37"/>
      <c r="J18" s="36"/>
    </row>
    <row r="19" spans="1:20" x14ac:dyDescent="0.25">
      <c r="A19" s="7"/>
      <c r="B19" s="19"/>
      <c r="C19" s="19"/>
      <c r="D19" s="19"/>
      <c r="E19" s="19"/>
      <c r="F19" s="19"/>
      <c r="G19" s="19"/>
      <c r="H19" s="19"/>
      <c r="I19" s="19"/>
      <c r="J19" s="19"/>
      <c r="K19" s="19"/>
      <c r="L19" s="19"/>
      <c r="M19" s="19"/>
      <c r="N19" s="19"/>
      <c r="O19" s="19"/>
      <c r="P19" s="19"/>
      <c r="R19" s="6"/>
    </row>
    <row r="20" spans="1:20" ht="15.75" x14ac:dyDescent="0.25">
      <c r="A20" s="11" t="s">
        <v>1064</v>
      </c>
      <c r="B20" s="5">
        <v>45292</v>
      </c>
      <c r="C20" s="5">
        <v>45323</v>
      </c>
      <c r="D20" s="5">
        <v>45352</v>
      </c>
      <c r="E20" s="5">
        <v>45383</v>
      </c>
      <c r="F20" s="5">
        <v>45413</v>
      </c>
      <c r="G20" s="5">
        <v>45444</v>
      </c>
      <c r="H20" s="5">
        <v>45474</v>
      </c>
      <c r="I20" s="5">
        <v>45505</v>
      </c>
      <c r="J20" s="5">
        <v>45536</v>
      </c>
      <c r="K20" s="5">
        <v>45566</v>
      </c>
      <c r="L20" s="5">
        <v>45597</v>
      </c>
      <c r="M20" s="5">
        <v>45627</v>
      </c>
      <c r="N20" s="5">
        <v>45658</v>
      </c>
      <c r="O20" s="5">
        <v>45689</v>
      </c>
      <c r="P20" s="5">
        <v>45717</v>
      </c>
      <c r="Q20" s="5"/>
      <c r="R20" s="5" t="s">
        <v>955</v>
      </c>
    </row>
    <row r="21" spans="1:20" x14ac:dyDescent="0.25">
      <c r="A21" s="4"/>
      <c r="B21" s="5" t="s">
        <v>958</v>
      </c>
      <c r="C21" s="5" t="s">
        <v>959</v>
      </c>
      <c r="D21" s="5" t="s">
        <v>959</v>
      </c>
      <c r="E21" s="5" t="s">
        <v>959</v>
      </c>
      <c r="F21" s="5" t="s">
        <v>959</v>
      </c>
      <c r="G21" s="5" t="s">
        <v>959</v>
      </c>
      <c r="H21" s="5" t="s">
        <v>959</v>
      </c>
      <c r="I21" s="5" t="s">
        <v>959</v>
      </c>
      <c r="J21" s="5" t="s">
        <v>959</v>
      </c>
      <c r="K21" s="5" t="s">
        <v>959</v>
      </c>
      <c r="L21" s="5" t="s">
        <v>959</v>
      </c>
      <c r="M21" s="5" t="s">
        <v>959</v>
      </c>
      <c r="N21" s="5" t="s">
        <v>959</v>
      </c>
      <c r="O21" s="5" t="s">
        <v>959</v>
      </c>
      <c r="P21" s="5" t="s">
        <v>959</v>
      </c>
      <c r="Q21" s="5"/>
      <c r="R21" s="5" t="s">
        <v>961</v>
      </c>
    </row>
    <row r="22" spans="1:20" x14ac:dyDescent="0.25">
      <c r="D22" s="34"/>
      <c r="G22" s="34"/>
    </row>
    <row r="23" spans="1:20" x14ac:dyDescent="0.25">
      <c r="A23" t="s">
        <v>1065</v>
      </c>
      <c r="B23" s="2">
        <f>N4</f>
        <v>20</v>
      </c>
      <c r="C23" s="2">
        <f t="shared" ref="C23:D32" si="8">O4</f>
        <v>27</v>
      </c>
      <c r="D23" s="2">
        <f t="shared" si="8"/>
        <v>26</v>
      </c>
      <c r="E23" s="2">
        <v>28</v>
      </c>
      <c r="F23" s="2">
        <v>28</v>
      </c>
      <c r="G23" s="2">
        <v>28</v>
      </c>
      <c r="H23" s="2">
        <v>28</v>
      </c>
      <c r="I23" s="2">
        <v>28</v>
      </c>
      <c r="J23" s="2">
        <v>28</v>
      </c>
      <c r="K23" s="2">
        <v>28</v>
      </c>
      <c r="L23" s="2">
        <v>28</v>
      </c>
      <c r="M23" s="2">
        <v>28</v>
      </c>
      <c r="N23" s="2">
        <v>26</v>
      </c>
      <c r="O23" s="2">
        <v>26</v>
      </c>
      <c r="P23" s="2">
        <v>31</v>
      </c>
      <c r="Q23" s="2"/>
      <c r="R23" s="2">
        <f>SUM(E23:P23)</f>
        <v>335</v>
      </c>
      <c r="S23" s="34" t="s">
        <v>1276</v>
      </c>
      <c r="T23" s="39"/>
    </row>
    <row r="24" spans="1:20" x14ac:dyDescent="0.25">
      <c r="A24" t="s">
        <v>1066</v>
      </c>
      <c r="B24" s="2">
        <f t="shared" ref="B24:B32" si="9">N5</f>
        <v>4</v>
      </c>
      <c r="C24" s="2">
        <f t="shared" si="8"/>
        <v>4</v>
      </c>
      <c r="D24" s="2">
        <f t="shared" si="8"/>
        <v>4</v>
      </c>
      <c r="E24" s="2">
        <v>4</v>
      </c>
      <c r="F24" s="2">
        <f t="shared" ref="F24:P24" si="10">E24</f>
        <v>4</v>
      </c>
      <c r="G24" s="2">
        <f t="shared" si="10"/>
        <v>4</v>
      </c>
      <c r="H24" s="2">
        <f t="shared" si="10"/>
        <v>4</v>
      </c>
      <c r="I24" s="2">
        <f t="shared" si="10"/>
        <v>4</v>
      </c>
      <c r="J24" s="2">
        <f t="shared" si="10"/>
        <v>4</v>
      </c>
      <c r="K24" s="2">
        <f t="shared" si="10"/>
        <v>4</v>
      </c>
      <c r="L24" s="2">
        <f t="shared" si="10"/>
        <v>4</v>
      </c>
      <c r="M24" s="2">
        <f t="shared" si="10"/>
        <v>4</v>
      </c>
      <c r="N24" s="2">
        <f t="shared" si="10"/>
        <v>4</v>
      </c>
      <c r="O24" s="2">
        <f t="shared" si="10"/>
        <v>4</v>
      </c>
      <c r="P24" s="2">
        <f t="shared" si="10"/>
        <v>4</v>
      </c>
      <c r="Q24" s="2"/>
      <c r="R24" s="2">
        <f>AVERAGE(E24:P24)</f>
        <v>4</v>
      </c>
    </row>
    <row r="25" spans="1:20" x14ac:dyDescent="0.25">
      <c r="A25" s="39" t="s">
        <v>1067</v>
      </c>
      <c r="B25" s="2">
        <f t="shared" si="9"/>
        <v>5</v>
      </c>
      <c r="C25" s="2">
        <f t="shared" si="8"/>
        <v>6.75</v>
      </c>
      <c r="D25" s="2">
        <f t="shared" si="8"/>
        <v>6.5</v>
      </c>
      <c r="E25" s="2">
        <f>E23/E24</f>
        <v>7</v>
      </c>
      <c r="F25" s="2">
        <f t="shared" ref="F25:P25" si="11">F23/F24</f>
        <v>7</v>
      </c>
      <c r="G25" s="2">
        <f t="shared" si="11"/>
        <v>7</v>
      </c>
      <c r="H25" s="2">
        <f t="shared" si="11"/>
        <v>7</v>
      </c>
      <c r="I25" s="2">
        <f t="shared" si="11"/>
        <v>7</v>
      </c>
      <c r="J25" s="2">
        <f t="shared" si="11"/>
        <v>7</v>
      </c>
      <c r="K25" s="2">
        <f t="shared" si="11"/>
        <v>7</v>
      </c>
      <c r="L25" s="2">
        <f t="shared" si="11"/>
        <v>7</v>
      </c>
      <c r="M25" s="2">
        <f t="shared" si="11"/>
        <v>7</v>
      </c>
      <c r="N25" s="2">
        <f t="shared" si="11"/>
        <v>6.5</v>
      </c>
      <c r="O25" s="2">
        <f t="shared" si="11"/>
        <v>6.5</v>
      </c>
      <c r="P25" s="2">
        <f t="shared" si="11"/>
        <v>7.75</v>
      </c>
      <c r="Q25" s="2"/>
      <c r="R25" s="2">
        <f>AVERAGE(E25:P25)</f>
        <v>6.979166666666667</v>
      </c>
    </row>
    <row r="26" spans="1:20" x14ac:dyDescent="0.25">
      <c r="B26" s="2"/>
      <c r="C26" s="2"/>
      <c r="D26" s="2"/>
      <c r="E26" s="2"/>
      <c r="F26" s="2"/>
      <c r="G26" s="2"/>
      <c r="H26" s="2"/>
      <c r="I26" s="2"/>
      <c r="J26" s="2"/>
      <c r="K26" s="2"/>
      <c r="L26" s="2"/>
      <c r="M26" s="2"/>
      <c r="N26" s="2"/>
      <c r="O26" s="2"/>
      <c r="P26" s="2"/>
      <c r="Q26" s="2"/>
      <c r="R26" s="2"/>
    </row>
    <row r="27" spans="1:20" x14ac:dyDescent="0.25">
      <c r="A27" s="7" t="s">
        <v>1275</v>
      </c>
      <c r="B27" s="6">
        <f t="shared" si="9"/>
        <v>12727.689999999991</v>
      </c>
      <c r="C27" s="6">
        <f t="shared" si="8"/>
        <v>8605.5448148148225</v>
      </c>
      <c r="D27" s="6">
        <f t="shared" si="8"/>
        <v>9578.7269230768907</v>
      </c>
      <c r="E27" s="6">
        <v>9500</v>
      </c>
      <c r="F27" s="6">
        <f>E27</f>
        <v>9500</v>
      </c>
      <c r="G27" s="6">
        <f t="shared" ref="G27:P27" si="12">F27</f>
        <v>9500</v>
      </c>
      <c r="H27" s="6">
        <f t="shared" si="12"/>
        <v>9500</v>
      </c>
      <c r="I27" s="6">
        <f t="shared" si="12"/>
        <v>9500</v>
      </c>
      <c r="J27" s="6">
        <f t="shared" si="12"/>
        <v>9500</v>
      </c>
      <c r="K27" s="6">
        <f t="shared" si="12"/>
        <v>9500</v>
      </c>
      <c r="L27" s="6">
        <f t="shared" si="12"/>
        <v>9500</v>
      </c>
      <c r="M27" s="6">
        <f t="shared" si="12"/>
        <v>9500</v>
      </c>
      <c r="N27" s="6">
        <f t="shared" si="12"/>
        <v>9500</v>
      </c>
      <c r="O27" s="6">
        <f t="shared" si="12"/>
        <v>9500</v>
      </c>
      <c r="P27" s="6">
        <f t="shared" si="12"/>
        <v>9500</v>
      </c>
      <c r="Q27" s="6"/>
      <c r="R27" s="6">
        <f t="shared" ref="R27:R32" si="13">AVERAGE(E27:P27)</f>
        <v>9500</v>
      </c>
      <c r="S27" s="34" t="s">
        <v>1277</v>
      </c>
    </row>
    <row r="28" spans="1:20" x14ac:dyDescent="0.25">
      <c r="A28" s="7" t="s">
        <v>1070</v>
      </c>
      <c r="B28" s="6">
        <f t="shared" si="9"/>
        <v>0</v>
      </c>
      <c r="C28" s="6">
        <f t="shared" si="8"/>
        <v>0</v>
      </c>
      <c r="D28" s="6">
        <f t="shared" si="8"/>
        <v>1324.4146153846154</v>
      </c>
      <c r="E28" s="6">
        <v>0</v>
      </c>
      <c r="F28" s="6">
        <v>0</v>
      </c>
      <c r="G28" s="6">
        <f>'LEF Incentive Forecast FY2025'!G17/G23</f>
        <v>2295</v>
      </c>
      <c r="H28" s="6">
        <v>0</v>
      </c>
      <c r="I28" s="6">
        <v>0</v>
      </c>
      <c r="J28" s="6">
        <f>'LEF Incentive Forecast FY2025'!K17/J23</f>
        <v>2295</v>
      </c>
      <c r="K28" s="6">
        <v>0</v>
      </c>
      <c r="L28" s="6">
        <v>0</v>
      </c>
      <c r="M28" s="6">
        <f>'LEF Incentive Forecast FY2025'!O17/M23</f>
        <v>2295</v>
      </c>
      <c r="N28" s="6">
        <v>0</v>
      </c>
      <c r="O28" s="6">
        <v>0</v>
      </c>
      <c r="P28" s="6">
        <f>'LEF Incentive Forecast FY2025'!S17/P23</f>
        <v>2048.2258064516127</v>
      </c>
      <c r="Q28" s="6"/>
      <c r="R28" s="6">
        <f t="shared" si="13"/>
        <v>744.4354838709678</v>
      </c>
    </row>
    <row r="29" spans="1:20" x14ac:dyDescent="0.25">
      <c r="A29" s="7" t="s">
        <v>1071</v>
      </c>
      <c r="B29" s="6">
        <f t="shared" si="9"/>
        <v>1792.9394999999997</v>
      </c>
      <c r="C29" s="6">
        <f t="shared" si="8"/>
        <v>1285.4748148148149</v>
      </c>
      <c r="D29" s="6">
        <f t="shared" si="8"/>
        <v>1725.1353846153843</v>
      </c>
      <c r="E29" s="6">
        <f t="shared" ref="E29:P29" si="14">E47/E23</f>
        <v>929.13301876660262</v>
      </c>
      <c r="F29" s="6">
        <f t="shared" si="14"/>
        <v>929.13301876660262</v>
      </c>
      <c r="G29" s="6">
        <f t="shared" si="14"/>
        <v>936.01801876660261</v>
      </c>
      <c r="H29" s="6">
        <f t="shared" si="14"/>
        <v>929.13301876660262</v>
      </c>
      <c r="I29" s="6">
        <f t="shared" si="14"/>
        <v>929.13301876660262</v>
      </c>
      <c r="J29" s="6">
        <f t="shared" si="14"/>
        <v>936.01801876660261</v>
      </c>
      <c r="K29" s="6">
        <f t="shared" si="14"/>
        <v>929.13301876660262</v>
      </c>
      <c r="L29" s="6">
        <f t="shared" si="14"/>
        <v>929.13301876660262</v>
      </c>
      <c r="M29" s="6">
        <f t="shared" si="14"/>
        <v>936.01801876660261</v>
      </c>
      <c r="N29" s="6">
        <f t="shared" si="14"/>
        <v>948.41248174864893</v>
      </c>
      <c r="O29" s="6">
        <f t="shared" si="14"/>
        <v>948.41248174864893</v>
      </c>
      <c r="P29" s="6">
        <f t="shared" si="14"/>
        <v>1036.0228879182218</v>
      </c>
      <c r="Q29" s="6"/>
      <c r="R29" s="6">
        <f t="shared" si="13"/>
        <v>942.97500169291186</v>
      </c>
      <c r="S29" s="34" t="s">
        <v>1134</v>
      </c>
    </row>
    <row r="30" spans="1:20" x14ac:dyDescent="0.25">
      <c r="A30" s="7" t="s">
        <v>1072</v>
      </c>
      <c r="B30" s="6">
        <f t="shared" si="9"/>
        <v>1713.7494999999999</v>
      </c>
      <c r="C30" s="6">
        <f t="shared" si="8"/>
        <v>1447.697037037037</v>
      </c>
      <c r="D30" s="6">
        <f t="shared" si="8"/>
        <v>1105.8903846153846</v>
      </c>
      <c r="E30" s="6">
        <f t="shared" ref="E30:P30" si="15">E48/E23</f>
        <v>1956.8598176080507</v>
      </c>
      <c r="F30" s="6">
        <f t="shared" si="15"/>
        <v>1956.8598176080507</v>
      </c>
      <c r="G30" s="6">
        <f t="shared" si="15"/>
        <v>1956.8598176080507</v>
      </c>
      <c r="H30" s="6">
        <f t="shared" si="15"/>
        <v>1956.8598176080507</v>
      </c>
      <c r="I30" s="6">
        <f t="shared" si="15"/>
        <v>1956.8598176080507</v>
      </c>
      <c r="J30" s="6">
        <f t="shared" si="15"/>
        <v>1956.8598176080507</v>
      </c>
      <c r="K30" s="6">
        <f t="shared" si="15"/>
        <v>1956.8598176080507</v>
      </c>
      <c r="L30" s="6">
        <f t="shared" si="15"/>
        <v>1956.8598176080507</v>
      </c>
      <c r="M30" s="6">
        <f t="shared" si="15"/>
        <v>1956.8598176080507</v>
      </c>
      <c r="N30" s="6">
        <f t="shared" si="15"/>
        <v>2107.3874958855931</v>
      </c>
      <c r="O30" s="6">
        <f t="shared" si="15"/>
        <v>2107.3874958855931</v>
      </c>
      <c r="P30" s="6">
        <f t="shared" si="15"/>
        <v>1767.4862868717878</v>
      </c>
      <c r="Q30" s="6"/>
      <c r="R30" s="6">
        <f t="shared" si="13"/>
        <v>1966.1666364262855</v>
      </c>
      <c r="S30" s="34" t="s">
        <v>1134</v>
      </c>
    </row>
    <row r="31" spans="1:20" x14ac:dyDescent="0.25">
      <c r="A31" s="7" t="s">
        <v>1073</v>
      </c>
      <c r="B31" s="6">
        <f t="shared" si="9"/>
        <v>3506.6889999999994</v>
      </c>
      <c r="C31" s="6">
        <f t="shared" si="8"/>
        <v>2733.1718518518519</v>
      </c>
      <c r="D31" s="6">
        <f t="shared" si="8"/>
        <v>2831.0257692307687</v>
      </c>
      <c r="E31" s="6">
        <f t="shared" ref="E31:P31" si="16">E29+E30</f>
        <v>2885.9928363746531</v>
      </c>
      <c r="F31" s="6">
        <f t="shared" si="16"/>
        <v>2885.9928363746531</v>
      </c>
      <c r="G31" s="6">
        <f t="shared" si="16"/>
        <v>2892.8778363746533</v>
      </c>
      <c r="H31" s="6">
        <f t="shared" si="16"/>
        <v>2885.9928363746531</v>
      </c>
      <c r="I31" s="6">
        <f t="shared" si="16"/>
        <v>2885.9928363746531</v>
      </c>
      <c r="J31" s="6">
        <f t="shared" si="16"/>
        <v>2892.8778363746533</v>
      </c>
      <c r="K31" s="6">
        <f t="shared" si="16"/>
        <v>2885.9928363746531</v>
      </c>
      <c r="L31" s="6">
        <f t="shared" si="16"/>
        <v>2885.9928363746531</v>
      </c>
      <c r="M31" s="6">
        <f t="shared" si="16"/>
        <v>2892.8778363746533</v>
      </c>
      <c r="N31" s="6">
        <f t="shared" si="16"/>
        <v>3055.7999776342422</v>
      </c>
      <c r="O31" s="6">
        <f t="shared" si="16"/>
        <v>3055.7999776342422</v>
      </c>
      <c r="P31" s="6">
        <f t="shared" si="16"/>
        <v>2803.5091747900096</v>
      </c>
      <c r="Q31" s="6"/>
      <c r="R31" s="6">
        <f t="shared" si="13"/>
        <v>2909.1416381191971</v>
      </c>
    </row>
    <row r="32" spans="1:20" x14ac:dyDescent="0.25">
      <c r="A32" s="7" t="s">
        <v>1074</v>
      </c>
      <c r="B32" s="6">
        <f t="shared" si="9"/>
        <v>9221.0009999999929</v>
      </c>
      <c r="C32" s="6">
        <f t="shared" si="8"/>
        <v>5872.3729629629706</v>
      </c>
      <c r="D32" s="6">
        <f t="shared" si="8"/>
        <v>8072.1157692307379</v>
      </c>
      <c r="E32" s="6">
        <f>E27+E28-E31</f>
        <v>6614.0071636253469</v>
      </c>
      <c r="F32" s="6">
        <f t="shared" ref="F32:P32" si="17">F27+F28-F31</f>
        <v>6614.0071636253469</v>
      </c>
      <c r="G32" s="6">
        <f t="shared" si="17"/>
        <v>8902.1221636253467</v>
      </c>
      <c r="H32" s="6">
        <f t="shared" si="17"/>
        <v>6614.0071636253469</v>
      </c>
      <c r="I32" s="6">
        <f t="shared" si="17"/>
        <v>6614.0071636253469</v>
      </c>
      <c r="J32" s="6">
        <f t="shared" si="17"/>
        <v>8902.1221636253467</v>
      </c>
      <c r="K32" s="6">
        <f t="shared" si="17"/>
        <v>6614.0071636253469</v>
      </c>
      <c r="L32" s="6">
        <f t="shared" si="17"/>
        <v>6614.0071636253469</v>
      </c>
      <c r="M32" s="6">
        <f t="shared" si="17"/>
        <v>8902.1221636253467</v>
      </c>
      <c r="N32" s="6">
        <f t="shared" si="17"/>
        <v>6444.2000223657578</v>
      </c>
      <c r="O32" s="6">
        <f t="shared" si="17"/>
        <v>6444.2000223657578</v>
      </c>
      <c r="P32" s="6">
        <f t="shared" si="17"/>
        <v>8744.716631661604</v>
      </c>
      <c r="Q32" s="6"/>
      <c r="R32" s="6">
        <f t="shared" si="13"/>
        <v>7335.2938457517694</v>
      </c>
    </row>
    <row r="33" spans="1:20" x14ac:dyDescent="0.25">
      <c r="A33" s="7"/>
      <c r="B33" s="6"/>
      <c r="C33" s="6"/>
      <c r="D33" s="6"/>
      <c r="E33" s="6"/>
      <c r="F33" s="6"/>
      <c r="G33" s="6"/>
      <c r="H33" s="6"/>
      <c r="I33" s="6"/>
      <c r="J33" s="6"/>
      <c r="K33" s="6"/>
      <c r="L33" s="6"/>
      <c r="M33" s="6"/>
      <c r="N33" s="6"/>
      <c r="O33" s="6"/>
      <c r="P33" s="6"/>
      <c r="Q33" s="6"/>
      <c r="R33" s="6"/>
    </row>
    <row r="34" spans="1:20" x14ac:dyDescent="0.25">
      <c r="A34" s="7" t="s">
        <v>1075</v>
      </c>
      <c r="B34" s="6">
        <f>B27*B23+B28*B23</f>
        <v>254553.79999999981</v>
      </c>
      <c r="C34" s="6">
        <f>C27*C23+C28*C23</f>
        <v>232349.7100000002</v>
      </c>
      <c r="D34" s="6">
        <f>D27*D23+D28*D23</f>
        <v>283481.67999999912</v>
      </c>
      <c r="E34" s="6">
        <f>E27*E23+E28*E23</f>
        <v>266000</v>
      </c>
      <c r="F34" s="6">
        <f t="shared" ref="F34:P34" si="18">F27*F23+F28*F23</f>
        <v>266000</v>
      </c>
      <c r="G34" s="6">
        <f t="shared" si="18"/>
        <v>330260</v>
      </c>
      <c r="H34" s="6">
        <f t="shared" si="18"/>
        <v>266000</v>
      </c>
      <c r="I34" s="6">
        <f t="shared" si="18"/>
        <v>266000</v>
      </c>
      <c r="J34" s="6">
        <f t="shared" si="18"/>
        <v>330260</v>
      </c>
      <c r="K34" s="6">
        <f t="shared" si="18"/>
        <v>266000</v>
      </c>
      <c r="L34" s="6">
        <f t="shared" si="18"/>
        <v>266000</v>
      </c>
      <c r="M34" s="6">
        <f t="shared" si="18"/>
        <v>330260</v>
      </c>
      <c r="N34" s="6">
        <f t="shared" si="18"/>
        <v>247000</v>
      </c>
      <c r="O34" s="6">
        <f t="shared" si="18"/>
        <v>247000</v>
      </c>
      <c r="P34" s="6">
        <f t="shared" si="18"/>
        <v>357995</v>
      </c>
      <c r="R34" s="6">
        <f>SUM(E34:P34)</f>
        <v>3438775</v>
      </c>
    </row>
    <row r="35" spans="1:20" x14ac:dyDescent="0.25">
      <c r="A35" s="7" t="s">
        <v>1076</v>
      </c>
      <c r="B35" s="6">
        <f t="shared" ref="B35:D35" si="19">B31*B23</f>
        <v>70133.779999999984</v>
      </c>
      <c r="C35" s="6">
        <f t="shared" si="19"/>
        <v>73795.64</v>
      </c>
      <c r="D35" s="6">
        <f t="shared" si="19"/>
        <v>73606.669999999984</v>
      </c>
      <c r="E35" s="6">
        <f>E49</f>
        <v>80807.799418490293</v>
      </c>
      <c r="F35" s="6">
        <f t="shared" ref="F35:P35" si="20">F49</f>
        <v>80807.799418490293</v>
      </c>
      <c r="G35" s="6">
        <f t="shared" si="20"/>
        <v>81000.579418490292</v>
      </c>
      <c r="H35" s="6">
        <f t="shared" si="20"/>
        <v>80807.799418490293</v>
      </c>
      <c r="I35" s="6">
        <f t="shared" si="20"/>
        <v>80807.799418490293</v>
      </c>
      <c r="J35" s="6">
        <f t="shared" si="20"/>
        <v>81000.579418490292</v>
      </c>
      <c r="K35" s="6">
        <f t="shared" si="20"/>
        <v>80807.799418490293</v>
      </c>
      <c r="L35" s="6">
        <f t="shared" si="20"/>
        <v>80807.799418490293</v>
      </c>
      <c r="M35" s="6">
        <f t="shared" si="20"/>
        <v>81000.579418490292</v>
      </c>
      <c r="N35" s="6">
        <f t="shared" si="20"/>
        <v>79450.799418490293</v>
      </c>
      <c r="O35" s="6">
        <f t="shared" si="20"/>
        <v>79450.799418490293</v>
      </c>
      <c r="P35" s="6">
        <f t="shared" si="20"/>
        <v>86908.784418490293</v>
      </c>
      <c r="R35" s="6">
        <f>SUM(E35:P35)</f>
        <v>973658.91802188335</v>
      </c>
    </row>
    <row r="36" spans="1:20" ht="15.75" thickBot="1" x14ac:dyDescent="0.3">
      <c r="A36" s="9" t="s">
        <v>1078</v>
      </c>
      <c r="B36" s="13">
        <f t="shared" ref="B36:L36" si="21">B34-B35</f>
        <v>184420.01999999984</v>
      </c>
      <c r="C36" s="13">
        <f t="shared" si="21"/>
        <v>158554.07000000018</v>
      </c>
      <c r="D36" s="13">
        <f t="shared" si="21"/>
        <v>209875.00999999914</v>
      </c>
      <c r="E36" s="13">
        <f t="shared" si="21"/>
        <v>185192.20058150971</v>
      </c>
      <c r="F36" s="13">
        <f t="shared" si="21"/>
        <v>185192.20058150971</v>
      </c>
      <c r="G36" s="13">
        <f t="shared" si="21"/>
        <v>249259.42058150971</v>
      </c>
      <c r="H36" s="13">
        <f t="shared" si="21"/>
        <v>185192.20058150971</v>
      </c>
      <c r="I36" s="13">
        <f t="shared" si="21"/>
        <v>185192.20058150971</v>
      </c>
      <c r="J36" s="13">
        <f t="shared" si="21"/>
        <v>249259.42058150971</v>
      </c>
      <c r="K36" s="13">
        <f t="shared" si="21"/>
        <v>185192.20058150971</v>
      </c>
      <c r="L36" s="13">
        <f t="shared" si="21"/>
        <v>185192.20058150971</v>
      </c>
      <c r="M36" s="13">
        <f>M34-M35</f>
        <v>249259.42058150971</v>
      </c>
      <c r="N36" s="13">
        <f>N34-N35</f>
        <v>167549.20058150971</v>
      </c>
      <c r="O36" s="13">
        <f>O34-O35</f>
        <v>167549.20058150971</v>
      </c>
      <c r="P36" s="13">
        <f>P34-P35</f>
        <v>271086.21558150969</v>
      </c>
      <c r="Q36" s="35"/>
      <c r="R36" s="13">
        <f>R34-R35</f>
        <v>2465116.0819781167</v>
      </c>
    </row>
    <row r="37" spans="1:20" ht="15.75" thickTop="1" x14ac:dyDescent="0.25">
      <c r="A37" s="21"/>
      <c r="B37" s="19"/>
      <c r="C37" s="19"/>
      <c r="D37" s="19"/>
      <c r="E37" s="19"/>
      <c r="F37" s="19"/>
      <c r="G37" s="19"/>
      <c r="H37" s="19"/>
      <c r="I37" s="19"/>
      <c r="J37" s="19"/>
      <c r="K37" s="19"/>
      <c r="L37" s="19"/>
      <c r="M37" s="19"/>
      <c r="N37" s="19"/>
      <c r="O37" s="19"/>
      <c r="P37" s="19"/>
      <c r="R37" s="6"/>
    </row>
    <row r="38" spans="1:20" x14ac:dyDescent="0.25">
      <c r="A38" s="144" t="s">
        <v>1085</v>
      </c>
      <c r="B38" s="144"/>
      <c r="C38" s="144"/>
      <c r="D38" s="146"/>
      <c r="E38" s="149">
        <v>80000</v>
      </c>
      <c r="F38" s="149">
        <v>80000</v>
      </c>
      <c r="G38" s="149">
        <v>80000</v>
      </c>
      <c r="H38" s="149">
        <v>80000</v>
      </c>
      <c r="I38" s="149">
        <v>80000</v>
      </c>
      <c r="J38" s="149">
        <v>80000</v>
      </c>
      <c r="K38" s="149">
        <v>80000</v>
      </c>
      <c r="L38" s="149">
        <v>80000</v>
      </c>
      <c r="M38" s="149">
        <v>80000</v>
      </c>
      <c r="N38" s="149">
        <v>80000</v>
      </c>
      <c r="O38" s="149">
        <v>80000</v>
      </c>
      <c r="P38" s="149">
        <v>80000</v>
      </c>
      <c r="Q38" s="144"/>
    </row>
    <row r="39" spans="1:20" x14ac:dyDescent="0.25">
      <c r="A39" s="144"/>
      <c r="B39" s="144"/>
      <c r="C39" s="144"/>
      <c r="D39" s="144"/>
      <c r="E39" s="139"/>
      <c r="F39" s="139"/>
      <c r="G39" s="144"/>
      <c r="H39" s="144"/>
      <c r="I39" s="144"/>
      <c r="J39" s="144"/>
      <c r="K39" s="144"/>
      <c r="L39" s="144"/>
      <c r="M39" s="144"/>
      <c r="N39" s="144"/>
      <c r="O39" s="144"/>
      <c r="P39" s="144"/>
      <c r="Q39" s="144"/>
    </row>
    <row r="40" spans="1:20" x14ac:dyDescent="0.25">
      <c r="A40" s="144" t="s">
        <v>1086</v>
      </c>
      <c r="B40" s="144"/>
      <c r="C40" s="144"/>
      <c r="D40" s="144"/>
      <c r="E40" s="150">
        <f>E23*E38</f>
        <v>2240000</v>
      </c>
      <c r="F40" s="150">
        <f t="shared" ref="F40:P40" si="22">F23*F38</f>
        <v>2240000</v>
      </c>
      <c r="G40" s="150">
        <f t="shared" si="22"/>
        <v>2240000</v>
      </c>
      <c r="H40" s="150">
        <f t="shared" si="22"/>
        <v>2240000</v>
      </c>
      <c r="I40" s="150">
        <f t="shared" si="22"/>
        <v>2240000</v>
      </c>
      <c r="J40" s="150">
        <f t="shared" si="22"/>
        <v>2240000</v>
      </c>
      <c r="K40" s="150">
        <f t="shared" si="22"/>
        <v>2240000</v>
      </c>
      <c r="L40" s="150">
        <f t="shared" si="22"/>
        <v>2240000</v>
      </c>
      <c r="M40" s="150">
        <f t="shared" si="22"/>
        <v>2240000</v>
      </c>
      <c r="N40" s="150">
        <f t="shared" si="22"/>
        <v>2080000</v>
      </c>
      <c r="O40" s="150">
        <f t="shared" si="22"/>
        <v>2080000</v>
      </c>
      <c r="P40" s="150">
        <f t="shared" si="22"/>
        <v>2480000</v>
      </c>
      <c r="R40" s="150">
        <f>SUM(E40:P40)</f>
        <v>26800000</v>
      </c>
    </row>
    <row r="42" spans="1:20" x14ac:dyDescent="0.25">
      <c r="A42" s="34" t="s">
        <v>1087</v>
      </c>
      <c r="E42" s="34" t="s">
        <v>1278</v>
      </c>
    </row>
    <row r="43" spans="1:20" x14ac:dyDescent="0.25">
      <c r="B43" s="7"/>
      <c r="C43" s="7"/>
      <c r="D43" s="7"/>
      <c r="E43" s="7"/>
      <c r="F43" s="7"/>
      <c r="G43" s="7"/>
      <c r="H43" s="7"/>
      <c r="I43" s="7"/>
      <c r="J43" s="7"/>
      <c r="K43" s="7"/>
      <c r="L43" s="7"/>
      <c r="M43" s="7"/>
      <c r="N43" s="7"/>
      <c r="O43" s="7"/>
      <c r="P43" s="7"/>
      <c r="R43" s="6">
        <f>'[19]LEX - New Vehicles'!$R$36-R36</f>
        <v>-343149.03197811684</v>
      </c>
    </row>
    <row r="44" spans="1:20" x14ac:dyDescent="0.25">
      <c r="R44" s="6">
        <f>R43/R27</f>
        <v>-36.120950734538617</v>
      </c>
      <c r="T44" s="33"/>
    </row>
    <row r="45" spans="1:20" x14ac:dyDescent="0.25">
      <c r="R45" s="6">
        <f>R44/12</f>
        <v>-3.0100792278782182</v>
      </c>
      <c r="T45" s="33"/>
    </row>
    <row r="46" spans="1:20" ht="15.75" thickBot="1" x14ac:dyDescent="0.3">
      <c r="R46" s="6"/>
    </row>
    <row r="47" spans="1:20" x14ac:dyDescent="0.25">
      <c r="A47" s="245" t="s">
        <v>1090</v>
      </c>
      <c r="B47" s="248"/>
      <c r="C47" s="248"/>
      <c r="D47" s="248"/>
      <c r="E47" s="248">
        <f>SUMIFS('[18]Summary - Selling Expenses'!Z:Z,'[18]Summary - Selling Expenses'!$C:$C,112,'[18]Summary - Selling Expenses'!$E:$E,1)</f>
        <v>26015.724525464873</v>
      </c>
      <c r="F47" s="248">
        <f>SUMIFS('[18]Summary - Selling Expenses'!AA:AA,'[18]Summary - Selling Expenses'!$C:$C,112,'[18]Summary - Selling Expenses'!$E:$E,1)</f>
        <v>26015.724525464873</v>
      </c>
      <c r="G47" s="248">
        <f>SUMIFS('[18]Summary - Selling Expenses'!AB:AB,'[18]Summary - Selling Expenses'!$C:$C,112,'[18]Summary - Selling Expenses'!$E:$E,1)</f>
        <v>26208.504525464872</v>
      </c>
      <c r="H47" s="248">
        <f>SUMIFS('[18]Summary - Selling Expenses'!AC:AC,'[18]Summary - Selling Expenses'!$C:$C,112,'[18]Summary - Selling Expenses'!$E:$E,1)</f>
        <v>26015.724525464873</v>
      </c>
      <c r="I47" s="248">
        <f>SUMIFS('[18]Summary - Selling Expenses'!AD:AD,'[18]Summary - Selling Expenses'!$C:$C,112,'[18]Summary - Selling Expenses'!$E:$E,1)</f>
        <v>26015.724525464873</v>
      </c>
      <c r="J47" s="248">
        <f>SUMIFS('[18]Summary - Selling Expenses'!AE:AE,'[18]Summary - Selling Expenses'!$C:$C,112,'[18]Summary - Selling Expenses'!$E:$E,1)</f>
        <v>26208.504525464872</v>
      </c>
      <c r="K47" s="248">
        <f>SUMIFS('[18]Summary - Selling Expenses'!AF:AF,'[18]Summary - Selling Expenses'!$C:$C,112,'[18]Summary - Selling Expenses'!$E:$E,1)</f>
        <v>26015.724525464873</v>
      </c>
      <c r="L47" s="248">
        <f>SUMIFS('[18]Summary - Selling Expenses'!AG:AG,'[18]Summary - Selling Expenses'!$C:$C,112,'[18]Summary - Selling Expenses'!$E:$E,1)</f>
        <v>26015.724525464873</v>
      </c>
      <c r="M47" s="248">
        <f>SUMIFS('[18]Summary - Selling Expenses'!AH:AH,'[18]Summary - Selling Expenses'!$C:$C,112,'[18]Summary - Selling Expenses'!$E:$E,1)</f>
        <v>26208.504525464872</v>
      </c>
      <c r="N47" s="248">
        <f>SUMIFS('[18]Summary - Selling Expenses'!AI:AI,'[18]Summary - Selling Expenses'!$C:$C,112,'[18]Summary - Selling Expenses'!$E:$E,1)</f>
        <v>24658.724525464873</v>
      </c>
      <c r="O47" s="248">
        <f>SUMIFS('[18]Summary - Selling Expenses'!AJ:AJ,'[18]Summary - Selling Expenses'!$C:$C,112,'[18]Summary - Selling Expenses'!$E:$E,1)</f>
        <v>24658.724525464873</v>
      </c>
      <c r="P47" s="248">
        <f>SUMIFS('[18]Summary - Selling Expenses'!AK:AK,'[18]Summary - Selling Expenses'!$C:$C,112,'[18]Summary - Selling Expenses'!$E:$E,1)</f>
        <v>32116.709525464874</v>
      </c>
      <c r="Q47" s="246"/>
      <c r="R47" s="266">
        <f>SUM(E47:P47)</f>
        <v>316154.01930557849</v>
      </c>
    </row>
    <row r="48" spans="1:20" x14ac:dyDescent="0.25">
      <c r="A48" s="106" t="s">
        <v>1091</v>
      </c>
      <c r="B48" s="19"/>
      <c r="C48" s="19"/>
      <c r="D48" s="19"/>
      <c r="E48" s="7">
        <f>SUMIFS('[18]Summary - Selling Expenses'!Z:Z,'[18]Summary - Selling Expenses'!$C:$C,112,'[18]Summary - Selling Expenses'!$E:$E,2)</f>
        <v>54792.074893025419</v>
      </c>
      <c r="F48" s="7">
        <f>SUMIFS('[18]Summary - Selling Expenses'!AA:AA,'[18]Summary - Selling Expenses'!$C:$C,112,'[18]Summary - Selling Expenses'!$E:$E,2)</f>
        <v>54792.074893025419</v>
      </c>
      <c r="G48" s="7">
        <f>SUMIFS('[18]Summary - Selling Expenses'!AB:AB,'[18]Summary - Selling Expenses'!$C:$C,112,'[18]Summary - Selling Expenses'!$E:$E,2)</f>
        <v>54792.074893025419</v>
      </c>
      <c r="H48" s="7">
        <f>SUMIFS('[18]Summary - Selling Expenses'!AC:AC,'[18]Summary - Selling Expenses'!$C:$C,112,'[18]Summary - Selling Expenses'!$E:$E,2)</f>
        <v>54792.074893025419</v>
      </c>
      <c r="I48" s="7">
        <f>SUMIFS('[18]Summary - Selling Expenses'!AD:AD,'[18]Summary - Selling Expenses'!$C:$C,112,'[18]Summary - Selling Expenses'!$E:$E,2)</f>
        <v>54792.074893025419</v>
      </c>
      <c r="J48" s="7">
        <f>SUMIFS('[18]Summary - Selling Expenses'!AE:AE,'[18]Summary - Selling Expenses'!$C:$C,112,'[18]Summary - Selling Expenses'!$E:$E,2)</f>
        <v>54792.074893025419</v>
      </c>
      <c r="K48" s="7">
        <f>SUMIFS('[18]Summary - Selling Expenses'!AF:AF,'[18]Summary - Selling Expenses'!$C:$C,112,'[18]Summary - Selling Expenses'!$E:$E,2)</f>
        <v>54792.074893025419</v>
      </c>
      <c r="L48" s="7">
        <f>SUMIFS('[18]Summary - Selling Expenses'!AG:AG,'[18]Summary - Selling Expenses'!$C:$C,112,'[18]Summary - Selling Expenses'!$E:$E,2)</f>
        <v>54792.074893025419</v>
      </c>
      <c r="M48" s="7">
        <f>SUMIFS('[18]Summary - Selling Expenses'!AH:AH,'[18]Summary - Selling Expenses'!$C:$C,112,'[18]Summary - Selling Expenses'!$E:$E,2)</f>
        <v>54792.074893025419</v>
      </c>
      <c r="N48" s="7">
        <f>SUMIFS('[18]Summary - Selling Expenses'!AI:AI,'[18]Summary - Selling Expenses'!$C:$C,112,'[18]Summary - Selling Expenses'!$E:$E,2)</f>
        <v>54792.074893025419</v>
      </c>
      <c r="O48" s="7">
        <f>SUMIFS('[18]Summary - Selling Expenses'!AJ:AJ,'[18]Summary - Selling Expenses'!$C:$C,112,'[18]Summary - Selling Expenses'!$E:$E,2)</f>
        <v>54792.074893025419</v>
      </c>
      <c r="P48" s="7">
        <f>SUMIFS('[18]Summary - Selling Expenses'!AK:AK,'[18]Summary - Selling Expenses'!$C:$C,112,'[18]Summary - Selling Expenses'!$E:$E,2)</f>
        <v>54792.074893025419</v>
      </c>
      <c r="R48" s="267">
        <f t="shared" ref="R48:R49" si="23">SUM(E48:P48)</f>
        <v>657504.89871630527</v>
      </c>
    </row>
    <row r="49" spans="1:19" x14ac:dyDescent="0.25">
      <c r="A49" s="106" t="s">
        <v>1092</v>
      </c>
      <c r="B49" s="7"/>
      <c r="C49" s="7"/>
      <c r="D49" s="7"/>
      <c r="E49" s="7">
        <f>E47+E48</f>
        <v>80807.799418490293</v>
      </c>
      <c r="F49" s="7">
        <f t="shared" ref="F49:P49" si="24">F47+F48</f>
        <v>80807.799418490293</v>
      </c>
      <c r="G49" s="7">
        <f t="shared" si="24"/>
        <v>81000.579418490292</v>
      </c>
      <c r="H49" s="7">
        <f t="shared" si="24"/>
        <v>80807.799418490293</v>
      </c>
      <c r="I49" s="7">
        <f t="shared" si="24"/>
        <v>80807.799418490293</v>
      </c>
      <c r="J49" s="7">
        <f t="shared" si="24"/>
        <v>81000.579418490292</v>
      </c>
      <c r="K49" s="7">
        <f t="shared" si="24"/>
        <v>80807.799418490293</v>
      </c>
      <c r="L49" s="7">
        <f t="shared" si="24"/>
        <v>80807.799418490293</v>
      </c>
      <c r="M49" s="7">
        <f t="shared" si="24"/>
        <v>81000.579418490292</v>
      </c>
      <c r="N49" s="7">
        <f t="shared" si="24"/>
        <v>79450.799418490293</v>
      </c>
      <c r="O49" s="7">
        <f t="shared" si="24"/>
        <v>79450.799418490293</v>
      </c>
      <c r="P49" s="7">
        <f t="shared" si="24"/>
        <v>86908.784418490293</v>
      </c>
      <c r="R49" s="267">
        <f t="shared" si="23"/>
        <v>973658.91802188335</v>
      </c>
    </row>
    <row r="50" spans="1:19" ht="15.75" thickBot="1" x14ac:dyDescent="0.3">
      <c r="A50" s="261"/>
      <c r="B50" s="252"/>
      <c r="C50" s="252"/>
      <c r="D50" s="252"/>
      <c r="E50" s="252"/>
      <c r="F50" s="252"/>
      <c r="G50" s="252"/>
      <c r="H50" s="252"/>
      <c r="I50" s="252"/>
      <c r="J50" s="252"/>
      <c r="K50" s="252"/>
      <c r="L50" s="252"/>
      <c r="M50" s="252"/>
      <c r="N50" s="252"/>
      <c r="O50" s="252"/>
      <c r="P50" s="252"/>
      <c r="Q50" s="251"/>
      <c r="R50" s="268">
        <f>R49-SUMIFS('[18]Summary - Selling Expenses'!$AL:$AL,'[18]Summary - Selling Expenses'!$D:$D,'[18]Summary - Selling Expenses'!$D$29,'[18]Summary - Selling Expenses'!$C:$C,'[18]Summary - Selling Expenses'!$C$29)</f>
        <v>0</v>
      </c>
      <c r="S50" s="34" t="s">
        <v>1093</v>
      </c>
    </row>
    <row r="51" spans="1:19" x14ac:dyDescent="0.25">
      <c r="R51" s="7"/>
    </row>
  </sheetData>
  <pageMargins left="0.7" right="0.7" top="0.75" bottom="0.75" header="0.3" footer="0.3"/>
  <pageSetup paperSize="9" orientation="portrait" verticalDpi="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9B9A7-9B70-4298-9C12-80FB472914D1}">
  <sheetPr codeName="Sheet26">
    <tabColor theme="9" tint="0.79998168889431442"/>
  </sheetPr>
  <dimension ref="A1:AI49"/>
  <sheetViews>
    <sheetView workbookViewId="0">
      <selection activeCell="P19" sqref="P19"/>
    </sheetView>
  </sheetViews>
  <sheetFormatPr defaultRowHeight="15" x14ac:dyDescent="0.25"/>
  <cols>
    <col min="1" max="1" width="28" bestFit="1" customWidth="1"/>
    <col min="2" max="4" width="11.140625" hidden="1" customWidth="1"/>
    <col min="5" max="7" width="11.140625" bestFit="1" customWidth="1"/>
    <col min="8" max="8" width="11.140625" bestFit="1" customWidth="1" collapsed="1"/>
    <col min="9" max="10" width="11.140625" bestFit="1" customWidth="1"/>
    <col min="11" max="11" width="11.140625" bestFit="1" customWidth="1" collapsed="1"/>
    <col min="12" max="13" width="11.140625" bestFit="1" customWidth="1"/>
    <col min="14" max="14" width="11.140625" bestFit="1" customWidth="1" collapsed="1"/>
    <col min="15" max="16" width="11.140625" bestFit="1" customWidth="1"/>
    <col min="17" max="17" width="3.28515625" customWidth="1"/>
    <col min="18" max="18" width="13.28515625" bestFit="1" customWidth="1"/>
    <col min="19" max="19" width="24.28515625" style="34" customWidth="1"/>
    <col min="20" max="20" width="11.28515625" bestFit="1" customWidth="1"/>
  </cols>
  <sheetData>
    <row r="1" spans="1:35" ht="15.75" x14ac:dyDescent="0.25">
      <c r="A1" s="11" t="s">
        <v>1103</v>
      </c>
      <c r="B1" s="5">
        <v>44927</v>
      </c>
      <c r="C1" s="5">
        <v>44958</v>
      </c>
      <c r="D1" s="5">
        <v>44986</v>
      </c>
      <c r="E1" s="5">
        <v>45017</v>
      </c>
      <c r="F1" s="5">
        <v>45047</v>
      </c>
      <c r="G1" s="5">
        <v>45078</v>
      </c>
      <c r="H1" s="5">
        <v>45108</v>
      </c>
      <c r="I1" s="5">
        <v>45139</v>
      </c>
      <c r="J1" s="5">
        <v>45170</v>
      </c>
      <c r="K1" s="5">
        <v>45200</v>
      </c>
      <c r="L1" s="5">
        <v>45231</v>
      </c>
      <c r="M1" s="5">
        <v>45261</v>
      </c>
      <c r="N1" s="5">
        <v>44927</v>
      </c>
      <c r="O1" s="5">
        <v>44958</v>
      </c>
      <c r="P1" s="5">
        <v>44986</v>
      </c>
      <c r="Q1" s="5"/>
      <c r="R1" s="5" t="s">
        <v>951</v>
      </c>
    </row>
    <row r="2" spans="1:35"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4" spans="1:35" x14ac:dyDescent="0.25">
      <c r="A4" t="s">
        <v>1107</v>
      </c>
      <c r="B4" s="2">
        <f>'[3]LEX USED VEHICLE'!$B7</f>
        <v>6</v>
      </c>
      <c r="C4" s="2">
        <f>'[4]LEX USED VEHICLE'!$B7</f>
        <v>5</v>
      </c>
      <c r="D4" s="2">
        <f>'[5]LEX USED VEHICLE'!$B7</f>
        <v>12</v>
      </c>
      <c r="E4" s="2">
        <f>'[6]LEX USED VEHICLE'!$B7</f>
        <v>5</v>
      </c>
      <c r="F4" s="2">
        <f>'[7]LEX USED VEHICLE'!$B7</f>
        <v>13</v>
      </c>
      <c r="G4" s="2">
        <f>'[8]LEX USED VEHICLE'!$B7</f>
        <v>8</v>
      </c>
      <c r="H4" s="2">
        <f>'[9]LEX USED VEHICLE'!$B7</f>
        <v>13</v>
      </c>
      <c r="I4" s="2">
        <f>'[10]LEX USED VEHICLE'!$B7</f>
        <v>15</v>
      </c>
      <c r="J4" s="2">
        <f>'[11]LEX USED VEHICLE'!$B7</f>
        <v>16</v>
      </c>
      <c r="K4" s="2">
        <f>'[12]LEX USED VEHICLE'!$B7</f>
        <v>14</v>
      </c>
      <c r="L4" s="2">
        <f>'[13]LEX USED VEHICLE'!$B7</f>
        <v>8</v>
      </c>
      <c r="M4" s="2">
        <f>'[14]LEX USED VEHICLE'!$B7</f>
        <v>6</v>
      </c>
      <c r="N4" s="2">
        <f>'[15]LEX USED VEHICLE'!$B$7</f>
        <v>7</v>
      </c>
      <c r="O4" s="2">
        <f>'[16]LEX USED VEHICLE'!$B$7</f>
        <v>11</v>
      </c>
      <c r="P4" s="2">
        <f>'[17]LEX USED VEHICLE'!$B$6</f>
        <v>6</v>
      </c>
      <c r="Q4" s="2"/>
      <c r="R4" s="2">
        <f>SUM(E4:P4)</f>
        <v>122</v>
      </c>
      <c r="S4" s="132"/>
      <c r="T4" s="1"/>
      <c r="U4" s="2"/>
      <c r="V4" s="2"/>
      <c r="X4" s="44"/>
      <c r="Y4" s="4"/>
    </row>
    <row r="5" spans="1:35" x14ac:dyDescent="0.25">
      <c r="A5" t="s">
        <v>1066</v>
      </c>
      <c r="B5" s="2">
        <f>'[3]LEX USED VEHICLE'!$B29</f>
        <v>3</v>
      </c>
      <c r="C5" s="2">
        <f>'[4]LEX USED VEHICLE'!$B29</f>
        <v>3</v>
      </c>
      <c r="D5" s="2">
        <f>'[5]LEX USED VEHICLE'!$B29</f>
        <v>3</v>
      </c>
      <c r="E5" s="2">
        <f>'[6]LEX USED VEHICLE'!$B29</f>
        <v>3</v>
      </c>
      <c r="F5" s="2">
        <f>'[7]LEX USED VEHICLE'!$B29</f>
        <v>3</v>
      </c>
      <c r="G5" s="2">
        <f>'[8]LEX USED VEHICLE'!$B29</f>
        <v>4</v>
      </c>
      <c r="H5" s="2">
        <f>'[9]LEX USED VEHICLE'!$B29</f>
        <v>4</v>
      </c>
      <c r="I5" s="2">
        <f>'[10]LEX USED VEHICLE'!$B29</f>
        <v>4</v>
      </c>
      <c r="J5" s="2">
        <f>'[11]LEX USED VEHICLE'!$B29</f>
        <v>4</v>
      </c>
      <c r="K5" s="2">
        <f>'[12]LEX USED VEHICLE'!$B29</f>
        <v>4</v>
      </c>
      <c r="L5" s="2">
        <f>'[13]LEX USED VEHICLE'!$B29</f>
        <v>4</v>
      </c>
      <c r="M5" s="2">
        <f>'[14]LEX USED VEHICLE'!$B29</f>
        <v>4</v>
      </c>
      <c r="N5" s="2">
        <f>'[15]LEX USED VEHICLE'!$B$29</f>
        <v>4</v>
      </c>
      <c r="O5" s="2">
        <f>'[16]LEX USED VEHICLE'!$B$29</f>
        <v>4</v>
      </c>
      <c r="P5" s="2">
        <v>4</v>
      </c>
      <c r="Q5" s="2"/>
      <c r="R5" s="2">
        <f>AVERAGE(E5:P5)</f>
        <v>3.8333333333333335</v>
      </c>
      <c r="S5" s="132"/>
      <c r="T5" s="1"/>
      <c r="U5" s="2"/>
      <c r="V5" s="2"/>
      <c r="Y5" s="4"/>
    </row>
    <row r="6" spans="1:35" s="187" customFormat="1" x14ac:dyDescent="0.25">
      <c r="A6" s="187" t="s">
        <v>1067</v>
      </c>
      <c r="B6" s="188">
        <f t="shared" ref="B6:N6" si="0">B4/B5</f>
        <v>2</v>
      </c>
      <c r="C6" s="188">
        <f t="shared" si="0"/>
        <v>1.6666666666666667</v>
      </c>
      <c r="D6" s="188">
        <f t="shared" si="0"/>
        <v>4</v>
      </c>
      <c r="E6" s="188">
        <f t="shared" si="0"/>
        <v>1.6666666666666667</v>
      </c>
      <c r="F6" s="188">
        <f t="shared" si="0"/>
        <v>4.333333333333333</v>
      </c>
      <c r="G6" s="188">
        <f t="shared" si="0"/>
        <v>2</v>
      </c>
      <c r="H6" s="188">
        <f t="shared" si="0"/>
        <v>3.25</v>
      </c>
      <c r="I6" s="188">
        <f t="shared" si="0"/>
        <v>3.75</v>
      </c>
      <c r="J6" s="188">
        <f t="shared" si="0"/>
        <v>4</v>
      </c>
      <c r="K6" s="188">
        <f t="shared" si="0"/>
        <v>3.5</v>
      </c>
      <c r="L6" s="188">
        <f t="shared" si="0"/>
        <v>2</v>
      </c>
      <c r="M6" s="188">
        <f t="shared" si="0"/>
        <v>1.5</v>
      </c>
      <c r="N6" s="188">
        <f t="shared" si="0"/>
        <v>1.75</v>
      </c>
      <c r="O6" s="188">
        <f t="shared" ref="O6" si="1">O4/O5</f>
        <v>2.75</v>
      </c>
      <c r="P6" s="188">
        <f>P4/P5</f>
        <v>1.5</v>
      </c>
      <c r="Q6" s="188"/>
      <c r="R6" s="188">
        <f>AVERAGE(E6:P6)</f>
        <v>2.6666666666666665</v>
      </c>
      <c r="S6" s="189"/>
      <c r="U6" s="188"/>
      <c r="V6" s="188"/>
      <c r="Y6" s="190"/>
    </row>
    <row r="7" spans="1:35" x14ac:dyDescent="0.25">
      <c r="B7" s="2"/>
      <c r="C7" s="2"/>
      <c r="D7" s="2"/>
      <c r="E7" s="2"/>
      <c r="F7" s="2"/>
      <c r="G7" s="2"/>
      <c r="H7" s="2"/>
      <c r="I7" s="2"/>
      <c r="J7" s="2"/>
      <c r="K7" s="2"/>
      <c r="L7" s="2"/>
      <c r="M7" s="2"/>
      <c r="N7" s="2"/>
      <c r="O7" s="2"/>
      <c r="P7" s="2"/>
      <c r="Q7" s="2"/>
      <c r="R7" s="2"/>
      <c r="S7" s="132"/>
      <c r="U7" s="2"/>
      <c r="V7" s="2"/>
      <c r="Y7" s="4"/>
    </row>
    <row r="8" spans="1:35" s="7" customFormat="1" x14ac:dyDescent="0.25">
      <c r="A8" s="7" t="s">
        <v>1111</v>
      </c>
      <c r="B8" s="6">
        <f>'[3]LEX USED VEHICLE'!$B$11</f>
        <v>5319.6150000000007</v>
      </c>
      <c r="C8" s="6">
        <f>'[4]LEX USED VEHICLE'!$B$11</f>
        <v>6658.056000000006</v>
      </c>
      <c r="D8" s="6">
        <f>'[5]LEX USED VEHICLE'!$B$11</f>
        <v>4114.1183333333365</v>
      </c>
      <c r="E8" s="6">
        <f>'[6]LEX USED VEHICLE'!$B$11</f>
        <v>5147.9980000000041</v>
      </c>
      <c r="F8" s="6">
        <f>'[7]LEX USED VEHICLE'!$B$11</f>
        <v>6113.1500000000051</v>
      </c>
      <c r="G8" s="6">
        <f>'[8]LEX USED VEHICLE'!$B$11</f>
        <v>7247.3874999999971</v>
      </c>
      <c r="H8" s="6">
        <f>'[9]LEX USED VEHICLE'!$B$11</f>
        <v>5077.0746153846221</v>
      </c>
      <c r="I8" s="6">
        <f>'[10]LEX USED VEHICLE'!$B$11</f>
        <v>5836.3846666666677</v>
      </c>
      <c r="J8" s="6">
        <f>'[11]LEX USED VEHICLE'!$B$11</f>
        <v>4896.8237499999959</v>
      </c>
      <c r="K8" s="6">
        <f>'[12]LEX USED VEHICLE'!$B$11</f>
        <v>3884.1871428571426</v>
      </c>
      <c r="L8" s="6">
        <f>'[13]LEX USED VEHICLE'!$B$11</f>
        <v>4183.0424999999959</v>
      </c>
      <c r="M8" s="6">
        <f>'[14]LEX USED VEHICLE'!$B$11</f>
        <v>2351.8783333333363</v>
      </c>
      <c r="N8" s="6">
        <f>'[15]LEX USED VEHICLE'!$B$12</f>
        <v>3764.7814285714289</v>
      </c>
      <c r="O8" s="6">
        <f>'[16]LEX USED VEHICLE'!$B$12</f>
        <v>6036.1790909090932</v>
      </c>
      <c r="P8" s="6">
        <f>'[17]LEX USED VEHICLE'!$B$12</f>
        <v>2642.4733333333293</v>
      </c>
      <c r="Q8" s="6"/>
      <c r="R8" s="6">
        <f t="shared" ref="R8:R14" si="2">AVERAGE(E8:P8)</f>
        <v>4765.1133634213011</v>
      </c>
      <c r="S8" s="116"/>
      <c r="T8" s="15"/>
      <c r="U8" s="6"/>
      <c r="V8" s="6"/>
      <c r="Y8" s="4"/>
      <c r="Z8" s="6"/>
      <c r="AA8" s="6"/>
      <c r="AB8" s="6"/>
      <c r="AC8" s="6"/>
      <c r="AD8" s="6"/>
      <c r="AE8" s="6"/>
      <c r="AF8" s="6"/>
      <c r="AG8" s="6"/>
      <c r="AH8" s="6"/>
      <c r="AI8" s="6"/>
    </row>
    <row r="9" spans="1:35" s="7" customFormat="1" x14ac:dyDescent="0.25">
      <c r="A9" s="7" t="s">
        <v>1070</v>
      </c>
      <c r="B9" s="6">
        <f t="shared" ref="B9:M9" si="3">B10-B8</f>
        <v>0</v>
      </c>
      <c r="C9" s="6">
        <f t="shared" si="3"/>
        <v>0</v>
      </c>
      <c r="D9" s="6">
        <f t="shared" si="3"/>
        <v>695.65250000000015</v>
      </c>
      <c r="E9" s="6">
        <f>E10-E8</f>
        <v>0</v>
      </c>
      <c r="F9" s="6">
        <f t="shared" si="3"/>
        <v>0</v>
      </c>
      <c r="G9" s="6">
        <f t="shared" si="3"/>
        <v>2641.3050000000003</v>
      </c>
      <c r="H9" s="6">
        <f t="shared" si="3"/>
        <v>0</v>
      </c>
      <c r="I9" s="6">
        <f t="shared" si="3"/>
        <v>0</v>
      </c>
      <c r="J9" s="6">
        <f t="shared" si="3"/>
        <v>1230.9781249999996</v>
      </c>
      <c r="K9" s="6">
        <f t="shared" si="3"/>
        <v>0</v>
      </c>
      <c r="L9" s="6">
        <f t="shared" si="3"/>
        <v>0</v>
      </c>
      <c r="M9" s="6">
        <f t="shared" si="3"/>
        <v>2610.6616666666664</v>
      </c>
      <c r="N9" s="6">
        <f>N10-N8</f>
        <v>0</v>
      </c>
      <c r="O9" s="6">
        <f>O10-O8</f>
        <v>0</v>
      </c>
      <c r="P9" s="6">
        <f>P10-P8</f>
        <v>2869.5650000000001</v>
      </c>
      <c r="Q9" s="6"/>
      <c r="R9" s="6">
        <f t="shared" si="2"/>
        <v>779.37581597222231</v>
      </c>
      <c r="S9" s="116"/>
      <c r="T9"/>
      <c r="U9" s="6"/>
      <c r="V9" s="6"/>
      <c r="Y9" s="4"/>
      <c r="Z9" s="6"/>
      <c r="AA9" s="6"/>
      <c r="AB9" s="6"/>
      <c r="AC9" s="6"/>
      <c r="AD9" s="6"/>
      <c r="AE9" s="6"/>
      <c r="AF9" s="6"/>
      <c r="AG9" s="6"/>
      <c r="AH9" s="6"/>
      <c r="AI9" s="6"/>
    </row>
    <row r="10" spans="1:35" s="7" customFormat="1" x14ac:dyDescent="0.25">
      <c r="A10" s="7" t="s">
        <v>1275</v>
      </c>
      <c r="B10" s="6">
        <f>'[3]LEX USED VEHICLE'!$B$15</f>
        <v>5319.6150000000007</v>
      </c>
      <c r="C10" s="6">
        <f>'[4]LEX USED VEHICLE'!$B$15</f>
        <v>6658.056000000006</v>
      </c>
      <c r="D10" s="6">
        <f>'[5]LEX USED VEHICLE'!$B$15</f>
        <v>4809.7708333333367</v>
      </c>
      <c r="E10" s="6">
        <f>'[6]LEX USED VEHICLE'!$B$15</f>
        <v>5147.9980000000041</v>
      </c>
      <c r="F10" s="6">
        <f>'[7]LEX USED VEHICLE'!$B$15</f>
        <v>6113.1500000000051</v>
      </c>
      <c r="G10" s="6">
        <f>'[8]LEX USED VEHICLE'!$B$15</f>
        <v>9888.6924999999974</v>
      </c>
      <c r="H10" s="6">
        <f>'[9]LEX USED VEHICLE'!$B$15</f>
        <v>5077.0746153846221</v>
      </c>
      <c r="I10" s="6">
        <f>'[10]LEX USED VEHICLE'!$B$15</f>
        <v>5836.3846666666677</v>
      </c>
      <c r="J10" s="6">
        <f>'[11]LEX USED VEHICLE'!$B$15</f>
        <v>6127.8018749999956</v>
      </c>
      <c r="K10" s="6">
        <f>'[12]LEX USED VEHICLE'!$B$11</f>
        <v>3884.1871428571426</v>
      </c>
      <c r="L10" s="6">
        <f>'[13]LEX USED VEHICLE'!$B$11</f>
        <v>4183.0424999999959</v>
      </c>
      <c r="M10" s="6">
        <f>'[14]LEX USED VEHICLE'!$B$15</f>
        <v>4962.5400000000027</v>
      </c>
      <c r="N10" s="6">
        <f>'[15]LEX USED VEHICLE'!$B$15</f>
        <v>3764.7814285714289</v>
      </c>
      <c r="O10" s="6">
        <f>'[16]LEX USED VEHICLE'!$B$15</f>
        <v>6036.1790909090932</v>
      </c>
      <c r="P10" s="6">
        <f>'[17]LEX USED VEHICLE'!$B$15</f>
        <v>5512.0383333333293</v>
      </c>
      <c r="Q10" s="6"/>
      <c r="R10" s="6">
        <f t="shared" si="2"/>
        <v>5544.489179393523</v>
      </c>
      <c r="S10" s="116"/>
      <c r="T10"/>
      <c r="U10" s="6"/>
      <c r="V10" s="6"/>
      <c r="Y10" s="4"/>
      <c r="Z10" s="6"/>
      <c r="AA10" s="6"/>
      <c r="AB10" s="6"/>
      <c r="AC10" s="6"/>
      <c r="AD10" s="6"/>
      <c r="AE10" s="6"/>
      <c r="AF10" s="6"/>
      <c r="AG10" s="6"/>
      <c r="AH10" s="6"/>
      <c r="AI10" s="6"/>
    </row>
    <row r="11" spans="1:35" s="7" customFormat="1" x14ac:dyDescent="0.25">
      <c r="A11" s="7" t="s">
        <v>1071</v>
      </c>
      <c r="B11" s="6">
        <f>'[3]LEX USED VEHICLE'!$B$19</f>
        <v>-411.54833333333329</v>
      </c>
      <c r="C11" s="6">
        <f>'[4]LEX USED VEHICLE'!$B$19</f>
        <v>-20</v>
      </c>
      <c r="D11" s="6">
        <f>'[5]LEX USED VEHICLE'!$B$19</f>
        <v>-58.333333333333336</v>
      </c>
      <c r="E11" s="6">
        <f>'[6]LEX USED VEHICLE'!$B$19</f>
        <v>-100</v>
      </c>
      <c r="F11" s="6">
        <f>'[7]LEX USED VEHICLE'!$B$19</f>
        <v>-92.307692307692307</v>
      </c>
      <c r="G11" s="6">
        <f>'[8]LEX USED VEHICLE'!$B$19</f>
        <v>-87.5</v>
      </c>
      <c r="H11" s="6">
        <f>'[9]LEX USED VEHICLE'!$B$19</f>
        <v>-177.25769230769231</v>
      </c>
      <c r="I11" s="6">
        <f>'[10]LEX USED VEHICLE'!$B$19</f>
        <v>-93.333333333333329</v>
      </c>
      <c r="J11" s="6">
        <f>'[11]LEX USED VEHICLE'!$B$19</f>
        <v>-81.250624999999999</v>
      </c>
      <c r="K11" s="6">
        <f>'[12]LEX USED VEHICLE'!$B$19</f>
        <v>941.58214285714291</v>
      </c>
      <c r="L11" s="6">
        <f>'[13]LEX USED VEHICLE'!$B$19</f>
        <v>1499.0987500000001</v>
      </c>
      <c r="M11" s="6">
        <f>'[14]LEX USED VEHICLE'!$B$19</f>
        <v>2328.6366666666668</v>
      </c>
      <c r="N11" s="6">
        <f>'[15]LEX USED VEHICLE'!$B$19</f>
        <v>2455.3371428571427</v>
      </c>
      <c r="O11" s="6">
        <f>'[16]LEX USED VEHICLE'!$B$19</f>
        <v>1881.3172727272727</v>
      </c>
      <c r="P11" s="6">
        <f>'[17]LEX USED VEHICLE'!$B$19</f>
        <v>2301.4516666666668</v>
      </c>
      <c r="Q11" s="6"/>
      <c r="R11" s="6">
        <f t="shared" si="2"/>
        <v>897.98119156884786</v>
      </c>
      <c r="S11" s="116"/>
      <c r="T11"/>
      <c r="U11" s="6"/>
      <c r="V11" s="6"/>
      <c r="Y11" s="4"/>
      <c r="Z11" s="6"/>
      <c r="AA11" s="6"/>
      <c r="AB11" s="6"/>
      <c r="AC11" s="6"/>
      <c r="AD11" s="6"/>
      <c r="AE11" s="6"/>
      <c r="AF11" s="6"/>
      <c r="AG11" s="6"/>
      <c r="AH11" s="6"/>
      <c r="AI11" s="6"/>
    </row>
    <row r="12" spans="1:35" s="7" customFormat="1" x14ac:dyDescent="0.25">
      <c r="A12" s="7" t="s">
        <v>1072</v>
      </c>
      <c r="B12" s="6">
        <f>'[3]LEX USED VEHICLE'!$B$24</f>
        <v>2026.9916666666668</v>
      </c>
      <c r="C12" s="6">
        <f>'[4]LEX USED VEHICLE'!$B$24</f>
        <v>2432.3879999999999</v>
      </c>
      <c r="D12" s="6">
        <f>'[5]LEX USED VEHICLE'!$B$24</f>
        <v>887.5</v>
      </c>
      <c r="E12" s="6">
        <f>'[6]LEX USED VEHICLE'!$B$24</f>
        <v>2384.5600000000004</v>
      </c>
      <c r="F12" s="6">
        <f>'[7]LEX USED VEHICLE'!$B$24</f>
        <v>906.84615384615392</v>
      </c>
      <c r="G12" s="6">
        <f>'[8]LEX USED VEHICLE'!$B$24</f>
        <v>1217</v>
      </c>
      <c r="H12" s="6">
        <f>'[9]LEX USED VEHICLE'!$B$24</f>
        <v>637.69076923076932</v>
      </c>
      <c r="I12" s="6">
        <f>'[10]LEX USED VEHICLE'!$B$24</f>
        <v>807.86666666666667</v>
      </c>
      <c r="J12" s="6">
        <f>'[11]LEX USED VEHICLE'!$B$24</f>
        <v>666.5</v>
      </c>
      <c r="K12" s="6">
        <f>'[12]LEX USED VEHICLE'!$B$24</f>
        <v>945.4735714285714</v>
      </c>
      <c r="L12" s="6">
        <f>'[13]LEX USED VEHICLE'!$B$24</f>
        <v>1903.8487500000001</v>
      </c>
      <c r="M12" s="6">
        <f>'[14]LEX USED VEHICLE'!$B$24</f>
        <v>2742.1183333333333</v>
      </c>
      <c r="N12" s="6">
        <f>'[15]LEX USED VEHICLE'!$B$24</f>
        <v>1889.3485714285716</v>
      </c>
      <c r="O12" s="6">
        <f>'[16]LEX USED VEHICLE'!$B$24</f>
        <v>1370.7863636363636</v>
      </c>
      <c r="P12" s="6">
        <f>'[17]LEX USED VEHICLE'!$B$24</f>
        <v>3465.17</v>
      </c>
      <c r="Q12" s="6"/>
      <c r="R12" s="6">
        <f t="shared" si="2"/>
        <v>1578.1007649642027</v>
      </c>
      <c r="S12" s="116"/>
      <c r="T12"/>
      <c r="U12" s="6"/>
      <c r="V12" s="6"/>
      <c r="Y12" s="4"/>
      <c r="Z12" s="6"/>
      <c r="AA12" s="6"/>
      <c r="AB12" s="6"/>
      <c r="AC12" s="6"/>
      <c r="AD12" s="6"/>
      <c r="AE12" s="6"/>
      <c r="AF12" s="6"/>
      <c r="AG12" s="6"/>
      <c r="AH12" s="6"/>
      <c r="AI12" s="6"/>
    </row>
    <row r="13" spans="1:35" s="7" customFormat="1" x14ac:dyDescent="0.25">
      <c r="A13" s="7" t="s">
        <v>1073</v>
      </c>
      <c r="B13" s="6">
        <f t="shared" ref="B13:M13" si="4">B11+B12</f>
        <v>1615.4433333333336</v>
      </c>
      <c r="C13" s="6">
        <f t="shared" si="4"/>
        <v>2412.3879999999999</v>
      </c>
      <c r="D13" s="6">
        <f t="shared" si="4"/>
        <v>829.16666666666663</v>
      </c>
      <c r="E13" s="6">
        <f t="shared" si="4"/>
        <v>2284.5600000000004</v>
      </c>
      <c r="F13" s="6">
        <f t="shared" si="4"/>
        <v>814.53846153846166</v>
      </c>
      <c r="G13" s="6">
        <f t="shared" si="4"/>
        <v>1129.5</v>
      </c>
      <c r="H13" s="6">
        <f t="shared" si="4"/>
        <v>460.43307692307701</v>
      </c>
      <c r="I13" s="6">
        <f t="shared" si="4"/>
        <v>714.5333333333333</v>
      </c>
      <c r="J13" s="6">
        <f t="shared" si="4"/>
        <v>585.24937499999999</v>
      </c>
      <c r="K13" s="6">
        <f t="shared" si="4"/>
        <v>1887.0557142857142</v>
      </c>
      <c r="L13" s="6">
        <f t="shared" si="4"/>
        <v>3402.9475000000002</v>
      </c>
      <c r="M13" s="6">
        <f t="shared" si="4"/>
        <v>5070.7550000000001</v>
      </c>
      <c r="N13" s="6">
        <f>'[15]LEX USED VEHICLE'!$B$25</f>
        <v>4344.6857142857143</v>
      </c>
      <c r="O13" s="6">
        <f>'[16]LEX USED VEHICLE'!$B$25</f>
        <v>3252.1036363636363</v>
      </c>
      <c r="P13" s="6">
        <f>P11+P12</f>
        <v>5766.6216666666669</v>
      </c>
      <c r="Q13" s="6"/>
      <c r="R13" s="6">
        <f t="shared" si="2"/>
        <v>2476.0819565330507</v>
      </c>
      <c r="S13" s="116"/>
      <c r="T13" s="1"/>
      <c r="U13" s="6"/>
      <c r="V13" s="6"/>
      <c r="Y13" s="4"/>
      <c r="Z13" s="6"/>
      <c r="AA13" s="6"/>
      <c r="AB13" s="6"/>
      <c r="AC13" s="6"/>
      <c r="AD13" s="6"/>
      <c r="AE13" s="6"/>
      <c r="AF13" s="6"/>
      <c r="AG13" s="6"/>
      <c r="AH13" s="6"/>
      <c r="AI13" s="6"/>
    </row>
    <row r="14" spans="1:35" s="7" customFormat="1" x14ac:dyDescent="0.25">
      <c r="A14" s="7" t="s">
        <v>1074</v>
      </c>
      <c r="B14" s="6">
        <f t="shared" ref="B14:M14" si="5">B10-B12</f>
        <v>3292.6233333333339</v>
      </c>
      <c r="C14" s="6">
        <f t="shared" si="5"/>
        <v>4225.668000000006</v>
      </c>
      <c r="D14" s="6">
        <f t="shared" si="5"/>
        <v>3922.2708333333367</v>
      </c>
      <c r="E14" s="6">
        <f t="shared" si="5"/>
        <v>2763.4380000000037</v>
      </c>
      <c r="F14" s="6">
        <f t="shared" si="5"/>
        <v>5206.3038461538508</v>
      </c>
      <c r="G14" s="6">
        <f t="shared" si="5"/>
        <v>8671.6924999999974</v>
      </c>
      <c r="H14" s="6">
        <f t="shared" si="5"/>
        <v>4439.3838461538526</v>
      </c>
      <c r="I14" s="6">
        <f t="shared" si="5"/>
        <v>5028.5180000000009</v>
      </c>
      <c r="J14" s="6">
        <f t="shared" si="5"/>
        <v>5461.3018749999956</v>
      </c>
      <c r="K14" s="6">
        <f t="shared" si="5"/>
        <v>2938.7135714285714</v>
      </c>
      <c r="L14" s="6">
        <f t="shared" si="5"/>
        <v>2279.1937499999958</v>
      </c>
      <c r="M14" s="6">
        <f t="shared" si="5"/>
        <v>2220.4216666666694</v>
      </c>
      <c r="N14" s="6">
        <f>'[15]LEX USED VEHICLE'!$B$26</f>
        <v>-579.90428571428538</v>
      </c>
      <c r="O14" s="6">
        <f>'[16]LEX USED VEHICLE'!$B$26</f>
        <v>2784.075454545457</v>
      </c>
      <c r="P14" s="6">
        <f>P10-P12</f>
        <v>2046.8683333333292</v>
      </c>
      <c r="Q14" s="6"/>
      <c r="R14" s="6">
        <f t="shared" si="2"/>
        <v>3605.000546463953</v>
      </c>
      <c r="S14" s="116"/>
      <c r="T14" s="1"/>
      <c r="U14" s="6"/>
      <c r="V14" s="6"/>
      <c r="Y14" s="4"/>
      <c r="Z14" s="6"/>
      <c r="AA14" s="6"/>
      <c r="AB14" s="6"/>
      <c r="AC14" s="6"/>
      <c r="AD14" s="6"/>
      <c r="AE14" s="6"/>
      <c r="AF14" s="6"/>
      <c r="AG14" s="6"/>
      <c r="AH14" s="6"/>
      <c r="AI14" s="6"/>
    </row>
    <row r="16" spans="1:35" s="7" customFormat="1" x14ac:dyDescent="0.25">
      <c r="A16" s="7" t="s">
        <v>1279</v>
      </c>
      <c r="B16" s="6">
        <f>'[3]LEX USED VEHICLE'!$B$8*'[3]LEX USED VEHICLE'!$B$13</f>
        <v>0</v>
      </c>
      <c r="C16" s="6">
        <f>'[4]LEX USED VEHICLE'!$B$8*'[4]LEX USED VEHICLE'!$B$13</f>
        <v>0</v>
      </c>
      <c r="D16" s="6">
        <f>'[5]LEX USED VEHICLE'!$B$8*'[5]LEX USED VEHICLE'!$B$13</f>
        <v>1304.3399999999965</v>
      </c>
      <c r="E16" s="6">
        <f>'[6]LEX USED VEHICLE'!$B$8*'[6]LEX USED VEHICLE'!$B$13</f>
        <v>0</v>
      </c>
      <c r="F16" s="6">
        <f>'[7]LEX USED VEHICLE'!$B$8*'[7]LEX USED VEHICLE'!$B$13</f>
        <v>0</v>
      </c>
      <c r="G16" s="6">
        <f>'[8]LEX USED VEHICLE'!$B$8*'[8]LEX USED VEHICLE'!$B$13</f>
        <v>0</v>
      </c>
      <c r="H16" s="6">
        <f>'[9]LEX USED VEHICLE'!$B$8*'[9]LEX USED VEHICLE'!$B$13</f>
        <v>434.77999999999884</v>
      </c>
      <c r="I16" s="6">
        <f>'[10]LEX USED VEHICLE'!$B$8*'[10]LEX USED VEHICLE'!$B$13</f>
        <v>-65.220000000000027</v>
      </c>
      <c r="J16" s="6">
        <f>'[11]LEX USED VEHICLE'!$B$8*'[11]LEX USED VEHICLE'!$B$13</f>
        <v>0</v>
      </c>
      <c r="K16" s="6">
        <f>'[12]LEX USED VEHICLE'!$B$8*'[12]LEX USED VEHICLE'!$B$13</f>
        <v>0</v>
      </c>
      <c r="L16" s="6">
        <f>'[13]LEX USED VEHICLE'!$B$8*'[13]LEX USED VEHICLE'!$B$13</f>
        <v>0</v>
      </c>
      <c r="M16" s="6">
        <f>'[14]LEX USED VEHICLE'!$B$8*'[14]LEX USED VEHICLE'!$B$13</f>
        <v>154.13999999999987</v>
      </c>
      <c r="N16" s="6">
        <f>'[15]LEX USED VEHICLE'!$B$13</f>
        <v>0</v>
      </c>
      <c r="O16" s="6">
        <f>'[16]LEX USED VEHICLE'!$B$13</f>
        <v>0</v>
      </c>
      <c r="P16" s="6">
        <v>0</v>
      </c>
      <c r="Q16" s="6"/>
      <c r="R16" s="6">
        <f>SUM(E16:P16)</f>
        <v>523.69999999999868</v>
      </c>
      <c r="S16" s="116"/>
      <c r="T16" s="1"/>
      <c r="U16" s="6"/>
      <c r="V16" s="6"/>
      <c r="Y16" s="4"/>
      <c r="Z16" s="6"/>
      <c r="AA16" s="6"/>
      <c r="AB16" s="6"/>
      <c r="AC16" s="6"/>
      <c r="AD16" s="6"/>
      <c r="AE16" s="6"/>
      <c r="AF16" s="6"/>
      <c r="AG16" s="6"/>
      <c r="AH16" s="6"/>
      <c r="AI16" s="6"/>
    </row>
    <row r="17" spans="1:19" x14ac:dyDescent="0.25">
      <c r="A17" s="7" t="s">
        <v>1114</v>
      </c>
      <c r="B17" s="12">
        <f t="shared" ref="B17:M17" si="6">B10*B4+B16</f>
        <v>31917.690000000002</v>
      </c>
      <c r="C17" s="12">
        <f t="shared" si="6"/>
        <v>33290.280000000028</v>
      </c>
      <c r="D17" s="12">
        <f t="shared" si="6"/>
        <v>59021.59000000004</v>
      </c>
      <c r="E17" s="12">
        <f>E10*E4+E16</f>
        <v>25739.99000000002</v>
      </c>
      <c r="F17" s="12">
        <f t="shared" si="6"/>
        <v>79470.95000000007</v>
      </c>
      <c r="G17" s="12">
        <f t="shared" si="6"/>
        <v>79109.539999999979</v>
      </c>
      <c r="H17" s="12">
        <f t="shared" si="6"/>
        <v>66436.750000000087</v>
      </c>
      <c r="I17" s="12">
        <f t="shared" si="6"/>
        <v>87480.550000000017</v>
      </c>
      <c r="J17" s="12">
        <f t="shared" si="6"/>
        <v>98044.829999999929</v>
      </c>
      <c r="K17" s="12">
        <f t="shared" si="6"/>
        <v>54378.619999999995</v>
      </c>
      <c r="L17" s="12">
        <f t="shared" si="6"/>
        <v>33464.339999999967</v>
      </c>
      <c r="M17" s="12">
        <f t="shared" si="6"/>
        <v>29929.380000000016</v>
      </c>
      <c r="N17" s="12">
        <f>'[15]LEX USED VEHICLE'!$B$16</f>
        <v>26353.47</v>
      </c>
      <c r="O17" s="12">
        <f>'[16]LEX USED VEHICLE'!$B$16</f>
        <v>66397.97000000003</v>
      </c>
      <c r="P17" s="12">
        <f>P10*P4+P16</f>
        <v>33072.229999999974</v>
      </c>
      <c r="R17" s="6">
        <f>SUM(E17:P17)</f>
        <v>679878.62000000011</v>
      </c>
    </row>
    <row r="18" spans="1:19" x14ac:dyDescent="0.25">
      <c r="A18" s="7" t="s">
        <v>1076</v>
      </c>
      <c r="B18" s="12">
        <f t="shared" ref="B18:N18" si="7">B13*B4</f>
        <v>9692.6600000000017</v>
      </c>
      <c r="C18" s="12">
        <f t="shared" si="7"/>
        <v>12061.939999999999</v>
      </c>
      <c r="D18" s="12">
        <f t="shared" si="7"/>
        <v>9950</v>
      </c>
      <c r="E18" s="12">
        <f t="shared" si="7"/>
        <v>11422.800000000003</v>
      </c>
      <c r="F18" s="12">
        <f t="shared" si="7"/>
        <v>10589.000000000002</v>
      </c>
      <c r="G18" s="12">
        <f t="shared" si="7"/>
        <v>9036</v>
      </c>
      <c r="H18" s="12">
        <f t="shared" si="7"/>
        <v>5985.630000000001</v>
      </c>
      <c r="I18" s="12">
        <f t="shared" si="7"/>
        <v>10718</v>
      </c>
      <c r="J18" s="12">
        <f t="shared" si="7"/>
        <v>9363.99</v>
      </c>
      <c r="K18" s="12">
        <f t="shared" si="7"/>
        <v>26418.78</v>
      </c>
      <c r="L18" s="12">
        <f t="shared" si="7"/>
        <v>27223.58</v>
      </c>
      <c r="M18" s="12">
        <f t="shared" si="7"/>
        <v>30424.53</v>
      </c>
      <c r="N18" s="12">
        <f t="shared" si="7"/>
        <v>30412.799999999999</v>
      </c>
      <c r="O18" s="12">
        <f t="shared" ref="O18" si="8">O13*O4</f>
        <v>35773.14</v>
      </c>
      <c r="P18" s="12">
        <f>P13*P4</f>
        <v>34599.730000000003</v>
      </c>
      <c r="R18" s="6">
        <f>SUM(E18:P18)</f>
        <v>241967.98</v>
      </c>
    </row>
    <row r="19" spans="1:19" ht="15.75" thickBot="1" x14ac:dyDescent="0.3">
      <c r="A19" s="9" t="s">
        <v>1280</v>
      </c>
      <c r="B19" s="13">
        <f t="shared" ref="B19:P19" si="9">B17-B18</f>
        <v>22225.03</v>
      </c>
      <c r="C19" s="13">
        <f t="shared" si="9"/>
        <v>21228.340000000029</v>
      </c>
      <c r="D19" s="13">
        <f t="shared" si="9"/>
        <v>49071.59000000004</v>
      </c>
      <c r="E19" s="13">
        <f t="shared" si="9"/>
        <v>14317.190000000017</v>
      </c>
      <c r="F19" s="13">
        <f t="shared" si="9"/>
        <v>68881.95000000007</v>
      </c>
      <c r="G19" s="13">
        <f t="shared" si="9"/>
        <v>70073.539999999979</v>
      </c>
      <c r="H19" s="13">
        <f t="shared" si="9"/>
        <v>60451.120000000083</v>
      </c>
      <c r="I19" s="13">
        <f t="shared" si="9"/>
        <v>76762.550000000017</v>
      </c>
      <c r="J19" s="13">
        <f t="shared" si="9"/>
        <v>88680.839999999924</v>
      </c>
      <c r="K19" s="13">
        <f t="shared" si="9"/>
        <v>27959.839999999997</v>
      </c>
      <c r="L19" s="13">
        <f t="shared" si="9"/>
        <v>6240.7599999999657</v>
      </c>
      <c r="M19" s="13">
        <f t="shared" si="9"/>
        <v>-495.14999999998327</v>
      </c>
      <c r="N19" s="13">
        <f t="shared" si="9"/>
        <v>-4059.3299999999981</v>
      </c>
      <c r="O19" s="13">
        <f t="shared" ref="O19" si="10">O17-O18</f>
        <v>30624.830000000031</v>
      </c>
      <c r="P19" s="13">
        <f t="shared" si="9"/>
        <v>-1527.5000000000291</v>
      </c>
      <c r="Q19" s="18"/>
      <c r="R19" s="10">
        <f>R17-R18</f>
        <v>437910.64000000013</v>
      </c>
    </row>
    <row r="20" spans="1:19" ht="15.75" thickTop="1" x14ac:dyDescent="0.25">
      <c r="A20" s="7"/>
      <c r="B20" s="6"/>
      <c r="C20" s="6"/>
      <c r="D20" s="6"/>
      <c r="E20" s="6"/>
      <c r="F20" s="6"/>
      <c r="G20" s="6"/>
      <c r="H20" s="6"/>
      <c r="I20" s="6"/>
      <c r="J20" s="6"/>
      <c r="K20" s="6"/>
      <c r="L20" s="6"/>
      <c r="M20" s="6"/>
      <c r="N20" s="6"/>
      <c r="O20" s="6"/>
      <c r="P20" s="6"/>
      <c r="R20" s="6"/>
    </row>
    <row r="21" spans="1:19" x14ac:dyDescent="0.25">
      <c r="R21" s="15"/>
    </row>
    <row r="22" spans="1:19" ht="15.75" x14ac:dyDescent="0.25">
      <c r="A22" s="11" t="s">
        <v>1103</v>
      </c>
      <c r="B22" s="5">
        <v>45292</v>
      </c>
      <c r="C22" s="5">
        <v>45323</v>
      </c>
      <c r="D22" s="5">
        <v>45352</v>
      </c>
      <c r="E22" s="5">
        <v>45383</v>
      </c>
      <c r="F22" s="5">
        <v>45413</v>
      </c>
      <c r="G22" s="5">
        <v>45444</v>
      </c>
      <c r="H22" s="5">
        <v>45474</v>
      </c>
      <c r="I22" s="5">
        <v>45505</v>
      </c>
      <c r="J22" s="5">
        <v>45536</v>
      </c>
      <c r="K22" s="5">
        <v>45566</v>
      </c>
      <c r="L22" s="5">
        <v>45597</v>
      </c>
      <c r="M22" s="5">
        <v>45627</v>
      </c>
      <c r="N22" s="5">
        <v>45658</v>
      </c>
      <c r="O22" s="5">
        <v>45689</v>
      </c>
      <c r="P22" s="5">
        <v>45717</v>
      </c>
      <c r="Q22" s="5"/>
      <c r="R22" s="5" t="s">
        <v>955</v>
      </c>
    </row>
    <row r="23" spans="1:19" x14ac:dyDescent="0.25">
      <c r="A23" s="4"/>
      <c r="B23" s="5" t="s">
        <v>958</v>
      </c>
      <c r="C23" s="5" t="s">
        <v>959</v>
      </c>
      <c r="D23" s="5" t="s">
        <v>959</v>
      </c>
      <c r="E23" s="5" t="s">
        <v>959</v>
      </c>
      <c r="F23" s="5" t="s">
        <v>959</v>
      </c>
      <c r="G23" s="5" t="s">
        <v>959</v>
      </c>
      <c r="H23" s="5" t="s">
        <v>959</v>
      </c>
      <c r="I23" s="5" t="s">
        <v>959</v>
      </c>
      <c r="J23" s="5" t="s">
        <v>959</v>
      </c>
      <c r="K23" s="5" t="s">
        <v>959</v>
      </c>
      <c r="L23" s="5" t="s">
        <v>959</v>
      </c>
      <c r="M23" s="5" t="s">
        <v>959</v>
      </c>
      <c r="N23" s="5" t="s">
        <v>959</v>
      </c>
      <c r="O23" s="5" t="s">
        <v>959</v>
      </c>
      <c r="P23" s="5" t="s">
        <v>959</v>
      </c>
      <c r="Q23" s="5"/>
      <c r="R23" s="5" t="s">
        <v>961</v>
      </c>
    </row>
    <row r="25" spans="1:19" x14ac:dyDescent="0.25">
      <c r="A25" t="s">
        <v>1107</v>
      </c>
      <c r="B25" s="2">
        <f>'[15]LEX USED VEHICLE'!$B$7</f>
        <v>7</v>
      </c>
      <c r="C25" s="2">
        <f t="shared" ref="C25:D27" si="11">O4</f>
        <v>11</v>
      </c>
      <c r="D25" s="2">
        <f t="shared" si="11"/>
        <v>6</v>
      </c>
      <c r="E25" s="2">
        <v>13</v>
      </c>
      <c r="F25" s="2">
        <v>13</v>
      </c>
      <c r="G25" s="2">
        <v>13</v>
      </c>
      <c r="H25" s="2">
        <v>13</v>
      </c>
      <c r="I25" s="2">
        <v>13</v>
      </c>
      <c r="J25" s="2">
        <v>13</v>
      </c>
      <c r="K25" s="2">
        <v>13</v>
      </c>
      <c r="L25" s="2">
        <v>13</v>
      </c>
      <c r="M25" s="2">
        <v>13</v>
      </c>
      <c r="N25" s="2">
        <v>13</v>
      </c>
      <c r="O25" s="2">
        <v>13</v>
      </c>
      <c r="P25" s="2">
        <v>13</v>
      </c>
      <c r="Q25" s="2"/>
      <c r="R25" s="2">
        <f>SUM(E25:P25)</f>
        <v>156</v>
      </c>
      <c r="S25" s="34" t="s">
        <v>1281</v>
      </c>
    </row>
    <row r="26" spans="1:19" x14ac:dyDescent="0.25">
      <c r="A26" t="s">
        <v>1066</v>
      </c>
      <c r="B26" s="2">
        <f>'[15]LEX USED VEHICLE'!$B$29</f>
        <v>4</v>
      </c>
      <c r="C26" s="2">
        <f t="shared" si="11"/>
        <v>4</v>
      </c>
      <c r="D26" s="2">
        <f t="shared" si="11"/>
        <v>4</v>
      </c>
      <c r="E26" s="2">
        <v>4</v>
      </c>
      <c r="F26" s="2">
        <v>4</v>
      </c>
      <c r="G26" s="2">
        <v>4</v>
      </c>
      <c r="H26" s="2">
        <v>4</v>
      </c>
      <c r="I26" s="2">
        <v>4</v>
      </c>
      <c r="J26" s="2">
        <v>4</v>
      </c>
      <c r="K26" s="2">
        <v>4</v>
      </c>
      <c r="L26" s="2">
        <v>4</v>
      </c>
      <c r="M26" s="2">
        <v>4</v>
      </c>
      <c r="N26" s="2">
        <v>4</v>
      </c>
      <c r="O26" s="2">
        <v>4</v>
      </c>
      <c r="P26" s="2">
        <v>4</v>
      </c>
      <c r="Q26" s="2"/>
      <c r="R26" s="2">
        <f>AVERAGE(E26:P26)</f>
        <v>4</v>
      </c>
    </row>
    <row r="27" spans="1:19" x14ac:dyDescent="0.25">
      <c r="A27" s="43" t="s">
        <v>1067</v>
      </c>
      <c r="B27" s="188">
        <f>B25/B26</f>
        <v>1.75</v>
      </c>
      <c r="C27" s="2">
        <f t="shared" si="11"/>
        <v>2.75</v>
      </c>
      <c r="D27" s="2">
        <f t="shared" si="11"/>
        <v>1.5</v>
      </c>
      <c r="E27" s="2">
        <f>E25/E26</f>
        <v>3.25</v>
      </c>
      <c r="F27" s="2">
        <f t="shared" ref="F27:P27" si="12">F25/F26</f>
        <v>3.25</v>
      </c>
      <c r="G27" s="2">
        <f t="shared" si="12"/>
        <v>3.25</v>
      </c>
      <c r="H27" s="2">
        <f t="shared" si="12"/>
        <v>3.25</v>
      </c>
      <c r="I27" s="2">
        <f t="shared" si="12"/>
        <v>3.25</v>
      </c>
      <c r="J27" s="2">
        <f t="shared" si="12"/>
        <v>3.25</v>
      </c>
      <c r="K27" s="2">
        <f t="shared" si="12"/>
        <v>3.25</v>
      </c>
      <c r="L27" s="2">
        <f t="shared" si="12"/>
        <v>3.25</v>
      </c>
      <c r="M27" s="2">
        <f t="shared" si="12"/>
        <v>3.25</v>
      </c>
      <c r="N27" s="2">
        <f t="shared" si="12"/>
        <v>3.25</v>
      </c>
      <c r="O27" s="2">
        <f t="shared" si="12"/>
        <v>3.25</v>
      </c>
      <c r="P27" s="2">
        <f t="shared" si="12"/>
        <v>3.25</v>
      </c>
      <c r="Q27" s="2"/>
      <c r="R27" s="2">
        <f>AVERAGE(E27:P27)</f>
        <v>3.25</v>
      </c>
    </row>
    <row r="28" spans="1:19" x14ac:dyDescent="0.25">
      <c r="B28" s="2"/>
      <c r="C28" s="2"/>
      <c r="D28" s="2"/>
      <c r="E28" s="2"/>
      <c r="F28" s="2"/>
      <c r="G28" s="2"/>
      <c r="H28" s="2"/>
      <c r="I28" s="2"/>
      <c r="J28" s="2"/>
      <c r="K28" s="2"/>
      <c r="L28" s="2"/>
      <c r="M28" s="2"/>
      <c r="N28" s="2"/>
      <c r="O28" s="2"/>
      <c r="P28" s="2"/>
      <c r="Q28" s="2"/>
      <c r="R28" s="2"/>
    </row>
    <row r="29" spans="1:19" x14ac:dyDescent="0.25">
      <c r="A29" s="7" t="s">
        <v>1111</v>
      </c>
      <c r="B29" s="6">
        <f>'[15]LEX USED VEHICLE'!$B$12</f>
        <v>3764.7814285714289</v>
      </c>
      <c r="C29" s="6">
        <f t="shared" ref="C29:D35" si="13">O8</f>
        <v>6036.1790909090932</v>
      </c>
      <c r="D29" s="6">
        <f t="shared" si="13"/>
        <v>2642.4733333333293</v>
      </c>
      <c r="E29" s="6">
        <v>5000</v>
      </c>
      <c r="F29" s="6">
        <f>E29</f>
        <v>5000</v>
      </c>
      <c r="G29" s="6">
        <f t="shared" ref="G29:P29" si="14">F29</f>
        <v>5000</v>
      </c>
      <c r="H29" s="6">
        <f t="shared" si="14"/>
        <v>5000</v>
      </c>
      <c r="I29" s="6">
        <f t="shared" si="14"/>
        <v>5000</v>
      </c>
      <c r="J29" s="6">
        <f t="shared" si="14"/>
        <v>5000</v>
      </c>
      <c r="K29" s="6">
        <f t="shared" si="14"/>
        <v>5000</v>
      </c>
      <c r="L29" s="6">
        <f t="shared" si="14"/>
        <v>5000</v>
      </c>
      <c r="M29" s="6">
        <f t="shared" si="14"/>
        <v>5000</v>
      </c>
      <c r="N29" s="6">
        <f t="shared" si="14"/>
        <v>5000</v>
      </c>
      <c r="O29" s="6">
        <f t="shared" si="14"/>
        <v>5000</v>
      </c>
      <c r="P29" s="6">
        <f t="shared" si="14"/>
        <v>5000</v>
      </c>
      <c r="Q29" s="6"/>
      <c r="R29" s="6">
        <f t="shared" ref="R29:R35" si="15">AVERAGE(E29:P29)</f>
        <v>5000</v>
      </c>
      <c r="S29" s="34" t="s">
        <v>1282</v>
      </c>
    </row>
    <row r="30" spans="1:19" x14ac:dyDescent="0.25">
      <c r="A30" s="7" t="s">
        <v>1070</v>
      </c>
      <c r="B30" s="6">
        <f>B31-B29</f>
        <v>0</v>
      </c>
      <c r="C30" s="6">
        <f t="shared" si="13"/>
        <v>0</v>
      </c>
      <c r="D30" s="6">
        <f t="shared" si="13"/>
        <v>2869.5650000000001</v>
      </c>
      <c r="E30" s="6">
        <v>0</v>
      </c>
      <c r="F30" s="6">
        <v>0</v>
      </c>
      <c r="G30" s="6">
        <f>'LEF Incentive Forecast FY2025'!G21/G25</f>
        <v>1647.6923076923076</v>
      </c>
      <c r="H30" s="6">
        <v>0</v>
      </c>
      <c r="I30" s="6">
        <v>0</v>
      </c>
      <c r="J30" s="6">
        <f>'LEF Incentive Forecast FY2025'!K21/J25</f>
        <v>1647.6923076923076</v>
      </c>
      <c r="K30" s="6">
        <v>0</v>
      </c>
      <c r="L30" s="6">
        <v>0</v>
      </c>
      <c r="M30" s="6">
        <f>'LEF Incentive Forecast FY2025'!O21/M25</f>
        <v>1647.6923076923076</v>
      </c>
      <c r="N30" s="6">
        <v>0</v>
      </c>
      <c r="O30" s="6">
        <v>0</v>
      </c>
      <c r="P30" s="6">
        <f>'LEF Incentive Forecast FY2025'!S21/P25</f>
        <v>1628.0769230769231</v>
      </c>
      <c r="Q30" s="6"/>
      <c r="R30" s="6">
        <f t="shared" si="15"/>
        <v>547.59615384615381</v>
      </c>
    </row>
    <row r="31" spans="1:19" x14ac:dyDescent="0.25">
      <c r="A31" s="7" t="s">
        <v>1275</v>
      </c>
      <c r="B31" s="6">
        <f>'[15]LEX USED VEHICLE'!$B$15</f>
        <v>3764.7814285714289</v>
      </c>
      <c r="C31" s="6">
        <f t="shared" si="13"/>
        <v>6036.1790909090932</v>
      </c>
      <c r="D31" s="6">
        <f t="shared" si="13"/>
        <v>5512.0383333333293</v>
      </c>
      <c r="E31" s="6">
        <f>E29+E30</f>
        <v>5000</v>
      </c>
      <c r="F31" s="6">
        <f t="shared" ref="F31:P31" si="16">F29+F30</f>
        <v>5000</v>
      </c>
      <c r="G31" s="6">
        <f t="shared" si="16"/>
        <v>6647.6923076923076</v>
      </c>
      <c r="H31" s="6">
        <f t="shared" si="16"/>
        <v>5000</v>
      </c>
      <c r="I31" s="6">
        <f t="shared" si="16"/>
        <v>5000</v>
      </c>
      <c r="J31" s="6">
        <f t="shared" si="16"/>
        <v>6647.6923076923076</v>
      </c>
      <c r="K31" s="6">
        <f t="shared" si="16"/>
        <v>5000</v>
      </c>
      <c r="L31" s="6">
        <f t="shared" si="16"/>
        <v>5000</v>
      </c>
      <c r="M31" s="6">
        <f t="shared" si="16"/>
        <v>6647.6923076923076</v>
      </c>
      <c r="N31" s="6">
        <f t="shared" si="16"/>
        <v>5000</v>
      </c>
      <c r="O31" s="6">
        <f t="shared" si="16"/>
        <v>5000</v>
      </c>
      <c r="P31" s="6">
        <f t="shared" si="16"/>
        <v>6628.0769230769229</v>
      </c>
      <c r="Q31" s="6"/>
      <c r="R31" s="6">
        <f t="shared" si="15"/>
        <v>5547.5961538461534</v>
      </c>
    </row>
    <row r="32" spans="1:19" x14ac:dyDescent="0.25">
      <c r="A32" s="7" t="s">
        <v>1071</v>
      </c>
      <c r="B32" s="6">
        <f>'[15]LEX USED VEHICLE'!$B$19</f>
        <v>2455.3371428571427</v>
      </c>
      <c r="C32" s="6">
        <f t="shared" si="13"/>
        <v>1881.3172727272727</v>
      </c>
      <c r="D32" s="6">
        <f t="shared" si="13"/>
        <v>2301.4516666666668</v>
      </c>
      <c r="E32" s="6">
        <f t="shared" ref="E32:P32" si="17">E46/E25</f>
        <v>713.54389080371959</v>
      </c>
      <c r="F32" s="6">
        <f t="shared" si="17"/>
        <v>713.54389080371959</v>
      </c>
      <c r="G32" s="6">
        <f t="shared" si="17"/>
        <v>718.48696772679659</v>
      </c>
      <c r="H32" s="6">
        <f t="shared" si="17"/>
        <v>713.54389080371959</v>
      </c>
      <c r="I32" s="6">
        <f t="shared" si="17"/>
        <v>713.54389080371959</v>
      </c>
      <c r="J32" s="6">
        <f t="shared" si="17"/>
        <v>718.48696772679659</v>
      </c>
      <c r="K32" s="6">
        <f t="shared" si="17"/>
        <v>713.54389080371959</v>
      </c>
      <c r="L32" s="6">
        <f t="shared" si="17"/>
        <v>713.54389080371959</v>
      </c>
      <c r="M32" s="6">
        <f t="shared" si="17"/>
        <v>718.48696772679659</v>
      </c>
      <c r="N32" s="6">
        <f t="shared" si="17"/>
        <v>713.54389080371959</v>
      </c>
      <c r="O32" s="6">
        <f t="shared" si="17"/>
        <v>713.54389080371959</v>
      </c>
      <c r="P32" s="6">
        <f t="shared" si="17"/>
        <v>718.42812157295043</v>
      </c>
      <c r="Q32" s="6"/>
      <c r="R32" s="6">
        <f t="shared" si="15"/>
        <v>715.18667926525802</v>
      </c>
      <c r="S32" s="34" t="s">
        <v>1134</v>
      </c>
    </row>
    <row r="33" spans="1:19" x14ac:dyDescent="0.25">
      <c r="A33" s="7" t="s">
        <v>1072</v>
      </c>
      <c r="B33" s="6">
        <f>'[15]LEX USED VEHICLE'!$B$24</f>
        <v>1889.3485714285716</v>
      </c>
      <c r="C33" s="6">
        <f t="shared" si="13"/>
        <v>1370.7863636363636</v>
      </c>
      <c r="D33" s="6">
        <f t="shared" si="13"/>
        <v>3465.17</v>
      </c>
      <c r="E33" s="6">
        <f t="shared" ref="E33:P33" si="18">E47/E25</f>
        <v>1281.6690377171292</v>
      </c>
      <c r="F33" s="6">
        <f t="shared" si="18"/>
        <v>1281.6690377171292</v>
      </c>
      <c r="G33" s="6">
        <f t="shared" si="18"/>
        <v>1281.6690377171292</v>
      </c>
      <c r="H33" s="6">
        <f t="shared" si="18"/>
        <v>1281.6690377171292</v>
      </c>
      <c r="I33" s="6">
        <f t="shared" si="18"/>
        <v>1281.6690377171292</v>
      </c>
      <c r="J33" s="6">
        <f t="shared" si="18"/>
        <v>1281.6690377171292</v>
      </c>
      <c r="K33" s="6">
        <f t="shared" si="18"/>
        <v>1281.6690377171292</v>
      </c>
      <c r="L33" s="6">
        <f t="shared" si="18"/>
        <v>1281.6690377171292</v>
      </c>
      <c r="M33" s="6">
        <f t="shared" si="18"/>
        <v>1281.6690377171292</v>
      </c>
      <c r="N33" s="6">
        <f t="shared" si="18"/>
        <v>1281.6690377171292</v>
      </c>
      <c r="O33" s="6">
        <f t="shared" si="18"/>
        <v>1281.6690377171292</v>
      </c>
      <c r="P33" s="6">
        <f t="shared" si="18"/>
        <v>1281.6690377171292</v>
      </c>
      <c r="Q33" s="6"/>
      <c r="R33" s="6">
        <f t="shared" si="15"/>
        <v>1281.6690377171292</v>
      </c>
      <c r="S33" s="34" t="s">
        <v>1134</v>
      </c>
    </row>
    <row r="34" spans="1:19" x14ac:dyDescent="0.25">
      <c r="A34" s="7" t="s">
        <v>1073</v>
      </c>
      <c r="B34" s="6">
        <f>'[15]LEX USED VEHICLE'!$B$25</f>
        <v>4344.6857142857143</v>
      </c>
      <c r="C34" s="6">
        <f t="shared" si="13"/>
        <v>3252.1036363636363</v>
      </c>
      <c r="D34" s="6">
        <f t="shared" si="13"/>
        <v>5766.6216666666669</v>
      </c>
      <c r="E34" s="6">
        <f>E32+E33</f>
        <v>1995.2129285208489</v>
      </c>
      <c r="F34" s="6">
        <f t="shared" ref="F34:P34" si="19">F48/F25</f>
        <v>1995.2129285208489</v>
      </c>
      <c r="G34" s="6">
        <f t="shared" si="19"/>
        <v>2000.1560054439256</v>
      </c>
      <c r="H34" s="6">
        <f t="shared" si="19"/>
        <v>1995.2129285208489</v>
      </c>
      <c r="I34" s="6">
        <f t="shared" si="19"/>
        <v>1995.2129285208489</v>
      </c>
      <c r="J34" s="6">
        <f t="shared" si="19"/>
        <v>2000.1560054439256</v>
      </c>
      <c r="K34" s="6">
        <f t="shared" si="19"/>
        <v>1995.2129285208489</v>
      </c>
      <c r="L34" s="6">
        <f t="shared" si="19"/>
        <v>1995.2129285208489</v>
      </c>
      <c r="M34" s="6">
        <f t="shared" si="19"/>
        <v>2000.1560054439256</v>
      </c>
      <c r="N34" s="6">
        <f t="shared" si="19"/>
        <v>1995.2129285208489</v>
      </c>
      <c r="O34" s="6">
        <f t="shared" si="19"/>
        <v>1995.2129285208489</v>
      </c>
      <c r="P34" s="6">
        <f t="shared" si="19"/>
        <v>2000.0971592900796</v>
      </c>
      <c r="Q34" s="6"/>
      <c r="R34" s="6">
        <f t="shared" si="15"/>
        <v>1996.8557169823873</v>
      </c>
    </row>
    <row r="35" spans="1:19" x14ac:dyDescent="0.25">
      <c r="A35" s="7" t="s">
        <v>1074</v>
      </c>
      <c r="B35" s="6">
        <f>'[15]LEX USED VEHICLE'!$B$26</f>
        <v>-579.90428571428538</v>
      </c>
      <c r="C35" s="6">
        <f t="shared" si="13"/>
        <v>2784.075454545457</v>
      </c>
      <c r="D35" s="6">
        <f t="shared" si="13"/>
        <v>2046.8683333333292</v>
      </c>
      <c r="E35" s="6">
        <f>E33+E34</f>
        <v>3276.8819662379783</v>
      </c>
      <c r="F35" s="6">
        <f t="shared" ref="F35:P35" si="20">F33+F34</f>
        <v>3276.8819662379783</v>
      </c>
      <c r="G35" s="6">
        <f t="shared" si="20"/>
        <v>3281.825043161055</v>
      </c>
      <c r="H35" s="6">
        <f t="shared" si="20"/>
        <v>3276.8819662379783</v>
      </c>
      <c r="I35" s="6">
        <f t="shared" si="20"/>
        <v>3276.8819662379783</v>
      </c>
      <c r="J35" s="6">
        <f t="shared" si="20"/>
        <v>3281.825043161055</v>
      </c>
      <c r="K35" s="6">
        <f t="shared" si="20"/>
        <v>3276.8819662379783</v>
      </c>
      <c r="L35" s="6">
        <f t="shared" si="20"/>
        <v>3276.8819662379783</v>
      </c>
      <c r="M35" s="6">
        <f t="shared" si="20"/>
        <v>3281.825043161055</v>
      </c>
      <c r="N35" s="6">
        <f t="shared" si="20"/>
        <v>3276.8819662379783</v>
      </c>
      <c r="O35" s="6">
        <f t="shared" si="20"/>
        <v>3276.8819662379783</v>
      </c>
      <c r="P35" s="6">
        <f t="shared" si="20"/>
        <v>3281.7661970072086</v>
      </c>
      <c r="Q35" s="6"/>
      <c r="R35" s="6">
        <f t="shared" si="15"/>
        <v>3278.5247546995165</v>
      </c>
    </row>
    <row r="37" spans="1:19" x14ac:dyDescent="0.25">
      <c r="A37" s="7" t="s">
        <v>1279</v>
      </c>
      <c r="B37" s="6">
        <f>'[15]LEX USED VEHICLE'!$B$13</f>
        <v>0</v>
      </c>
      <c r="C37" s="6">
        <f t="shared" ref="C37:D39" si="21">O16</f>
        <v>0</v>
      </c>
      <c r="D37" s="6">
        <f t="shared" si="21"/>
        <v>0</v>
      </c>
      <c r="E37" s="6">
        <v>0</v>
      </c>
      <c r="F37" s="6">
        <v>0</v>
      </c>
      <c r="G37" s="6">
        <v>0</v>
      </c>
      <c r="H37" s="6">
        <v>0</v>
      </c>
      <c r="I37" s="6">
        <v>0</v>
      </c>
      <c r="J37" s="6">
        <v>0</v>
      </c>
      <c r="K37" s="6">
        <v>0</v>
      </c>
      <c r="L37" s="6">
        <v>0</v>
      </c>
      <c r="M37" s="6">
        <v>0</v>
      </c>
      <c r="N37" s="6">
        <v>0</v>
      </c>
      <c r="O37" s="6">
        <v>0</v>
      </c>
      <c r="P37" s="6">
        <v>0</v>
      </c>
      <c r="Q37" s="6"/>
      <c r="R37" s="6">
        <f>SUM(E37:P37)</f>
        <v>0</v>
      </c>
    </row>
    <row r="38" spans="1:19" x14ac:dyDescent="0.25">
      <c r="A38" s="7" t="s">
        <v>1114</v>
      </c>
      <c r="B38" s="12">
        <f>'[15]LEX USED VEHICLE'!$B$16</f>
        <v>26353.47</v>
      </c>
      <c r="C38" s="12">
        <f t="shared" si="21"/>
        <v>66397.97000000003</v>
      </c>
      <c r="D38" s="12">
        <f t="shared" si="21"/>
        <v>33072.229999999974</v>
      </c>
      <c r="E38" s="6">
        <f>E25*E31</f>
        <v>65000</v>
      </c>
      <c r="F38" s="6">
        <f t="shared" ref="F38:P38" si="22">F25*F31</f>
        <v>65000</v>
      </c>
      <c r="G38" s="6">
        <f t="shared" si="22"/>
        <v>86420</v>
      </c>
      <c r="H38" s="6">
        <f t="shared" si="22"/>
        <v>65000</v>
      </c>
      <c r="I38" s="6">
        <f t="shared" si="22"/>
        <v>65000</v>
      </c>
      <c r="J38" s="6">
        <f t="shared" si="22"/>
        <v>86420</v>
      </c>
      <c r="K38" s="6">
        <f t="shared" si="22"/>
        <v>65000</v>
      </c>
      <c r="L38" s="6">
        <f t="shared" si="22"/>
        <v>65000</v>
      </c>
      <c r="M38" s="6">
        <f t="shared" si="22"/>
        <v>86420</v>
      </c>
      <c r="N38" s="6">
        <f t="shared" si="22"/>
        <v>65000</v>
      </c>
      <c r="O38" s="6">
        <f t="shared" si="22"/>
        <v>65000</v>
      </c>
      <c r="P38" s="6">
        <f t="shared" si="22"/>
        <v>86165</v>
      </c>
      <c r="R38" s="6">
        <f>SUM(E38:P38)</f>
        <v>865425</v>
      </c>
    </row>
    <row r="39" spans="1:19" x14ac:dyDescent="0.25">
      <c r="A39" s="7" t="s">
        <v>1076</v>
      </c>
      <c r="B39" s="12">
        <f>B34*B25</f>
        <v>30412.799999999999</v>
      </c>
      <c r="C39" s="12">
        <f t="shared" si="21"/>
        <v>35773.14</v>
      </c>
      <c r="D39" s="12">
        <f t="shared" si="21"/>
        <v>34599.730000000003</v>
      </c>
      <c r="E39" s="6">
        <f>E48</f>
        <v>25937.768070771035</v>
      </c>
      <c r="F39" s="6">
        <f t="shared" ref="F39:P39" si="23">F48</f>
        <v>25937.768070771035</v>
      </c>
      <c r="G39" s="6">
        <f t="shared" si="23"/>
        <v>26002.028070771034</v>
      </c>
      <c r="H39" s="6">
        <f t="shared" si="23"/>
        <v>25937.768070771035</v>
      </c>
      <c r="I39" s="6">
        <f t="shared" si="23"/>
        <v>25937.768070771035</v>
      </c>
      <c r="J39" s="6">
        <f t="shared" si="23"/>
        <v>26002.028070771034</v>
      </c>
      <c r="K39" s="6">
        <f t="shared" si="23"/>
        <v>25937.768070771035</v>
      </c>
      <c r="L39" s="6">
        <f t="shared" si="23"/>
        <v>25937.768070771035</v>
      </c>
      <c r="M39" s="6">
        <f t="shared" si="23"/>
        <v>26002.028070771034</v>
      </c>
      <c r="N39" s="6">
        <f t="shared" si="23"/>
        <v>25937.768070771035</v>
      </c>
      <c r="O39" s="6">
        <f t="shared" si="23"/>
        <v>25937.768070771035</v>
      </c>
      <c r="P39" s="6">
        <f t="shared" si="23"/>
        <v>26001.263070771034</v>
      </c>
      <c r="R39" s="6">
        <f>SUM(E39:P39)</f>
        <v>311509.49184925237</v>
      </c>
    </row>
    <row r="40" spans="1:19" ht="15.75" thickBot="1" x14ac:dyDescent="0.3">
      <c r="A40" s="9" t="s">
        <v>1280</v>
      </c>
      <c r="B40" s="13">
        <f>B38-B39</f>
        <v>-4059.3299999999981</v>
      </c>
      <c r="C40" s="13">
        <f t="shared" ref="C40:P40" si="24">C38-C39</f>
        <v>30624.830000000031</v>
      </c>
      <c r="D40" s="13">
        <f t="shared" si="24"/>
        <v>-1527.5000000000291</v>
      </c>
      <c r="E40" s="10">
        <f>E38-E39</f>
        <v>39062.231929228961</v>
      </c>
      <c r="F40" s="10">
        <f t="shared" si="24"/>
        <v>39062.231929228961</v>
      </c>
      <c r="G40" s="10">
        <f t="shared" si="24"/>
        <v>60417.971929228966</v>
      </c>
      <c r="H40" s="10">
        <f t="shared" si="24"/>
        <v>39062.231929228961</v>
      </c>
      <c r="I40" s="10">
        <f t="shared" si="24"/>
        <v>39062.231929228961</v>
      </c>
      <c r="J40" s="10">
        <f t="shared" si="24"/>
        <v>60417.971929228966</v>
      </c>
      <c r="K40" s="13">
        <f t="shared" si="24"/>
        <v>39062.231929228961</v>
      </c>
      <c r="L40" s="13">
        <f t="shared" si="24"/>
        <v>39062.231929228961</v>
      </c>
      <c r="M40" s="13">
        <f t="shared" si="24"/>
        <v>60417.971929228966</v>
      </c>
      <c r="N40" s="10">
        <f t="shared" si="24"/>
        <v>39062.231929228961</v>
      </c>
      <c r="O40" s="10">
        <f t="shared" si="24"/>
        <v>39062.231929228961</v>
      </c>
      <c r="P40" s="10">
        <f t="shared" si="24"/>
        <v>60163.736929228966</v>
      </c>
      <c r="Q40" s="18"/>
      <c r="R40" s="10">
        <f>R38-R39</f>
        <v>553915.50815074763</v>
      </c>
    </row>
    <row r="41" spans="1:19" ht="15.75" thickTop="1" x14ac:dyDescent="0.25"/>
    <row r="42" spans="1:19" x14ac:dyDescent="0.25">
      <c r="A42" s="144" t="s">
        <v>1085</v>
      </c>
      <c r="B42" s="144"/>
      <c r="C42" s="144"/>
      <c r="D42" s="146"/>
      <c r="E42" s="149">
        <v>65000</v>
      </c>
      <c r="F42" s="149">
        <v>65000</v>
      </c>
      <c r="G42" s="149">
        <v>65000</v>
      </c>
      <c r="H42" s="149">
        <v>65000</v>
      </c>
      <c r="I42" s="149">
        <v>65000</v>
      </c>
      <c r="J42" s="149">
        <v>65000</v>
      </c>
      <c r="K42" s="149">
        <v>65000</v>
      </c>
      <c r="L42" s="149">
        <v>65000</v>
      </c>
      <c r="M42" s="149">
        <v>65000</v>
      </c>
      <c r="N42" s="149">
        <v>65000</v>
      </c>
      <c r="O42" s="149">
        <v>65000</v>
      </c>
      <c r="P42" s="149">
        <v>65000</v>
      </c>
      <c r="Q42" s="144"/>
    </row>
    <row r="43" spans="1:19" x14ac:dyDescent="0.25">
      <c r="A43" s="144"/>
      <c r="B43" s="144"/>
      <c r="C43" s="144"/>
      <c r="D43" s="144"/>
      <c r="E43" s="139"/>
      <c r="F43" s="139"/>
      <c r="G43" s="144"/>
      <c r="H43" s="144"/>
      <c r="I43" s="144"/>
      <c r="J43" s="144"/>
      <c r="K43" s="144"/>
      <c r="L43" s="144"/>
      <c r="M43" s="144"/>
      <c r="N43" s="144"/>
      <c r="O43" s="144"/>
      <c r="P43" s="144"/>
      <c r="Q43" s="144"/>
    </row>
    <row r="44" spans="1:19" x14ac:dyDescent="0.25">
      <c r="A44" s="144" t="s">
        <v>1086</v>
      </c>
      <c r="B44" s="144"/>
      <c r="C44" s="144"/>
      <c r="D44" s="144"/>
      <c r="E44" s="150">
        <f>E25*E42</f>
        <v>845000</v>
      </c>
      <c r="F44" s="150">
        <f t="shared" ref="F44:P44" si="25">F25*F42</f>
        <v>845000</v>
      </c>
      <c r="G44" s="150">
        <f t="shared" si="25"/>
        <v>845000</v>
      </c>
      <c r="H44" s="150">
        <f t="shared" si="25"/>
        <v>845000</v>
      </c>
      <c r="I44" s="150">
        <f t="shared" si="25"/>
        <v>845000</v>
      </c>
      <c r="J44" s="150">
        <f t="shared" si="25"/>
        <v>845000</v>
      </c>
      <c r="K44" s="150">
        <f t="shared" si="25"/>
        <v>845000</v>
      </c>
      <c r="L44" s="150">
        <f t="shared" si="25"/>
        <v>845000</v>
      </c>
      <c r="M44" s="150">
        <f t="shared" si="25"/>
        <v>845000</v>
      </c>
      <c r="N44" s="150">
        <f t="shared" si="25"/>
        <v>845000</v>
      </c>
      <c r="O44" s="150">
        <f t="shared" si="25"/>
        <v>845000</v>
      </c>
      <c r="P44" s="150">
        <f t="shared" si="25"/>
        <v>845000</v>
      </c>
      <c r="R44" s="150">
        <f>SUM(E44:P44)</f>
        <v>10140000</v>
      </c>
    </row>
    <row r="45" spans="1:19" ht="15.75" thickBot="1" x14ac:dyDescent="0.3"/>
    <row r="46" spans="1:19" x14ac:dyDescent="0.25">
      <c r="A46" s="245" t="s">
        <v>1090</v>
      </c>
      <c r="B46" s="246"/>
      <c r="C46" s="246"/>
      <c r="D46" s="246"/>
      <c r="E46" s="269">
        <f>SUMIFS('[18]Summary - Selling Expenses'!Z:Z,'[18]Summary - Selling Expenses'!$E:$E,1,'[18]Summary - Selling Expenses'!$C:$C,122)</f>
        <v>9276.070580448355</v>
      </c>
      <c r="F46" s="269">
        <f>SUMIFS('[18]Summary - Selling Expenses'!AA:AA,'[18]Summary - Selling Expenses'!$E:$E,1,'[18]Summary - Selling Expenses'!$C:$C,122)</f>
        <v>9276.070580448355</v>
      </c>
      <c r="G46" s="269">
        <f>SUMIFS('[18]Summary - Selling Expenses'!AB:AB,'[18]Summary - Selling Expenses'!$E:$E,1,'[18]Summary - Selling Expenses'!$C:$C,122)</f>
        <v>9340.3305804483552</v>
      </c>
      <c r="H46" s="269">
        <f>SUMIFS('[18]Summary - Selling Expenses'!AC:AC,'[18]Summary - Selling Expenses'!$E:$E,1,'[18]Summary - Selling Expenses'!$C:$C,122)</f>
        <v>9276.070580448355</v>
      </c>
      <c r="I46" s="269">
        <f>SUMIFS('[18]Summary - Selling Expenses'!AD:AD,'[18]Summary - Selling Expenses'!$E:$E,1,'[18]Summary - Selling Expenses'!$C:$C,122)</f>
        <v>9276.070580448355</v>
      </c>
      <c r="J46" s="269">
        <f>SUMIFS('[18]Summary - Selling Expenses'!AE:AE,'[18]Summary - Selling Expenses'!$E:$E,1,'[18]Summary - Selling Expenses'!$C:$C,122)</f>
        <v>9340.3305804483552</v>
      </c>
      <c r="K46" s="269">
        <f>SUMIFS('[18]Summary - Selling Expenses'!AF:AF,'[18]Summary - Selling Expenses'!$E:$E,1,'[18]Summary - Selling Expenses'!$C:$C,122)</f>
        <v>9276.070580448355</v>
      </c>
      <c r="L46" s="269">
        <f>SUMIFS('[18]Summary - Selling Expenses'!AG:AG,'[18]Summary - Selling Expenses'!$E:$E,1,'[18]Summary - Selling Expenses'!$C:$C,122)</f>
        <v>9276.070580448355</v>
      </c>
      <c r="M46" s="269">
        <f>SUMIFS('[18]Summary - Selling Expenses'!AH:AH,'[18]Summary - Selling Expenses'!$E:$E,1,'[18]Summary - Selling Expenses'!$C:$C,122)</f>
        <v>9340.3305804483552</v>
      </c>
      <c r="N46" s="269">
        <f>SUMIFS('[18]Summary - Selling Expenses'!AI:AI,'[18]Summary - Selling Expenses'!$E:$E,1,'[18]Summary - Selling Expenses'!$C:$C,122)</f>
        <v>9276.070580448355</v>
      </c>
      <c r="O46" s="269">
        <f>SUMIFS('[18]Summary - Selling Expenses'!AJ:AJ,'[18]Summary - Selling Expenses'!$E:$E,1,'[18]Summary - Selling Expenses'!$C:$C,122)</f>
        <v>9276.070580448355</v>
      </c>
      <c r="P46" s="269">
        <f>SUMIFS('[18]Summary - Selling Expenses'!AK:AK,'[18]Summary - Selling Expenses'!$E:$E,1,'[18]Summary - Selling Expenses'!$C:$C,122)</f>
        <v>9339.5655804483558</v>
      </c>
      <c r="Q46" s="246"/>
      <c r="R46" s="266">
        <f>SUM(E46:P46)</f>
        <v>111569.12196538027</v>
      </c>
    </row>
    <row r="47" spans="1:19" x14ac:dyDescent="0.25">
      <c r="A47" s="106" t="s">
        <v>1091</v>
      </c>
      <c r="E47" s="270">
        <f>SUMIFS('[18]Summary - Selling Expenses'!Z:Z,'[18]Summary - Selling Expenses'!$E:$E,2,'[18]Summary - Selling Expenses'!$C:$C,122)</f>
        <v>16661.69749032268</v>
      </c>
      <c r="F47" s="270">
        <f>SUMIFS('[18]Summary - Selling Expenses'!AA:AA,'[18]Summary - Selling Expenses'!$E:$E,2,'[18]Summary - Selling Expenses'!$C:$C,122)</f>
        <v>16661.69749032268</v>
      </c>
      <c r="G47" s="270">
        <f>SUMIFS('[18]Summary - Selling Expenses'!AB:AB,'[18]Summary - Selling Expenses'!$E:$E,2,'[18]Summary - Selling Expenses'!$C:$C,122)</f>
        <v>16661.69749032268</v>
      </c>
      <c r="H47" s="270">
        <f>SUMIFS('[18]Summary - Selling Expenses'!AC:AC,'[18]Summary - Selling Expenses'!$E:$E,2,'[18]Summary - Selling Expenses'!$C:$C,122)</f>
        <v>16661.69749032268</v>
      </c>
      <c r="I47" s="270">
        <f>SUMIFS('[18]Summary - Selling Expenses'!AD:AD,'[18]Summary - Selling Expenses'!$E:$E,2,'[18]Summary - Selling Expenses'!$C:$C,122)</f>
        <v>16661.69749032268</v>
      </c>
      <c r="J47" s="270">
        <f>SUMIFS('[18]Summary - Selling Expenses'!AE:AE,'[18]Summary - Selling Expenses'!$E:$E,2,'[18]Summary - Selling Expenses'!$C:$C,122)</f>
        <v>16661.69749032268</v>
      </c>
      <c r="K47" s="270">
        <f>SUMIFS('[18]Summary - Selling Expenses'!AF:AF,'[18]Summary - Selling Expenses'!$E:$E,2,'[18]Summary - Selling Expenses'!$C:$C,122)</f>
        <v>16661.69749032268</v>
      </c>
      <c r="L47" s="270">
        <f>SUMIFS('[18]Summary - Selling Expenses'!AG:AG,'[18]Summary - Selling Expenses'!$E:$E,2,'[18]Summary - Selling Expenses'!$C:$C,122)</f>
        <v>16661.69749032268</v>
      </c>
      <c r="M47" s="270">
        <f>SUMIFS('[18]Summary - Selling Expenses'!AH:AH,'[18]Summary - Selling Expenses'!$E:$E,2,'[18]Summary - Selling Expenses'!$C:$C,122)</f>
        <v>16661.69749032268</v>
      </c>
      <c r="N47" s="270">
        <f>SUMIFS('[18]Summary - Selling Expenses'!AI:AI,'[18]Summary - Selling Expenses'!$E:$E,2,'[18]Summary - Selling Expenses'!$C:$C,122)</f>
        <v>16661.69749032268</v>
      </c>
      <c r="O47" s="270">
        <f>SUMIFS('[18]Summary - Selling Expenses'!AJ:AJ,'[18]Summary - Selling Expenses'!$E:$E,2,'[18]Summary - Selling Expenses'!$C:$C,122)</f>
        <v>16661.69749032268</v>
      </c>
      <c r="P47" s="270">
        <f>SUMIFS('[18]Summary - Selling Expenses'!AK:AK,'[18]Summary - Selling Expenses'!$E:$E,2,'[18]Summary - Selling Expenses'!$C:$C,122)</f>
        <v>16661.69749032268</v>
      </c>
      <c r="R47" s="267">
        <f t="shared" ref="R47:R48" si="26">SUM(E47:P47)</f>
        <v>199940.36988387222</v>
      </c>
    </row>
    <row r="48" spans="1:19" x14ac:dyDescent="0.25">
      <c r="A48" s="106" t="s">
        <v>1092</v>
      </c>
      <c r="E48" s="7">
        <f>E47+E46</f>
        <v>25937.768070771035</v>
      </c>
      <c r="F48" s="7">
        <f t="shared" ref="F48:P48" si="27">F47+F46</f>
        <v>25937.768070771035</v>
      </c>
      <c r="G48" s="7">
        <f t="shared" si="27"/>
        <v>26002.028070771034</v>
      </c>
      <c r="H48" s="7">
        <f t="shared" si="27"/>
        <v>25937.768070771035</v>
      </c>
      <c r="I48" s="7">
        <f t="shared" si="27"/>
        <v>25937.768070771035</v>
      </c>
      <c r="J48" s="7">
        <f t="shared" si="27"/>
        <v>26002.028070771034</v>
      </c>
      <c r="K48" s="7">
        <f t="shared" si="27"/>
        <v>25937.768070771035</v>
      </c>
      <c r="L48" s="7">
        <f t="shared" si="27"/>
        <v>25937.768070771035</v>
      </c>
      <c r="M48" s="7">
        <f t="shared" si="27"/>
        <v>26002.028070771034</v>
      </c>
      <c r="N48" s="7">
        <f t="shared" si="27"/>
        <v>25937.768070771035</v>
      </c>
      <c r="O48" s="7">
        <f t="shared" si="27"/>
        <v>25937.768070771035</v>
      </c>
      <c r="P48" s="7">
        <f t="shared" si="27"/>
        <v>26001.263070771034</v>
      </c>
      <c r="R48" s="267">
        <f t="shared" si="26"/>
        <v>311509.49184925237</v>
      </c>
    </row>
    <row r="49" spans="1:19" ht="15.75" thickBot="1" x14ac:dyDescent="0.3">
      <c r="A49" s="261"/>
      <c r="B49" s="251"/>
      <c r="C49" s="251"/>
      <c r="D49" s="251"/>
      <c r="E49" s="251"/>
      <c r="F49" s="251"/>
      <c r="G49" s="251"/>
      <c r="H49" s="251"/>
      <c r="I49" s="251"/>
      <c r="J49" s="251"/>
      <c r="K49" s="251"/>
      <c r="L49" s="251"/>
      <c r="M49" s="251"/>
      <c r="N49" s="251"/>
      <c r="O49" s="251"/>
      <c r="P49" s="251"/>
      <c r="Q49" s="251"/>
      <c r="R49" s="255">
        <f>R48-SUMIFS('[18]Summary - Selling Expenses'!$AL:$AL,'[18]Summary - Selling Expenses'!$D:$D,'[18]Summary - Selling Expenses'!$D$9,'[18]Summary - Selling Expenses'!$C:$C,122)</f>
        <v>0</v>
      </c>
      <c r="S49" s="34" t="s">
        <v>1093</v>
      </c>
    </row>
  </sheetData>
  <pageMargins left="0.7" right="0.7" top="0.75" bottom="0.75" header="0.3" footer="0.3"/>
  <pageSetup paperSize="9" orientation="portrait" verticalDpi="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FE120-1B49-4C3B-9F8F-48C572467074}">
  <sheetPr codeName="Sheet27">
    <tabColor theme="9" tint="0.79998168889431442"/>
  </sheetPr>
  <dimension ref="A1:V34"/>
  <sheetViews>
    <sheetView workbookViewId="0">
      <selection activeCell="N14" sqref="N14:P14"/>
    </sheetView>
  </sheetViews>
  <sheetFormatPr defaultRowHeight="15" x14ac:dyDescent="0.25"/>
  <cols>
    <col min="1" max="1" width="26.85546875" bestFit="1" customWidth="1"/>
    <col min="2" max="3" width="10.7109375" hidden="1" customWidth="1"/>
    <col min="4" max="4" width="11.5703125" hidden="1" customWidth="1"/>
    <col min="5" max="6" width="10.7109375" customWidth="1"/>
    <col min="7" max="7" width="11.5703125" bestFit="1" customWidth="1"/>
    <col min="8" max="9" width="10.7109375" customWidth="1"/>
    <col min="10" max="10" width="11.5703125" bestFit="1" customWidth="1"/>
    <col min="11" max="16" width="10.7109375" customWidth="1"/>
    <col min="17" max="17" width="2.85546875" customWidth="1"/>
    <col min="18" max="18" width="12.85546875" customWidth="1"/>
    <col min="19" max="19" width="12.140625" bestFit="1" customWidth="1"/>
  </cols>
  <sheetData>
    <row r="1" spans="1:22" ht="15.75" x14ac:dyDescent="0.25">
      <c r="A1" s="11" t="s">
        <v>1160</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2" x14ac:dyDescent="0.25">
      <c r="A3" s="4"/>
      <c r="B3" s="5"/>
      <c r="C3" s="5"/>
      <c r="D3" s="5"/>
      <c r="E3" s="5"/>
      <c r="F3" s="5"/>
      <c r="G3" s="5"/>
      <c r="H3" s="5"/>
      <c r="I3" s="5"/>
      <c r="J3" s="5"/>
      <c r="K3" s="5"/>
      <c r="L3" s="5"/>
      <c r="M3" s="5"/>
      <c r="N3" s="5"/>
      <c r="O3" s="5"/>
      <c r="P3" s="5"/>
      <c r="Q3" s="5"/>
      <c r="R3" s="5"/>
    </row>
    <row r="4" spans="1:22" x14ac:dyDescent="0.25">
      <c r="A4" t="s">
        <v>1161</v>
      </c>
      <c r="B4" s="2">
        <f>'LEX - Used Vehicles'!B4+'LEX - New Vehicles'!B4</f>
        <v>12</v>
      </c>
      <c r="C4" s="2">
        <f>'LEX - Used Vehicles'!C4+'LEX - New Vehicles'!C4</f>
        <v>12</v>
      </c>
      <c r="D4" s="2">
        <f>'LEX - Used Vehicles'!D4+'LEX - New Vehicles'!D4</f>
        <v>37</v>
      </c>
      <c r="E4" s="2">
        <f>'LEX - Used Vehicles'!E4+'LEX - New Vehicles'!E4</f>
        <v>35</v>
      </c>
      <c r="F4" s="2">
        <f>'LEX - Used Vehicles'!F4+'LEX - New Vehicles'!F4</f>
        <v>44</v>
      </c>
      <c r="G4" s="2">
        <f>'LEX - Used Vehicles'!G4+'LEX - New Vehicles'!G4</f>
        <v>38</v>
      </c>
      <c r="H4" s="2">
        <f>'LEX - Used Vehicles'!H4+'LEX - New Vehicles'!H4</f>
        <v>34</v>
      </c>
      <c r="I4" s="2">
        <f>'LEX - Used Vehicles'!I4+'LEX - New Vehicles'!I4</f>
        <v>43</v>
      </c>
      <c r="J4" s="2">
        <f>'LEX - Used Vehicles'!J4+'LEX - New Vehicles'!J4</f>
        <v>43</v>
      </c>
      <c r="K4" s="2">
        <f>'LEX - Used Vehicles'!K4+'LEX - New Vehicles'!K4</f>
        <v>43</v>
      </c>
      <c r="L4" s="2">
        <f>'LEX - Used Vehicles'!L4+'LEX - New Vehicles'!L4</f>
        <v>41</v>
      </c>
      <c r="M4" s="2">
        <f>'LEX - Used Vehicles'!M4+'LEX - New Vehicles'!M4</f>
        <v>29</v>
      </c>
      <c r="N4" s="2">
        <f>'LEX - Used Vehicles'!N4+'LEX - New Vehicles'!N4</f>
        <v>27</v>
      </c>
      <c r="O4" s="2">
        <f>'LEX - Used Vehicles'!O4+'LEX - New Vehicles'!O4</f>
        <v>38</v>
      </c>
      <c r="P4" s="2">
        <f>'LEX - Used Vehicles'!P4+'LEX - New Vehicles'!P4</f>
        <v>32</v>
      </c>
      <c r="Q4" s="2"/>
      <c r="R4" s="2">
        <f>SUM(E4:P4)</f>
        <v>447</v>
      </c>
      <c r="S4" s="2"/>
      <c r="T4" s="8"/>
      <c r="U4" s="2"/>
      <c r="V4" s="2"/>
    </row>
    <row r="5" spans="1:22" x14ac:dyDescent="0.25">
      <c r="B5" s="2"/>
      <c r="C5" s="2"/>
      <c r="D5" s="2"/>
      <c r="E5" s="2"/>
      <c r="F5" s="2"/>
      <c r="G5" s="2"/>
      <c r="H5" s="2"/>
      <c r="I5" s="2"/>
      <c r="J5" s="2"/>
      <c r="K5" s="2"/>
      <c r="L5" s="2"/>
      <c r="M5" s="2"/>
      <c r="N5" s="2"/>
      <c r="O5" s="2"/>
      <c r="P5" s="2"/>
      <c r="Q5" s="2"/>
      <c r="R5" s="2"/>
      <c r="S5" s="2"/>
      <c r="T5" s="1"/>
      <c r="U5" s="2"/>
      <c r="V5" s="2"/>
    </row>
    <row r="6" spans="1:22" s="7" customFormat="1" x14ac:dyDescent="0.25">
      <c r="A6" s="7" t="s">
        <v>1162</v>
      </c>
      <c r="B6" s="6">
        <f t="shared" ref="B6:N6" si="0">B8-B7</f>
        <v>-134.61500000000001</v>
      </c>
      <c r="C6" s="6">
        <f t="shared" si="0"/>
        <v>1211.1724999999999</v>
      </c>
      <c r="D6" s="6">
        <f t="shared" si="0"/>
        <v>378.94486486486488</v>
      </c>
      <c r="E6" s="6">
        <f t="shared" si="0"/>
        <v>1056.2065714285714</v>
      </c>
      <c r="F6" s="6">
        <f t="shared" si="0"/>
        <v>1327.0152272727273</v>
      </c>
      <c r="G6" s="6">
        <f t="shared" si="0"/>
        <v>730.86684210526334</v>
      </c>
      <c r="H6" s="6">
        <f t="shared" si="0"/>
        <v>804.38499999999999</v>
      </c>
      <c r="I6" s="6">
        <f t="shared" si="0"/>
        <v>957.81534883720929</v>
      </c>
      <c r="J6" s="6">
        <f t="shared" si="0"/>
        <v>450.3123255813955</v>
      </c>
      <c r="K6" s="6">
        <f>K8-K7</f>
        <v>1128.1669767441861</v>
      </c>
      <c r="L6" s="6">
        <f t="shared" si="0"/>
        <v>605.8356097560976</v>
      </c>
      <c r="M6" s="6">
        <f t="shared" si="0"/>
        <v>699.63999999999987</v>
      </c>
      <c r="N6" s="6">
        <f t="shared" si="0"/>
        <v>1010.6844444444445</v>
      </c>
      <c r="O6" s="6">
        <f t="shared" ref="O6" si="1">O8-O7</f>
        <v>573.98736842105268</v>
      </c>
      <c r="P6" s="6">
        <f>P8-P7</f>
        <v>1020.3674999999999</v>
      </c>
      <c r="Q6" s="6"/>
      <c r="R6" s="6">
        <f>AVERAGE(E6:P6)</f>
        <v>863.77360121591221</v>
      </c>
      <c r="S6" s="6"/>
      <c r="T6" s="3"/>
      <c r="U6" s="6">
        <f>(N9*N4+O9*O4+P9*P4)/(N4+O4+P4)</f>
        <v>463.83505154639175</v>
      </c>
      <c r="V6" s="6"/>
    </row>
    <row r="7" spans="1:22" s="7" customFormat="1" x14ac:dyDescent="0.25">
      <c r="A7" s="7" t="s">
        <v>1070</v>
      </c>
      <c r="B7" s="6">
        <f>'[3]LEX F&amp;I'!$B$11</f>
        <v>0</v>
      </c>
      <c r="C7" s="6">
        <f>'[4]LEX F&amp;I'!$B$11</f>
        <v>106.3625</v>
      </c>
      <c r="D7" s="6">
        <f>'[5]LEX F&amp;I'!$B$11</f>
        <v>376.02810810810814</v>
      </c>
      <c r="E7" s="6">
        <f>'[6]LEX F&amp;I'!$B$11</f>
        <v>0</v>
      </c>
      <c r="F7" s="6">
        <f>'[7]LEX F&amp;I'!$B$11</f>
        <v>0</v>
      </c>
      <c r="G7" s="6">
        <f>'[8]LEX F&amp;I'!$B$11</f>
        <v>926.77342105263153</v>
      </c>
      <c r="H7" s="6">
        <f>'[9]LEX F&amp;I'!$B$11</f>
        <v>0</v>
      </c>
      <c r="I7" s="6">
        <f>'[10]LEX F&amp;I'!$B$11</f>
        <v>0</v>
      </c>
      <c r="J7" s="6">
        <f>'[11]LEX F&amp;I'!$B$11</f>
        <v>763.39744186046505</v>
      </c>
      <c r="K7" s="6">
        <f>'[12]LEX F&amp;I'!$B$11</f>
        <v>0</v>
      </c>
      <c r="L7" s="6">
        <f>'[13]LEX F&amp;I'!$B$11</f>
        <v>0</v>
      </c>
      <c r="M7" s="6">
        <f>'[14]LEX F&amp;I'!$B$11</f>
        <v>847.07655172413797</v>
      </c>
      <c r="N7" s="6">
        <f>'[15]LEX F&amp;I'!$B$12</f>
        <v>0</v>
      </c>
      <c r="O7" s="6">
        <f>'[16]LEX F&amp;I'!$B$12</f>
        <v>0</v>
      </c>
      <c r="P7" s="6">
        <f>'[17]LEX F&amp;I'!$B$11</f>
        <v>896.739375</v>
      </c>
      <c r="Q7" s="6"/>
      <c r="R7" s="6">
        <f>AVERAGE(E7:P7)</f>
        <v>286.16556580310288</v>
      </c>
      <c r="S7" s="6"/>
      <c r="T7" s="3"/>
      <c r="U7" s="6"/>
      <c r="V7" s="6"/>
    </row>
    <row r="8" spans="1:22" s="7" customFormat="1" x14ac:dyDescent="0.25">
      <c r="A8" s="7" t="s">
        <v>1163</v>
      </c>
      <c r="B8" s="6">
        <f>'[3]LEX F&amp;I'!$B$13</f>
        <v>-134.61500000000001</v>
      </c>
      <c r="C8" s="6">
        <f>'[4]LEX F&amp;I'!$B$13</f>
        <v>1317.5349999999999</v>
      </c>
      <c r="D8" s="6">
        <f>'[5]LEX F&amp;I'!$B$13</f>
        <v>754.97297297297303</v>
      </c>
      <c r="E8" s="6">
        <f>'[6]LEX F&amp;I'!$B$13</f>
        <v>1056.2065714285714</v>
      </c>
      <c r="F8" s="6">
        <f>'[7]LEX F&amp;I'!$B$13</f>
        <v>1327.0152272727273</v>
      </c>
      <c r="G8" s="6">
        <f>'[8]LEX F&amp;I'!$B$13</f>
        <v>1657.6402631578949</v>
      </c>
      <c r="H8" s="6">
        <f>'[9]LEX F&amp;I'!$B$13</f>
        <v>804.38499999999999</v>
      </c>
      <c r="I8" s="6">
        <f>'[10]LEX F&amp;I'!$B$13</f>
        <v>957.81534883720929</v>
      </c>
      <c r="J8" s="6">
        <f>'[11]LEX F&amp;I'!$B$13</f>
        <v>1213.7097674418605</v>
      </c>
      <c r="K8" s="6">
        <f>'[12]LEX F&amp;I'!$B$13</f>
        <v>1128.1669767441861</v>
      </c>
      <c r="L8" s="6">
        <f>'[13]LEX F&amp;I'!$B$13</f>
        <v>605.8356097560976</v>
      </c>
      <c r="M8" s="6">
        <f>'[14]LEX F&amp;I'!$B$13</f>
        <v>1546.7165517241378</v>
      </c>
      <c r="N8" s="6">
        <f>'[15]LEX F&amp;I'!$B$13</f>
        <v>1010.6844444444445</v>
      </c>
      <c r="O8" s="6">
        <f>'[16]LEX F&amp;I'!$B$13</f>
        <v>573.98736842105268</v>
      </c>
      <c r="P8" s="6">
        <f>'[17]LEX F&amp;I'!$B$13</f>
        <v>1917.1068749999999</v>
      </c>
      <c r="Q8" s="6"/>
      <c r="R8" s="6">
        <f>AVERAGE(E8:P8)</f>
        <v>1149.939167019015</v>
      </c>
      <c r="S8" s="6"/>
      <c r="T8" s="3"/>
      <c r="U8" s="6"/>
      <c r="V8" s="6"/>
    </row>
    <row r="9" spans="1:22" s="7" customFormat="1" x14ac:dyDescent="0.25">
      <c r="A9" s="7" t="s">
        <v>1164</v>
      </c>
      <c r="B9" s="6">
        <f>'[3]LEX F&amp;I'!$B$17</f>
        <v>882.33333333333337</v>
      </c>
      <c r="C9" s="6">
        <f>'[4]LEX F&amp;I'!$B$17</f>
        <v>882.33333333333337</v>
      </c>
      <c r="D9" s="6">
        <f>'[5]LEX F&amp;I'!$B$17</f>
        <v>286.16216216216219</v>
      </c>
      <c r="E9" s="6">
        <f>'[6]LEX F&amp;I'!$B$17</f>
        <v>417.85714285714283</v>
      </c>
      <c r="F9" s="6">
        <f>'[7]LEX F&amp;I'!$B$17</f>
        <v>332.38636363636363</v>
      </c>
      <c r="G9" s="6">
        <f>'[8]LEX F&amp;I'!$B$17</f>
        <v>517.02631578947364</v>
      </c>
      <c r="H9" s="6">
        <f>'[9]LEX F&amp;I'!$B$17</f>
        <v>287.94117647058823</v>
      </c>
      <c r="I9" s="6">
        <f>'[10]LEX F&amp;I'!$B$17</f>
        <v>172.62790697674419</v>
      </c>
      <c r="J9" s="6">
        <f>'[11]LEX F&amp;I'!$B$17</f>
        <v>361.37209302325579</v>
      </c>
      <c r="K9" s="6">
        <f>'[12]LEX F&amp;I'!$B$17</f>
        <v>437.6511627906977</v>
      </c>
      <c r="L9" s="6">
        <f>'[13]LEX F&amp;I'!$B$17</f>
        <v>553.19512195121956</v>
      </c>
      <c r="M9" s="6">
        <f>'[14]LEX F&amp;I'!$B$17</f>
        <v>505.79310344827587</v>
      </c>
      <c r="N9" s="6">
        <f>'[15]LEX F&amp;I'!$B$17</f>
        <v>655.81481481481478</v>
      </c>
      <c r="O9" s="6">
        <f>'[16]LEX F&amp;I'!$B$17</f>
        <v>366.05263157894734</v>
      </c>
      <c r="P9" s="6">
        <f>'[17]LEX F&amp;I'!$B$17</f>
        <v>417.96875</v>
      </c>
      <c r="Q9" s="6"/>
      <c r="R9" s="6">
        <f>AVERAGE(E9:P9)</f>
        <v>418.80721527812699</v>
      </c>
      <c r="S9" s="6"/>
      <c r="T9" s="1"/>
      <c r="U9" s="6"/>
      <c r="V9" s="6"/>
    </row>
    <row r="10" spans="1:22" s="7" customFormat="1" x14ac:dyDescent="0.25">
      <c r="A10" s="7" t="s">
        <v>1074</v>
      </c>
      <c r="B10" s="6">
        <f t="shared" ref="B10:N10" si="2">B8-B9</f>
        <v>-1016.9483333333334</v>
      </c>
      <c r="C10" s="6">
        <f t="shared" si="2"/>
        <v>435.20166666666648</v>
      </c>
      <c r="D10" s="6">
        <f t="shared" si="2"/>
        <v>468.81081081081084</v>
      </c>
      <c r="E10" s="6">
        <f t="shared" si="2"/>
        <v>638.34942857142846</v>
      </c>
      <c r="F10" s="6">
        <f t="shared" si="2"/>
        <v>994.62886363636369</v>
      </c>
      <c r="G10" s="6">
        <f t="shared" si="2"/>
        <v>1140.6139473684211</v>
      </c>
      <c r="H10" s="6">
        <f t="shared" si="2"/>
        <v>516.4438235294117</v>
      </c>
      <c r="I10" s="6">
        <f t="shared" si="2"/>
        <v>785.18744186046513</v>
      </c>
      <c r="J10" s="6">
        <f t="shared" si="2"/>
        <v>852.33767441860482</v>
      </c>
      <c r="K10" s="6">
        <f t="shared" si="2"/>
        <v>690.5158139534883</v>
      </c>
      <c r="L10" s="6">
        <f t="shared" si="2"/>
        <v>52.640487804878035</v>
      </c>
      <c r="M10" s="6">
        <f t="shared" si="2"/>
        <v>1040.923448275862</v>
      </c>
      <c r="N10" s="6">
        <f t="shared" si="2"/>
        <v>354.86962962962969</v>
      </c>
      <c r="O10" s="6">
        <f t="shared" ref="O10" si="3">O8-O9</f>
        <v>207.93473684210534</v>
      </c>
      <c r="P10" s="6">
        <f>P8-P9</f>
        <v>1499.1381249999999</v>
      </c>
      <c r="Q10" s="6"/>
      <c r="R10" s="6">
        <f>AVERAGE(E10:P10)</f>
        <v>731.13195174088821</v>
      </c>
      <c r="S10" s="6"/>
      <c r="T10" s="1"/>
      <c r="U10" s="6"/>
      <c r="V10" s="6"/>
    </row>
    <row r="11" spans="1:22" s="7" customFormat="1" x14ac:dyDescent="0.25">
      <c r="B11" s="6"/>
      <c r="C11" s="6"/>
      <c r="D11" s="6"/>
      <c r="E11" s="6"/>
      <c r="F11" s="6"/>
      <c r="G11" s="6"/>
      <c r="H11" s="6"/>
      <c r="I11" s="6"/>
      <c r="J11" s="6"/>
      <c r="K11" s="6"/>
      <c r="L11" s="6"/>
      <c r="M11" s="6"/>
      <c r="N11" s="6"/>
      <c r="O11" s="6"/>
      <c r="P11" s="6"/>
      <c r="Q11" s="6"/>
      <c r="R11" s="6"/>
      <c r="S11" s="6"/>
      <c r="T11"/>
      <c r="U11" s="6"/>
      <c r="V11" s="6"/>
    </row>
    <row r="12" spans="1:22" x14ac:dyDescent="0.25">
      <c r="A12" s="7" t="s">
        <v>1165</v>
      </c>
      <c r="B12" s="6">
        <f t="shared" ref="B12:N12" si="4">B4*B8</f>
        <v>-1615.38</v>
      </c>
      <c r="C12" s="6">
        <f t="shared" si="4"/>
        <v>15810.419999999998</v>
      </c>
      <c r="D12" s="6">
        <f t="shared" si="4"/>
        <v>27934.000000000004</v>
      </c>
      <c r="E12" s="6">
        <f t="shared" si="4"/>
        <v>36967.229999999996</v>
      </c>
      <c r="F12" s="6">
        <f t="shared" si="4"/>
        <v>58388.67</v>
      </c>
      <c r="G12" s="6">
        <f t="shared" si="4"/>
        <v>62990.33</v>
      </c>
      <c r="H12" s="6">
        <f t="shared" si="4"/>
        <v>27349.09</v>
      </c>
      <c r="I12" s="6">
        <f t="shared" si="4"/>
        <v>41186.06</v>
      </c>
      <c r="J12" s="6">
        <f t="shared" si="4"/>
        <v>52189.520000000004</v>
      </c>
      <c r="K12" s="6">
        <f t="shared" si="4"/>
        <v>48511.18</v>
      </c>
      <c r="L12" s="6">
        <f t="shared" si="4"/>
        <v>24839.260000000002</v>
      </c>
      <c r="M12" s="6">
        <f t="shared" si="4"/>
        <v>44854.78</v>
      </c>
      <c r="N12" s="6">
        <f t="shared" si="4"/>
        <v>27288.48</v>
      </c>
      <c r="O12" s="6">
        <f t="shared" ref="O12" si="5">O4*O8</f>
        <v>21811.52</v>
      </c>
      <c r="P12" s="6">
        <f>P4*P8</f>
        <v>61347.42</v>
      </c>
      <c r="R12" s="6">
        <f>SUM(E12:P12)</f>
        <v>507723.54</v>
      </c>
      <c r="T12" s="7"/>
    </row>
    <row r="13" spans="1:22" x14ac:dyDescent="0.25">
      <c r="A13" s="7" t="s">
        <v>1076</v>
      </c>
      <c r="B13" s="6">
        <f t="shared" ref="B13:N13" si="6">B9*B4</f>
        <v>10588</v>
      </c>
      <c r="C13" s="6">
        <f t="shared" si="6"/>
        <v>10588</v>
      </c>
      <c r="D13" s="6">
        <f t="shared" si="6"/>
        <v>10588.000000000002</v>
      </c>
      <c r="E13" s="6">
        <f t="shared" si="6"/>
        <v>14625</v>
      </c>
      <c r="F13" s="6">
        <f t="shared" si="6"/>
        <v>14625</v>
      </c>
      <c r="G13" s="6">
        <f t="shared" si="6"/>
        <v>19647</v>
      </c>
      <c r="H13" s="6">
        <f t="shared" si="6"/>
        <v>9790</v>
      </c>
      <c r="I13" s="6">
        <f t="shared" si="6"/>
        <v>7423</v>
      </c>
      <c r="J13" s="6">
        <f t="shared" si="6"/>
        <v>15538.999999999998</v>
      </c>
      <c r="K13" s="6">
        <f t="shared" si="6"/>
        <v>18819</v>
      </c>
      <c r="L13" s="6">
        <f t="shared" si="6"/>
        <v>22681.000000000004</v>
      </c>
      <c r="M13" s="6">
        <f t="shared" si="6"/>
        <v>14668</v>
      </c>
      <c r="N13" s="6">
        <f t="shared" si="6"/>
        <v>17707</v>
      </c>
      <c r="O13" s="6">
        <f t="shared" ref="O13" si="7">O9*O4</f>
        <v>13909.999999999998</v>
      </c>
      <c r="P13" s="6">
        <f>P9*P4</f>
        <v>13375</v>
      </c>
      <c r="R13" s="6">
        <f>SUM(E13:P13)</f>
        <v>182809</v>
      </c>
      <c r="T13" s="7">
        <f>AVERAGE(K13:M13)</f>
        <v>18722.666666666668</v>
      </c>
    </row>
    <row r="14" spans="1:22" ht="15.75" thickBot="1" x14ac:dyDescent="0.3">
      <c r="A14" s="9" t="s">
        <v>1078</v>
      </c>
      <c r="B14" s="10">
        <f t="shared" ref="B14:P14" si="8">B12-B13</f>
        <v>-12203.380000000001</v>
      </c>
      <c r="C14" s="10">
        <f t="shared" si="8"/>
        <v>5222.4199999999983</v>
      </c>
      <c r="D14" s="10">
        <f t="shared" si="8"/>
        <v>17346</v>
      </c>
      <c r="E14" s="10">
        <f t="shared" si="8"/>
        <v>22342.229999999996</v>
      </c>
      <c r="F14" s="10">
        <f t="shared" si="8"/>
        <v>43763.67</v>
      </c>
      <c r="G14" s="10">
        <f t="shared" si="8"/>
        <v>43343.33</v>
      </c>
      <c r="H14" s="10">
        <f t="shared" si="8"/>
        <v>17559.09</v>
      </c>
      <c r="I14" s="10">
        <f t="shared" si="8"/>
        <v>33763.06</v>
      </c>
      <c r="J14" s="10">
        <f t="shared" si="8"/>
        <v>36650.520000000004</v>
      </c>
      <c r="K14" s="10">
        <f t="shared" si="8"/>
        <v>29692.18</v>
      </c>
      <c r="L14" s="10">
        <f t="shared" si="8"/>
        <v>2158.2599999999984</v>
      </c>
      <c r="M14" s="10">
        <f t="shared" si="8"/>
        <v>30186.78</v>
      </c>
      <c r="N14" s="10">
        <f t="shared" si="8"/>
        <v>9581.48</v>
      </c>
      <c r="O14" s="10">
        <f t="shared" ref="O14" si="9">O12-O13</f>
        <v>7901.5200000000023</v>
      </c>
      <c r="P14" s="10">
        <f t="shared" si="8"/>
        <v>47972.42</v>
      </c>
      <c r="R14" s="10">
        <f>R12-R13</f>
        <v>324914.53999999998</v>
      </c>
    </row>
    <row r="15" spans="1:22" ht="15.75" thickTop="1" x14ac:dyDescent="0.25">
      <c r="E15" s="275">
        <f t="shared" ref="E15:O15" si="10">E4*E6</f>
        <v>36967.229999999996</v>
      </c>
      <c r="F15" s="275">
        <f t="shared" si="10"/>
        <v>58388.67</v>
      </c>
      <c r="G15" s="275">
        <f t="shared" si="10"/>
        <v>27772.940000000006</v>
      </c>
      <c r="H15" s="275">
        <f t="shared" si="10"/>
        <v>27349.09</v>
      </c>
      <c r="I15" s="275">
        <f t="shared" si="10"/>
        <v>41186.06</v>
      </c>
      <c r="J15" s="275">
        <f t="shared" si="10"/>
        <v>19363.430000000008</v>
      </c>
      <c r="K15" s="275">
        <f t="shared" si="10"/>
        <v>48511.18</v>
      </c>
      <c r="L15" s="275">
        <f t="shared" si="10"/>
        <v>24839.260000000002</v>
      </c>
      <c r="M15" s="275">
        <f t="shared" si="10"/>
        <v>20289.559999999998</v>
      </c>
      <c r="N15" s="275">
        <f t="shared" si="10"/>
        <v>27288.48</v>
      </c>
      <c r="O15" s="275">
        <f t="shared" si="10"/>
        <v>21811.52</v>
      </c>
      <c r="P15" s="275">
        <f>SUM(E15:O15)</f>
        <v>353767.42</v>
      </c>
    </row>
    <row r="16" spans="1:22" x14ac:dyDescent="0.25">
      <c r="E16" s="157"/>
      <c r="F16" s="157"/>
      <c r="G16" s="157"/>
      <c r="H16" s="157"/>
      <c r="I16" s="157"/>
      <c r="J16" s="157"/>
      <c r="K16" s="157"/>
      <c r="L16" s="157"/>
      <c r="M16" s="157"/>
      <c r="N16" s="157"/>
      <c r="O16" s="276">
        <f>P15/P16</f>
        <v>852.45161445783128</v>
      </c>
      <c r="P16" s="277">
        <f>SUM(E4:O4)</f>
        <v>415</v>
      </c>
      <c r="R16" s="3"/>
    </row>
    <row r="17" spans="1:19" ht="15.75" x14ac:dyDescent="0.25">
      <c r="A17" s="11" t="s">
        <v>1160</v>
      </c>
      <c r="B17" s="5">
        <v>45292</v>
      </c>
      <c r="C17" s="5">
        <v>45323</v>
      </c>
      <c r="D17" s="5">
        <v>45352</v>
      </c>
      <c r="E17" s="5">
        <v>45383</v>
      </c>
      <c r="F17" s="5">
        <v>45413</v>
      </c>
      <c r="G17" s="5">
        <v>45444</v>
      </c>
      <c r="H17" s="5">
        <v>45474</v>
      </c>
      <c r="I17" s="5">
        <v>45505</v>
      </c>
      <c r="J17" s="5">
        <v>45536</v>
      </c>
      <c r="K17" s="5">
        <v>45566</v>
      </c>
      <c r="L17" s="5">
        <v>45597</v>
      </c>
      <c r="M17" s="5">
        <v>45627</v>
      </c>
      <c r="N17" s="5">
        <v>45658</v>
      </c>
      <c r="O17" s="5">
        <v>45689</v>
      </c>
      <c r="P17" s="5">
        <v>45717</v>
      </c>
      <c r="Q17" s="5"/>
      <c r="R17" s="5" t="s">
        <v>955</v>
      </c>
    </row>
    <row r="18" spans="1:19" x14ac:dyDescent="0.25">
      <c r="A18" s="4"/>
      <c r="B18" s="5" t="s">
        <v>958</v>
      </c>
      <c r="C18" s="5" t="s">
        <v>959</v>
      </c>
      <c r="D18" s="5" t="s">
        <v>959</v>
      </c>
      <c r="E18" s="5" t="s">
        <v>959</v>
      </c>
      <c r="F18" s="5" t="s">
        <v>959</v>
      </c>
      <c r="G18" s="5" t="s">
        <v>959</v>
      </c>
      <c r="H18" s="5" t="s">
        <v>959</v>
      </c>
      <c r="I18" s="5" t="s">
        <v>959</v>
      </c>
      <c r="J18" s="5" t="s">
        <v>959</v>
      </c>
      <c r="K18" s="5" t="s">
        <v>959</v>
      </c>
      <c r="L18" s="5" t="s">
        <v>959</v>
      </c>
      <c r="M18" s="5" t="s">
        <v>959</v>
      </c>
      <c r="N18" s="5" t="s">
        <v>959</v>
      </c>
      <c r="O18" s="5" t="s">
        <v>959</v>
      </c>
      <c r="P18" s="5" t="s">
        <v>959</v>
      </c>
      <c r="Q18" s="5"/>
      <c r="R18" s="5" t="s">
        <v>961</v>
      </c>
    </row>
    <row r="19" spans="1:19" x14ac:dyDescent="0.25">
      <c r="A19" s="4"/>
      <c r="B19" s="5"/>
      <c r="C19" s="5"/>
      <c r="D19" s="5"/>
      <c r="E19" s="5"/>
      <c r="F19" s="5"/>
      <c r="G19" s="5"/>
      <c r="H19" s="5"/>
      <c r="I19" s="5"/>
      <c r="J19" s="5"/>
      <c r="K19" s="5"/>
      <c r="L19" s="5"/>
      <c r="M19" s="5"/>
      <c r="N19" s="5"/>
      <c r="O19" s="5"/>
      <c r="P19" s="5"/>
      <c r="Q19" s="5"/>
      <c r="R19" s="5"/>
    </row>
    <row r="20" spans="1:19" x14ac:dyDescent="0.25">
      <c r="A20" t="s">
        <v>1161</v>
      </c>
      <c r="B20" s="2">
        <f>N4</f>
        <v>27</v>
      </c>
      <c r="C20" s="2">
        <f>O4</f>
        <v>38</v>
      </c>
      <c r="D20" s="2">
        <f>P4</f>
        <v>32</v>
      </c>
      <c r="E20" s="2">
        <f>'LEX - New Vehicles'!E23+'LEX - Used Vehicles'!E25</f>
        <v>41</v>
      </c>
      <c r="F20" s="2">
        <f>'LEX - New Vehicles'!F23+'LEX - Used Vehicles'!F25</f>
        <v>41</v>
      </c>
      <c r="G20" s="2">
        <f>'LEX - New Vehicles'!G23+'LEX - Used Vehicles'!G25</f>
        <v>41</v>
      </c>
      <c r="H20" s="2">
        <f>'LEX - New Vehicles'!H23+'LEX - Used Vehicles'!H25</f>
        <v>41</v>
      </c>
      <c r="I20" s="2">
        <f>'LEX - New Vehicles'!I23+'LEX - Used Vehicles'!I25</f>
        <v>41</v>
      </c>
      <c r="J20" s="2">
        <f>'LEX - New Vehicles'!J23+'LEX - Used Vehicles'!J25</f>
        <v>41</v>
      </c>
      <c r="K20" s="2">
        <f>'LEX - New Vehicles'!K23+'LEX - Used Vehicles'!K25</f>
        <v>41</v>
      </c>
      <c r="L20" s="2">
        <f>'LEX - New Vehicles'!L23+'LEX - Used Vehicles'!L25</f>
        <v>41</v>
      </c>
      <c r="M20" s="2">
        <f>'LEX - New Vehicles'!M23+'LEX - Used Vehicles'!M25</f>
        <v>41</v>
      </c>
      <c r="N20" s="2">
        <f>'LEX - New Vehicles'!N23+'LEX - Used Vehicles'!N25</f>
        <v>39</v>
      </c>
      <c r="O20" s="2">
        <f>'LEX - New Vehicles'!O23+'LEX - Used Vehicles'!O25</f>
        <v>39</v>
      </c>
      <c r="P20" s="2">
        <f>'LEX - New Vehicles'!P23+'LEX - Used Vehicles'!P25</f>
        <v>44</v>
      </c>
      <c r="Q20" s="2"/>
      <c r="R20" s="2">
        <f>SUM(E20:P20)</f>
        <v>491</v>
      </c>
    </row>
    <row r="21" spans="1:19" x14ac:dyDescent="0.25">
      <c r="B21" s="2"/>
      <c r="C21" s="2"/>
      <c r="D21" s="2"/>
      <c r="E21" s="2"/>
      <c r="F21" s="2"/>
      <c r="G21" s="2"/>
      <c r="H21" s="2"/>
      <c r="I21" s="2"/>
      <c r="J21" s="2"/>
      <c r="K21" s="2"/>
      <c r="L21" s="2"/>
      <c r="M21" s="2"/>
      <c r="N21" s="2"/>
      <c r="O21" s="2"/>
      <c r="P21" s="2"/>
      <c r="Q21" s="2"/>
      <c r="R21" s="2"/>
    </row>
    <row r="22" spans="1:19" x14ac:dyDescent="0.25">
      <c r="A22" s="7" t="s">
        <v>1162</v>
      </c>
      <c r="B22" s="6">
        <f t="shared" ref="B22:D29" si="11">N6</f>
        <v>1010.6844444444445</v>
      </c>
      <c r="C22" s="6">
        <f t="shared" si="11"/>
        <v>573.98736842105268</v>
      </c>
      <c r="D22" s="6">
        <f t="shared" si="11"/>
        <v>1020.3674999999999</v>
      </c>
      <c r="E22" s="6">
        <f>$O$16</f>
        <v>852.45161445783128</v>
      </c>
      <c r="F22" s="6">
        <f t="shared" ref="F22:P22" si="12">E22</f>
        <v>852.45161445783128</v>
      </c>
      <c r="G22" s="6">
        <f t="shared" si="12"/>
        <v>852.45161445783128</v>
      </c>
      <c r="H22" s="6">
        <f t="shared" si="12"/>
        <v>852.45161445783128</v>
      </c>
      <c r="I22" s="6">
        <f t="shared" si="12"/>
        <v>852.45161445783128</v>
      </c>
      <c r="J22" s="6">
        <f t="shared" si="12"/>
        <v>852.45161445783128</v>
      </c>
      <c r="K22" s="6">
        <f t="shared" si="12"/>
        <v>852.45161445783128</v>
      </c>
      <c r="L22" s="6">
        <f t="shared" si="12"/>
        <v>852.45161445783128</v>
      </c>
      <c r="M22" s="6">
        <f t="shared" si="12"/>
        <v>852.45161445783128</v>
      </c>
      <c r="N22" s="6">
        <f t="shared" si="12"/>
        <v>852.45161445783128</v>
      </c>
      <c r="O22" s="6">
        <f t="shared" si="12"/>
        <v>852.45161445783128</v>
      </c>
      <c r="P22" s="6">
        <f t="shared" si="12"/>
        <v>852.45161445783128</v>
      </c>
      <c r="Q22" s="6"/>
      <c r="R22" s="6">
        <f>AVERAGE(E22:P22)</f>
        <v>852.4516144578314</v>
      </c>
      <c r="S22" s="34" t="s">
        <v>1317</v>
      </c>
    </row>
    <row r="23" spans="1:19" x14ac:dyDescent="0.25">
      <c r="A23" s="7" t="s">
        <v>1070</v>
      </c>
      <c r="B23" s="6">
        <f t="shared" si="11"/>
        <v>0</v>
      </c>
      <c r="C23" s="6">
        <f t="shared" si="11"/>
        <v>0</v>
      </c>
      <c r="D23" s="6">
        <f t="shared" si="11"/>
        <v>896.739375</v>
      </c>
      <c r="E23" s="6">
        <v>0</v>
      </c>
      <c r="F23" s="6">
        <v>0</v>
      </c>
      <c r="G23" s="6">
        <f>'LEF Incentive Forecast FY2025'!G11/G20</f>
        <v>870.73170731707319</v>
      </c>
      <c r="H23" s="6">
        <v>0</v>
      </c>
      <c r="I23" s="6">
        <v>0</v>
      </c>
      <c r="J23" s="6">
        <f>'LEF Incentive Forecast FY2025'!K11/J20</f>
        <v>870.73170731707319</v>
      </c>
      <c r="K23" s="6">
        <v>0</v>
      </c>
      <c r="L23" s="6">
        <v>0</v>
      </c>
      <c r="M23" s="6">
        <f>'LEF Incentive Forecast FY2025'!O11/M20</f>
        <v>870.73170731707319</v>
      </c>
      <c r="N23" s="6">
        <v>0</v>
      </c>
      <c r="O23" s="6">
        <v>0</v>
      </c>
      <c r="P23" s="6">
        <f>'LEF Incentive Forecast FY2025'!S11/P20</f>
        <v>801.7045454545455</v>
      </c>
      <c r="Q23" s="6"/>
      <c r="R23" s="6">
        <f>AVERAGE(E23:P23)</f>
        <v>284.49163895048042</v>
      </c>
    </row>
    <row r="24" spans="1:19" x14ac:dyDescent="0.25">
      <c r="A24" s="7" t="s">
        <v>1163</v>
      </c>
      <c r="B24" s="6">
        <f t="shared" si="11"/>
        <v>1010.6844444444445</v>
      </c>
      <c r="C24" s="6">
        <f t="shared" si="11"/>
        <v>573.98736842105268</v>
      </c>
      <c r="D24" s="6">
        <f t="shared" si="11"/>
        <v>1917.1068749999999</v>
      </c>
      <c r="E24" s="6">
        <f>E22+E23</f>
        <v>852.45161445783128</v>
      </c>
      <c r="F24" s="6">
        <f t="shared" ref="F24:P24" si="13">F22+F23</f>
        <v>852.45161445783128</v>
      </c>
      <c r="G24" s="6">
        <f>G22+G23</f>
        <v>1723.1833217749045</v>
      </c>
      <c r="H24" s="6">
        <f t="shared" si="13"/>
        <v>852.45161445783128</v>
      </c>
      <c r="I24" s="6">
        <f t="shared" si="13"/>
        <v>852.45161445783128</v>
      </c>
      <c r="J24" s="6">
        <f t="shared" si="13"/>
        <v>1723.1833217749045</v>
      </c>
      <c r="K24" s="6">
        <f t="shared" si="13"/>
        <v>852.45161445783128</v>
      </c>
      <c r="L24" s="6">
        <f t="shared" si="13"/>
        <v>852.45161445783128</v>
      </c>
      <c r="M24" s="6">
        <f t="shared" si="13"/>
        <v>1723.1833217749045</v>
      </c>
      <c r="N24" s="6">
        <f t="shared" si="13"/>
        <v>852.45161445783128</v>
      </c>
      <c r="O24" s="6">
        <f t="shared" si="13"/>
        <v>852.45161445783128</v>
      </c>
      <c r="P24" s="6">
        <f t="shared" si="13"/>
        <v>1654.1561599123768</v>
      </c>
      <c r="Q24" s="6"/>
      <c r="R24" s="6">
        <f>AVERAGE(E24:P24)</f>
        <v>1136.9432534083119</v>
      </c>
    </row>
    <row r="25" spans="1:19" x14ac:dyDescent="0.25">
      <c r="A25" s="7" t="s">
        <v>1164</v>
      </c>
      <c r="B25" s="6">
        <f t="shared" si="11"/>
        <v>655.81481481481478</v>
      </c>
      <c r="C25" s="6">
        <f t="shared" si="11"/>
        <v>366.05263157894734</v>
      </c>
      <c r="D25" s="6">
        <f t="shared" si="11"/>
        <v>417.96875</v>
      </c>
      <c r="E25" s="6">
        <f>E29/E20</f>
        <v>288.67508877281023</v>
      </c>
      <c r="F25" s="6">
        <f t="shared" ref="F25:P25" si="14">F29/F20</f>
        <v>288.67508877281023</v>
      </c>
      <c r="G25" s="6">
        <f t="shared" si="14"/>
        <v>288.67508877281023</v>
      </c>
      <c r="H25" s="6">
        <f t="shared" si="14"/>
        <v>288.67508877281023</v>
      </c>
      <c r="I25" s="6">
        <f t="shared" si="14"/>
        <v>288.67508877281023</v>
      </c>
      <c r="J25" s="6">
        <f t="shared" si="14"/>
        <v>288.67508877281023</v>
      </c>
      <c r="K25" s="6">
        <f t="shared" si="14"/>
        <v>288.67508877281023</v>
      </c>
      <c r="L25" s="6">
        <f t="shared" si="14"/>
        <v>288.67508877281023</v>
      </c>
      <c r="M25" s="6">
        <f t="shared" si="14"/>
        <v>288.67508877281023</v>
      </c>
      <c r="N25" s="6">
        <f t="shared" si="14"/>
        <v>303.47893947910819</v>
      </c>
      <c r="O25" s="6">
        <f>O29/O20</f>
        <v>303.47893947910819</v>
      </c>
      <c r="P25" s="6">
        <f t="shared" si="14"/>
        <v>268.99269635648221</v>
      </c>
      <c r="Q25" s="6"/>
      <c r="R25" s="6">
        <f>AVERAGE(E25:P25)</f>
        <v>289.50219785583261</v>
      </c>
      <c r="S25" s="34"/>
    </row>
    <row r="26" spans="1:19" x14ac:dyDescent="0.25">
      <c r="A26" s="7" t="s">
        <v>1074</v>
      </c>
      <c r="B26" s="6">
        <f t="shared" si="11"/>
        <v>354.86962962962969</v>
      </c>
      <c r="C26" s="6">
        <f t="shared" si="11"/>
        <v>207.93473684210534</v>
      </c>
      <c r="D26" s="6">
        <f t="shared" si="11"/>
        <v>1499.1381249999999</v>
      </c>
      <c r="E26" s="6">
        <f>E24-E25</f>
        <v>563.77652568502106</v>
      </c>
      <c r="F26" s="6">
        <f t="shared" ref="F26:P26" si="15">F24-F25</f>
        <v>563.77652568502106</v>
      </c>
      <c r="G26" s="6">
        <f t="shared" si="15"/>
        <v>1434.5082330020941</v>
      </c>
      <c r="H26" s="6">
        <f t="shared" si="15"/>
        <v>563.77652568502106</v>
      </c>
      <c r="I26" s="6">
        <f t="shared" si="15"/>
        <v>563.77652568502106</v>
      </c>
      <c r="J26" s="6">
        <f t="shared" si="15"/>
        <v>1434.5082330020941</v>
      </c>
      <c r="K26" s="6">
        <f t="shared" si="15"/>
        <v>563.77652568502106</v>
      </c>
      <c r="L26" s="6">
        <f t="shared" si="15"/>
        <v>563.77652568502106</v>
      </c>
      <c r="M26" s="6">
        <f t="shared" si="15"/>
        <v>1434.5082330020941</v>
      </c>
      <c r="N26" s="6">
        <f t="shared" si="15"/>
        <v>548.97267497872303</v>
      </c>
      <c r="O26" s="6">
        <f t="shared" si="15"/>
        <v>548.97267497872303</v>
      </c>
      <c r="P26" s="6">
        <f t="shared" si="15"/>
        <v>1385.1634635558946</v>
      </c>
      <c r="Q26" s="6"/>
      <c r="R26" s="6">
        <f>AVERAGE(E26:P26)</f>
        <v>847.44105555247904</v>
      </c>
    </row>
    <row r="27" spans="1:19" x14ac:dyDescent="0.25">
      <c r="A27" s="7"/>
      <c r="B27" s="6"/>
      <c r="C27" s="6"/>
      <c r="D27" s="6"/>
      <c r="E27" s="6"/>
      <c r="F27" s="6"/>
      <c r="G27" s="6"/>
      <c r="H27" s="6"/>
      <c r="I27" s="6"/>
      <c r="J27" s="6"/>
      <c r="K27" s="6"/>
      <c r="L27" s="6"/>
      <c r="M27" s="6"/>
      <c r="N27" s="6"/>
      <c r="O27" s="6"/>
      <c r="P27" s="6"/>
      <c r="Q27" s="6"/>
      <c r="R27" s="6"/>
    </row>
    <row r="28" spans="1:19" x14ac:dyDescent="0.25">
      <c r="A28" s="7" t="s">
        <v>1165</v>
      </c>
      <c r="B28" s="6">
        <f t="shared" si="11"/>
        <v>27288.48</v>
      </c>
      <c r="C28" s="6">
        <f t="shared" si="11"/>
        <v>21811.52</v>
      </c>
      <c r="D28" s="6">
        <f t="shared" si="11"/>
        <v>61347.42</v>
      </c>
      <c r="E28" s="6">
        <f>E24*E20</f>
        <v>34950.51619277108</v>
      </c>
      <c r="F28" s="6">
        <f t="shared" ref="F28:P28" si="16">F24*F20</f>
        <v>34950.51619277108</v>
      </c>
      <c r="G28" s="6">
        <f t="shared" si="16"/>
        <v>70650.516192771087</v>
      </c>
      <c r="H28" s="6">
        <f t="shared" si="16"/>
        <v>34950.51619277108</v>
      </c>
      <c r="I28" s="6">
        <f t="shared" si="16"/>
        <v>34950.51619277108</v>
      </c>
      <c r="J28" s="6">
        <f t="shared" si="16"/>
        <v>70650.516192771087</v>
      </c>
      <c r="K28" s="6">
        <f t="shared" si="16"/>
        <v>34950.51619277108</v>
      </c>
      <c r="L28" s="6">
        <f t="shared" si="16"/>
        <v>34950.51619277108</v>
      </c>
      <c r="M28" s="6">
        <f t="shared" si="16"/>
        <v>70650.516192771087</v>
      </c>
      <c r="N28" s="6">
        <f t="shared" si="16"/>
        <v>33245.612963855419</v>
      </c>
      <c r="O28" s="6">
        <f t="shared" si="16"/>
        <v>33245.612963855419</v>
      </c>
      <c r="P28" s="6">
        <f t="shared" si="16"/>
        <v>72782.871036144585</v>
      </c>
      <c r="R28" s="6">
        <f>SUM(E28:P28)</f>
        <v>560928.74269879528</v>
      </c>
    </row>
    <row r="29" spans="1:19" x14ac:dyDescent="0.25">
      <c r="A29" s="7" t="s">
        <v>1076</v>
      </c>
      <c r="B29" s="6">
        <f t="shared" si="11"/>
        <v>17707</v>
      </c>
      <c r="C29" s="6">
        <f t="shared" si="11"/>
        <v>13909.999999999998</v>
      </c>
      <c r="D29" s="6">
        <f t="shared" si="11"/>
        <v>13375</v>
      </c>
      <c r="E29" s="6">
        <f>E33</f>
        <v>11835.678639685219</v>
      </c>
      <c r="F29" s="6">
        <f t="shared" ref="F29:P29" si="17">F33</f>
        <v>11835.678639685219</v>
      </c>
      <c r="G29" s="6">
        <f t="shared" si="17"/>
        <v>11835.678639685219</v>
      </c>
      <c r="H29" s="6">
        <f t="shared" si="17"/>
        <v>11835.678639685219</v>
      </c>
      <c r="I29" s="6">
        <f t="shared" si="17"/>
        <v>11835.678639685219</v>
      </c>
      <c r="J29" s="6">
        <f t="shared" si="17"/>
        <v>11835.678639685219</v>
      </c>
      <c r="K29" s="6">
        <f t="shared" si="17"/>
        <v>11835.678639685219</v>
      </c>
      <c r="L29" s="6">
        <f t="shared" si="17"/>
        <v>11835.678639685219</v>
      </c>
      <c r="M29" s="6">
        <f t="shared" si="17"/>
        <v>11835.678639685219</v>
      </c>
      <c r="N29" s="6">
        <f t="shared" si="17"/>
        <v>11835.678639685219</v>
      </c>
      <c r="O29" s="6">
        <f t="shared" si="17"/>
        <v>11835.678639685219</v>
      </c>
      <c r="P29" s="6">
        <f t="shared" si="17"/>
        <v>11835.678639685219</v>
      </c>
      <c r="R29" s="6">
        <f>SUM(E29:P29)</f>
        <v>142028.14367622259</v>
      </c>
    </row>
    <row r="30" spans="1:19" ht="15.75" thickBot="1" x14ac:dyDescent="0.3">
      <c r="A30" s="9" t="s">
        <v>1078</v>
      </c>
      <c r="B30" s="10">
        <f t="shared" ref="B30:P30" si="18">B28-B29</f>
        <v>9581.48</v>
      </c>
      <c r="C30" s="10">
        <f t="shared" si="18"/>
        <v>7901.5200000000023</v>
      </c>
      <c r="D30" s="10">
        <f t="shared" si="18"/>
        <v>47972.42</v>
      </c>
      <c r="E30" s="10">
        <f>E28-E29</f>
        <v>23114.837553085861</v>
      </c>
      <c r="F30" s="10">
        <f t="shared" si="18"/>
        <v>23114.837553085861</v>
      </c>
      <c r="G30" s="10">
        <f t="shared" si="18"/>
        <v>58814.837553085868</v>
      </c>
      <c r="H30" s="10">
        <f t="shared" si="18"/>
        <v>23114.837553085861</v>
      </c>
      <c r="I30" s="10">
        <f t="shared" si="18"/>
        <v>23114.837553085861</v>
      </c>
      <c r="J30" s="10">
        <f t="shared" si="18"/>
        <v>58814.837553085868</v>
      </c>
      <c r="K30" s="10">
        <f t="shared" si="18"/>
        <v>23114.837553085861</v>
      </c>
      <c r="L30" s="10">
        <f t="shared" si="18"/>
        <v>23114.837553085861</v>
      </c>
      <c r="M30" s="10">
        <f t="shared" si="18"/>
        <v>58814.837553085868</v>
      </c>
      <c r="N30" s="10">
        <f t="shared" si="18"/>
        <v>21409.934324170201</v>
      </c>
      <c r="O30" s="10">
        <f t="shared" si="18"/>
        <v>21409.934324170201</v>
      </c>
      <c r="P30" s="10">
        <f t="shared" si="18"/>
        <v>60947.192396459366</v>
      </c>
      <c r="R30" s="10">
        <f>R28-R29</f>
        <v>418900.59902257269</v>
      </c>
    </row>
    <row r="31" spans="1:19" ht="15.75" thickTop="1" x14ac:dyDescent="0.25"/>
    <row r="32" spans="1:19" x14ac:dyDescent="0.25">
      <c r="E32" s="15"/>
      <c r="F32" s="15"/>
      <c r="G32" s="15"/>
      <c r="H32" s="15"/>
      <c r="I32" s="15"/>
      <c r="J32" s="15"/>
      <c r="K32" s="15"/>
      <c r="L32" s="15"/>
      <c r="M32" s="15"/>
      <c r="N32" s="15"/>
      <c r="O32" s="15"/>
      <c r="P32" s="15"/>
      <c r="R32" s="15"/>
    </row>
    <row r="33" spans="1:19" x14ac:dyDescent="0.25">
      <c r="A33" s="7" t="s">
        <v>1076</v>
      </c>
      <c r="E33" s="6">
        <f>SUMIFS('[18]Summary - Selling Expenses'!Z:Z,'[18]Summary - Selling Expenses'!$E:$E,3,'[18]Summary - Selling Expenses'!$C:$C,162)</f>
        <v>11835.678639685219</v>
      </c>
      <c r="F33" s="6">
        <f>SUMIFS('[18]Summary - Selling Expenses'!AA:AA,'[18]Summary - Selling Expenses'!$E:$E,3,'[18]Summary - Selling Expenses'!$C:$C,162)</f>
        <v>11835.678639685219</v>
      </c>
      <c r="G33" s="6">
        <f>SUMIFS('[18]Summary - Selling Expenses'!AB:AB,'[18]Summary - Selling Expenses'!$E:$E,3,'[18]Summary - Selling Expenses'!$C:$C,162)</f>
        <v>11835.678639685219</v>
      </c>
      <c r="H33" s="6">
        <f>SUMIFS('[18]Summary - Selling Expenses'!AC:AC,'[18]Summary - Selling Expenses'!$E:$E,3,'[18]Summary - Selling Expenses'!$C:$C,162)</f>
        <v>11835.678639685219</v>
      </c>
      <c r="I33" s="6">
        <f>SUMIFS('[18]Summary - Selling Expenses'!AD:AD,'[18]Summary - Selling Expenses'!$E:$E,3,'[18]Summary - Selling Expenses'!$C:$C,162)</f>
        <v>11835.678639685219</v>
      </c>
      <c r="J33" s="6">
        <f>SUMIFS('[18]Summary - Selling Expenses'!AE:AE,'[18]Summary - Selling Expenses'!$E:$E,3,'[18]Summary - Selling Expenses'!$C:$C,162)</f>
        <v>11835.678639685219</v>
      </c>
      <c r="K33" s="6">
        <f>SUMIFS('[18]Summary - Selling Expenses'!AF:AF,'[18]Summary - Selling Expenses'!$E:$E,3,'[18]Summary - Selling Expenses'!$C:$C,162)</f>
        <v>11835.678639685219</v>
      </c>
      <c r="L33" s="6">
        <f>SUMIFS('[18]Summary - Selling Expenses'!AG:AG,'[18]Summary - Selling Expenses'!$E:$E,3,'[18]Summary - Selling Expenses'!$C:$C,162)</f>
        <v>11835.678639685219</v>
      </c>
      <c r="M33" s="6">
        <f>SUMIFS('[18]Summary - Selling Expenses'!AH:AH,'[18]Summary - Selling Expenses'!$E:$E,3,'[18]Summary - Selling Expenses'!$C:$C,162)</f>
        <v>11835.678639685219</v>
      </c>
      <c r="N33" s="6">
        <f>SUMIFS('[18]Summary - Selling Expenses'!AI:AI,'[18]Summary - Selling Expenses'!$E:$E,3,'[18]Summary - Selling Expenses'!$C:$C,162)</f>
        <v>11835.678639685219</v>
      </c>
      <c r="O33" s="6">
        <f>SUMIFS('[18]Summary - Selling Expenses'!AJ:AJ,'[18]Summary - Selling Expenses'!$E:$E,3,'[18]Summary - Selling Expenses'!$C:$C,162)</f>
        <v>11835.678639685219</v>
      </c>
      <c r="P33" s="6">
        <f>SUMIFS('[18]Summary - Selling Expenses'!AK:AK,'[18]Summary - Selling Expenses'!$E:$E,3,'[18]Summary - Selling Expenses'!$C:$C,162)</f>
        <v>11835.678639685219</v>
      </c>
      <c r="R33" s="6">
        <f>SUM(E33:P33)</f>
        <v>142028.14367622259</v>
      </c>
    </row>
    <row r="34" spans="1:19" x14ac:dyDescent="0.25">
      <c r="R34" s="7">
        <f>R33-SUMIFS('[18]Summary - Selling Expenses'!$AL:$AL,'[18]Summary - Selling Expenses'!$D:$D,'[18]Summary - Selling Expenses'!$D$16,'[18]Summary - Selling Expenses'!$C:$C,'[18]Summary - Selling Expenses'!$C$16)</f>
        <v>0</v>
      </c>
      <c r="S34" s="34" t="s">
        <v>1093</v>
      </c>
    </row>
  </sheetData>
  <pageMargins left="0.7" right="0.7" top="0.75" bottom="0.75" header="0.3" footer="0.3"/>
  <pageSetup paperSize="9" orientation="portrait" verticalDpi="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AA116-CEF5-4031-B5AF-C32E3CCDDCEC}">
  <sheetPr codeName="Sheet28">
    <tabColor theme="9" tint="0.79998168889431442"/>
  </sheetPr>
  <dimension ref="A1:V35"/>
  <sheetViews>
    <sheetView workbookViewId="0">
      <selection activeCell="P10" sqref="P10"/>
    </sheetView>
  </sheetViews>
  <sheetFormatPr defaultRowHeight="15" x14ac:dyDescent="0.25"/>
  <cols>
    <col min="1" max="1" width="23.85546875" bestFit="1" customWidth="1"/>
    <col min="2" max="2" width="7.5703125" hidden="1" customWidth="1"/>
    <col min="3" max="4" width="9.5703125" hidden="1" customWidth="1"/>
    <col min="5" max="5" width="9.5703125" bestFit="1" customWidth="1"/>
    <col min="6" max="6" width="11.85546875" bestFit="1" customWidth="1"/>
    <col min="7" max="16" width="11.140625" bestFit="1" customWidth="1"/>
    <col min="17" max="17" width="2.85546875" style="136" customWidth="1"/>
    <col min="18" max="18" width="12.85546875" customWidth="1"/>
    <col min="19" max="19" width="10.140625" style="34" bestFit="1" customWidth="1"/>
    <col min="20" max="20" width="9.140625" style="34"/>
  </cols>
  <sheetData>
    <row r="1" spans="1:22" ht="15.75" x14ac:dyDescent="0.25">
      <c r="A1" s="11" t="s">
        <v>1174</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129"/>
      <c r="R1" s="5" t="s">
        <v>951</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129"/>
      <c r="R2" s="5" t="s">
        <v>961</v>
      </c>
    </row>
    <row r="4" spans="1:22" x14ac:dyDescent="0.25">
      <c r="A4" s="7" t="s">
        <v>1175</v>
      </c>
      <c r="B4" s="6">
        <f>'[3]LEX PARTS'!$B$13</f>
        <v>20014</v>
      </c>
      <c r="C4" s="6">
        <f>'[4]LEX PARTS'!$B$13</f>
        <v>20014</v>
      </c>
      <c r="D4" s="6">
        <f>'[5]LEX PARTS'!$B$13</f>
        <v>20014</v>
      </c>
      <c r="E4" s="6">
        <f>'[6]LEX PARTS'!$B$13</f>
        <v>17242</v>
      </c>
      <c r="F4" s="6">
        <f>'[7]LEX PARTS'!$B$13</f>
        <v>17242</v>
      </c>
      <c r="G4" s="6">
        <f>'[8]LEX PARTS'!$B$13</f>
        <v>19129</v>
      </c>
      <c r="H4" s="6">
        <f>'[9]LEX PARTS'!$B$13</f>
        <v>17606</v>
      </c>
      <c r="I4" s="6">
        <f>'[10]LEX PARTS'!$B$13</f>
        <v>26401</v>
      </c>
      <c r="J4" s="6">
        <f>'[11]LEX PARTS'!$B$13</f>
        <v>21522</v>
      </c>
      <c r="K4" s="6">
        <f>'[12]LEX PARTS'!$B$13</f>
        <v>37637.870000000003</v>
      </c>
      <c r="L4" s="6">
        <f>'[13]LEX PARTS'!$B$13</f>
        <v>40335.39</v>
      </c>
      <c r="M4" s="6">
        <f>'[14]LEX PARTS'!$B$13</f>
        <v>31116.899999999998</v>
      </c>
      <c r="N4" s="6">
        <f>'[15]LEX PARTS'!$B$13</f>
        <v>32746.309999999998</v>
      </c>
      <c r="O4" s="6">
        <f>'[16]LEX PARTS'!$B$13</f>
        <v>34512.33</v>
      </c>
      <c r="P4" s="6">
        <f>'[17]LEX PARTS'!$B$13</f>
        <v>27396.63</v>
      </c>
      <c r="Q4" s="130"/>
      <c r="R4" s="6">
        <f>SUM(E4:P4)</f>
        <v>322887.43</v>
      </c>
      <c r="S4" s="120">
        <f>AVERAGE(K4:M4)</f>
        <v>36363.386666666665</v>
      </c>
      <c r="T4" s="34" t="s">
        <v>1283</v>
      </c>
    </row>
    <row r="5" spans="1:22" x14ac:dyDescent="0.25">
      <c r="A5" t="s">
        <v>1176</v>
      </c>
      <c r="B5" s="3">
        <f>'[3]LEX PARTS'!$B$22</f>
        <v>0.22314379934046169</v>
      </c>
      <c r="C5" s="3">
        <f>'[4]LEX PARTS'!$B$22</f>
        <v>0.22314379934046169</v>
      </c>
      <c r="D5" s="3">
        <f>'[5]LEX PARTS'!$B$22</f>
        <v>0.22314379934046169</v>
      </c>
      <c r="E5" s="3">
        <f>'[6]LEX PARTS'!$B$22</f>
        <v>0.18773924138731005</v>
      </c>
      <c r="F5" s="3">
        <f>'[7]LEX PARTS'!$B$22</f>
        <v>0.18773924138731005</v>
      </c>
      <c r="G5" s="3">
        <f>'[8]LEX PARTS'!$B$22</f>
        <v>0.21971875163364524</v>
      </c>
      <c r="H5" s="3">
        <f>'[9]LEX PARTS'!$B$22</f>
        <v>0.2224241735771896</v>
      </c>
      <c r="I5" s="3">
        <f>'[10]LEX PARTS'!$B$22</f>
        <v>0.18219006855800918</v>
      </c>
      <c r="J5" s="3">
        <f>'[11]LEX PARTS'!$B$22</f>
        <v>0.21573273859306755</v>
      </c>
      <c r="K5" s="3">
        <f>'[12]LEX PARTS'!$B$22</f>
        <v>0.17827284062567827</v>
      </c>
      <c r="L5" s="3">
        <f>'[13]LEX PARTS'!$B$22</f>
        <v>0.2247839924195601</v>
      </c>
      <c r="M5" s="3">
        <f>'[14]LEX PARTS'!$B$22</f>
        <v>0.24048153897078442</v>
      </c>
      <c r="N5" s="3">
        <f>'[15]LEX PARTS'!$B$22</f>
        <v>0.23768937629919223</v>
      </c>
      <c r="O5" s="3">
        <f>'[16]LEX PARTS'!$B$22</f>
        <v>0.22546029201737461</v>
      </c>
      <c r="P5" s="3">
        <f>'[17]LEX PARTS'!$B$22</f>
        <v>0.20760327091324732</v>
      </c>
      <c r="Q5" s="135"/>
      <c r="R5" s="3">
        <f>R9/R4</f>
        <v>0.2123273736608452</v>
      </c>
    </row>
    <row r="6" spans="1:22" x14ac:dyDescent="0.25">
      <c r="A6" t="s">
        <v>1182</v>
      </c>
      <c r="B6" s="3">
        <f>'[3]LEX PARTS'!$B$28</f>
        <v>0</v>
      </c>
      <c r="C6" s="3">
        <f>'[4]LEX PARTS'!$B$28</f>
        <v>0</v>
      </c>
      <c r="D6" s="3">
        <f>'[5]LEX PARTS'!$B$28</f>
        <v>0</v>
      </c>
      <c r="E6" s="3">
        <f>'[6]LEX PARTS'!$B$28</f>
        <v>0</v>
      </c>
      <c r="F6" s="3">
        <f>'[7]LEX PARTS'!$B$28</f>
        <v>0</v>
      </c>
      <c r="G6" s="3">
        <f>'[8]LEX PARTS'!$B$28</f>
        <v>0</v>
      </c>
      <c r="H6" s="3">
        <f>'[9]LEX PARTS'!$B$28</f>
        <v>0</v>
      </c>
      <c r="I6" s="3">
        <f>'[10]LEX PARTS'!$B$28</f>
        <v>0</v>
      </c>
      <c r="J6" s="3">
        <f>'[11]LEX PARTS'!$B$28</f>
        <v>0</v>
      </c>
      <c r="K6" s="3">
        <f>'[12]LEX PARTS'!$B$28</f>
        <v>0.17402685114752772</v>
      </c>
      <c r="L6" s="3">
        <f>'[13]LEX PARTS'!$B$28</f>
        <v>0.16132235240566659</v>
      </c>
      <c r="M6" s="3">
        <f>'[14]LEX PARTS'!$B$28</f>
        <v>0.18642602572878406</v>
      </c>
      <c r="N6" s="3">
        <f>'[15]LEX PARTS'!$B$28</f>
        <v>0.19290723137965776</v>
      </c>
      <c r="O6" s="3">
        <f>'[16]LEX PARTS'!$B$28</f>
        <v>0.13881995217361445</v>
      </c>
      <c r="P6" s="3">
        <f>'[17]LEX PARTS'!$B$28</f>
        <v>0.15213549987717467</v>
      </c>
      <c r="Q6" s="135"/>
      <c r="R6" s="3">
        <f>R10/R4</f>
        <v>0.10571486167795384</v>
      </c>
      <c r="S6" s="122"/>
      <c r="T6" s="131"/>
      <c r="U6" s="3"/>
      <c r="V6" s="3"/>
    </row>
    <row r="7" spans="1:22" x14ac:dyDescent="0.25">
      <c r="B7" s="3"/>
      <c r="C7" s="3"/>
      <c r="D7" s="3"/>
      <c r="E7" s="3"/>
      <c r="F7" s="3"/>
      <c r="G7" s="3"/>
      <c r="H7" s="3"/>
      <c r="I7" s="3"/>
      <c r="J7" s="3"/>
      <c r="K7" s="3"/>
      <c r="L7" s="3"/>
      <c r="M7" s="3"/>
      <c r="N7" s="3"/>
      <c r="O7" s="3"/>
      <c r="P7" s="3"/>
      <c r="Q7" s="135"/>
      <c r="R7" s="3"/>
      <c r="S7" s="122"/>
      <c r="U7" s="3"/>
      <c r="V7" s="3"/>
    </row>
    <row r="8" spans="1:22" x14ac:dyDescent="0.25">
      <c r="A8" t="s">
        <v>1185</v>
      </c>
      <c r="B8" s="45">
        <f>'[3]LEX PARTS'!$B$23</f>
        <v>0</v>
      </c>
      <c r="C8" s="45">
        <f>'[4]LEX PARTS'!$B$23</f>
        <v>0</v>
      </c>
      <c r="D8" s="45">
        <f>'[5]LEX PARTS'!$B$23</f>
        <v>16695.66</v>
      </c>
      <c r="E8" s="45">
        <f>'[6]LEX PARTS'!$B$23</f>
        <v>0</v>
      </c>
      <c r="F8" s="45">
        <f>'[7]LEX PARTS'!$B$23</f>
        <v>0</v>
      </c>
      <c r="G8" s="45">
        <f>'[8]LEX PARTS'!$B$23</f>
        <v>42260.88</v>
      </c>
      <c r="H8" s="45">
        <f>'[9]LEX PARTS'!$B$23</f>
        <v>0</v>
      </c>
      <c r="I8" s="45">
        <f>'[10]LEX PARTS'!$B$23</f>
        <v>0</v>
      </c>
      <c r="J8" s="45">
        <f>'[11]LEX PARTS'!$B$23</f>
        <v>39391.300000000003</v>
      </c>
      <c r="K8" s="45">
        <f>'[12]LEX PARTS'!$B$23</f>
        <v>0</v>
      </c>
      <c r="L8" s="45">
        <f>'[13]LEX PARTS'!$B$23</f>
        <v>0</v>
      </c>
      <c r="M8" s="45">
        <f>'[14]LEX PARTS'!$B$23</f>
        <v>29478.26</v>
      </c>
      <c r="N8" s="45">
        <f>'[15]LEX PARTS'!$B$23</f>
        <v>0</v>
      </c>
      <c r="O8" s="45">
        <f>'[16]LEX PARTS'!$B$23</f>
        <v>0</v>
      </c>
      <c r="P8" s="45">
        <f>'[17]LEX PARTS'!$B$23</f>
        <v>34434.78</v>
      </c>
      <c r="Q8" s="135"/>
      <c r="R8" s="6">
        <f>SUM(E8:P8)</f>
        <v>145565.21999999997</v>
      </c>
      <c r="S8" s="122"/>
      <c r="U8" s="3"/>
      <c r="V8" s="3"/>
    </row>
    <row r="9" spans="1:22" x14ac:dyDescent="0.25">
      <c r="A9" s="7" t="s">
        <v>1186</v>
      </c>
      <c r="B9" s="6">
        <f t="shared" ref="B9:F9" si="0">B4*B5+B8</f>
        <v>4466</v>
      </c>
      <c r="C9" s="6">
        <f t="shared" si="0"/>
        <v>4466</v>
      </c>
      <c r="D9" s="6">
        <f t="shared" si="0"/>
        <v>21161.66</v>
      </c>
      <c r="E9" s="6">
        <f t="shared" si="0"/>
        <v>3237</v>
      </c>
      <c r="F9" s="6">
        <f t="shared" si="0"/>
        <v>3237</v>
      </c>
      <c r="G9" s="6">
        <f>G4*G5</f>
        <v>4203</v>
      </c>
      <c r="H9" s="6">
        <f t="shared" ref="H9:P9" si="1">H4*H5</f>
        <v>3916</v>
      </c>
      <c r="I9" s="6">
        <f t="shared" si="1"/>
        <v>4810</v>
      </c>
      <c r="J9" s="6">
        <f t="shared" si="1"/>
        <v>4643</v>
      </c>
      <c r="K9" s="6">
        <f t="shared" si="1"/>
        <v>6709.8099999999977</v>
      </c>
      <c r="L9" s="6">
        <f t="shared" si="1"/>
        <v>9066.75</v>
      </c>
      <c r="M9" s="6">
        <f t="shared" si="1"/>
        <v>7483.0400000000009</v>
      </c>
      <c r="N9" s="6">
        <f t="shared" si="1"/>
        <v>7783.4500000000007</v>
      </c>
      <c r="O9" s="6">
        <f t="shared" si="1"/>
        <v>7781.1599999999989</v>
      </c>
      <c r="P9" s="6">
        <f t="shared" si="1"/>
        <v>5687.6299999999992</v>
      </c>
      <c r="R9" s="6">
        <f>SUM(E9:P9)</f>
        <v>68557.84</v>
      </c>
    </row>
    <row r="10" spans="1:22" x14ac:dyDescent="0.25">
      <c r="A10" s="7" t="s">
        <v>1076</v>
      </c>
      <c r="B10" s="6">
        <f t="shared" ref="B10:N10" si="2">B4*B6</f>
        <v>0</v>
      </c>
      <c r="C10" s="6">
        <f t="shared" si="2"/>
        <v>0</v>
      </c>
      <c r="D10" s="6">
        <f t="shared" si="2"/>
        <v>0</v>
      </c>
      <c r="E10" s="6">
        <f t="shared" si="2"/>
        <v>0</v>
      </c>
      <c r="F10" s="6">
        <f t="shared" si="2"/>
        <v>0</v>
      </c>
      <c r="G10" s="6">
        <f t="shared" si="2"/>
        <v>0</v>
      </c>
      <c r="H10" s="6">
        <f t="shared" si="2"/>
        <v>0</v>
      </c>
      <c r="I10" s="6">
        <f t="shared" si="2"/>
        <v>0</v>
      </c>
      <c r="J10" s="6">
        <f t="shared" si="2"/>
        <v>0</v>
      </c>
      <c r="K10" s="6">
        <f t="shared" si="2"/>
        <v>6550</v>
      </c>
      <c r="L10" s="6">
        <f t="shared" si="2"/>
        <v>6507</v>
      </c>
      <c r="M10" s="6">
        <f t="shared" si="2"/>
        <v>5801</v>
      </c>
      <c r="N10" s="6">
        <f t="shared" si="2"/>
        <v>6317</v>
      </c>
      <c r="O10" s="6">
        <f t="shared" ref="O10:P10" si="3">O4*O6</f>
        <v>4790.9999999999991</v>
      </c>
      <c r="P10" s="6">
        <f t="shared" si="3"/>
        <v>4168</v>
      </c>
      <c r="R10" s="6">
        <f>SUM(E10:P10)</f>
        <v>34134</v>
      </c>
    </row>
    <row r="11" spans="1:22" ht="15.75" thickBot="1" x14ac:dyDescent="0.3">
      <c r="A11" s="9" t="s">
        <v>1078</v>
      </c>
      <c r="B11" s="10">
        <f t="shared" ref="B11:D11" si="4">B9-B10</f>
        <v>4466</v>
      </c>
      <c r="C11" s="10">
        <f t="shared" si="4"/>
        <v>4466</v>
      </c>
      <c r="D11" s="10">
        <f t="shared" si="4"/>
        <v>21161.66</v>
      </c>
      <c r="E11" s="10">
        <f>E9+E8-E10</f>
        <v>3237</v>
      </c>
      <c r="F11" s="10">
        <f t="shared" ref="F11:P11" si="5">F9+F8-F10</f>
        <v>3237</v>
      </c>
      <c r="G11" s="10">
        <f t="shared" si="5"/>
        <v>46463.88</v>
      </c>
      <c r="H11" s="10">
        <f t="shared" si="5"/>
        <v>3916</v>
      </c>
      <c r="I11" s="10">
        <f t="shared" si="5"/>
        <v>4810</v>
      </c>
      <c r="J11" s="10">
        <f t="shared" si="5"/>
        <v>44034.3</v>
      </c>
      <c r="K11" s="10">
        <f t="shared" si="5"/>
        <v>159.80999999999767</v>
      </c>
      <c r="L11" s="10">
        <f t="shared" si="5"/>
        <v>2559.75</v>
      </c>
      <c r="M11" s="10">
        <f t="shared" si="5"/>
        <v>31160.300000000003</v>
      </c>
      <c r="N11" s="10">
        <f t="shared" si="5"/>
        <v>1466.4500000000007</v>
      </c>
      <c r="O11" s="10">
        <f t="shared" si="5"/>
        <v>2990.16</v>
      </c>
      <c r="P11" s="10">
        <f t="shared" si="5"/>
        <v>35954.409999999996</v>
      </c>
      <c r="R11" s="10">
        <f>+R8+R9-R10</f>
        <v>179989.05999999997</v>
      </c>
    </row>
    <row r="12" spans="1:22" ht="15.75" thickTop="1" x14ac:dyDescent="0.25"/>
    <row r="14" spans="1:22" ht="15.75" x14ac:dyDescent="0.25">
      <c r="A14" s="11" t="s">
        <v>1174</v>
      </c>
      <c r="B14" s="5">
        <v>45292</v>
      </c>
      <c r="C14" s="5">
        <v>45323</v>
      </c>
      <c r="D14" s="5">
        <v>45352</v>
      </c>
      <c r="E14" s="5">
        <v>45383</v>
      </c>
      <c r="F14" s="5">
        <v>45413</v>
      </c>
      <c r="G14" s="5">
        <v>45444</v>
      </c>
      <c r="H14" s="5">
        <v>45474</v>
      </c>
      <c r="I14" s="5">
        <v>45505</v>
      </c>
      <c r="J14" s="5">
        <v>45536</v>
      </c>
      <c r="K14" s="5">
        <v>45566</v>
      </c>
      <c r="L14" s="5">
        <v>45597</v>
      </c>
      <c r="M14" s="5">
        <v>45627</v>
      </c>
      <c r="N14" s="5">
        <v>45658</v>
      </c>
      <c r="O14" s="5">
        <v>45689</v>
      </c>
      <c r="P14" s="5">
        <v>45717</v>
      </c>
      <c r="Q14" s="129"/>
      <c r="R14" s="5" t="s">
        <v>955</v>
      </c>
    </row>
    <row r="15" spans="1:22" x14ac:dyDescent="0.25">
      <c r="A15" s="4"/>
      <c r="B15" s="5" t="s">
        <v>958</v>
      </c>
      <c r="C15" s="5" t="s">
        <v>959</v>
      </c>
      <c r="D15" s="5" t="s">
        <v>959</v>
      </c>
      <c r="E15" s="5" t="s">
        <v>959</v>
      </c>
      <c r="F15" s="5" t="s">
        <v>959</v>
      </c>
      <c r="G15" s="5" t="s">
        <v>959</v>
      </c>
      <c r="H15" s="5" t="s">
        <v>959</v>
      </c>
      <c r="I15" s="5" t="s">
        <v>959</v>
      </c>
      <c r="J15" s="5" t="s">
        <v>959</v>
      </c>
      <c r="K15" s="5" t="s">
        <v>959</v>
      </c>
      <c r="L15" s="5" t="s">
        <v>959</v>
      </c>
      <c r="M15" s="5" t="s">
        <v>959</v>
      </c>
      <c r="N15" s="5" t="s">
        <v>959</v>
      </c>
      <c r="O15" s="5" t="s">
        <v>959</v>
      </c>
      <c r="P15" s="5" t="s">
        <v>959</v>
      </c>
      <c r="Q15" s="129"/>
      <c r="R15" s="5" t="s">
        <v>961</v>
      </c>
    </row>
    <row r="17" spans="1:22" x14ac:dyDescent="0.25">
      <c r="A17" s="7" t="s">
        <v>1175</v>
      </c>
      <c r="B17" s="6">
        <f t="shared" ref="B17:D19" si="6">N4</f>
        <v>32746.309999999998</v>
      </c>
      <c r="C17" s="6">
        <f t="shared" si="6"/>
        <v>34512.33</v>
      </c>
      <c r="D17" s="6">
        <f t="shared" si="6"/>
        <v>27396.63</v>
      </c>
      <c r="E17" s="45">
        <f>$R$17*E28/12</f>
        <v>27024.274032608697</v>
      </c>
      <c r="F17" s="45">
        <f t="shared" ref="F17:P17" si="7">$R$17*F28/12</f>
        <v>30709.40230978261</v>
      </c>
      <c r="G17" s="45">
        <f t="shared" si="7"/>
        <v>25181.70989402174</v>
      </c>
      <c r="H17" s="45">
        <f t="shared" si="7"/>
        <v>30709.40230978261</v>
      </c>
      <c r="I17" s="45">
        <f t="shared" si="7"/>
        <v>30095.214263586957</v>
      </c>
      <c r="J17" s="45">
        <f t="shared" si="7"/>
        <v>28252.650125</v>
      </c>
      <c r="K17" s="45">
        <f t="shared" si="7"/>
        <v>29481.026217391303</v>
      </c>
      <c r="L17" s="45">
        <f t="shared" si="7"/>
        <v>28866.838171195657</v>
      </c>
      <c r="M17" s="45">
        <f t="shared" si="7"/>
        <v>27024.274032608697</v>
      </c>
      <c r="N17" s="45">
        <f t="shared" si="7"/>
        <v>27024.274032608697</v>
      </c>
      <c r="O17" s="45">
        <f t="shared" si="7"/>
        <v>25795.89794021739</v>
      </c>
      <c r="P17" s="45">
        <f t="shared" si="7"/>
        <v>28866.838171195657</v>
      </c>
      <c r="Q17" s="130" t="s">
        <v>1236</v>
      </c>
      <c r="R17" s="6">
        <f>R4*1.05</f>
        <v>339031.8015</v>
      </c>
      <c r="S17" s="34" t="s">
        <v>1328</v>
      </c>
    </row>
    <row r="18" spans="1:22" x14ac:dyDescent="0.25">
      <c r="A18" t="s">
        <v>1176</v>
      </c>
      <c r="B18" s="3">
        <f t="shared" si="6"/>
        <v>0.23768937629919223</v>
      </c>
      <c r="C18" s="3">
        <f t="shared" si="6"/>
        <v>0.22546029201737461</v>
      </c>
      <c r="D18" s="3">
        <f t="shared" si="6"/>
        <v>0.20760327091324732</v>
      </c>
      <c r="E18" s="3">
        <f>AVERAGE($E$5:$O$5)</f>
        <v>0.21111202322446554</v>
      </c>
      <c r="F18" s="3">
        <f t="shared" ref="F18:O18" si="8">AVERAGE($E$5:$O$5)</f>
        <v>0.21111202322446554</v>
      </c>
      <c r="G18" s="3">
        <f t="shared" si="8"/>
        <v>0.21111202322446554</v>
      </c>
      <c r="H18" s="3">
        <f t="shared" si="8"/>
        <v>0.21111202322446554</v>
      </c>
      <c r="I18" s="3">
        <f t="shared" si="8"/>
        <v>0.21111202322446554</v>
      </c>
      <c r="J18" s="3">
        <f t="shared" si="8"/>
        <v>0.21111202322446554</v>
      </c>
      <c r="K18" s="3">
        <f t="shared" si="8"/>
        <v>0.21111202322446554</v>
      </c>
      <c r="L18" s="3">
        <f t="shared" si="8"/>
        <v>0.21111202322446554</v>
      </c>
      <c r="M18" s="3">
        <f t="shared" si="8"/>
        <v>0.21111202322446554</v>
      </c>
      <c r="N18" s="3">
        <f t="shared" si="8"/>
        <v>0.21111202322446554</v>
      </c>
      <c r="O18" s="3">
        <f t="shared" si="8"/>
        <v>0.21111202322446554</v>
      </c>
      <c r="P18" s="3">
        <f>AVERAGE($E$5:$O$5)</f>
        <v>0.21111202322446554</v>
      </c>
      <c r="Q18" s="135" t="s">
        <v>1238</v>
      </c>
      <c r="R18" s="3">
        <f>R22/R17</f>
        <v>0.21111202322446557</v>
      </c>
    </row>
    <row r="19" spans="1:22" x14ac:dyDescent="0.25">
      <c r="A19" t="s">
        <v>1182</v>
      </c>
      <c r="B19" s="3">
        <f t="shared" si="6"/>
        <v>0.19290723137965776</v>
      </c>
      <c r="C19" s="3">
        <f t="shared" si="6"/>
        <v>0.13881995217361445</v>
      </c>
      <c r="D19" s="3">
        <f t="shared" si="6"/>
        <v>0.15213549987717467</v>
      </c>
      <c r="E19" s="3">
        <f>E23/E17</f>
        <v>0.18550494855601998</v>
      </c>
      <c r="F19" s="3">
        <f t="shared" ref="F19:P19" si="9">F23/F17</f>
        <v>0.1632443547292976</v>
      </c>
      <c r="G19" s="3">
        <f t="shared" si="9"/>
        <v>0.1990784813771922</v>
      </c>
      <c r="H19" s="3">
        <f t="shared" si="9"/>
        <v>0.1632443547292976</v>
      </c>
      <c r="I19" s="3">
        <f t="shared" si="9"/>
        <v>0.16657587217275266</v>
      </c>
      <c r="J19" s="3">
        <f t="shared" si="9"/>
        <v>0.1774395160101061</v>
      </c>
      <c r="K19" s="3">
        <f t="shared" si="9"/>
        <v>0.17004620284301836</v>
      </c>
      <c r="L19" s="3">
        <f t="shared" si="9"/>
        <v>0.17366420715882722</v>
      </c>
      <c r="M19" s="3">
        <f t="shared" si="9"/>
        <v>0.18550494855601998</v>
      </c>
      <c r="N19" s="3">
        <f t="shared" si="9"/>
        <v>0.18550494855601998</v>
      </c>
      <c r="O19" s="3">
        <f t="shared" si="9"/>
        <v>0.1943385175348781</v>
      </c>
      <c r="P19" s="3">
        <f t="shared" si="9"/>
        <v>0.17366420715882722</v>
      </c>
      <c r="Q19" s="135"/>
      <c r="R19" s="3">
        <f>R23/R17</f>
        <v>0.17743951601010605</v>
      </c>
      <c r="S19" s="122"/>
      <c r="T19" s="131"/>
      <c r="U19" s="3"/>
      <c r="V19" s="3"/>
    </row>
    <row r="20" spans="1:22" x14ac:dyDescent="0.25">
      <c r="B20" s="3"/>
      <c r="C20" s="3"/>
      <c r="D20" s="3"/>
      <c r="E20" s="3"/>
      <c r="F20" s="3"/>
      <c r="G20" s="3"/>
      <c r="H20" s="3"/>
      <c r="I20" s="3"/>
      <c r="J20" s="3"/>
      <c r="K20" s="3"/>
      <c r="L20" s="3"/>
      <c r="M20" s="3"/>
      <c r="N20" s="3"/>
      <c r="O20" s="3"/>
      <c r="P20" s="3"/>
      <c r="Q20" s="135"/>
      <c r="R20" s="3"/>
      <c r="S20" s="122"/>
      <c r="U20" s="3"/>
      <c r="V20" s="3"/>
    </row>
    <row r="21" spans="1:22" x14ac:dyDescent="0.25">
      <c r="A21" t="s">
        <v>1185</v>
      </c>
      <c r="B21" s="45">
        <f t="shared" ref="B21:D23" si="10">N8</f>
        <v>0</v>
      </c>
      <c r="C21" s="45">
        <f t="shared" si="10"/>
        <v>0</v>
      </c>
      <c r="D21" s="45">
        <f t="shared" si="10"/>
        <v>34434.78</v>
      </c>
      <c r="E21" s="45">
        <v>0</v>
      </c>
      <c r="F21" s="45">
        <v>0</v>
      </c>
      <c r="G21" s="45">
        <f>'LEF Incentive Forecast FY2025'!G25</f>
        <v>21420</v>
      </c>
      <c r="H21" s="45">
        <v>0</v>
      </c>
      <c r="I21" s="45">
        <v>0</v>
      </c>
      <c r="J21" s="45">
        <f>'LEF Incentive Forecast FY2025'!K25</f>
        <v>21420</v>
      </c>
      <c r="K21" s="45">
        <v>0</v>
      </c>
      <c r="L21" s="45">
        <v>0</v>
      </c>
      <c r="M21" s="45">
        <f>'LEF Incentive Forecast FY2025'!O25</f>
        <v>21420</v>
      </c>
      <c r="N21" s="45">
        <v>0</v>
      </c>
      <c r="O21" s="45">
        <v>0</v>
      </c>
      <c r="P21" s="45">
        <f>'LEF Incentive Forecast FY2025'!S25</f>
        <v>21165</v>
      </c>
      <c r="Q21" s="135" t="s">
        <v>1284</v>
      </c>
      <c r="R21" s="6">
        <f>SUM(E21:P21)</f>
        <v>85425</v>
      </c>
      <c r="U21" s="3"/>
      <c r="V21" s="3"/>
    </row>
    <row r="22" spans="1:22" x14ac:dyDescent="0.25">
      <c r="A22" s="7" t="s">
        <v>1186</v>
      </c>
      <c r="B22" s="6">
        <f t="shared" si="10"/>
        <v>7783.4500000000007</v>
      </c>
      <c r="C22" s="6">
        <f t="shared" si="10"/>
        <v>7781.1599999999989</v>
      </c>
      <c r="D22" s="6">
        <f t="shared" si="10"/>
        <v>5687.6299999999992</v>
      </c>
      <c r="E22" s="6">
        <f>E17*E18+E21</f>
        <v>5705.1491671964086</v>
      </c>
      <c r="F22" s="6">
        <f t="shared" ref="F22" si="11">F17*F18+F21</f>
        <v>6483.1240536322821</v>
      </c>
      <c r="G22" s="6">
        <f>G17*G18</f>
        <v>5316.1617239784709</v>
      </c>
      <c r="H22" s="6">
        <f t="shared" ref="H22:P22" si="12">H17*H18</f>
        <v>6483.1240536322821</v>
      </c>
      <c r="I22" s="6">
        <f t="shared" si="12"/>
        <v>6353.4615725596359</v>
      </c>
      <c r="J22" s="6">
        <f t="shared" si="12"/>
        <v>5964.4741293416992</v>
      </c>
      <c r="K22" s="6">
        <f t="shared" si="12"/>
        <v>6223.7990914869906</v>
      </c>
      <c r="L22" s="6">
        <f t="shared" si="12"/>
        <v>6094.1366104143463</v>
      </c>
      <c r="M22" s="6">
        <f t="shared" si="12"/>
        <v>5705.1491671964086</v>
      </c>
      <c r="N22" s="6">
        <f t="shared" si="12"/>
        <v>5705.1491671964086</v>
      </c>
      <c r="O22" s="6">
        <f t="shared" si="12"/>
        <v>5445.8242050511162</v>
      </c>
      <c r="P22" s="6">
        <f t="shared" si="12"/>
        <v>6094.1366104143463</v>
      </c>
      <c r="R22" s="6">
        <f>SUM(E22:P22)</f>
        <v>71573.689552100404</v>
      </c>
      <c r="S22" s="122" t="s">
        <v>1323</v>
      </c>
    </row>
    <row r="23" spans="1:22" x14ac:dyDescent="0.25">
      <c r="A23" s="7" t="s">
        <v>1076</v>
      </c>
      <c r="B23" s="6">
        <f t="shared" si="10"/>
        <v>6317</v>
      </c>
      <c r="C23" s="6">
        <f t="shared" si="10"/>
        <v>4790.9999999999991</v>
      </c>
      <c r="D23" s="6">
        <f t="shared" si="10"/>
        <v>4168</v>
      </c>
      <c r="E23" s="6">
        <f>E30</f>
        <v>5013.1365641828634</v>
      </c>
      <c r="F23" s="6">
        <f t="shared" ref="F23:P23" si="13">F30</f>
        <v>5013.1365641828634</v>
      </c>
      <c r="G23" s="6">
        <f t="shared" si="13"/>
        <v>5013.1365641828634</v>
      </c>
      <c r="H23" s="6">
        <f t="shared" si="13"/>
        <v>5013.1365641828634</v>
      </c>
      <c r="I23" s="6">
        <f t="shared" si="13"/>
        <v>5013.1365641828634</v>
      </c>
      <c r="J23" s="6">
        <f t="shared" si="13"/>
        <v>5013.1365641828634</v>
      </c>
      <c r="K23" s="6">
        <f t="shared" si="13"/>
        <v>5013.1365641828634</v>
      </c>
      <c r="L23" s="6">
        <f t="shared" si="13"/>
        <v>5013.1365641828634</v>
      </c>
      <c r="M23" s="6">
        <f t="shared" si="13"/>
        <v>5013.1365641828634</v>
      </c>
      <c r="N23" s="6">
        <f t="shared" si="13"/>
        <v>5013.1365641828634</v>
      </c>
      <c r="O23" s="6">
        <f t="shared" si="13"/>
        <v>5013.1365641828634</v>
      </c>
      <c r="P23" s="6">
        <f t="shared" si="13"/>
        <v>5013.1365641828634</v>
      </c>
      <c r="R23" s="6">
        <f>SUM(E23:P23)</f>
        <v>60157.638770194346</v>
      </c>
    </row>
    <row r="24" spans="1:22" ht="15.75" thickBot="1" x14ac:dyDescent="0.3">
      <c r="A24" s="9" t="s">
        <v>1078</v>
      </c>
      <c r="B24" s="10">
        <f t="shared" ref="B24:D24" si="14">B22-B23</f>
        <v>1466.4500000000007</v>
      </c>
      <c r="C24" s="10">
        <f t="shared" si="14"/>
        <v>2990.16</v>
      </c>
      <c r="D24" s="10">
        <f t="shared" si="14"/>
        <v>1519.6299999999992</v>
      </c>
      <c r="E24" s="10">
        <f>E22+E21-E23</f>
        <v>692.01260301354523</v>
      </c>
      <c r="F24" s="10">
        <f t="shared" ref="F24:P24" si="15">F22+F21-F23</f>
        <v>1469.9874894494187</v>
      </c>
      <c r="G24" s="10">
        <f t="shared" si="15"/>
        <v>21723.025159795608</v>
      </c>
      <c r="H24" s="10">
        <f t="shared" si="15"/>
        <v>1469.9874894494187</v>
      </c>
      <c r="I24" s="10">
        <f t="shared" si="15"/>
        <v>1340.3250083767725</v>
      </c>
      <c r="J24" s="10">
        <f t="shared" si="15"/>
        <v>22371.337565158836</v>
      </c>
      <c r="K24" s="10">
        <f t="shared" si="15"/>
        <v>1210.6625273041273</v>
      </c>
      <c r="L24" s="10">
        <f t="shared" si="15"/>
        <v>1081.0000462314829</v>
      </c>
      <c r="M24" s="10">
        <f t="shared" si="15"/>
        <v>22112.012603013547</v>
      </c>
      <c r="N24" s="10">
        <f t="shared" si="15"/>
        <v>692.01260301354523</v>
      </c>
      <c r="O24" s="10">
        <f t="shared" si="15"/>
        <v>432.68764086825286</v>
      </c>
      <c r="P24" s="10">
        <f t="shared" si="15"/>
        <v>22246.000046231482</v>
      </c>
      <c r="R24" s="10">
        <f>+R21+R22-R23</f>
        <v>96841.050781906059</v>
      </c>
    </row>
    <row r="25" spans="1:22" ht="15.75" thickTop="1" x14ac:dyDescent="0.25"/>
    <row r="26" spans="1:22" x14ac:dyDescent="0.25">
      <c r="Q26" s="34"/>
      <c r="R26" t="s">
        <v>1205</v>
      </c>
    </row>
    <row r="27" spans="1:22" x14ac:dyDescent="0.25">
      <c r="A27" t="s">
        <v>1316</v>
      </c>
      <c r="B27" s="121">
        <f>'Parts - 130'!B45</f>
        <v>0</v>
      </c>
      <c r="C27" s="121">
        <f>'Parts - 130'!C45</f>
        <v>0.76128468239805047</v>
      </c>
      <c r="D27" s="121">
        <f>'Parts - 130'!D45</f>
        <v>1.1013785576281527</v>
      </c>
      <c r="E27" s="121">
        <f>'Parts - 130'!E45</f>
        <v>0.94959808165139237</v>
      </c>
      <c r="F27" s="121">
        <f>'Parts - 130'!F45</f>
        <v>1.1064977991899141</v>
      </c>
      <c r="G27" s="121">
        <f>'Parts - 130'!G45</f>
        <v>0.97155698484510733</v>
      </c>
      <c r="H27" s="121">
        <f>'Parts - 130'!H45</f>
        <v>0.97794305594811637</v>
      </c>
      <c r="I27" s="121">
        <f>'Parts - 130'!I45</f>
        <v>1.1749484104861825</v>
      </c>
      <c r="J27" s="121">
        <f>'Parts - 130'!J45</f>
        <v>1.1168473562464374</v>
      </c>
      <c r="K27" s="121">
        <f>'Parts - 130'!K45</f>
        <v>0.99466711001715158</v>
      </c>
      <c r="L27" s="121">
        <f>'Parts - 130'!L45</f>
        <v>1.0768122705289465</v>
      </c>
      <c r="M27" s="121">
        <f>'Parts - 130'!M45</f>
        <v>0.83446353634403247</v>
      </c>
      <c r="N27" s="121">
        <f>'Parts - 130'!N45</f>
        <v>0.80791627965199664</v>
      </c>
      <c r="O27" s="121">
        <f>'Parts - 130'!O45</f>
        <v>1.0407322168785922</v>
      </c>
      <c r="P27" s="121">
        <f>'Parts - 130'!P45</f>
        <v>0.94801689821212898</v>
      </c>
      <c r="Q27" s="34"/>
      <c r="R27" s="7">
        <f>AVERAGE($E$4:$P$4)</f>
        <v>26907.285833333332</v>
      </c>
    </row>
    <row r="28" spans="1:22" x14ac:dyDescent="0.25">
      <c r="A28" s="137" t="s">
        <v>1345</v>
      </c>
      <c r="B28" s="137"/>
      <c r="C28" s="137"/>
      <c r="D28" s="137"/>
      <c r="E28" s="282">
        <v>0.95652173913043481</v>
      </c>
      <c r="F28" s="282">
        <v>1.0869565217391304</v>
      </c>
      <c r="G28" s="282">
        <v>0.89130434782608692</v>
      </c>
      <c r="H28" s="282">
        <v>1.0869565217391304</v>
      </c>
      <c r="I28" s="282">
        <v>1.0652173913043479</v>
      </c>
      <c r="J28" s="282">
        <v>1</v>
      </c>
      <c r="K28" s="282">
        <v>1.0434782608695652</v>
      </c>
      <c r="L28" s="282">
        <v>1.0217391304347827</v>
      </c>
      <c r="M28" s="282">
        <v>0.95652173913043481</v>
      </c>
      <c r="N28" s="282">
        <v>0.95652173913043481</v>
      </c>
      <c r="O28" s="282">
        <v>0.91304347826086951</v>
      </c>
      <c r="P28" s="282">
        <v>1.0217391304347827</v>
      </c>
      <c r="Q28" s="34"/>
      <c r="R28" s="6"/>
    </row>
    <row r="30" spans="1:22" x14ac:dyDescent="0.25">
      <c r="A30" s="7" t="s">
        <v>1076</v>
      </c>
      <c r="E30" s="6">
        <f>SUMIFS('[18]Summary - Selling Expenses'!Z:Z,'[18]Summary - Selling Expenses'!$E:$E,3,'[18]Summary - Selling Expenses'!$C:$C,132)</f>
        <v>5013.1365641828634</v>
      </c>
      <c r="F30" s="6">
        <f>SUMIFS('[18]Summary - Selling Expenses'!AA:AA,'[18]Summary - Selling Expenses'!$E:$E,3,'[18]Summary - Selling Expenses'!$C:$C,132)</f>
        <v>5013.1365641828634</v>
      </c>
      <c r="G30" s="6">
        <f>SUMIFS('[18]Summary - Selling Expenses'!AB:AB,'[18]Summary - Selling Expenses'!$E:$E,3,'[18]Summary - Selling Expenses'!$C:$C,132)</f>
        <v>5013.1365641828634</v>
      </c>
      <c r="H30" s="6">
        <f>SUMIFS('[18]Summary - Selling Expenses'!AC:AC,'[18]Summary - Selling Expenses'!$E:$E,3,'[18]Summary - Selling Expenses'!$C:$C,132)</f>
        <v>5013.1365641828634</v>
      </c>
      <c r="I30" s="6">
        <f>SUMIFS('[18]Summary - Selling Expenses'!AD:AD,'[18]Summary - Selling Expenses'!$E:$E,3,'[18]Summary - Selling Expenses'!$C:$C,132)</f>
        <v>5013.1365641828634</v>
      </c>
      <c r="J30" s="6">
        <f>SUMIFS('[18]Summary - Selling Expenses'!AE:AE,'[18]Summary - Selling Expenses'!$E:$E,3,'[18]Summary - Selling Expenses'!$C:$C,132)</f>
        <v>5013.1365641828634</v>
      </c>
      <c r="K30" s="6">
        <f>SUMIFS('[18]Summary - Selling Expenses'!AF:AF,'[18]Summary - Selling Expenses'!$E:$E,3,'[18]Summary - Selling Expenses'!$C:$C,132)</f>
        <v>5013.1365641828634</v>
      </c>
      <c r="L30" s="6">
        <f>SUMIFS('[18]Summary - Selling Expenses'!AG:AG,'[18]Summary - Selling Expenses'!$E:$E,3,'[18]Summary - Selling Expenses'!$C:$C,132)</f>
        <v>5013.1365641828634</v>
      </c>
      <c r="M30" s="6">
        <f>SUMIFS('[18]Summary - Selling Expenses'!AH:AH,'[18]Summary - Selling Expenses'!$E:$E,3,'[18]Summary - Selling Expenses'!$C:$C,132)</f>
        <v>5013.1365641828634</v>
      </c>
      <c r="N30" s="6">
        <f>SUMIFS('[18]Summary - Selling Expenses'!AI:AI,'[18]Summary - Selling Expenses'!$E:$E,3,'[18]Summary - Selling Expenses'!$C:$C,132)</f>
        <v>5013.1365641828634</v>
      </c>
      <c r="O30" s="6">
        <f>SUMIFS('[18]Summary - Selling Expenses'!AJ:AJ,'[18]Summary - Selling Expenses'!$E:$E,3,'[18]Summary - Selling Expenses'!$C:$C,132)</f>
        <v>5013.1365641828634</v>
      </c>
      <c r="P30" s="6">
        <f>SUMIFS('[18]Summary - Selling Expenses'!AK:AK,'[18]Summary - Selling Expenses'!$E:$E,3,'[18]Summary - Selling Expenses'!$C:$C,132)</f>
        <v>5013.1365641828634</v>
      </c>
      <c r="R30" s="6">
        <f>SUM(E30:P30)</f>
        <v>60157.638770194346</v>
      </c>
    </row>
    <row r="31" spans="1:22" x14ac:dyDescent="0.25">
      <c r="R31" s="7">
        <f>R30-SUMIFS('[18]Summary - Selling Expenses'!$AL:$AL,'[18]Summary - Selling Expenses'!$D:$D,'[18]Summary - Selling Expenses'!$D$96,'[18]Summary - Selling Expenses'!$C:$C,132)</f>
        <v>0</v>
      </c>
      <c r="S31" s="34" t="s">
        <v>1093</v>
      </c>
    </row>
    <row r="32" spans="1:22" x14ac:dyDescent="0.25">
      <c r="A32" t="s">
        <v>1319</v>
      </c>
      <c r="E32" s="7">
        <f>E9</f>
        <v>3237</v>
      </c>
      <c r="F32" s="7">
        <f t="shared" ref="F32:P32" si="16">F9</f>
        <v>3237</v>
      </c>
      <c r="G32" s="7">
        <f t="shared" si="16"/>
        <v>4203</v>
      </c>
      <c r="H32" s="7">
        <f t="shared" si="16"/>
        <v>3916</v>
      </c>
      <c r="I32" s="7">
        <f t="shared" si="16"/>
        <v>4810</v>
      </c>
      <c r="J32" s="7">
        <f t="shared" si="16"/>
        <v>4643</v>
      </c>
      <c r="K32" s="7">
        <f t="shared" si="16"/>
        <v>6709.8099999999977</v>
      </c>
      <c r="L32" s="7">
        <f t="shared" si="16"/>
        <v>9066.75</v>
      </c>
      <c r="M32" s="7">
        <f t="shared" si="16"/>
        <v>7483.0400000000009</v>
      </c>
      <c r="N32" s="7">
        <f t="shared" si="16"/>
        <v>7783.4500000000007</v>
      </c>
      <c r="O32" s="7">
        <f t="shared" si="16"/>
        <v>7781.1599999999989</v>
      </c>
      <c r="P32" s="7">
        <f t="shared" si="16"/>
        <v>5687.6299999999992</v>
      </c>
      <c r="Q32"/>
      <c r="R32" s="6">
        <f>SUM(E32:P32)</f>
        <v>68557.84</v>
      </c>
    </row>
    <row r="33" spans="1:18" x14ac:dyDescent="0.25">
      <c r="A33" t="s">
        <v>1320</v>
      </c>
      <c r="E33" s="7">
        <f>E22</f>
        <v>5705.1491671964086</v>
      </c>
      <c r="F33" s="7">
        <f t="shared" ref="F33:P33" si="17">F22</f>
        <v>6483.1240536322821</v>
      </c>
      <c r="G33" s="7">
        <f t="shared" si="17"/>
        <v>5316.1617239784709</v>
      </c>
      <c r="H33" s="7">
        <f t="shared" si="17"/>
        <v>6483.1240536322821</v>
      </c>
      <c r="I33" s="7">
        <f t="shared" si="17"/>
        <v>6353.4615725596359</v>
      </c>
      <c r="J33" s="7">
        <f t="shared" si="17"/>
        <v>5964.4741293416992</v>
      </c>
      <c r="K33" s="7">
        <f t="shared" si="17"/>
        <v>6223.7990914869906</v>
      </c>
      <c r="L33" s="7">
        <f t="shared" si="17"/>
        <v>6094.1366104143463</v>
      </c>
      <c r="M33" s="7">
        <f t="shared" si="17"/>
        <v>5705.1491671964086</v>
      </c>
      <c r="N33" s="7">
        <f t="shared" si="17"/>
        <v>5705.1491671964086</v>
      </c>
      <c r="O33" s="7">
        <f t="shared" si="17"/>
        <v>5445.8242050511162</v>
      </c>
      <c r="P33" s="7">
        <f t="shared" si="17"/>
        <v>6094.1366104143463</v>
      </c>
      <c r="Q33"/>
      <c r="R33" s="6">
        <f>SUM(E33:P33)</f>
        <v>71573.689552100404</v>
      </c>
    </row>
    <row r="34" spans="1:18" x14ac:dyDescent="0.25">
      <c r="A34" t="s">
        <v>1321</v>
      </c>
      <c r="E34" s="7">
        <f>E9+E8</f>
        <v>3237</v>
      </c>
      <c r="F34" s="7">
        <f t="shared" ref="F34:P34" si="18">F9+F8</f>
        <v>3237</v>
      </c>
      <c r="G34" s="7">
        <f t="shared" si="18"/>
        <v>46463.88</v>
      </c>
      <c r="H34" s="7">
        <f t="shared" si="18"/>
        <v>3916</v>
      </c>
      <c r="I34" s="7">
        <f t="shared" si="18"/>
        <v>4810</v>
      </c>
      <c r="J34" s="7">
        <f t="shared" si="18"/>
        <v>44034.3</v>
      </c>
      <c r="K34" s="7">
        <f t="shared" si="18"/>
        <v>6709.8099999999977</v>
      </c>
      <c r="L34" s="7">
        <f t="shared" si="18"/>
        <v>9066.75</v>
      </c>
      <c r="M34" s="7">
        <f t="shared" si="18"/>
        <v>36961.300000000003</v>
      </c>
      <c r="N34" s="7">
        <f t="shared" si="18"/>
        <v>7783.4500000000007</v>
      </c>
      <c r="O34" s="7">
        <f t="shared" si="18"/>
        <v>7781.1599999999989</v>
      </c>
      <c r="P34" s="7">
        <f t="shared" si="18"/>
        <v>40122.409999999996</v>
      </c>
      <c r="Q34"/>
      <c r="R34" s="6">
        <f>SUM(E34:P34)</f>
        <v>214123.06</v>
      </c>
    </row>
    <row r="35" spans="1:18" x14ac:dyDescent="0.25">
      <c r="A35" t="s">
        <v>1322</v>
      </c>
      <c r="E35" s="7">
        <f>E22+E21</f>
        <v>5705.1491671964086</v>
      </c>
      <c r="F35" s="7">
        <f t="shared" ref="F35:P35" si="19">F22+F21</f>
        <v>6483.1240536322821</v>
      </c>
      <c r="G35" s="7">
        <f t="shared" si="19"/>
        <v>26736.161723978472</v>
      </c>
      <c r="H35" s="7">
        <f t="shared" si="19"/>
        <v>6483.1240536322821</v>
      </c>
      <c r="I35" s="7">
        <f t="shared" si="19"/>
        <v>6353.4615725596359</v>
      </c>
      <c r="J35" s="7">
        <f t="shared" si="19"/>
        <v>27384.474129341699</v>
      </c>
      <c r="K35" s="7">
        <f t="shared" si="19"/>
        <v>6223.7990914869906</v>
      </c>
      <c r="L35" s="7">
        <f t="shared" si="19"/>
        <v>6094.1366104143463</v>
      </c>
      <c r="M35" s="7">
        <f t="shared" si="19"/>
        <v>27125.14916719641</v>
      </c>
      <c r="N35" s="7">
        <f t="shared" si="19"/>
        <v>5705.1491671964086</v>
      </c>
      <c r="O35" s="7">
        <f t="shared" si="19"/>
        <v>5445.8242050511162</v>
      </c>
      <c r="P35" s="7">
        <f t="shared" si="19"/>
        <v>27259.136610414345</v>
      </c>
      <c r="Q35"/>
      <c r="R35" s="6">
        <f>SUM(E35:P35)</f>
        <v>156998.6895521004</v>
      </c>
    </row>
  </sheetData>
  <pageMargins left="0.7" right="0.7" top="0.75" bottom="0.75" header="0.3" footer="0.3"/>
  <pageSetup paperSize="9" orientation="portrait"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2FE6C-90F4-41F0-B68A-240FE7E2B595}">
  <sheetPr codeName="Sheet29">
    <tabColor theme="9" tint="0.79998168889431442"/>
  </sheetPr>
  <dimension ref="A1:V47"/>
  <sheetViews>
    <sheetView topLeftCell="A5" workbookViewId="0">
      <selection activeCell="P18" sqref="P18"/>
    </sheetView>
  </sheetViews>
  <sheetFormatPr defaultRowHeight="15" x14ac:dyDescent="0.25"/>
  <cols>
    <col min="1" max="1" width="29.42578125" bestFit="1" customWidth="1"/>
    <col min="2" max="4" width="11.140625" hidden="1" customWidth="1"/>
    <col min="5" max="16" width="11.140625" bestFit="1" customWidth="1"/>
    <col min="17" max="17" width="2.85546875" customWidth="1"/>
    <col min="18" max="18" width="12.42578125" customWidth="1"/>
    <col min="19" max="19" width="9.140625" style="122"/>
    <col min="20" max="20" width="12.140625" customWidth="1"/>
    <col min="21" max="21" width="10.28515625" bestFit="1" customWidth="1"/>
  </cols>
  <sheetData>
    <row r="1" spans="1:22" ht="15.75" x14ac:dyDescent="0.25">
      <c r="A1" s="11" t="s">
        <v>1213</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4" spans="1:22" x14ac:dyDescent="0.25">
      <c r="A4" s="7" t="s">
        <v>1214</v>
      </c>
      <c r="B4" s="6">
        <f>'[3]LEX SERVICE'!$B$9</f>
        <v>43424.36</v>
      </c>
      <c r="C4" s="6">
        <f>'[4]LEX SERVICE'!$B$9</f>
        <v>35336.959999999999</v>
      </c>
      <c r="D4" s="6">
        <f>'[5]LEX SERVICE'!$B$9</f>
        <v>87987.93</v>
      </c>
      <c r="E4" s="6">
        <f>'[6]LEX SERVICE'!$B$9</f>
        <v>69499.11</v>
      </c>
      <c r="F4" s="6">
        <f>'[7]LEX SERVICE'!$B$9</f>
        <v>103356.87</v>
      </c>
      <c r="G4" s="6">
        <f>'[8]LEX SERVICE'!$B$9</f>
        <v>80772.2</v>
      </c>
      <c r="H4" s="6">
        <f>'[9]LEX SERVICE'!$B$9</f>
        <v>87357.299999999988</v>
      </c>
      <c r="I4" s="6">
        <f>'[10]LEX SERVICE'!$B$9</f>
        <v>89775.07</v>
      </c>
      <c r="J4" s="6">
        <f>'[11]LEX SERVICE'!$B$9</f>
        <v>84456.08</v>
      </c>
      <c r="K4" s="6">
        <f>'[12]LEX SERVICE'!$B$9</f>
        <v>61745.34</v>
      </c>
      <c r="L4" s="6">
        <f>'[13]LEX SERVICE'!$B$9</f>
        <v>77473.399999999994</v>
      </c>
      <c r="M4" s="6">
        <f>'[14]LEX SERVICE'!$B$9</f>
        <v>67884.45</v>
      </c>
      <c r="N4" s="6">
        <f>'[15]LEX SERVICE'!$B$9</f>
        <v>67853.27</v>
      </c>
      <c r="O4" s="6">
        <f>'[16]LEX SERVICE'!$B$9</f>
        <v>70588.42</v>
      </c>
      <c r="P4" s="6">
        <f>'[17]LEX SERVICE'!$B$9</f>
        <v>71135.87</v>
      </c>
      <c r="Q4" s="8"/>
      <c r="R4" s="6">
        <f>SUM(E4:P4)</f>
        <v>931897.38</v>
      </c>
    </row>
    <row r="5" spans="1:22" x14ac:dyDescent="0.25">
      <c r="A5" s="7" t="s">
        <v>1215</v>
      </c>
      <c r="B5" s="6">
        <f t="shared" ref="B5:N5" si="0">B6-B4</f>
        <v>21774.300000000003</v>
      </c>
      <c r="C5" s="6">
        <f t="shared" si="0"/>
        <v>20630.400000000001</v>
      </c>
      <c r="D5" s="6">
        <f t="shared" si="0"/>
        <v>78184.56</v>
      </c>
      <c r="E5" s="6">
        <f t="shared" si="0"/>
        <v>27644.899999999994</v>
      </c>
      <c r="F5" s="6">
        <f t="shared" si="0"/>
        <v>39357.609999999986</v>
      </c>
      <c r="G5" s="6">
        <f t="shared" si="0"/>
        <v>41322.229999999996</v>
      </c>
      <c r="H5" s="6">
        <f t="shared" si="0"/>
        <v>36799.25</v>
      </c>
      <c r="I5" s="6">
        <f t="shared" si="0"/>
        <v>29834.48000000001</v>
      </c>
      <c r="J5" s="6">
        <f t="shared" si="0"/>
        <v>31148.940000000017</v>
      </c>
      <c r="K5" s="6">
        <f t="shared" si="0"/>
        <v>37953.839999999997</v>
      </c>
      <c r="L5" s="6">
        <f t="shared" si="0"/>
        <v>34724.449999999997</v>
      </c>
      <c r="M5" s="6">
        <f t="shared" si="0"/>
        <v>37802.749999999985</v>
      </c>
      <c r="N5" s="6">
        <f t="shared" si="0"/>
        <v>34659.62999999999</v>
      </c>
      <c r="O5" s="6">
        <f t="shared" ref="O5" si="1">O6-O4</f>
        <v>40994.949999999997</v>
      </c>
      <c r="P5" s="6">
        <f>P6-P4</f>
        <v>37345.53</v>
      </c>
      <c r="Q5" s="1"/>
      <c r="R5" s="6">
        <f>SUM(E5:P5)</f>
        <v>429588.56000000006</v>
      </c>
    </row>
    <row r="6" spans="1:22" x14ac:dyDescent="0.25">
      <c r="A6" s="7" t="s">
        <v>1216</v>
      </c>
      <c r="B6" s="6">
        <f>'[3]LEX SERVICE'!$B$12</f>
        <v>65198.66</v>
      </c>
      <c r="C6" s="6">
        <f>'[4]LEX SERVICE'!$B$12</f>
        <v>55967.360000000001</v>
      </c>
      <c r="D6" s="6">
        <f>'[5]LEX SERVICE'!$B$12</f>
        <v>166172.49</v>
      </c>
      <c r="E6" s="6">
        <f>'[6]LEX SERVICE'!$B$12</f>
        <v>97144.01</v>
      </c>
      <c r="F6" s="6">
        <f>'[7]LEX SERVICE'!$B$12</f>
        <v>142714.47999999998</v>
      </c>
      <c r="G6" s="6">
        <f>'[8]LEX SERVICE'!$B$12</f>
        <v>122094.43</v>
      </c>
      <c r="H6" s="6">
        <f>'[9]LEX SERVICE'!$B$12</f>
        <v>124156.54999999999</v>
      </c>
      <c r="I6" s="6">
        <f>'[10]LEX SERVICE'!$B$12</f>
        <v>119609.55000000002</v>
      </c>
      <c r="J6" s="6">
        <f>'[11]LEX SERVICE'!$B$12</f>
        <v>115605.02000000002</v>
      </c>
      <c r="K6" s="6">
        <f>'[12]LEX SERVICE'!$B$12</f>
        <v>99699.18</v>
      </c>
      <c r="L6" s="6">
        <f>'[13]LEX SERVICE'!$B$12</f>
        <v>112197.84999999999</v>
      </c>
      <c r="M6" s="6">
        <f>'[14]LEX SERVICE'!$B$12</f>
        <v>105687.19999999998</v>
      </c>
      <c r="N6" s="6">
        <f>'[15]LEX SERVICE'!$B$12</f>
        <v>102512.9</v>
      </c>
      <c r="O6" s="6">
        <f>'[16]LEX SERVICE'!$B$12</f>
        <v>111583.37</v>
      </c>
      <c r="P6" s="6">
        <f>'[17]LEX SERVICE'!$B$12</f>
        <v>108481.4</v>
      </c>
      <c r="Q6" s="3"/>
      <c r="R6" s="6">
        <f>SUM(E6:P6)</f>
        <v>1361485.94</v>
      </c>
    </row>
    <row r="7" spans="1:22" x14ac:dyDescent="0.25">
      <c r="A7" t="s">
        <v>1217</v>
      </c>
      <c r="B7" s="2">
        <f>'[3]LEX SERVICE'!$B$33</f>
        <v>2.5</v>
      </c>
      <c r="C7" s="2">
        <f>'[4]LEX SERVICE'!$B$33</f>
        <v>2.5</v>
      </c>
      <c r="D7" s="2">
        <f>'[5]LEX SERVICE'!$B$33</f>
        <v>3</v>
      </c>
      <c r="E7" s="237">
        <f>'[6]LEX SERVICE'!$B$33</f>
        <v>3</v>
      </c>
      <c r="F7" s="237">
        <f>'[7]LEX SERVICE'!$B$33</f>
        <v>3</v>
      </c>
      <c r="G7" s="237">
        <f>'[8]LEX SERVICE'!$B$33</f>
        <v>3</v>
      </c>
      <c r="H7" s="237">
        <f>'[9]LEX SERVICE'!$B$33</f>
        <v>3</v>
      </c>
      <c r="I7" s="237">
        <f>'[10]LEX SERVICE'!$B$33</f>
        <v>3</v>
      </c>
      <c r="J7" s="237">
        <f>'[11]LEX SERVICE'!$B$33</f>
        <v>3</v>
      </c>
      <c r="K7" s="237">
        <f>'[12]LEX SERVICE'!$B$33</f>
        <v>3</v>
      </c>
      <c r="L7" s="237">
        <f>'[13]LEX SERVICE'!$B$33</f>
        <v>3</v>
      </c>
      <c r="M7" s="237">
        <f>'[14]LEX SERVICE'!$B$33</f>
        <v>3</v>
      </c>
      <c r="N7" s="237">
        <f>'[15]LEX SERVICE'!$B$33</f>
        <v>3</v>
      </c>
      <c r="O7" s="237">
        <f>'[16]LEX SERVICE'!$B$33</f>
        <v>2.5</v>
      </c>
      <c r="P7" s="237">
        <f>O7</f>
        <v>2.5</v>
      </c>
      <c r="Q7" s="237"/>
      <c r="R7" s="237">
        <f>AVERAGE(E7:P7)</f>
        <v>2.9166666666666665</v>
      </c>
      <c r="T7" s="134">
        <f>AVERAGE(E7:O7)</f>
        <v>2.9545454545454546</v>
      </c>
      <c r="V7" s="2"/>
    </row>
    <row r="8" spans="1:22" x14ac:dyDescent="0.25">
      <c r="A8" t="s">
        <v>1218</v>
      </c>
      <c r="B8" s="3">
        <f>'[3]LEX SERVICE'!$B$17</f>
        <v>0.748355531319287</v>
      </c>
      <c r="C8" s="3">
        <f>'[4]LEX SERVICE'!$B$17</f>
        <v>0.69894410837830978</v>
      </c>
      <c r="D8" s="3">
        <f>'[5]LEX SERVICE'!$B$17</f>
        <v>0.75256333453918067</v>
      </c>
      <c r="E8" s="3">
        <f>'[6]LEX SERVICE'!$B$17</f>
        <v>0.61950577496603909</v>
      </c>
      <c r="F8" s="3">
        <f>'[7]LEX SERVICE'!$B$17</f>
        <v>0.7289306458293483</v>
      </c>
      <c r="G8" s="3">
        <f>'[8]LEX SERVICE'!$B$17</f>
        <v>0.61092331272393219</v>
      </c>
      <c r="H8" s="3">
        <f>'[9]LEX SERVICE'!$B$17</f>
        <v>0.58511812979567812</v>
      </c>
      <c r="I8" s="3">
        <f>'[10]LEX SERVICE'!$B$17</f>
        <v>0.65887489700648527</v>
      </c>
      <c r="J8" s="3">
        <f>'[11]LEX SERVICE'!$B$17</f>
        <v>0.62856054886752966</v>
      </c>
      <c r="K8" s="3">
        <f>'[12]LEX SERVICE'!$B$17</f>
        <v>0.72867571868581504</v>
      </c>
      <c r="L8" s="3">
        <f>'[13]LEX SERVICE'!$B$17</f>
        <v>0.70550808406498244</v>
      </c>
      <c r="M8" s="3">
        <f>'[14]LEX SERVICE'!$B$17</f>
        <v>0.6851186096374059</v>
      </c>
      <c r="N8" s="3">
        <f>'[15]LEX SERVICE'!$B$17</f>
        <v>0.47241673098437265</v>
      </c>
      <c r="O8" s="3">
        <f>'[16]LEX SERVICE'!$B$17</f>
        <v>0.49454287261281665</v>
      </c>
      <c r="P8" s="3">
        <f>'[17]LEX SERVICE'!$B$17</f>
        <v>0.57069970466376529</v>
      </c>
      <c r="Q8" s="3"/>
      <c r="R8" s="3">
        <f>R14/R4</f>
        <v>0.62754970938967547</v>
      </c>
      <c r="T8" s="7"/>
      <c r="V8" s="3"/>
    </row>
    <row r="9" spans="1:22" x14ac:dyDescent="0.25">
      <c r="A9" t="s">
        <v>1219</v>
      </c>
      <c r="B9" s="3">
        <f>'[3]LEX SERVICE'!$B$20</f>
        <v>0.60234612183747327</v>
      </c>
      <c r="C9" s="3">
        <f>'[4]LEX SERVICE'!$B$20</f>
        <v>0.58485249259568428</v>
      </c>
      <c r="D9" s="3">
        <f>'[5]LEX SERVICE'!$B$20</f>
        <v>0.72940448807140112</v>
      </c>
      <c r="E9" s="3">
        <f>'[6]LEX SERVICE'!$B$20</f>
        <v>0.59958447257839154</v>
      </c>
      <c r="F9" s="3">
        <f>'[7]LEX SERVICE'!$B$20</f>
        <v>0.61741296328165163</v>
      </c>
      <c r="G9" s="3">
        <f>'[8]LEX SERVICE'!$B$20</f>
        <v>0.50589957297806298</v>
      </c>
      <c r="H9" s="3">
        <f>'[9]LEX SERVICE'!$B$20</f>
        <v>0.51235959762090677</v>
      </c>
      <c r="I9" s="3">
        <f>'[10]LEX SERVICE'!$B$20</f>
        <v>0.57368805417293178</v>
      </c>
      <c r="J9" s="3">
        <f>'[11]LEX SERVICE'!$B$20</f>
        <v>0.51281605245170137</v>
      </c>
      <c r="K9" s="3">
        <f>'[12]LEX SERVICE'!$B$20</f>
        <v>0.55857851589150487</v>
      </c>
      <c r="L9" s="3">
        <f>'[13]LEX SERVICE'!$B$20</f>
        <v>0.58243780963717229</v>
      </c>
      <c r="M9" s="3">
        <f>'[14]LEX SERVICE'!$B$20</f>
        <v>0.55492964143245349</v>
      </c>
      <c r="N9" s="3">
        <f>'[15]LEX SERVICE'!$B$20</f>
        <v>0.49205660946085822</v>
      </c>
      <c r="O9" s="3">
        <f>'[16]LEX SERVICE'!$B$20</f>
        <v>0.45980480783113115</v>
      </c>
      <c r="P9" s="3">
        <f>'[17]LEX SERVICE'!$B$20</f>
        <v>0.59419338246003461</v>
      </c>
      <c r="Q9" s="3"/>
      <c r="R9" s="3">
        <f>R15/R5</f>
        <v>0.37413840815500293</v>
      </c>
      <c r="V9" s="3"/>
    </row>
    <row r="10" spans="1:22" x14ac:dyDescent="0.25">
      <c r="A10" t="s">
        <v>1220</v>
      </c>
      <c r="B10" s="3">
        <f>'[3]LEX SERVICE'!$B$24</f>
        <v>0.47515286357112252</v>
      </c>
      <c r="C10" s="3">
        <f>'[4]LEX SERVICE'!$B$24</f>
        <v>0.45469859575295313</v>
      </c>
      <c r="D10" s="3">
        <f>'[5]LEX SERVICE'!$B$24</f>
        <v>0.98841017547489374</v>
      </c>
      <c r="E10" s="3">
        <f>'[6]LEX SERVICE'!$B$24</f>
        <v>0.42230550293322261</v>
      </c>
      <c r="F10" s="3">
        <f>'[7]LEX SERVICE'!$B$24</f>
        <v>0.2329001233792114</v>
      </c>
      <c r="G10" s="3">
        <f>'[8]LEX SERVICE'!$B$24</f>
        <v>0.34962151836082944</v>
      </c>
      <c r="H10" s="3">
        <f>'[9]LEX SERVICE'!$B$24</f>
        <v>0.39793365714495132</v>
      </c>
      <c r="I10" s="3">
        <f>'[10]LEX SERVICE'!$B$24</f>
        <v>0.37312279830498479</v>
      </c>
      <c r="J10" s="3">
        <f>'[11]LEX SERVICE'!$B$24</f>
        <v>0.4402284606671924</v>
      </c>
      <c r="K10" s="3">
        <f>'[12]LEX SERVICE'!$B$24</f>
        <v>0.5568300561749856</v>
      </c>
      <c r="L10" s="3">
        <f>'[13]LEX SERVICE'!$B$24</f>
        <v>0.47239372233959925</v>
      </c>
      <c r="M10" s="3">
        <f>'[14]LEX SERVICE'!$B$24</f>
        <v>0.44624580838549993</v>
      </c>
      <c r="N10" s="3">
        <f>'[15]LEX SERVICE'!$B$24</f>
        <v>0.36143256117035033</v>
      </c>
      <c r="O10" s="3">
        <f>'[16]LEX SERVICE'!$B$24</f>
        <v>0.34124332326582363</v>
      </c>
      <c r="P10" s="3">
        <f>'[17]LEX SERVICE'!$B$24</f>
        <v>0.43815455921475943</v>
      </c>
      <c r="Q10" s="3"/>
      <c r="R10" s="3">
        <f>R16/R6</f>
        <v>0.54759104600081299</v>
      </c>
      <c r="V10" s="3"/>
    </row>
    <row r="11" spans="1:22" s="7" customFormat="1" x14ac:dyDescent="0.25">
      <c r="A11" s="7" t="s">
        <v>1221</v>
      </c>
      <c r="B11" s="6">
        <f t="shared" ref="B11:N11" si="2">B4/B7</f>
        <v>17369.743999999999</v>
      </c>
      <c r="C11" s="6">
        <f t="shared" si="2"/>
        <v>14134.784</v>
      </c>
      <c r="D11" s="6">
        <f t="shared" si="2"/>
        <v>29329.309999999998</v>
      </c>
      <c r="E11" s="6">
        <f t="shared" si="2"/>
        <v>23166.37</v>
      </c>
      <c r="F11" s="6">
        <f t="shared" si="2"/>
        <v>34452.29</v>
      </c>
      <c r="G11" s="6">
        <f t="shared" si="2"/>
        <v>26924.066666666666</v>
      </c>
      <c r="H11" s="6">
        <f t="shared" si="2"/>
        <v>29119.099999999995</v>
      </c>
      <c r="I11" s="6">
        <f t="shared" si="2"/>
        <v>29925.023333333334</v>
      </c>
      <c r="J11" s="6">
        <f t="shared" si="2"/>
        <v>28152.026666666668</v>
      </c>
      <c r="K11" s="6">
        <f t="shared" si="2"/>
        <v>20581.78</v>
      </c>
      <c r="L11" s="6">
        <f t="shared" si="2"/>
        <v>25824.466666666664</v>
      </c>
      <c r="M11" s="6">
        <f t="shared" si="2"/>
        <v>22628.149999999998</v>
      </c>
      <c r="N11" s="6">
        <f t="shared" si="2"/>
        <v>22617.756666666668</v>
      </c>
      <c r="O11" s="6">
        <f t="shared" ref="O11" si="3">O4/O7</f>
        <v>28235.367999999999</v>
      </c>
      <c r="P11" s="6">
        <f>P4/P7</f>
        <v>28454.347999999998</v>
      </c>
      <c r="Q11" s="6"/>
      <c r="R11" s="6">
        <f>AVERAGE(E11:P11)</f>
        <v>26673.395500000002</v>
      </c>
      <c r="S11" s="122"/>
      <c r="T11"/>
      <c r="U11"/>
      <c r="V11" s="6"/>
    </row>
    <row r="12" spans="1:22" s="7" customFormat="1" x14ac:dyDescent="0.25">
      <c r="A12" s="7" t="s">
        <v>1222</v>
      </c>
      <c r="B12" s="6">
        <f>B14/B7</f>
        <v>12998.743999999997</v>
      </c>
      <c r="C12" s="6">
        <f t="shared" ref="C12:N12" si="4">C14/C7</f>
        <v>9879.4239999999991</v>
      </c>
      <c r="D12" s="6">
        <f t="shared" si="4"/>
        <v>22072.163333333334</v>
      </c>
      <c r="E12" s="6">
        <f t="shared" si="4"/>
        <v>14351.699999999999</v>
      </c>
      <c r="F12" s="6">
        <f t="shared" si="4"/>
        <v>25113.329999999998</v>
      </c>
      <c r="G12" s="6">
        <f t="shared" si="4"/>
        <v>16448.539999999997</v>
      </c>
      <c r="H12" s="6">
        <f t="shared" si="4"/>
        <v>17038.113333333327</v>
      </c>
      <c r="I12" s="6">
        <f t="shared" si="4"/>
        <v>19716.846666666668</v>
      </c>
      <c r="J12" s="6">
        <f t="shared" si="4"/>
        <v>17695.25333333333</v>
      </c>
      <c r="K12" s="6">
        <f t="shared" si="4"/>
        <v>14997.443333333335</v>
      </c>
      <c r="L12" s="6">
        <f t="shared" si="4"/>
        <v>18219.370000000003</v>
      </c>
      <c r="M12" s="6">
        <f t="shared" si="4"/>
        <v>15502.966666666665</v>
      </c>
      <c r="N12" s="6">
        <f t="shared" si="4"/>
        <v>10685.006666666668</v>
      </c>
      <c r="O12" s="6">
        <f t="shared" ref="O12" si="5">O14/O7</f>
        <v>13963.6</v>
      </c>
      <c r="P12" s="6">
        <f>P14/P7</f>
        <v>16238.888000000001</v>
      </c>
      <c r="Q12" s="6"/>
      <c r="R12" s="6">
        <f>AVERAGE(E12:P12)</f>
        <v>16664.254833333336</v>
      </c>
      <c r="S12" s="122"/>
      <c r="T12"/>
      <c r="U12"/>
      <c r="V12" s="6"/>
    </row>
    <row r="13" spans="1:22" s="7" customFormat="1" x14ac:dyDescent="0.25">
      <c r="B13" s="6"/>
      <c r="C13" s="6"/>
      <c r="D13" s="6"/>
      <c r="E13" s="6"/>
      <c r="F13" s="6"/>
      <c r="G13" s="6"/>
      <c r="H13" s="6"/>
      <c r="I13" s="6"/>
      <c r="J13" s="6"/>
      <c r="K13" s="6"/>
      <c r="L13" s="6"/>
      <c r="M13" s="6"/>
      <c r="N13" s="6"/>
      <c r="O13" s="6"/>
      <c r="P13" s="6"/>
      <c r="Q13" s="6"/>
      <c r="R13" s="6"/>
      <c r="S13" s="122"/>
      <c r="T13" t="s">
        <v>1234</v>
      </c>
      <c r="U13" t="s">
        <v>1235</v>
      </c>
      <c r="V13" s="6"/>
    </row>
    <row r="14" spans="1:22" x14ac:dyDescent="0.25">
      <c r="A14" s="7" t="s">
        <v>1223</v>
      </c>
      <c r="B14" s="6">
        <f>B4*B8</f>
        <v>32496.859999999993</v>
      </c>
      <c r="C14" s="6">
        <f t="shared" ref="C14:N14" si="6">C4*C8</f>
        <v>24698.559999999998</v>
      </c>
      <c r="D14" s="6">
        <f t="shared" si="6"/>
        <v>66216.490000000005</v>
      </c>
      <c r="E14" s="6">
        <f t="shared" si="6"/>
        <v>43055.1</v>
      </c>
      <c r="F14" s="6">
        <f t="shared" si="6"/>
        <v>75339.989999999991</v>
      </c>
      <c r="G14" s="6">
        <f t="shared" si="6"/>
        <v>49345.619999999995</v>
      </c>
      <c r="H14" s="6">
        <f t="shared" si="6"/>
        <v>51114.339999999982</v>
      </c>
      <c r="I14" s="6">
        <f t="shared" si="6"/>
        <v>59150.540000000008</v>
      </c>
      <c r="J14" s="6">
        <f t="shared" si="6"/>
        <v>53085.759999999995</v>
      </c>
      <c r="K14" s="6">
        <f t="shared" si="6"/>
        <v>44992.33</v>
      </c>
      <c r="L14" s="6">
        <f t="shared" si="6"/>
        <v>54658.110000000008</v>
      </c>
      <c r="M14" s="6">
        <f t="shared" si="6"/>
        <v>46508.899999999994</v>
      </c>
      <c r="N14" s="6">
        <f t="shared" si="6"/>
        <v>32055.020000000004</v>
      </c>
      <c r="O14" s="6">
        <f t="shared" ref="O14:P14" si="7">O4*O8</f>
        <v>34909</v>
      </c>
      <c r="P14" s="6">
        <f t="shared" si="7"/>
        <v>40597.22</v>
      </c>
      <c r="R14" s="6">
        <f>SUM(E14:P14)</f>
        <v>584811.92999999993</v>
      </c>
      <c r="T14" s="7">
        <f>SUM(E14:O14)</f>
        <v>544214.71</v>
      </c>
      <c r="U14" s="7">
        <f>SUM(E15:O15)</f>
        <v>136863.87</v>
      </c>
    </row>
    <row r="15" spans="1:22" x14ac:dyDescent="0.25">
      <c r="A15" s="7" t="s">
        <v>1224</v>
      </c>
      <c r="B15" s="6">
        <f>B16-B14</f>
        <v>6775.3000000000029</v>
      </c>
      <c r="C15" s="6">
        <f t="shared" ref="C15:N15" si="8">C16-C14</f>
        <v>8034.0899999999965</v>
      </c>
      <c r="D15" s="6">
        <f t="shared" si="8"/>
        <v>54990.470000000016</v>
      </c>
      <c r="E15" s="6">
        <f>E16-E14</f>
        <v>15190.939999999995</v>
      </c>
      <c r="F15" s="6">
        <f t="shared" si="8"/>
        <v>12773.779999999999</v>
      </c>
      <c r="G15" s="6">
        <f t="shared" si="8"/>
        <v>12421.900000000001</v>
      </c>
      <c r="H15" s="6">
        <f t="shared" si="8"/>
        <v>12498.460000000006</v>
      </c>
      <c r="I15" s="6">
        <f t="shared" si="8"/>
        <v>9468.0299999999988</v>
      </c>
      <c r="J15" s="6">
        <f t="shared" si="8"/>
        <v>6198.3499999999985</v>
      </c>
      <c r="K15" s="6">
        <f t="shared" si="8"/>
        <v>10697.489999999998</v>
      </c>
      <c r="L15" s="6">
        <f t="shared" si="8"/>
        <v>10690.159999999996</v>
      </c>
      <c r="M15" s="6">
        <f t="shared" si="8"/>
        <v>12140.059999999998</v>
      </c>
      <c r="N15" s="6">
        <f t="shared" si="8"/>
        <v>18387.130000000005</v>
      </c>
      <c r="O15" s="6">
        <f t="shared" ref="O15" si="9">O16-O14</f>
        <v>16397.57</v>
      </c>
      <c r="P15" s="6">
        <f>P16-P14</f>
        <v>23861.71</v>
      </c>
      <c r="R15" s="6">
        <f>SUM(E15:P15)</f>
        <v>160725.57999999999</v>
      </c>
      <c r="T15" s="7">
        <f>SUM(E4:O4)</f>
        <v>860761.51</v>
      </c>
      <c r="U15" s="7">
        <f>SUM(E5:O5)</f>
        <v>392243.03</v>
      </c>
    </row>
    <row r="16" spans="1:22" x14ac:dyDescent="0.25">
      <c r="A16" s="7" t="s">
        <v>1225</v>
      </c>
      <c r="B16" s="6">
        <f>'[3]LEX SERVICE'!$B$21</f>
        <v>39272.159999999996</v>
      </c>
      <c r="C16" s="6">
        <f>'[4]LEX SERVICE'!$B$21</f>
        <v>32732.649999999994</v>
      </c>
      <c r="D16" s="6">
        <f>'[5]LEX SERVICE'!$B$21</f>
        <v>121206.96000000002</v>
      </c>
      <c r="E16" s="6">
        <f>'[6]LEX SERVICE'!$B$21</f>
        <v>58246.039999999994</v>
      </c>
      <c r="F16" s="6">
        <f>'[7]LEX SERVICE'!$B$21</f>
        <v>88113.76999999999</v>
      </c>
      <c r="G16" s="6">
        <f>'[8]LEX SERVICE'!$B$21</f>
        <v>61767.519999999997</v>
      </c>
      <c r="H16" s="6">
        <f>'[9]LEX SERVICE'!$B$21</f>
        <v>63612.799999999988</v>
      </c>
      <c r="I16" s="6">
        <f>'[10]LEX SERVICE'!$B$21</f>
        <v>68618.570000000007</v>
      </c>
      <c r="J16" s="6">
        <f>'[11]LEX SERVICE'!$B$21</f>
        <v>59284.109999999993</v>
      </c>
      <c r="K16" s="6">
        <f>'[12]LEX SERVICE'!$B$21</f>
        <v>55689.82</v>
      </c>
      <c r="L16" s="6">
        <f>'[13]LEX SERVICE'!$B$21</f>
        <v>65348.270000000004</v>
      </c>
      <c r="M16" s="6">
        <f>'[14]LEX SERVICE'!$B$21</f>
        <v>58648.959999999992</v>
      </c>
      <c r="N16" s="6">
        <f>'[15]LEX SERVICE'!$B$21</f>
        <v>50442.150000000009</v>
      </c>
      <c r="O16" s="6">
        <f>'[16]LEX SERVICE'!$B$21</f>
        <v>51306.57</v>
      </c>
      <c r="P16" s="6">
        <f>'[17]LEX SERVICE'!$B$21</f>
        <v>64458.93</v>
      </c>
      <c r="R16" s="6">
        <f>SUM(E16:P16)</f>
        <v>745537.51</v>
      </c>
      <c r="T16" s="3">
        <v>0.67</v>
      </c>
      <c r="U16" s="3">
        <f>U14/U15</f>
        <v>0.34892620016727893</v>
      </c>
    </row>
    <row r="17" spans="1:20" x14ac:dyDescent="0.25">
      <c r="A17" s="7" t="s">
        <v>1226</v>
      </c>
      <c r="B17" s="6">
        <f>B6*B10</f>
        <v>30979.330000000005</v>
      </c>
      <c r="C17" s="6">
        <f t="shared" ref="C17:N17" si="10">C6*C10</f>
        <v>25448.28</v>
      </c>
      <c r="D17" s="6">
        <f t="shared" si="10"/>
        <v>164246.58000000002</v>
      </c>
      <c r="E17" s="6">
        <f>E6*E10</f>
        <v>41024.450000000004</v>
      </c>
      <c r="F17" s="6">
        <f t="shared" si="10"/>
        <v>33238.219999999994</v>
      </c>
      <c r="G17" s="6">
        <f t="shared" si="10"/>
        <v>42686.840000000004</v>
      </c>
      <c r="H17" s="6">
        <f t="shared" si="10"/>
        <v>49406.07</v>
      </c>
      <c r="I17" s="6">
        <f t="shared" si="10"/>
        <v>44629.05</v>
      </c>
      <c r="J17" s="6">
        <f t="shared" si="10"/>
        <v>50892.62</v>
      </c>
      <c r="K17" s="6">
        <f t="shared" si="10"/>
        <v>55515.5</v>
      </c>
      <c r="L17" s="6">
        <f t="shared" si="10"/>
        <v>53001.560000000005</v>
      </c>
      <c r="M17" s="6">
        <f t="shared" si="10"/>
        <v>47162.47</v>
      </c>
      <c r="N17" s="6">
        <f t="shared" si="10"/>
        <v>37051.500000000007</v>
      </c>
      <c r="O17" s="6">
        <f t="shared" ref="O17" si="11">O6*O10</f>
        <v>38077.08</v>
      </c>
      <c r="P17" s="6">
        <f>P6*P10</f>
        <v>47531.62</v>
      </c>
      <c r="Q17" s="1"/>
      <c r="R17" s="6">
        <f>SUM(E17:P17)</f>
        <v>540216.9800000001</v>
      </c>
      <c r="T17" s="7">
        <f>T15/T7/11</f>
        <v>26484.969538461537</v>
      </c>
    </row>
    <row r="18" spans="1:20" ht="15.75" thickBot="1" x14ac:dyDescent="0.3">
      <c r="A18" s="9" t="s">
        <v>1078</v>
      </c>
      <c r="B18" s="10" t="e">
        <f>B16-B17-#REF!</f>
        <v>#REF!</v>
      </c>
      <c r="C18" s="10" t="e">
        <f>C16-C17-#REF!</f>
        <v>#REF!</v>
      </c>
      <c r="D18" s="10" t="e">
        <f>D16-D17-#REF!</f>
        <v>#REF!</v>
      </c>
      <c r="E18" s="10">
        <f t="shared" ref="E18:P18" si="12">E16-E17</f>
        <v>17221.589999999989</v>
      </c>
      <c r="F18" s="10">
        <f t="shared" si="12"/>
        <v>54875.549999999996</v>
      </c>
      <c r="G18" s="10">
        <f t="shared" si="12"/>
        <v>19080.679999999993</v>
      </c>
      <c r="H18" s="10">
        <f t="shared" si="12"/>
        <v>14206.729999999989</v>
      </c>
      <c r="I18" s="10">
        <f t="shared" si="12"/>
        <v>23989.520000000004</v>
      </c>
      <c r="J18" s="10">
        <f t="shared" si="12"/>
        <v>8391.4899999999907</v>
      </c>
      <c r="K18" s="10">
        <f t="shared" si="12"/>
        <v>174.31999999999971</v>
      </c>
      <c r="L18" s="10">
        <f t="shared" si="12"/>
        <v>12346.71</v>
      </c>
      <c r="M18" s="10">
        <f t="shared" si="12"/>
        <v>11486.489999999991</v>
      </c>
      <c r="N18" s="10">
        <f t="shared" si="12"/>
        <v>13390.650000000001</v>
      </c>
      <c r="O18" s="10">
        <f t="shared" ref="O18" si="13">O16-O17</f>
        <v>13229.489999999998</v>
      </c>
      <c r="P18" s="10">
        <f t="shared" si="12"/>
        <v>16927.309999999998</v>
      </c>
      <c r="Q18" s="131"/>
      <c r="R18" s="10">
        <f>R16-R17</f>
        <v>205320.52999999991</v>
      </c>
      <c r="T18" s="3"/>
    </row>
    <row r="19" spans="1:20" ht="15.75" thickTop="1" x14ac:dyDescent="0.25"/>
    <row r="21" spans="1:20" ht="15.75" x14ac:dyDescent="0.25">
      <c r="A21" s="11" t="s">
        <v>1213</v>
      </c>
      <c r="B21" s="5">
        <v>45292</v>
      </c>
      <c r="C21" s="5">
        <v>45323</v>
      </c>
      <c r="D21" s="5">
        <v>45352</v>
      </c>
      <c r="E21" s="5">
        <v>45383</v>
      </c>
      <c r="F21" s="5">
        <v>45413</v>
      </c>
      <c r="G21" s="5">
        <v>45444</v>
      </c>
      <c r="H21" s="5">
        <v>45474</v>
      </c>
      <c r="I21" s="5">
        <v>45505</v>
      </c>
      <c r="J21" s="5">
        <v>45536</v>
      </c>
      <c r="K21" s="5">
        <v>45566</v>
      </c>
      <c r="L21" s="5">
        <v>45597</v>
      </c>
      <c r="M21" s="5">
        <v>45627</v>
      </c>
      <c r="N21" s="5">
        <v>45658</v>
      </c>
      <c r="O21" s="5">
        <v>45689</v>
      </c>
      <c r="P21" s="5">
        <v>45717</v>
      </c>
      <c r="Q21" s="129"/>
      <c r="R21" s="5" t="s">
        <v>955</v>
      </c>
    </row>
    <row r="22" spans="1:20" x14ac:dyDescent="0.25">
      <c r="A22" s="4"/>
      <c r="B22" s="5" t="s">
        <v>958</v>
      </c>
      <c r="C22" s="5" t="s">
        <v>959</v>
      </c>
      <c r="D22" s="5" t="s">
        <v>959</v>
      </c>
      <c r="E22" s="5" t="s">
        <v>959</v>
      </c>
      <c r="F22" s="5" t="s">
        <v>959</v>
      </c>
      <c r="G22" s="5" t="s">
        <v>959</v>
      </c>
      <c r="H22" s="5" t="s">
        <v>959</v>
      </c>
      <c r="I22" s="5" t="s">
        <v>959</v>
      </c>
      <c r="J22" s="5" t="s">
        <v>959</v>
      </c>
      <c r="K22" s="5" t="s">
        <v>959</v>
      </c>
      <c r="L22" s="5" t="s">
        <v>959</v>
      </c>
      <c r="M22" s="5" t="s">
        <v>959</v>
      </c>
      <c r="N22" s="5" t="s">
        <v>959</v>
      </c>
      <c r="O22" s="5" t="s">
        <v>959</v>
      </c>
      <c r="P22" s="5" t="s">
        <v>959</v>
      </c>
      <c r="Q22" s="129"/>
      <c r="R22" s="5" t="s">
        <v>961</v>
      </c>
    </row>
    <row r="23" spans="1:20" x14ac:dyDescent="0.25">
      <c r="Q23" s="34"/>
    </row>
    <row r="24" spans="1:20" x14ac:dyDescent="0.25">
      <c r="A24" s="7" t="s">
        <v>1214</v>
      </c>
      <c r="B24" s="6">
        <f t="shared" ref="B24:B32" si="14">N4</f>
        <v>67853.27</v>
      </c>
      <c r="C24" s="6">
        <f t="shared" ref="C24:C32" si="15">O4</f>
        <v>70588.42</v>
      </c>
      <c r="D24" s="6">
        <f t="shared" ref="D24:D32" si="16">P4</f>
        <v>71135.87</v>
      </c>
      <c r="E24" s="6">
        <f>$R$24*E42/12</f>
        <v>77995.75897826087</v>
      </c>
      <c r="F24" s="6">
        <f t="shared" ref="F24:P24" si="17">$R$24*F42/12</f>
        <v>88631.544293478262</v>
      </c>
      <c r="G24" s="6">
        <f t="shared" si="17"/>
        <v>72677.866320652174</v>
      </c>
      <c r="H24" s="6">
        <f t="shared" si="17"/>
        <v>88631.544293478262</v>
      </c>
      <c r="I24" s="6">
        <f t="shared" si="17"/>
        <v>86858.913407608707</v>
      </c>
      <c r="J24" s="6">
        <f t="shared" si="17"/>
        <v>81541.020750000011</v>
      </c>
      <c r="K24" s="6">
        <f t="shared" si="17"/>
        <v>85086.282521739136</v>
      </c>
      <c r="L24" s="6">
        <f t="shared" si="17"/>
        <v>83313.651635869581</v>
      </c>
      <c r="M24" s="6">
        <f t="shared" si="17"/>
        <v>77995.75897826087</v>
      </c>
      <c r="N24" s="6">
        <f t="shared" si="17"/>
        <v>77995.75897826087</v>
      </c>
      <c r="O24" s="6">
        <f t="shared" si="17"/>
        <v>74450.497206521744</v>
      </c>
      <c r="P24" s="6">
        <f t="shared" si="17"/>
        <v>83313.651635869581</v>
      </c>
      <c r="Q24" s="116" t="s">
        <v>1236</v>
      </c>
      <c r="R24" s="6">
        <f>R4*(1+5%)</f>
        <v>978492.24900000007</v>
      </c>
      <c r="S24" s="238" t="s">
        <v>1285</v>
      </c>
    </row>
    <row r="25" spans="1:20" x14ac:dyDescent="0.25">
      <c r="A25" s="7" t="s">
        <v>1215</v>
      </c>
      <c r="B25" s="6">
        <f t="shared" si="14"/>
        <v>34659.62999999999</v>
      </c>
      <c r="C25" s="6">
        <f t="shared" si="15"/>
        <v>40994.949999999997</v>
      </c>
      <c r="D25" s="6">
        <f t="shared" si="16"/>
        <v>37345.53</v>
      </c>
      <c r="E25" s="6">
        <f>E26-E24</f>
        <v>35954.694695652172</v>
      </c>
      <c r="F25" s="6">
        <f t="shared" ref="F25:P25" si="18">F26-F24</f>
        <v>40857.607608695631</v>
      </c>
      <c r="G25" s="6">
        <f t="shared" si="18"/>
        <v>33503.238239130427</v>
      </c>
      <c r="H25" s="6">
        <f t="shared" si="18"/>
        <v>40857.607608695631</v>
      </c>
      <c r="I25" s="6">
        <f t="shared" si="18"/>
        <v>40040.45545652174</v>
      </c>
      <c r="J25" s="6">
        <f t="shared" si="18"/>
        <v>37588.998999999982</v>
      </c>
      <c r="K25" s="6">
        <f t="shared" si="18"/>
        <v>39223.303304347806</v>
      </c>
      <c r="L25" s="6">
        <f t="shared" si="18"/>
        <v>38406.151152173916</v>
      </c>
      <c r="M25" s="6">
        <f t="shared" si="18"/>
        <v>35954.694695652172</v>
      </c>
      <c r="N25" s="6">
        <f t="shared" si="18"/>
        <v>35954.694695652172</v>
      </c>
      <c r="O25" s="6">
        <f t="shared" si="18"/>
        <v>34320.390391304332</v>
      </c>
      <c r="P25" s="6">
        <f t="shared" si="18"/>
        <v>38406.151152173916</v>
      </c>
      <c r="Q25" s="131"/>
      <c r="R25" s="6">
        <f>R26-R24</f>
        <v>451067.9879999999</v>
      </c>
      <c r="S25" s="122" t="s">
        <v>1237</v>
      </c>
    </row>
    <row r="26" spans="1:20" x14ac:dyDescent="0.25">
      <c r="A26" s="7" t="s">
        <v>1216</v>
      </c>
      <c r="B26" s="6">
        <f t="shared" si="14"/>
        <v>102512.9</v>
      </c>
      <c r="C26" s="6">
        <f t="shared" si="15"/>
        <v>111583.37</v>
      </c>
      <c r="D26" s="6">
        <f t="shared" si="16"/>
        <v>108481.4</v>
      </c>
      <c r="E26" s="6">
        <f>$R$26*E42/12</f>
        <v>113950.45367391304</v>
      </c>
      <c r="F26" s="6">
        <f t="shared" ref="F26:P26" si="19">$R$26*F42/12</f>
        <v>129489.15190217389</v>
      </c>
      <c r="G26" s="6">
        <f t="shared" si="19"/>
        <v>106181.1045597826</v>
      </c>
      <c r="H26" s="6">
        <f t="shared" si="19"/>
        <v>129489.15190217389</v>
      </c>
      <c r="I26" s="6">
        <f t="shared" si="19"/>
        <v>126899.36886413045</v>
      </c>
      <c r="J26" s="6">
        <f t="shared" si="19"/>
        <v>119130.01974999999</v>
      </c>
      <c r="K26" s="6">
        <f t="shared" si="19"/>
        <v>124309.58582608694</v>
      </c>
      <c r="L26" s="6">
        <f t="shared" si="19"/>
        <v>121719.8027880435</v>
      </c>
      <c r="M26" s="6">
        <f t="shared" si="19"/>
        <v>113950.45367391304</v>
      </c>
      <c r="N26" s="6">
        <f t="shared" si="19"/>
        <v>113950.45367391304</v>
      </c>
      <c r="O26" s="6">
        <f t="shared" si="19"/>
        <v>108770.88759782608</v>
      </c>
      <c r="P26" s="6">
        <f t="shared" si="19"/>
        <v>121719.8027880435</v>
      </c>
      <c r="Q26" s="122" t="s">
        <v>1238</v>
      </c>
      <c r="R26" s="6">
        <f>R6*(1+5%)</f>
        <v>1429560.237</v>
      </c>
      <c r="S26" s="238" t="s">
        <v>1285</v>
      </c>
    </row>
    <row r="27" spans="1:20" x14ac:dyDescent="0.25">
      <c r="A27" t="s">
        <v>1217</v>
      </c>
      <c r="B27" s="2">
        <f t="shared" si="14"/>
        <v>3</v>
      </c>
      <c r="C27" s="2">
        <f t="shared" si="15"/>
        <v>2.5</v>
      </c>
      <c r="D27" s="2">
        <f t="shared" si="16"/>
        <v>2.5</v>
      </c>
      <c r="E27" s="237">
        <f>D27</f>
        <v>2.5</v>
      </c>
      <c r="F27" s="237">
        <f>E27+0.5</f>
        <v>3</v>
      </c>
      <c r="G27" s="237">
        <f t="shared" ref="G27:P27" si="20">F27</f>
        <v>3</v>
      </c>
      <c r="H27" s="237">
        <f t="shared" si="20"/>
        <v>3</v>
      </c>
      <c r="I27" s="237">
        <f t="shared" si="20"/>
        <v>3</v>
      </c>
      <c r="J27" s="237">
        <f t="shared" si="20"/>
        <v>3</v>
      </c>
      <c r="K27" s="237">
        <f t="shared" si="20"/>
        <v>3</v>
      </c>
      <c r="L27" s="237">
        <f t="shared" si="20"/>
        <v>3</v>
      </c>
      <c r="M27" s="237">
        <f t="shared" si="20"/>
        <v>3</v>
      </c>
      <c r="N27" s="237">
        <f t="shared" si="20"/>
        <v>3</v>
      </c>
      <c r="O27" s="237">
        <f t="shared" si="20"/>
        <v>3</v>
      </c>
      <c r="P27" s="237">
        <f t="shared" si="20"/>
        <v>3</v>
      </c>
      <c r="Q27" s="132"/>
      <c r="R27" s="2">
        <f>AVERAGE(E27:P27)</f>
        <v>2.9583333333333335</v>
      </c>
    </row>
    <row r="28" spans="1:20" x14ac:dyDescent="0.25">
      <c r="A28" t="s">
        <v>1218</v>
      </c>
      <c r="B28" s="3">
        <f t="shared" si="14"/>
        <v>0.47241673098437265</v>
      </c>
      <c r="C28" s="3">
        <f t="shared" si="15"/>
        <v>0.49454287261281665</v>
      </c>
      <c r="D28" s="3">
        <f t="shared" si="16"/>
        <v>0.57069970466376529</v>
      </c>
      <c r="E28" s="3">
        <f>$T$16</f>
        <v>0.67</v>
      </c>
      <c r="F28" s="3">
        <f t="shared" ref="F28:P28" si="21">$T$16</f>
        <v>0.67</v>
      </c>
      <c r="G28" s="3">
        <f t="shared" si="21"/>
        <v>0.67</v>
      </c>
      <c r="H28" s="3">
        <f t="shared" si="21"/>
        <v>0.67</v>
      </c>
      <c r="I28" s="3">
        <f t="shared" si="21"/>
        <v>0.67</v>
      </c>
      <c r="J28" s="3">
        <f t="shared" si="21"/>
        <v>0.67</v>
      </c>
      <c r="K28" s="3">
        <f t="shared" si="21"/>
        <v>0.67</v>
      </c>
      <c r="L28" s="3">
        <f t="shared" si="21"/>
        <v>0.67</v>
      </c>
      <c r="M28" s="3">
        <f t="shared" si="21"/>
        <v>0.67</v>
      </c>
      <c r="N28" s="3">
        <f t="shared" si="21"/>
        <v>0.67</v>
      </c>
      <c r="O28" s="3">
        <f t="shared" si="21"/>
        <v>0.67</v>
      </c>
      <c r="P28" s="3">
        <f t="shared" si="21"/>
        <v>0.67</v>
      </c>
      <c r="Q28" s="122"/>
      <c r="R28" s="3">
        <f>R34/R24</f>
        <v>0.67</v>
      </c>
      <c r="S28" s="122" t="s">
        <v>1199</v>
      </c>
    </row>
    <row r="29" spans="1:20" x14ac:dyDescent="0.25">
      <c r="A29" t="s">
        <v>1219</v>
      </c>
      <c r="B29" s="3">
        <f t="shared" si="14"/>
        <v>0.49205660946085822</v>
      </c>
      <c r="C29" s="3">
        <f t="shared" si="15"/>
        <v>0.45980480783113115</v>
      </c>
      <c r="D29" s="3">
        <f t="shared" si="16"/>
        <v>0.59419338246003461</v>
      </c>
      <c r="E29" s="3">
        <f>$U$16</f>
        <v>0.34892620016727893</v>
      </c>
      <c r="F29" s="3">
        <f t="shared" ref="F29:P29" si="22">$U$16</f>
        <v>0.34892620016727893</v>
      </c>
      <c r="G29" s="3">
        <f t="shared" si="22"/>
        <v>0.34892620016727893</v>
      </c>
      <c r="H29" s="3">
        <f t="shared" si="22"/>
        <v>0.34892620016727893</v>
      </c>
      <c r="I29" s="3">
        <f t="shared" si="22"/>
        <v>0.34892620016727893</v>
      </c>
      <c r="J29" s="3">
        <f t="shared" si="22"/>
        <v>0.34892620016727893</v>
      </c>
      <c r="K29" s="3">
        <f t="shared" si="22"/>
        <v>0.34892620016727893</v>
      </c>
      <c r="L29" s="3">
        <f t="shared" si="22"/>
        <v>0.34892620016727893</v>
      </c>
      <c r="M29" s="3">
        <f t="shared" si="22"/>
        <v>0.34892620016727893</v>
      </c>
      <c r="N29" s="3">
        <f t="shared" si="22"/>
        <v>0.34892620016727893</v>
      </c>
      <c r="O29" s="3">
        <f t="shared" si="22"/>
        <v>0.34892620016727893</v>
      </c>
      <c r="P29" s="3">
        <f t="shared" si="22"/>
        <v>0.34892620016727893</v>
      </c>
      <c r="Q29" s="122"/>
      <c r="R29" s="3">
        <f>R35/R25</f>
        <v>0.34892620016727888</v>
      </c>
      <c r="S29" s="122" t="s">
        <v>1199</v>
      </c>
    </row>
    <row r="30" spans="1:20" x14ac:dyDescent="0.25">
      <c r="A30" t="s">
        <v>1220</v>
      </c>
      <c r="B30" s="3">
        <f t="shared" si="14"/>
        <v>0.36143256117035033</v>
      </c>
      <c r="C30" s="3">
        <f t="shared" si="15"/>
        <v>0.34124332326582363</v>
      </c>
      <c r="D30" s="3">
        <f t="shared" si="16"/>
        <v>0.43815455921475943</v>
      </c>
      <c r="E30" s="3">
        <f>(E37)/E26</f>
        <v>0.33208937616554268</v>
      </c>
      <c r="F30" s="3">
        <f t="shared" ref="F30:P30" si="23">(F37)/F26</f>
        <v>0.29223865102567764</v>
      </c>
      <c r="G30" s="3">
        <f t="shared" si="23"/>
        <v>0.35638859881180196</v>
      </c>
      <c r="H30" s="3">
        <f t="shared" si="23"/>
        <v>0.29223865102567764</v>
      </c>
      <c r="I30" s="3">
        <f t="shared" si="23"/>
        <v>0.29820270512824237</v>
      </c>
      <c r="J30" s="3">
        <f t="shared" si="23"/>
        <v>0.31765070763660608</v>
      </c>
      <c r="K30" s="3">
        <f t="shared" si="23"/>
        <v>0.30441526148508086</v>
      </c>
      <c r="L30" s="3">
        <f t="shared" si="23"/>
        <v>0.31089218194221013</v>
      </c>
      <c r="M30" s="3">
        <f t="shared" si="23"/>
        <v>0.33208937616554268</v>
      </c>
      <c r="N30" s="3">
        <f t="shared" si="23"/>
        <v>0.33208937616554268</v>
      </c>
      <c r="O30" s="3">
        <f t="shared" si="23"/>
        <v>0.34790315598294952</v>
      </c>
      <c r="P30" s="3">
        <f t="shared" si="23"/>
        <v>0.31089218194221013</v>
      </c>
      <c r="Q30" s="122"/>
      <c r="R30" s="3">
        <f>(R37)/R26</f>
        <v>0.31765070763660613</v>
      </c>
    </row>
    <row r="31" spans="1:20" x14ac:dyDescent="0.25">
      <c r="A31" s="7" t="s">
        <v>1221</v>
      </c>
      <c r="B31" s="6">
        <f t="shared" si="14"/>
        <v>22617.756666666668</v>
      </c>
      <c r="C31" s="6">
        <f t="shared" si="15"/>
        <v>28235.367999999999</v>
      </c>
      <c r="D31" s="6">
        <f t="shared" si="16"/>
        <v>28454.347999999998</v>
      </c>
      <c r="E31" s="6">
        <f>E24/E27</f>
        <v>31198.30359130435</v>
      </c>
      <c r="F31" s="6">
        <f t="shared" ref="F31:P31" si="24">F24/F27</f>
        <v>29543.848097826089</v>
      </c>
      <c r="G31" s="6">
        <f t="shared" si="24"/>
        <v>24225.955440217393</v>
      </c>
      <c r="H31" s="6">
        <f t="shared" si="24"/>
        <v>29543.848097826089</v>
      </c>
      <c r="I31" s="6">
        <f t="shared" si="24"/>
        <v>28952.971135869568</v>
      </c>
      <c r="J31" s="6">
        <f t="shared" si="24"/>
        <v>27180.340250000005</v>
      </c>
      <c r="K31" s="6">
        <f t="shared" si="24"/>
        <v>28362.094173913047</v>
      </c>
      <c r="L31" s="6">
        <f t="shared" si="24"/>
        <v>27771.217211956526</v>
      </c>
      <c r="M31" s="6">
        <f t="shared" si="24"/>
        <v>25998.586326086956</v>
      </c>
      <c r="N31" s="6">
        <f t="shared" si="24"/>
        <v>25998.586326086956</v>
      </c>
      <c r="O31" s="6">
        <f t="shared" si="24"/>
        <v>24816.832402173914</v>
      </c>
      <c r="P31" s="6">
        <f t="shared" si="24"/>
        <v>27771.217211956526</v>
      </c>
      <c r="Q31" s="116"/>
      <c r="R31" s="6">
        <f>R24/R27/12</f>
        <v>27563.161943661969</v>
      </c>
      <c r="S31" s="122" t="s">
        <v>1286</v>
      </c>
    </row>
    <row r="32" spans="1:20" x14ac:dyDescent="0.25">
      <c r="A32" s="7" t="s">
        <v>1222</v>
      </c>
      <c r="B32" s="6">
        <f t="shared" si="14"/>
        <v>10685.006666666668</v>
      </c>
      <c r="C32" s="6">
        <f t="shared" si="15"/>
        <v>13963.6</v>
      </c>
      <c r="D32" s="6">
        <f t="shared" si="16"/>
        <v>16238.888000000001</v>
      </c>
      <c r="E32" s="6">
        <f>E34/E27</f>
        <v>20902.863406173914</v>
      </c>
      <c r="F32" s="6">
        <f t="shared" ref="F32:P32" si="25">F34/F27</f>
        <v>19794.378225543482</v>
      </c>
      <c r="G32" s="6">
        <f t="shared" si="25"/>
        <v>16231.390144945653</v>
      </c>
      <c r="H32" s="6">
        <f t="shared" si="25"/>
        <v>19794.378225543482</v>
      </c>
      <c r="I32" s="6">
        <f t="shared" si="25"/>
        <v>19398.490661032611</v>
      </c>
      <c r="J32" s="6">
        <f t="shared" si="25"/>
        <v>18210.827967500005</v>
      </c>
      <c r="K32" s="6">
        <f t="shared" si="25"/>
        <v>19002.60309652174</v>
      </c>
      <c r="L32" s="6">
        <f t="shared" si="25"/>
        <v>18606.715532010876</v>
      </c>
      <c r="M32" s="6">
        <f t="shared" si="25"/>
        <v>17419.052838478263</v>
      </c>
      <c r="N32" s="6">
        <f t="shared" si="25"/>
        <v>17419.052838478263</v>
      </c>
      <c r="O32" s="6">
        <f t="shared" si="25"/>
        <v>16627.277709456524</v>
      </c>
      <c r="P32" s="6">
        <f t="shared" si="25"/>
        <v>18606.715532010876</v>
      </c>
      <c r="Q32" s="116"/>
      <c r="R32" s="6">
        <f>R34/R27/12</f>
        <v>18467.318502253522</v>
      </c>
    </row>
    <row r="33" spans="1:19" x14ac:dyDescent="0.25">
      <c r="A33" s="7"/>
      <c r="B33" s="6"/>
      <c r="C33" s="6"/>
      <c r="D33" s="6"/>
      <c r="E33" s="6"/>
      <c r="F33" s="6"/>
      <c r="G33" s="6"/>
      <c r="H33" s="6"/>
      <c r="I33" s="6"/>
      <c r="J33" s="6"/>
      <c r="K33" s="6"/>
      <c r="L33" s="6"/>
      <c r="M33" s="6"/>
      <c r="N33" s="6"/>
      <c r="O33" s="6"/>
      <c r="P33" s="6"/>
      <c r="Q33" s="116"/>
      <c r="R33" s="6"/>
    </row>
    <row r="34" spans="1:19" x14ac:dyDescent="0.25">
      <c r="A34" s="7" t="s">
        <v>1223</v>
      </c>
      <c r="B34" s="6">
        <f t="shared" ref="B34:D37" si="26">N14</f>
        <v>32055.020000000004</v>
      </c>
      <c r="C34" s="6">
        <f t="shared" si="26"/>
        <v>34909</v>
      </c>
      <c r="D34" s="6">
        <f t="shared" si="26"/>
        <v>40597.22</v>
      </c>
      <c r="E34" s="6">
        <f>E24*E28</f>
        <v>52257.158515434785</v>
      </c>
      <c r="F34" s="6">
        <f t="shared" ref="F34:P35" si="27">F24*F28</f>
        <v>59383.134676630441</v>
      </c>
      <c r="G34" s="6">
        <f t="shared" si="27"/>
        <v>48694.17043483696</v>
      </c>
      <c r="H34" s="6">
        <f t="shared" si="27"/>
        <v>59383.134676630441</v>
      </c>
      <c r="I34" s="6">
        <f t="shared" si="27"/>
        <v>58195.471983097836</v>
      </c>
      <c r="J34" s="6">
        <f t="shared" si="27"/>
        <v>54632.483902500011</v>
      </c>
      <c r="K34" s="6">
        <f t="shared" si="27"/>
        <v>57007.809289565223</v>
      </c>
      <c r="L34" s="6">
        <f t="shared" si="27"/>
        <v>55820.146596032624</v>
      </c>
      <c r="M34" s="6">
        <f t="shared" si="27"/>
        <v>52257.158515434785</v>
      </c>
      <c r="N34" s="6">
        <f t="shared" si="27"/>
        <v>52257.158515434785</v>
      </c>
      <c r="O34" s="6">
        <f t="shared" si="27"/>
        <v>49881.833128369573</v>
      </c>
      <c r="P34" s="6">
        <f t="shared" si="27"/>
        <v>55820.146596032624</v>
      </c>
      <c r="Q34" s="34"/>
      <c r="R34" s="6">
        <f>SUM(E34:P34)</f>
        <v>655589.80683000013</v>
      </c>
    </row>
    <row r="35" spans="1:19" x14ac:dyDescent="0.25">
      <c r="A35" s="7" t="s">
        <v>1224</v>
      </c>
      <c r="B35" s="6">
        <f t="shared" si="26"/>
        <v>18387.130000000005</v>
      </c>
      <c r="C35" s="6">
        <f t="shared" si="26"/>
        <v>16397.57</v>
      </c>
      <c r="D35" s="6">
        <f t="shared" si="26"/>
        <v>23861.71</v>
      </c>
      <c r="E35" s="6">
        <f>E25*E29</f>
        <v>12545.534998328532</v>
      </c>
      <c r="F35" s="6">
        <f t="shared" si="27"/>
        <v>14256.289770827871</v>
      </c>
      <c r="G35" s="6">
        <f t="shared" si="27"/>
        <v>11690.157612078858</v>
      </c>
      <c r="H35" s="6">
        <f t="shared" si="27"/>
        <v>14256.289770827871</v>
      </c>
      <c r="I35" s="6">
        <f t="shared" si="27"/>
        <v>13971.16397541132</v>
      </c>
      <c r="J35" s="6">
        <f t="shared" si="27"/>
        <v>13115.786589161642</v>
      </c>
      <c r="K35" s="6">
        <f t="shared" si="27"/>
        <v>13686.038179994755</v>
      </c>
      <c r="L35" s="6">
        <f t="shared" si="27"/>
        <v>13400.912384578207</v>
      </c>
      <c r="M35" s="6">
        <f t="shared" si="27"/>
        <v>12545.534998328532</v>
      </c>
      <c r="N35" s="6">
        <f t="shared" si="27"/>
        <v>12545.534998328532</v>
      </c>
      <c r="O35" s="6">
        <f t="shared" si="27"/>
        <v>11975.283407495412</v>
      </c>
      <c r="P35" s="6">
        <f t="shared" si="27"/>
        <v>13400.912384578207</v>
      </c>
      <c r="Q35" s="34"/>
      <c r="R35" s="6">
        <f>SUM(E35:P35)</f>
        <v>157389.43906993972</v>
      </c>
    </row>
    <row r="36" spans="1:19" x14ac:dyDescent="0.25">
      <c r="A36" s="7" t="s">
        <v>1225</v>
      </c>
      <c r="B36" s="6">
        <f t="shared" si="26"/>
        <v>50442.150000000009</v>
      </c>
      <c r="C36" s="6">
        <f t="shared" si="26"/>
        <v>51306.57</v>
      </c>
      <c r="D36" s="6">
        <f t="shared" si="26"/>
        <v>64458.93</v>
      </c>
      <c r="E36" s="6">
        <f>E34+E35</f>
        <v>64802.693513763319</v>
      </c>
      <c r="F36" s="6">
        <f t="shared" ref="F36:P36" si="28">F34+F35</f>
        <v>73639.42444745831</v>
      </c>
      <c r="G36" s="6">
        <f t="shared" si="28"/>
        <v>60384.32804691582</v>
      </c>
      <c r="H36" s="6">
        <f t="shared" si="28"/>
        <v>73639.42444745831</v>
      </c>
      <c r="I36" s="6">
        <f t="shared" si="28"/>
        <v>72166.635958509156</v>
      </c>
      <c r="J36" s="6">
        <f t="shared" si="28"/>
        <v>67748.270491661649</v>
      </c>
      <c r="K36" s="6">
        <f t="shared" si="28"/>
        <v>70693.847469559973</v>
      </c>
      <c r="L36" s="6">
        <f t="shared" si="28"/>
        <v>69221.058980610833</v>
      </c>
      <c r="M36" s="6">
        <f t="shared" si="28"/>
        <v>64802.693513763319</v>
      </c>
      <c r="N36" s="6">
        <f t="shared" si="28"/>
        <v>64802.693513763319</v>
      </c>
      <c r="O36" s="6">
        <f t="shared" si="28"/>
        <v>61857.116535864989</v>
      </c>
      <c r="P36" s="6">
        <f t="shared" si="28"/>
        <v>69221.058980610833</v>
      </c>
      <c r="Q36" s="34"/>
      <c r="R36" s="6">
        <f>SUM(E36:P36)</f>
        <v>812979.24589993991</v>
      </c>
    </row>
    <row r="37" spans="1:19" x14ac:dyDescent="0.25">
      <c r="A37" s="7" t="s">
        <v>1226</v>
      </c>
      <c r="B37" s="6">
        <f t="shared" si="26"/>
        <v>37051.500000000007</v>
      </c>
      <c r="C37" s="6">
        <f t="shared" si="26"/>
        <v>38077.08</v>
      </c>
      <c r="D37" s="6">
        <f t="shared" si="26"/>
        <v>47531.62</v>
      </c>
      <c r="E37" s="6">
        <f t="shared" ref="E37:P37" si="29">E44</f>
        <v>37841.735074350356</v>
      </c>
      <c r="F37" s="6">
        <f t="shared" si="29"/>
        <v>37841.735074350356</v>
      </c>
      <c r="G37" s="6">
        <f t="shared" si="29"/>
        <v>37841.735074350356</v>
      </c>
      <c r="H37" s="6">
        <f t="shared" si="29"/>
        <v>37841.735074350356</v>
      </c>
      <c r="I37" s="6">
        <f t="shared" si="29"/>
        <v>37841.735074350356</v>
      </c>
      <c r="J37" s="6">
        <f t="shared" si="29"/>
        <v>37841.735074350356</v>
      </c>
      <c r="K37" s="6">
        <f t="shared" si="29"/>
        <v>37841.735074350356</v>
      </c>
      <c r="L37" s="6">
        <f t="shared" si="29"/>
        <v>37841.735074350356</v>
      </c>
      <c r="M37" s="6">
        <f t="shared" si="29"/>
        <v>37841.735074350356</v>
      </c>
      <c r="N37" s="6">
        <f t="shared" si="29"/>
        <v>37841.735074350356</v>
      </c>
      <c r="O37" s="6">
        <f t="shared" si="29"/>
        <v>37841.735074350356</v>
      </c>
      <c r="P37" s="6">
        <f t="shared" si="29"/>
        <v>37841.735074350356</v>
      </c>
      <c r="Q37" s="131"/>
      <c r="R37" s="6">
        <f>SUM(E37:P37)</f>
        <v>454100.82089220436</v>
      </c>
    </row>
    <row r="38" spans="1:19" ht="15.75" thickBot="1" x14ac:dyDescent="0.3">
      <c r="A38" s="9" t="s">
        <v>1078</v>
      </c>
      <c r="B38" s="10" t="e">
        <f>B36-B37-#REF!</f>
        <v>#REF!</v>
      </c>
      <c r="C38" s="10" t="e">
        <f>C36-C37-#REF!</f>
        <v>#REF!</v>
      </c>
      <c r="D38" s="10" t="e">
        <f>D36-D37-#REF!</f>
        <v>#REF!</v>
      </c>
      <c r="E38" s="10">
        <f t="shared" ref="E38:P38" si="30">E36-E37</f>
        <v>26960.958439412963</v>
      </c>
      <c r="F38" s="10">
        <f t="shared" si="30"/>
        <v>35797.689373107954</v>
      </c>
      <c r="G38" s="10">
        <f t="shared" si="30"/>
        <v>22542.592972565464</v>
      </c>
      <c r="H38" s="10">
        <f t="shared" si="30"/>
        <v>35797.689373107954</v>
      </c>
      <c r="I38" s="10">
        <f t="shared" si="30"/>
        <v>34324.9008841588</v>
      </c>
      <c r="J38" s="10">
        <f t="shared" si="30"/>
        <v>29906.535417311294</v>
      </c>
      <c r="K38" s="10">
        <f t="shared" si="30"/>
        <v>32852.112395209617</v>
      </c>
      <c r="L38" s="10">
        <f t="shared" si="30"/>
        <v>31379.323906260477</v>
      </c>
      <c r="M38" s="10">
        <f t="shared" si="30"/>
        <v>26960.958439412963</v>
      </c>
      <c r="N38" s="10">
        <f t="shared" si="30"/>
        <v>26960.958439412963</v>
      </c>
      <c r="O38" s="10">
        <f t="shared" si="30"/>
        <v>24015.381461514633</v>
      </c>
      <c r="P38" s="10">
        <f t="shared" si="30"/>
        <v>31379.323906260477</v>
      </c>
      <c r="Q38" s="131"/>
      <c r="R38" s="10">
        <f>R36-R37</f>
        <v>358878.42500773555</v>
      </c>
      <c r="S38" s="122" t="s">
        <v>1240</v>
      </c>
    </row>
    <row r="39" spans="1:19" ht="15.75" thickTop="1" x14ac:dyDescent="0.25">
      <c r="Q39" s="34"/>
    </row>
    <row r="40" spans="1:19" x14ac:dyDescent="0.25">
      <c r="Q40" s="34"/>
      <c r="R40" t="s">
        <v>1205</v>
      </c>
    </row>
    <row r="41" spans="1:19" x14ac:dyDescent="0.25">
      <c r="A41" t="s">
        <v>1206</v>
      </c>
      <c r="B41" s="121">
        <f t="shared" ref="B41:P41" si="31">B4/$R$41</f>
        <v>0.55917350041267422</v>
      </c>
      <c r="C41" s="121">
        <f t="shared" si="31"/>
        <v>0.45503241998598598</v>
      </c>
      <c r="D41" s="121">
        <f t="shared" si="31"/>
        <v>1.1330165559645633</v>
      </c>
      <c r="E41" s="121">
        <f t="shared" si="31"/>
        <v>0.89493686525870475</v>
      </c>
      <c r="F41" s="121">
        <f t="shared" si="31"/>
        <v>1.3309216944037334</v>
      </c>
      <c r="G41" s="121">
        <f t="shared" si="31"/>
        <v>1.0400999303163616</v>
      </c>
      <c r="H41" s="121">
        <f t="shared" si="31"/>
        <v>1.1248959622571315</v>
      </c>
      <c r="I41" s="121">
        <f t="shared" si="31"/>
        <v>1.1560294761210725</v>
      </c>
      <c r="J41" s="121">
        <f t="shared" si="31"/>
        <v>1.087537084823653</v>
      </c>
      <c r="K41" s="121">
        <f t="shared" si="31"/>
        <v>0.79509192310423693</v>
      </c>
      <c r="L41" s="121">
        <f t="shared" si="31"/>
        <v>0.99762143338143072</v>
      </c>
      <c r="M41" s="121">
        <f t="shared" si="31"/>
        <v>0.87414496218457005</v>
      </c>
      <c r="N41" s="121">
        <f t="shared" si="31"/>
        <v>0.87374345874864456</v>
      </c>
      <c r="O41" s="121">
        <f t="shared" si="31"/>
        <v>0.90896386037698695</v>
      </c>
      <c r="P41" s="121">
        <f t="shared" si="31"/>
        <v>0.91601334902347287</v>
      </c>
      <c r="Q41" s="34"/>
      <c r="R41" s="7">
        <f>AVERAGE(E4:P4)</f>
        <v>77658.115000000005</v>
      </c>
    </row>
    <row r="42" spans="1:19" x14ac:dyDescent="0.25">
      <c r="A42" s="137" t="s">
        <v>1345</v>
      </c>
      <c r="B42" s="137"/>
      <c r="C42" s="137"/>
      <c r="D42" s="137"/>
      <c r="E42" s="282">
        <v>0.95652173913043481</v>
      </c>
      <c r="F42" s="282">
        <v>1.0869565217391304</v>
      </c>
      <c r="G42" s="282">
        <v>0.89130434782608692</v>
      </c>
      <c r="H42" s="282">
        <v>1.0869565217391304</v>
      </c>
      <c r="I42" s="282">
        <v>1.0652173913043479</v>
      </c>
      <c r="J42" s="282">
        <v>1</v>
      </c>
      <c r="K42" s="282">
        <v>1.0434782608695652</v>
      </c>
      <c r="L42" s="282">
        <v>1.0217391304347827</v>
      </c>
      <c r="M42" s="282">
        <v>0.95652173913043481</v>
      </c>
      <c r="N42" s="282">
        <v>0.95652173913043481</v>
      </c>
      <c r="O42" s="282">
        <v>0.91304347826086951</v>
      </c>
      <c r="P42" s="282">
        <v>1.0217391304347827</v>
      </c>
      <c r="Q42" s="15"/>
      <c r="R42" s="15"/>
    </row>
    <row r="44" spans="1:19" x14ac:dyDescent="0.25">
      <c r="A44" s="7" t="s">
        <v>1076</v>
      </c>
      <c r="E44" s="7">
        <f>SUMIFS('[18]Summary - Selling Expenses'!Z:Z,'[18]Summary - Selling Expenses'!$E:$E,3,'[18]Summary - Selling Expenses'!$C:$C,142)</f>
        <v>37841.735074350356</v>
      </c>
      <c r="F44" s="7">
        <f>SUMIFS('[18]Summary - Selling Expenses'!AA:AA,'[18]Summary - Selling Expenses'!$E:$E,3,'[18]Summary - Selling Expenses'!$C:$C,142)</f>
        <v>37841.735074350356</v>
      </c>
      <c r="G44" s="7">
        <f>SUMIFS('[18]Summary - Selling Expenses'!AB:AB,'[18]Summary - Selling Expenses'!$E:$E,3,'[18]Summary - Selling Expenses'!$C:$C,142)</f>
        <v>37841.735074350356</v>
      </c>
      <c r="H44" s="7">
        <f>SUMIFS('[18]Summary - Selling Expenses'!AC:AC,'[18]Summary - Selling Expenses'!$E:$E,3,'[18]Summary - Selling Expenses'!$C:$C,142)</f>
        <v>37841.735074350356</v>
      </c>
      <c r="I44" s="7">
        <f>SUMIFS('[18]Summary - Selling Expenses'!AD:AD,'[18]Summary - Selling Expenses'!$E:$E,3,'[18]Summary - Selling Expenses'!$C:$C,142)</f>
        <v>37841.735074350356</v>
      </c>
      <c r="J44" s="7">
        <f>SUMIFS('[18]Summary - Selling Expenses'!AE:AE,'[18]Summary - Selling Expenses'!$E:$E,3,'[18]Summary - Selling Expenses'!$C:$C,142)</f>
        <v>37841.735074350356</v>
      </c>
      <c r="K44" s="7">
        <f>SUMIFS('[18]Summary - Selling Expenses'!AF:AF,'[18]Summary - Selling Expenses'!$E:$E,3,'[18]Summary - Selling Expenses'!$C:$C,142)</f>
        <v>37841.735074350356</v>
      </c>
      <c r="L44" s="7">
        <f>SUMIFS('[18]Summary - Selling Expenses'!AG:AG,'[18]Summary - Selling Expenses'!$E:$E,3,'[18]Summary - Selling Expenses'!$C:$C,142)</f>
        <v>37841.735074350356</v>
      </c>
      <c r="M44" s="7">
        <f>SUMIFS('[18]Summary - Selling Expenses'!AH:AH,'[18]Summary - Selling Expenses'!$E:$E,3,'[18]Summary - Selling Expenses'!$C:$C,142)</f>
        <v>37841.735074350356</v>
      </c>
      <c r="N44" s="7">
        <f>SUMIFS('[18]Summary - Selling Expenses'!AI:AI,'[18]Summary - Selling Expenses'!$E:$E,3,'[18]Summary - Selling Expenses'!$C:$C,142)</f>
        <v>37841.735074350356</v>
      </c>
      <c r="O44" s="7">
        <f>SUMIFS('[18]Summary - Selling Expenses'!AJ:AJ,'[18]Summary - Selling Expenses'!$E:$E,3,'[18]Summary - Selling Expenses'!$C:$C,142)</f>
        <v>37841.735074350356</v>
      </c>
      <c r="P44" s="7">
        <f>SUMIFS('[18]Summary - Selling Expenses'!AK:AK,'[18]Summary - Selling Expenses'!$E:$E,3,'[18]Summary - Selling Expenses'!$C:$C,142)</f>
        <v>37841.735074350356</v>
      </c>
      <c r="R44" s="7">
        <f>SUM(E44:P44)</f>
        <v>454100.82089220436</v>
      </c>
    </row>
    <row r="45" spans="1:19" x14ac:dyDescent="0.25">
      <c r="R45" s="7">
        <f>R44-SUMIFS('[18]Summary - Selling Expenses'!$AL:$AL,'[18]Summary - Selling Expenses'!$C:$C,142,'[18]Summary - Selling Expenses'!$D:$D,'[18]Summary - Selling Expenses'!$D$12)</f>
        <v>0</v>
      </c>
      <c r="S45" s="122" t="s">
        <v>1093</v>
      </c>
    </row>
    <row r="46" spans="1:19" x14ac:dyDescent="0.25">
      <c r="A46" t="s">
        <v>1319</v>
      </c>
      <c r="E46" s="7">
        <f>E14</f>
        <v>43055.1</v>
      </c>
      <c r="F46" s="7">
        <f t="shared" ref="F46:P46" si="32">F14</f>
        <v>75339.989999999991</v>
      </c>
      <c r="G46" s="7">
        <f t="shared" si="32"/>
        <v>49345.619999999995</v>
      </c>
      <c r="H46" s="7">
        <f t="shared" si="32"/>
        <v>51114.339999999982</v>
      </c>
      <c r="I46" s="7">
        <f t="shared" si="32"/>
        <v>59150.540000000008</v>
      </c>
      <c r="J46" s="7">
        <f t="shared" si="32"/>
        <v>53085.759999999995</v>
      </c>
      <c r="K46" s="7">
        <f t="shared" si="32"/>
        <v>44992.33</v>
      </c>
      <c r="L46" s="7">
        <f t="shared" si="32"/>
        <v>54658.110000000008</v>
      </c>
      <c r="M46" s="7">
        <f t="shared" si="32"/>
        <v>46508.899999999994</v>
      </c>
      <c r="N46" s="7">
        <f t="shared" si="32"/>
        <v>32055.020000000004</v>
      </c>
      <c r="O46" s="7">
        <f t="shared" si="32"/>
        <v>34909</v>
      </c>
      <c r="P46" s="7">
        <f t="shared" si="32"/>
        <v>40597.22</v>
      </c>
      <c r="Q46" s="34"/>
      <c r="R46" s="7">
        <f>SUM(E46:P46)</f>
        <v>584811.92999999993</v>
      </c>
    </row>
    <row r="47" spans="1:19" x14ac:dyDescent="0.25">
      <c r="A47" t="s">
        <v>1320</v>
      </c>
      <c r="E47" s="7">
        <f>E34</f>
        <v>52257.158515434785</v>
      </c>
      <c r="F47" s="7">
        <f t="shared" ref="F47:P47" si="33">F34</f>
        <v>59383.134676630441</v>
      </c>
      <c r="G47" s="7">
        <f t="shared" si="33"/>
        <v>48694.17043483696</v>
      </c>
      <c r="H47" s="7">
        <f t="shared" si="33"/>
        <v>59383.134676630441</v>
      </c>
      <c r="I47" s="7">
        <f t="shared" si="33"/>
        <v>58195.471983097836</v>
      </c>
      <c r="J47" s="7">
        <f t="shared" si="33"/>
        <v>54632.483902500011</v>
      </c>
      <c r="K47" s="7">
        <f t="shared" si="33"/>
        <v>57007.809289565223</v>
      </c>
      <c r="L47" s="7">
        <f t="shared" si="33"/>
        <v>55820.146596032624</v>
      </c>
      <c r="M47" s="7">
        <f t="shared" si="33"/>
        <v>52257.158515434785</v>
      </c>
      <c r="N47" s="7">
        <f t="shared" si="33"/>
        <v>52257.158515434785</v>
      </c>
      <c r="O47" s="7">
        <f t="shared" si="33"/>
        <v>49881.833128369573</v>
      </c>
      <c r="P47" s="7">
        <f t="shared" si="33"/>
        <v>55820.146596032624</v>
      </c>
      <c r="Q47" s="34"/>
      <c r="R47" s="7">
        <f>SUM(E47:P47)</f>
        <v>655589.80683000013</v>
      </c>
    </row>
  </sheetData>
  <pageMargins left="0.7" right="0.7" top="0.75" bottom="0.75" header="0.3" footer="0.3"/>
  <pageSetup paperSize="9" orientation="portrait"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32DAC-546C-44EF-AC51-E427E36346FB}">
  <sheetPr codeName="Sheet31">
    <tabColor theme="9" tint="0.79998168889431442"/>
  </sheetPr>
  <dimension ref="A1:T38"/>
  <sheetViews>
    <sheetView workbookViewId="0">
      <selection activeCell="P12" sqref="P12"/>
    </sheetView>
  </sheetViews>
  <sheetFormatPr defaultRowHeight="15" x14ac:dyDescent="0.25"/>
  <cols>
    <col min="1" max="1" width="30.42578125" bestFit="1" customWidth="1"/>
    <col min="2" max="4" width="10.7109375" hidden="1" customWidth="1"/>
    <col min="5" max="16" width="10.7109375" customWidth="1"/>
    <col min="17" max="17" width="2.85546875" customWidth="1"/>
    <col min="18" max="18" width="10.7109375" customWidth="1"/>
  </cols>
  <sheetData>
    <row r="1" spans="1:19" s="7" customFormat="1" ht="15.75" x14ac:dyDescent="0.25">
      <c r="A1" s="11" t="s">
        <v>1287</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c r="S1"/>
    </row>
    <row r="2" spans="1:19"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19" s="7" customFormat="1" x14ac:dyDescent="0.25">
      <c r="A3"/>
      <c r="B3"/>
      <c r="C3"/>
      <c r="D3"/>
      <c r="E3"/>
      <c r="F3"/>
      <c r="G3"/>
      <c r="H3"/>
      <c r="I3"/>
      <c r="J3"/>
      <c r="K3"/>
      <c r="L3"/>
      <c r="M3"/>
      <c r="N3"/>
      <c r="O3"/>
      <c r="P3"/>
      <c r="Q3"/>
      <c r="R3"/>
      <c r="S3"/>
    </row>
    <row r="4" spans="1:19" s="7" customFormat="1" x14ac:dyDescent="0.25">
      <c r="A4" s="7" t="s">
        <v>1288</v>
      </c>
      <c r="B4" s="6">
        <f>'Bridgestone 935'!B4+'Bridgestone 936'!B4</f>
        <v>174803.57</v>
      </c>
      <c r="C4" s="6">
        <f>'Bridgestone 935'!C4+'Bridgestone 936'!C4</f>
        <v>218675.39</v>
      </c>
      <c r="D4" s="6">
        <f>'Bridgestone 935'!D4+'Bridgestone 936'!D4</f>
        <v>309312.06</v>
      </c>
      <c r="E4" s="6">
        <f>'Bridgestone 935'!E4+'Bridgestone 936'!E4</f>
        <v>179148.04000000004</v>
      </c>
      <c r="F4" s="6">
        <f>'Bridgestone 935'!F4+'Bridgestone 936'!F4</f>
        <v>249839.28000000003</v>
      </c>
      <c r="G4" s="6">
        <f>'Bridgestone 935'!G4+'Bridgestone 936'!G4</f>
        <v>224973.64</v>
      </c>
      <c r="H4" s="6">
        <f>'Bridgestone 935'!H4+'Bridgestone 936'!H4</f>
        <v>229955.43</v>
      </c>
      <c r="I4" s="6">
        <f>'Bridgestone 935'!I4+'Bridgestone 936'!I4</f>
        <v>236367.65000000002</v>
      </c>
      <c r="J4" s="6">
        <f>'Bridgestone 935'!J4+'Bridgestone 936'!J4</f>
        <v>237814.22</v>
      </c>
      <c r="K4" s="6">
        <f>'Bridgestone 935'!K4+'Bridgestone 936'!K4</f>
        <v>215047</v>
      </c>
      <c r="L4" s="6">
        <f>'Bridgestone 935'!L4+'Bridgestone 936'!L4</f>
        <v>253228.44</v>
      </c>
      <c r="M4" s="6">
        <f>'Bridgestone 935'!M4+'Bridgestone 936'!M4</f>
        <v>220695.74</v>
      </c>
      <c r="N4" s="6">
        <f>'Bridgestone 935'!N4+'Bridgestone 936'!N4</f>
        <v>218751.84</v>
      </c>
      <c r="O4" s="6">
        <f>'Bridgestone 935'!O4+'Bridgestone 936'!O4</f>
        <v>201821.91999999998</v>
      </c>
      <c r="P4" s="6">
        <f>'Bridgestone 935'!P4+'Bridgestone 936'!P4</f>
        <v>222679.80000000002</v>
      </c>
      <c r="Q4" s="8"/>
      <c r="R4" s="6">
        <f>SUM(E4:P4)</f>
        <v>2690322.9999999995</v>
      </c>
      <c r="S4"/>
    </row>
    <row r="5" spans="1:19" s="9" customFormat="1" x14ac:dyDescent="0.25">
      <c r="A5" t="s">
        <v>1176</v>
      </c>
      <c r="B5" s="3">
        <f t="shared" ref="B5:L5" si="0">B10/B4</f>
        <v>0.39247670971479576</v>
      </c>
      <c r="C5" s="3">
        <f t="shared" si="0"/>
        <v>0.33775222717105935</v>
      </c>
      <c r="D5" s="3">
        <f t="shared" si="0"/>
        <v>0.38970733957156406</v>
      </c>
      <c r="E5" s="3">
        <f t="shared" si="0"/>
        <v>0.397767511160044</v>
      </c>
      <c r="F5" s="3">
        <f t="shared" si="0"/>
        <v>0.39798453629869557</v>
      </c>
      <c r="G5" s="3">
        <f t="shared" si="0"/>
        <v>0.4015580225309951</v>
      </c>
      <c r="H5" s="3">
        <f t="shared" si="0"/>
        <v>0.41265196477421734</v>
      </c>
      <c r="I5" s="3">
        <f t="shared" si="0"/>
        <v>0.4061873103193267</v>
      </c>
      <c r="J5" s="3">
        <f t="shared" si="0"/>
        <v>0.40046995507669814</v>
      </c>
      <c r="K5" s="3">
        <f t="shared" si="0"/>
        <v>0.41582235511306831</v>
      </c>
      <c r="L5" s="3">
        <f t="shared" si="0"/>
        <v>0.42876052942552584</v>
      </c>
      <c r="M5" s="3">
        <f>M10/M4</f>
        <v>0.42781940421686437</v>
      </c>
      <c r="N5" s="3">
        <f>N10/N4</f>
        <v>0.43522422485680573</v>
      </c>
      <c r="O5" s="3">
        <f>O10/O4</f>
        <v>0.41870412292183123</v>
      </c>
      <c r="P5" s="3">
        <f>P10/P4</f>
        <v>0.41980660122741265</v>
      </c>
      <c r="Q5" s="3"/>
      <c r="R5" s="3">
        <f>R10/R4</f>
        <v>0.4136216394834375</v>
      </c>
      <c r="S5"/>
    </row>
    <row r="6" spans="1:19" s="9" customFormat="1" x14ac:dyDescent="0.25">
      <c r="A6" t="s">
        <v>1182</v>
      </c>
      <c r="B6" s="3">
        <f t="shared" ref="B6:L6" si="1">B11/B4</f>
        <v>0.20734038784219339</v>
      </c>
      <c r="C6" s="3">
        <f t="shared" si="1"/>
        <v>0.2294613033501392</v>
      </c>
      <c r="D6" s="3">
        <f t="shared" si="1"/>
        <v>0.19685834428828933</v>
      </c>
      <c r="E6" s="3">
        <f t="shared" si="1"/>
        <v>0.22805156003939528</v>
      </c>
      <c r="F6" s="3">
        <f t="shared" si="1"/>
        <v>0.20418530664993914</v>
      </c>
      <c r="G6" s="3">
        <f t="shared" si="1"/>
        <v>0.27685674641704688</v>
      </c>
      <c r="H6" s="3">
        <f t="shared" si="1"/>
        <v>0.20471588777007788</v>
      </c>
      <c r="I6" s="3">
        <f t="shared" si="1"/>
        <v>0.21683991019921714</v>
      </c>
      <c r="J6" s="3">
        <f t="shared" si="1"/>
        <v>0.21540284681042202</v>
      </c>
      <c r="K6" s="3">
        <f t="shared" si="1"/>
        <v>0.22143015247829545</v>
      </c>
      <c r="L6" s="3">
        <f t="shared" si="1"/>
        <v>0.21207092694643617</v>
      </c>
      <c r="M6" s="3">
        <f>M11/M4</f>
        <v>0.21963486925483924</v>
      </c>
      <c r="N6" s="3">
        <f>N11/N4</f>
        <v>0.25033791715763393</v>
      </c>
      <c r="O6" s="3">
        <f>O11/O4</f>
        <v>0.25845884332088404</v>
      </c>
      <c r="P6" s="3">
        <f>P11/P4</f>
        <v>0.21492847577553059</v>
      </c>
      <c r="Q6" s="3"/>
      <c r="R6" s="3">
        <f>R11/R4</f>
        <v>0.226101784060873</v>
      </c>
      <c r="S6"/>
    </row>
    <row r="7" spans="1:19" s="9" customFormat="1" x14ac:dyDescent="0.25">
      <c r="A7" t="s">
        <v>1289</v>
      </c>
      <c r="B7" s="60">
        <f>'Bridgestone 935'!B7+'Bridgestone 936'!B7</f>
        <v>7</v>
      </c>
      <c r="C7" s="60">
        <f>'Bridgestone 935'!C7+'Bridgestone 936'!C7</f>
        <v>7</v>
      </c>
      <c r="D7" s="60">
        <f>'Bridgestone 935'!D7+'Bridgestone 936'!D7</f>
        <v>7</v>
      </c>
      <c r="E7" s="60">
        <f>'Bridgestone 935'!E7+'Bridgestone 936'!E7</f>
        <v>7</v>
      </c>
      <c r="F7" s="60">
        <f>'Bridgestone 935'!F7+'Bridgestone 936'!F7</f>
        <v>7</v>
      </c>
      <c r="G7" s="60">
        <f>'Bridgestone 935'!G7+'Bridgestone 936'!G7</f>
        <v>7</v>
      </c>
      <c r="H7" s="60">
        <f>'Bridgestone 935'!H7+'Bridgestone 936'!H7</f>
        <v>7</v>
      </c>
      <c r="I7" s="60">
        <f>'Bridgestone 935'!I7+'Bridgestone 936'!I7</f>
        <v>7</v>
      </c>
      <c r="J7" s="60">
        <f>'Bridgestone 935'!J7+'Bridgestone 936'!J7</f>
        <v>7</v>
      </c>
      <c r="K7" s="60">
        <f>'Bridgestone 935'!K7+'Bridgestone 936'!K7</f>
        <v>7</v>
      </c>
      <c r="L7" s="60">
        <f>'Bridgestone 935'!L7+'Bridgestone 936'!L7</f>
        <v>7</v>
      </c>
      <c r="M7" s="60">
        <f>'Bridgestone 935'!M7+'Bridgestone 936'!M7</f>
        <v>7</v>
      </c>
      <c r="N7" s="60">
        <f>'Bridgestone 935'!N7+'Bridgestone 936'!N7</f>
        <v>7</v>
      </c>
      <c r="O7" s="60">
        <f>'Bridgestone 935'!O7+'Bridgestone 936'!O7</f>
        <v>7</v>
      </c>
      <c r="P7" s="60">
        <f>'Bridgestone 935'!P7+'Bridgestone 936'!P7</f>
        <v>7</v>
      </c>
      <c r="Q7" s="3"/>
      <c r="R7" s="60">
        <f>AVERAGE(E7:P7)</f>
        <v>7</v>
      </c>
      <c r="S7"/>
    </row>
    <row r="8" spans="1:19" s="9" customFormat="1" x14ac:dyDescent="0.25">
      <c r="A8" s="7" t="s">
        <v>1290</v>
      </c>
      <c r="B8" s="6">
        <f t="shared" ref="B8:L8" si="2">B4/B7</f>
        <v>24971.938571428571</v>
      </c>
      <c r="C8" s="6">
        <f t="shared" si="2"/>
        <v>31239.341428571432</v>
      </c>
      <c r="D8" s="6">
        <f t="shared" si="2"/>
        <v>44187.437142857139</v>
      </c>
      <c r="E8" s="6">
        <f t="shared" si="2"/>
        <v>25592.57714285715</v>
      </c>
      <c r="F8" s="6">
        <f t="shared" si="2"/>
        <v>35691.325714285718</v>
      </c>
      <c r="G8" s="6">
        <f t="shared" si="2"/>
        <v>32139.091428571432</v>
      </c>
      <c r="H8" s="6">
        <f t="shared" si="2"/>
        <v>32850.775714285715</v>
      </c>
      <c r="I8" s="6">
        <f t="shared" si="2"/>
        <v>33766.807142857149</v>
      </c>
      <c r="J8" s="6">
        <f t="shared" si="2"/>
        <v>33973.46</v>
      </c>
      <c r="K8" s="6">
        <f t="shared" si="2"/>
        <v>30721</v>
      </c>
      <c r="L8" s="6">
        <f t="shared" si="2"/>
        <v>36175.491428571426</v>
      </c>
      <c r="M8" s="6">
        <f>M4/M7</f>
        <v>31527.962857142855</v>
      </c>
      <c r="N8" s="6">
        <f>N4/N7</f>
        <v>31250.262857142858</v>
      </c>
      <c r="O8" s="6">
        <f>O4/O7</f>
        <v>28831.702857142856</v>
      </c>
      <c r="P8" s="6">
        <f>P4/P7</f>
        <v>31811.4</v>
      </c>
      <c r="Q8" s="3"/>
      <c r="R8" s="6">
        <f>AVERAGE(E8:P8)</f>
        <v>32027.654761904763</v>
      </c>
      <c r="S8"/>
    </row>
    <row r="9" spans="1:19" s="9" customFormat="1" x14ac:dyDescent="0.25">
      <c r="A9"/>
      <c r="B9" s="3"/>
      <c r="C9" s="3"/>
      <c r="D9" s="3"/>
      <c r="E9" s="3"/>
      <c r="F9" s="3"/>
      <c r="G9" s="3"/>
      <c r="H9" s="3"/>
      <c r="I9" s="3"/>
      <c r="J9" s="3"/>
      <c r="K9" s="3"/>
      <c r="L9" s="3"/>
      <c r="M9" s="3"/>
      <c r="N9" s="3"/>
      <c r="O9" s="3"/>
      <c r="P9" s="3"/>
      <c r="Q9" s="3"/>
      <c r="R9" s="3"/>
      <c r="S9"/>
    </row>
    <row r="10" spans="1:19" x14ac:dyDescent="0.25">
      <c r="A10" s="7" t="s">
        <v>1291</v>
      </c>
      <c r="B10" s="6">
        <f>'Bridgestone 935'!B10+'Bridgestone 936'!B10</f>
        <v>68606.329999999987</v>
      </c>
      <c r="C10" s="6">
        <f>'Bridgestone 935'!C10+'Bridgestone 936'!C10</f>
        <v>73858.100000000006</v>
      </c>
      <c r="D10" s="6">
        <f>'Bridgestone 935'!D10+'Bridgestone 936'!D10</f>
        <v>120541.18</v>
      </c>
      <c r="E10" s="6">
        <f>'Bridgestone 935'!E10+'Bridgestone 936'!E10</f>
        <v>71259.270000000019</v>
      </c>
      <c r="F10" s="6">
        <f>'Bridgestone 935'!F10+'Bridgestone 936'!F10</f>
        <v>99432.169999999984</v>
      </c>
      <c r="G10" s="6">
        <f>'Bridgestone 935'!G10+'Bridgestone 936'!G10</f>
        <v>90339.969999999987</v>
      </c>
      <c r="H10" s="6">
        <f>'Bridgestone 935'!H10+'Bridgestone 936'!H10</f>
        <v>94891.56</v>
      </c>
      <c r="I10" s="6">
        <f>'Bridgestone 935'!I10+'Bridgestone 936'!I10</f>
        <v>96009.540000000008</v>
      </c>
      <c r="J10" s="6">
        <f>'Bridgestone 935'!J10+'Bridgestone 936'!J10</f>
        <v>95237.450000000012</v>
      </c>
      <c r="K10" s="6">
        <f>'Bridgestone 935'!K10+'Bridgestone 936'!K10</f>
        <v>89421.35</v>
      </c>
      <c r="L10" s="6">
        <f>'Bridgestone 935'!L10+'Bridgestone 936'!L10</f>
        <v>108574.36</v>
      </c>
      <c r="M10" s="6">
        <f>'Bridgestone 935'!M10+'Bridgestone 936'!M10</f>
        <v>94417.919999999998</v>
      </c>
      <c r="N10" s="6">
        <f>'Bridgestone 935'!N10+'Bridgestone 936'!N10</f>
        <v>95206.099999999991</v>
      </c>
      <c r="O10" s="6">
        <f>'Bridgestone 935'!O10+'Bridgestone 936'!O10</f>
        <v>84503.669999999984</v>
      </c>
      <c r="P10" s="6">
        <f>'Bridgestone 935'!P10+'Bridgestone 936'!P10</f>
        <v>93482.450000000012</v>
      </c>
      <c r="R10" s="6">
        <f>SUM(E10:P10)</f>
        <v>1112775.8099999998</v>
      </c>
    </row>
    <row r="11" spans="1:19" x14ac:dyDescent="0.25">
      <c r="A11" s="7" t="s">
        <v>1076</v>
      </c>
      <c r="B11" s="6">
        <f>'Bridgestone 935'!B11+'Bridgestone 936'!B11</f>
        <v>36243.840000000004</v>
      </c>
      <c r="C11" s="6">
        <f>'Bridgestone 935'!C11+'Bridgestone 936'!C11</f>
        <v>50177.54</v>
      </c>
      <c r="D11" s="6">
        <f>'Bridgestone 935'!D11+'Bridgestone 936'!D11</f>
        <v>60890.66</v>
      </c>
      <c r="E11" s="6">
        <f>'Bridgestone 935'!E11+'Bridgestone 936'!E11</f>
        <v>40854.99</v>
      </c>
      <c r="F11" s="6">
        <f>'Bridgestone 935'!F11+'Bridgestone 936'!F11</f>
        <v>51013.510000000009</v>
      </c>
      <c r="G11" s="6">
        <f>'Bridgestone 935'!G11+'Bridgestone 936'!G11</f>
        <v>62285.469999999994</v>
      </c>
      <c r="H11" s="6">
        <f>'Bridgestone 935'!H11+'Bridgestone 936'!H11</f>
        <v>47075.53</v>
      </c>
      <c r="I11" s="6">
        <f>'Bridgestone 935'!I11+'Bridgestone 936'!I11</f>
        <v>51253.939999999995</v>
      </c>
      <c r="J11" s="6">
        <f>'Bridgestone 935'!J11+'Bridgestone 936'!J11</f>
        <v>51225.86</v>
      </c>
      <c r="K11" s="6">
        <f>'Bridgestone 935'!K11+'Bridgestone 936'!K11</f>
        <v>47617.89</v>
      </c>
      <c r="L11" s="6">
        <f>'Bridgestone 935'!L11+'Bridgestone 936'!L11</f>
        <v>53702.39</v>
      </c>
      <c r="M11" s="6">
        <f>'Bridgestone 935'!M11+'Bridgestone 936'!M11</f>
        <v>48472.479999999996</v>
      </c>
      <c r="N11" s="6">
        <f>'Bridgestone 935'!N11+'Bridgestone 936'!N11</f>
        <v>54761.87999999999</v>
      </c>
      <c r="O11" s="6">
        <f>'Bridgestone 935'!O11+'Bridgestone 936'!O11</f>
        <v>52162.659999999989</v>
      </c>
      <c r="P11" s="6">
        <f>'Bridgestone 935'!P11+'Bridgestone 936'!P11</f>
        <v>47860.23</v>
      </c>
      <c r="R11" s="6">
        <f>SUM(E11:P11)</f>
        <v>608286.82999999996</v>
      </c>
    </row>
    <row r="12" spans="1:19" ht="15.75" thickBot="1" x14ac:dyDescent="0.3">
      <c r="A12" s="9" t="s">
        <v>1078</v>
      </c>
      <c r="B12" s="10">
        <f t="shared" ref="B12:K12" si="3">B10-B11</f>
        <v>32362.489999999983</v>
      </c>
      <c r="C12" s="10">
        <f t="shared" si="3"/>
        <v>23680.560000000005</v>
      </c>
      <c r="D12" s="10">
        <f t="shared" si="3"/>
        <v>59650.51999999999</v>
      </c>
      <c r="E12" s="10">
        <f t="shared" si="3"/>
        <v>30404.280000000021</v>
      </c>
      <c r="F12" s="10">
        <f t="shared" si="3"/>
        <v>48418.659999999974</v>
      </c>
      <c r="G12" s="10">
        <f t="shared" si="3"/>
        <v>28054.499999999993</v>
      </c>
      <c r="H12" s="10">
        <f t="shared" si="3"/>
        <v>47816.03</v>
      </c>
      <c r="I12" s="10">
        <f t="shared" si="3"/>
        <v>44755.600000000013</v>
      </c>
      <c r="J12" s="10">
        <f t="shared" si="3"/>
        <v>44011.590000000011</v>
      </c>
      <c r="K12" s="10">
        <f t="shared" si="3"/>
        <v>41803.460000000006</v>
      </c>
      <c r="L12" s="10">
        <f>L10-L11</f>
        <v>54871.97</v>
      </c>
      <c r="M12" s="10">
        <f>M10-M11</f>
        <v>45945.440000000002</v>
      </c>
      <c r="N12" s="10">
        <f>N10-N11</f>
        <v>40444.22</v>
      </c>
      <c r="O12" s="10">
        <f>O10-O11</f>
        <v>32341.009999999995</v>
      </c>
      <c r="P12" s="10">
        <f>P10-P11</f>
        <v>45622.220000000008</v>
      </c>
      <c r="R12" s="10">
        <f>R10-R11</f>
        <v>504488.97999999986</v>
      </c>
    </row>
    <row r="13" spans="1:19" ht="15.75" thickTop="1" x14ac:dyDescent="0.25"/>
    <row r="15" spans="1:19" ht="15.75" x14ac:dyDescent="0.25">
      <c r="A15" s="11" t="s">
        <v>1287</v>
      </c>
      <c r="B15" s="5">
        <v>45292</v>
      </c>
      <c r="C15" s="5">
        <v>45323</v>
      </c>
      <c r="D15" s="5">
        <v>45352</v>
      </c>
      <c r="E15" s="5">
        <v>45383</v>
      </c>
      <c r="F15" s="5">
        <v>45413</v>
      </c>
      <c r="G15" s="5">
        <v>45444</v>
      </c>
      <c r="H15" s="5">
        <v>45474</v>
      </c>
      <c r="I15" s="5">
        <v>45505</v>
      </c>
      <c r="J15" s="5">
        <v>45536</v>
      </c>
      <c r="K15" s="5">
        <v>45566</v>
      </c>
      <c r="L15" s="5">
        <v>45597</v>
      </c>
      <c r="M15" s="5">
        <v>45627</v>
      </c>
      <c r="N15" s="5">
        <v>45658</v>
      </c>
      <c r="O15" s="5">
        <v>45689</v>
      </c>
      <c r="P15" s="5">
        <v>45717</v>
      </c>
      <c r="Q15" s="5"/>
      <c r="R15" s="5" t="s">
        <v>955</v>
      </c>
    </row>
    <row r="16" spans="1:19" x14ac:dyDescent="0.25">
      <c r="A16" s="4"/>
      <c r="B16" s="5" t="s">
        <v>958</v>
      </c>
      <c r="C16" s="5" t="s">
        <v>959</v>
      </c>
      <c r="D16" s="5" t="s">
        <v>959</v>
      </c>
      <c r="E16" s="5" t="s">
        <v>959</v>
      </c>
      <c r="F16" s="5" t="s">
        <v>959</v>
      </c>
      <c r="G16" s="5" t="s">
        <v>959</v>
      </c>
      <c r="H16" s="5" t="s">
        <v>959</v>
      </c>
      <c r="I16" s="5" t="s">
        <v>959</v>
      </c>
      <c r="J16" s="5" t="s">
        <v>959</v>
      </c>
      <c r="K16" s="5" t="s">
        <v>959</v>
      </c>
      <c r="L16" s="5" t="s">
        <v>959</v>
      </c>
      <c r="M16" s="5" t="s">
        <v>959</v>
      </c>
      <c r="N16" s="5" t="s">
        <v>959</v>
      </c>
      <c r="O16" s="5" t="s">
        <v>959</v>
      </c>
      <c r="P16" s="5" t="s">
        <v>959</v>
      </c>
      <c r="Q16" s="5"/>
      <c r="R16" s="5" t="s">
        <v>961</v>
      </c>
    </row>
    <row r="18" spans="1:20" x14ac:dyDescent="0.25">
      <c r="A18" s="7" t="s">
        <v>1288</v>
      </c>
      <c r="B18" s="6">
        <f t="shared" ref="B18:D22" si="4">N4</f>
        <v>218751.84</v>
      </c>
      <c r="C18" s="6">
        <f t="shared" si="4"/>
        <v>201821.91999999998</v>
      </c>
      <c r="D18" s="6">
        <f t="shared" si="4"/>
        <v>222679.80000000002</v>
      </c>
      <c r="E18" s="6">
        <f>'Bridgestone 935'!E18+'Bridgestone 936'!E18</f>
        <v>168000</v>
      </c>
      <c r="F18" s="6">
        <f>'Bridgestone 935'!F18+'Bridgestone 936'!F18</f>
        <v>205000</v>
      </c>
      <c r="G18" s="6">
        <f>'Bridgestone 935'!G18+'Bridgestone 936'!G18</f>
        <v>197000</v>
      </c>
      <c r="H18" s="6">
        <f>'Bridgestone 935'!H18+'Bridgestone 936'!H18</f>
        <v>214000</v>
      </c>
      <c r="I18" s="6">
        <f>'Bridgestone 935'!I18+'Bridgestone 936'!I18</f>
        <v>245000</v>
      </c>
      <c r="J18" s="6">
        <f>'Bridgestone 935'!J18+'Bridgestone 936'!J18</f>
        <v>246000</v>
      </c>
      <c r="K18" s="6">
        <f>'Bridgestone 935'!K18+'Bridgestone 936'!K18</f>
        <v>247000</v>
      </c>
      <c r="L18" s="6">
        <f>'Bridgestone 935'!L18+'Bridgestone 936'!L18</f>
        <v>270000</v>
      </c>
      <c r="M18" s="6">
        <f>'Bridgestone 935'!M18+'Bridgestone 936'!M18</f>
        <v>248000</v>
      </c>
      <c r="N18" s="6">
        <f>'Bridgestone 935'!N18+'Bridgestone 936'!N18</f>
        <v>240000</v>
      </c>
      <c r="O18" s="6">
        <f>'Bridgestone 935'!O18+'Bridgestone 936'!O18</f>
        <v>206000</v>
      </c>
      <c r="P18" s="6">
        <f>'Bridgestone 935'!P18+'Bridgestone 936'!P18</f>
        <v>273000</v>
      </c>
      <c r="Q18" s="8"/>
      <c r="R18" s="6">
        <f>SUM(E18:P18)</f>
        <v>2759000</v>
      </c>
      <c r="T18" s="7"/>
    </row>
    <row r="19" spans="1:20" x14ac:dyDescent="0.25">
      <c r="A19" t="s">
        <v>1176</v>
      </c>
      <c r="B19" s="3">
        <f t="shared" si="4"/>
        <v>0.43522422485680573</v>
      </c>
      <c r="C19" s="3">
        <f t="shared" si="4"/>
        <v>0.41870412292183123</v>
      </c>
      <c r="D19" s="3">
        <f t="shared" si="4"/>
        <v>0.41980660122741265</v>
      </c>
      <c r="E19" s="3">
        <f t="shared" ref="E19:L19" si="5">E24/E18</f>
        <v>0.40457593797996516</v>
      </c>
      <c r="F19" s="3">
        <f t="shared" si="5"/>
        <v>0.40445909608272473</v>
      </c>
      <c r="G19" s="3">
        <f t="shared" si="5"/>
        <v>0.40434862362901069</v>
      </c>
      <c r="H19" s="3">
        <f t="shared" si="5"/>
        <v>0.40732255341972889</v>
      </c>
      <c r="I19" s="3">
        <f t="shared" si="5"/>
        <v>0.40633146934285141</v>
      </c>
      <c r="J19" s="3">
        <f t="shared" si="5"/>
        <v>0.40616600379893331</v>
      </c>
      <c r="K19" s="3">
        <f t="shared" si="5"/>
        <v>0.40642687734665345</v>
      </c>
      <c r="L19" s="3">
        <f t="shared" si="5"/>
        <v>0.40677448479035949</v>
      </c>
      <c r="M19" s="3">
        <f>M24/M18</f>
        <v>0.40612126629830686</v>
      </c>
      <c r="N19" s="3">
        <f>N24/N18</f>
        <v>0.40630469005087527</v>
      </c>
      <c r="O19" s="3">
        <f>O24/O18</f>
        <v>0.40673359204437159</v>
      </c>
      <c r="P19" s="3">
        <f>P24/P18</f>
        <v>0.40670683719619349</v>
      </c>
      <c r="Q19" s="3"/>
      <c r="R19" s="3">
        <f>R24/R18</f>
        <v>0.4061038275664291</v>
      </c>
    </row>
    <row r="20" spans="1:20" x14ac:dyDescent="0.25">
      <c r="A20" t="s">
        <v>1182</v>
      </c>
      <c r="B20" s="3">
        <f t="shared" si="4"/>
        <v>0.25033791715763393</v>
      </c>
      <c r="C20" s="3">
        <f t="shared" si="4"/>
        <v>0.25845884332088404</v>
      </c>
      <c r="D20" s="3">
        <f t="shared" si="4"/>
        <v>0.21492847577553059</v>
      </c>
      <c r="E20" s="3">
        <f t="shared" ref="E20:L20" si="6">E25/E18</f>
        <v>0.27267256073948765</v>
      </c>
      <c r="F20" s="3">
        <f t="shared" si="6"/>
        <v>0.22345848880114108</v>
      </c>
      <c r="G20" s="3">
        <f t="shared" si="6"/>
        <v>0.23253294519915696</v>
      </c>
      <c r="H20" s="3">
        <f t="shared" si="6"/>
        <v>0.21406070188894358</v>
      </c>
      <c r="I20" s="3">
        <f t="shared" si="6"/>
        <v>0.18697547022136296</v>
      </c>
      <c r="J20" s="3">
        <f t="shared" si="6"/>
        <v>0.18621540733428424</v>
      </c>
      <c r="K20" s="3">
        <f t="shared" si="6"/>
        <v>0.18546149880256649</v>
      </c>
      <c r="L20" s="3">
        <f t="shared" si="6"/>
        <v>0.16966292668234786</v>
      </c>
      <c r="M20" s="3">
        <f>M25/M18</f>
        <v>0.1847136701783626</v>
      </c>
      <c r="N20" s="3">
        <f>N25/N18</f>
        <v>0.19087079251764136</v>
      </c>
      <c r="O20" s="3">
        <f>O25/O18</f>
        <v>0.22237373885550449</v>
      </c>
      <c r="P20" s="3">
        <f>P25/P18</f>
        <v>0.16779849891660778</v>
      </c>
      <c r="Q20" s="3"/>
      <c r="R20" s="3">
        <f>R25/R18</f>
        <v>0.19924171165306526</v>
      </c>
    </row>
    <row r="21" spans="1:20" x14ac:dyDescent="0.25">
      <c r="A21" t="s">
        <v>1289</v>
      </c>
      <c r="B21" s="60">
        <f t="shared" si="4"/>
        <v>7</v>
      </c>
      <c r="C21" s="60">
        <f t="shared" si="4"/>
        <v>7</v>
      </c>
      <c r="D21" s="60">
        <f t="shared" si="4"/>
        <v>7</v>
      </c>
      <c r="E21" s="60">
        <f>'Bridgestone 935'!E21+'Bridgestone 936'!E21</f>
        <v>5</v>
      </c>
      <c r="F21" s="60">
        <f>'Bridgestone 935'!F21+'Bridgestone 936'!F21</f>
        <v>5</v>
      </c>
      <c r="G21" s="60">
        <f>'Bridgestone 935'!G21+'Bridgestone 936'!G21</f>
        <v>5</v>
      </c>
      <c r="H21" s="60">
        <f>'Bridgestone 935'!H21+'Bridgestone 936'!H21</f>
        <v>7</v>
      </c>
      <c r="I21" s="60">
        <f>'Bridgestone 935'!I21+'Bridgestone 936'!I21</f>
        <v>7</v>
      </c>
      <c r="J21" s="60">
        <f>'Bridgestone 935'!J21+'Bridgestone 936'!J21</f>
        <v>7</v>
      </c>
      <c r="K21" s="60">
        <f>'Bridgestone 935'!K21+'Bridgestone 936'!K21</f>
        <v>7</v>
      </c>
      <c r="L21" s="60">
        <f>'Bridgestone 935'!L21+'Bridgestone 936'!L21</f>
        <v>7.5</v>
      </c>
      <c r="M21" s="60">
        <f>'Bridgestone 935'!M21+'Bridgestone 936'!M21</f>
        <v>7.5</v>
      </c>
      <c r="N21" s="60">
        <f>'Bridgestone 935'!N21+'Bridgestone 936'!N21</f>
        <v>7.5</v>
      </c>
      <c r="O21" s="60">
        <f>'Bridgestone 935'!O21+'Bridgestone 936'!O21</f>
        <v>7.5</v>
      </c>
      <c r="P21" s="60">
        <f>'Bridgestone 935'!P21+'Bridgestone 936'!P21</f>
        <v>7.5</v>
      </c>
      <c r="Q21" s="3"/>
      <c r="R21" s="60">
        <f>AVERAGE(E21:P21)</f>
        <v>6.708333333333333</v>
      </c>
    </row>
    <row r="22" spans="1:20" x14ac:dyDescent="0.25">
      <c r="A22" s="7" t="s">
        <v>1290</v>
      </c>
      <c r="B22" s="6">
        <f t="shared" si="4"/>
        <v>31250.262857142858</v>
      </c>
      <c r="C22" s="6">
        <f t="shared" si="4"/>
        <v>28831.702857142856</v>
      </c>
      <c r="D22" s="6">
        <f t="shared" si="4"/>
        <v>31811.4</v>
      </c>
      <c r="E22" s="6">
        <f t="shared" ref="E22:L22" si="7">E18/E21</f>
        <v>33600</v>
      </c>
      <c r="F22" s="6">
        <f t="shared" si="7"/>
        <v>41000</v>
      </c>
      <c r="G22" s="6">
        <f t="shared" si="7"/>
        <v>39400</v>
      </c>
      <c r="H22" s="6">
        <f t="shared" si="7"/>
        <v>30571.428571428572</v>
      </c>
      <c r="I22" s="6">
        <f t="shared" si="7"/>
        <v>35000</v>
      </c>
      <c r="J22" s="6">
        <f t="shared" si="7"/>
        <v>35142.857142857145</v>
      </c>
      <c r="K22" s="6">
        <f t="shared" si="7"/>
        <v>35285.714285714283</v>
      </c>
      <c r="L22" s="6">
        <f t="shared" si="7"/>
        <v>36000</v>
      </c>
      <c r="M22" s="6">
        <f>M18/M21</f>
        <v>33066.666666666664</v>
      </c>
      <c r="N22" s="6">
        <f>N18/N21</f>
        <v>32000</v>
      </c>
      <c r="O22" s="6">
        <f>O18/O21</f>
        <v>27466.666666666668</v>
      </c>
      <c r="P22" s="6">
        <f>P18/P21</f>
        <v>36400</v>
      </c>
      <c r="Q22" s="3"/>
      <c r="R22" s="6">
        <f>AVERAGE(E22:P22)</f>
        <v>34577.777777777781</v>
      </c>
    </row>
    <row r="23" spans="1:20" x14ac:dyDescent="0.25">
      <c r="B23" s="3"/>
      <c r="C23" s="3"/>
      <c r="D23" s="3"/>
      <c r="E23" s="3"/>
      <c r="F23" s="3"/>
      <c r="G23" s="3"/>
      <c r="H23" s="3"/>
      <c r="I23" s="3"/>
      <c r="J23" s="3"/>
      <c r="K23" s="3"/>
      <c r="L23" s="3"/>
      <c r="M23" s="3"/>
      <c r="N23" s="3"/>
      <c r="O23" s="3"/>
      <c r="P23" s="3"/>
      <c r="Q23" s="3"/>
      <c r="R23" s="3"/>
    </row>
    <row r="24" spans="1:20" x14ac:dyDescent="0.25">
      <c r="A24" s="7" t="s">
        <v>1291</v>
      </c>
      <c r="B24" s="6">
        <f t="shared" ref="B24:D25" si="8">N10</f>
        <v>95206.099999999991</v>
      </c>
      <c r="C24" s="6">
        <f t="shared" si="8"/>
        <v>84503.669999999984</v>
      </c>
      <c r="D24" s="6">
        <f t="shared" si="8"/>
        <v>93482.450000000012</v>
      </c>
      <c r="E24" s="6">
        <f>'Bridgestone 935'!E24+'Bridgestone 936'!E24</f>
        <v>67968.757580634148</v>
      </c>
      <c r="F24" s="6">
        <f>'Bridgestone 935'!F24+'Bridgestone 936'!F24</f>
        <v>82914.114696958568</v>
      </c>
      <c r="G24" s="6">
        <f>'Bridgestone 935'!G24+'Bridgestone 936'!G24</f>
        <v>79656.67885491511</v>
      </c>
      <c r="H24" s="6">
        <f>'Bridgestone 935'!H24+'Bridgestone 936'!H24</f>
        <v>87167.026431821985</v>
      </c>
      <c r="I24" s="6">
        <f>'Bridgestone 935'!I24+'Bridgestone 936'!I24</f>
        <v>99551.209988998598</v>
      </c>
      <c r="J24" s="6">
        <f>'Bridgestone 935'!J24+'Bridgestone 936'!J24</f>
        <v>99916.836934537598</v>
      </c>
      <c r="K24" s="6">
        <f>'Bridgestone 935'!K24+'Bridgestone 936'!K24</f>
        <v>100387.4387046234</v>
      </c>
      <c r="L24" s="6">
        <f>'Bridgestone 935'!L24+'Bridgestone 936'!L24</f>
        <v>109829.11089339707</v>
      </c>
      <c r="M24" s="6">
        <f>'Bridgestone 935'!M24+'Bridgestone 936'!M24</f>
        <v>100718.0740419801</v>
      </c>
      <c r="N24" s="6">
        <f>'Bridgestone 935'!N24+'Bridgestone 936'!N24</f>
        <v>97513.12561221006</v>
      </c>
      <c r="O24" s="6">
        <f>'Bridgestone 935'!O24+'Bridgestone 936'!O24</f>
        <v>83787.119961140546</v>
      </c>
      <c r="P24" s="6">
        <f>'Bridgestone 935'!P24+'Bridgestone 936'!P24</f>
        <v>111030.96655456083</v>
      </c>
      <c r="R24" s="6">
        <f>SUM(E24:P24)</f>
        <v>1120440.4602557779</v>
      </c>
    </row>
    <row r="25" spans="1:20" x14ac:dyDescent="0.25">
      <c r="A25" s="7" t="s">
        <v>1076</v>
      </c>
      <c r="B25" s="6">
        <f t="shared" si="8"/>
        <v>54761.87999999999</v>
      </c>
      <c r="C25" s="6">
        <f t="shared" si="8"/>
        <v>52162.659999999989</v>
      </c>
      <c r="D25" s="6">
        <f t="shared" si="8"/>
        <v>47860.23</v>
      </c>
      <c r="E25" s="6">
        <f>'Bridgestone 935'!E25+'Bridgestone 936'!E25</f>
        <v>45808.990204233924</v>
      </c>
      <c r="F25" s="6">
        <f>'Bridgestone 935'!F25+'Bridgestone 936'!F25</f>
        <v>45808.990204233924</v>
      </c>
      <c r="G25" s="6">
        <f>'Bridgestone 935'!G25+'Bridgestone 936'!G25</f>
        <v>45808.990204233924</v>
      </c>
      <c r="H25" s="6">
        <f>'Bridgestone 935'!H25+'Bridgestone 936'!H25</f>
        <v>45808.990204233924</v>
      </c>
      <c r="I25" s="6">
        <f>'Bridgestone 935'!I25+'Bridgestone 936'!I25</f>
        <v>45808.990204233924</v>
      </c>
      <c r="J25" s="6">
        <f>'Bridgestone 935'!J25+'Bridgestone 936'!J25</f>
        <v>45808.990204233924</v>
      </c>
      <c r="K25" s="6">
        <f>'Bridgestone 935'!K25+'Bridgestone 936'!K25</f>
        <v>45808.990204233924</v>
      </c>
      <c r="L25" s="6">
        <f>'Bridgestone 935'!L25+'Bridgestone 936'!L25</f>
        <v>45808.990204233924</v>
      </c>
      <c r="M25" s="6">
        <f>'Bridgestone 935'!M25+'Bridgestone 936'!M25</f>
        <v>45808.990204233924</v>
      </c>
      <c r="N25" s="6">
        <f>'Bridgestone 935'!N25+'Bridgestone 936'!N25</f>
        <v>45808.990204233924</v>
      </c>
      <c r="O25" s="6">
        <f>'Bridgestone 935'!O25+'Bridgestone 936'!O25</f>
        <v>45808.990204233924</v>
      </c>
      <c r="P25" s="6">
        <f>'Bridgestone 935'!P25+'Bridgestone 936'!P25</f>
        <v>45808.990204233924</v>
      </c>
      <c r="R25" s="6">
        <f>SUM(E25:P25)</f>
        <v>549707.88245080702</v>
      </c>
    </row>
    <row r="26" spans="1:20" ht="15.75" thickBot="1" x14ac:dyDescent="0.3">
      <c r="A26" s="9" t="s">
        <v>1078</v>
      </c>
      <c r="B26" s="10">
        <f t="shared" ref="B26:K26" si="9">B24-B25</f>
        <v>40444.22</v>
      </c>
      <c r="C26" s="10">
        <f t="shared" si="9"/>
        <v>32341.009999999995</v>
      </c>
      <c r="D26" s="10">
        <f t="shared" si="9"/>
        <v>45622.220000000008</v>
      </c>
      <c r="E26" s="10">
        <f t="shared" si="9"/>
        <v>22159.767376400225</v>
      </c>
      <c r="F26" s="10">
        <f t="shared" si="9"/>
        <v>37105.124492724644</v>
      </c>
      <c r="G26" s="10">
        <f t="shared" si="9"/>
        <v>33847.688650681186</v>
      </c>
      <c r="H26" s="10">
        <f t="shared" si="9"/>
        <v>41358.036227588062</v>
      </c>
      <c r="I26" s="10">
        <f t="shared" si="9"/>
        <v>53742.219784764675</v>
      </c>
      <c r="J26" s="10">
        <f t="shared" si="9"/>
        <v>54107.846730303674</v>
      </c>
      <c r="K26" s="10">
        <f t="shared" si="9"/>
        <v>54578.448500389481</v>
      </c>
      <c r="L26" s="10">
        <f>L24-L25</f>
        <v>64020.120689163145</v>
      </c>
      <c r="M26" s="10">
        <f>M24-M25</f>
        <v>54909.083837746177</v>
      </c>
      <c r="N26" s="10">
        <f>N24-N25</f>
        <v>51704.135407976137</v>
      </c>
      <c r="O26" s="10">
        <f>O24-O25</f>
        <v>37978.129756906623</v>
      </c>
      <c r="P26" s="10">
        <f>P24-P25</f>
        <v>65221.976350326906</v>
      </c>
      <c r="R26" s="10">
        <f>R24-R25</f>
        <v>570732.5778049709</v>
      </c>
    </row>
    <row r="27" spans="1:20" ht="15.75" thickTop="1" x14ac:dyDescent="0.25"/>
    <row r="29" spans="1:20" x14ac:dyDescent="0.25">
      <c r="A29" t="s">
        <v>1189</v>
      </c>
      <c r="E29">
        <v>2024</v>
      </c>
      <c r="F29">
        <v>2023</v>
      </c>
      <c r="G29">
        <v>2022</v>
      </c>
      <c r="H29">
        <v>2021</v>
      </c>
      <c r="I29">
        <v>2020</v>
      </c>
      <c r="J29">
        <v>2019</v>
      </c>
      <c r="K29">
        <v>2018</v>
      </c>
      <c r="M29" t="s">
        <v>1232</v>
      </c>
    </row>
    <row r="30" spans="1:20" x14ac:dyDescent="0.25">
      <c r="A30">
        <v>935</v>
      </c>
      <c r="E30" s="6">
        <f>'Bridgestone 935'!R4</f>
        <v>1830117.7999999998</v>
      </c>
      <c r="F30" s="6">
        <v>2075379.26</v>
      </c>
      <c r="G30" s="6">
        <v>1745074.48</v>
      </c>
      <c r="H30" s="6">
        <v>1485852.86</v>
      </c>
      <c r="I30" s="6">
        <v>1480328.01</v>
      </c>
      <c r="J30" s="6">
        <v>1453246.9</v>
      </c>
      <c r="K30">
        <v>1419991.6</v>
      </c>
    </row>
    <row r="31" spans="1:20" x14ac:dyDescent="0.25">
      <c r="E31" s="3">
        <f t="shared" ref="E31:I31" si="10">(E30-F30)/F30</f>
        <v>-0.11817669412384905</v>
      </c>
      <c r="F31" s="3">
        <f t="shared" si="10"/>
        <v>0.1892783281089527</v>
      </c>
      <c r="G31" s="3">
        <f t="shared" si="10"/>
        <v>0.17445981831606117</v>
      </c>
      <c r="H31" s="3">
        <f t="shared" si="10"/>
        <v>3.7321795998442892E-3</v>
      </c>
      <c r="I31" s="3">
        <f t="shared" si="10"/>
        <v>1.8634899548039707E-2</v>
      </c>
      <c r="J31" s="3">
        <f>(J30-K30)/K30</f>
        <v>2.3419363889194706E-2</v>
      </c>
      <c r="M31" s="44">
        <f>AVERAGE(E31:K31)</f>
        <v>4.8557982556373919E-2</v>
      </c>
    </row>
    <row r="32" spans="1:20" x14ac:dyDescent="0.25">
      <c r="A32">
        <v>936</v>
      </c>
      <c r="E32" s="6">
        <f>'Bridgestone 936'!R4</f>
        <v>860205.20000000007</v>
      </c>
      <c r="F32" s="6">
        <v>788650.52</v>
      </c>
      <c r="G32" s="6">
        <v>732813.2</v>
      </c>
      <c r="H32" s="6">
        <v>790392.02</v>
      </c>
      <c r="I32" s="6">
        <v>867033.69</v>
      </c>
      <c r="J32" s="6">
        <v>792501.55</v>
      </c>
      <c r="K32" s="6">
        <v>817329.45</v>
      </c>
    </row>
    <row r="33" spans="1:19" x14ac:dyDescent="0.25">
      <c r="E33" s="3">
        <f t="shared" ref="E33:J33" si="11">(E32-F32)/F32</f>
        <v>9.0730530425568029E-2</v>
      </c>
      <c r="F33" s="3">
        <f t="shared" si="11"/>
        <v>7.6195843633821106E-2</v>
      </c>
      <c r="G33" s="3">
        <f t="shared" si="11"/>
        <v>-7.284843285740672E-2</v>
      </c>
      <c r="H33" s="3">
        <f t="shared" si="11"/>
        <v>-8.8395261780427392E-2</v>
      </c>
      <c r="I33" s="3">
        <f t="shared" si="11"/>
        <v>9.404668041343249E-2</v>
      </c>
      <c r="J33" s="3">
        <f t="shared" si="11"/>
        <v>-3.0376857214676294E-2</v>
      </c>
      <c r="K33" s="3"/>
      <c r="M33" s="44">
        <f>AVERAGE(E33:K33)</f>
        <v>1.1558750436718538E-2</v>
      </c>
    </row>
    <row r="34" spans="1:19" x14ac:dyDescent="0.25">
      <c r="E34" s="6"/>
      <c r="F34" s="6"/>
      <c r="G34" s="6"/>
      <c r="H34" s="6"/>
      <c r="I34" s="6"/>
      <c r="J34" s="6"/>
      <c r="K34" s="6"/>
    </row>
    <row r="35" spans="1:19" x14ac:dyDescent="0.25">
      <c r="A35" s="7" t="s">
        <v>1076</v>
      </c>
      <c r="E35" s="45">
        <f>'Bridgestone 935'!E32+'Bridgestone 936'!E32</f>
        <v>45808.990204233924</v>
      </c>
      <c r="F35" s="45">
        <f>'Bridgestone 935'!F32+'Bridgestone 936'!F32</f>
        <v>45808.990204233924</v>
      </c>
      <c r="G35" s="45">
        <f>'Bridgestone 935'!G32+'Bridgestone 936'!G32</f>
        <v>45808.990204233924</v>
      </c>
      <c r="H35" s="45">
        <f>'Bridgestone 935'!H32+'Bridgestone 936'!H32</f>
        <v>45808.990204233924</v>
      </c>
      <c r="I35" s="45">
        <f>'Bridgestone 935'!I32+'Bridgestone 936'!I32</f>
        <v>45808.990204233924</v>
      </c>
      <c r="J35" s="45">
        <f>'Bridgestone 935'!J32+'Bridgestone 936'!J32</f>
        <v>45808.990204233924</v>
      </c>
      <c r="K35" s="45">
        <f>'Bridgestone 935'!K32+'Bridgestone 936'!K32</f>
        <v>45808.990204233924</v>
      </c>
      <c r="L35" s="45">
        <f>'Bridgestone 935'!L32+'Bridgestone 936'!L32</f>
        <v>45808.990204233924</v>
      </c>
      <c r="M35" s="45">
        <f>'Bridgestone 935'!M32+'Bridgestone 936'!M32</f>
        <v>45808.990204233924</v>
      </c>
      <c r="N35" s="45">
        <f>'Bridgestone 935'!N32+'Bridgestone 936'!N32</f>
        <v>45808.990204233924</v>
      </c>
      <c r="O35" s="45">
        <f>'Bridgestone 935'!O32+'Bridgestone 936'!O32</f>
        <v>45808.990204233924</v>
      </c>
      <c r="P35" s="45">
        <f>'Bridgestone 935'!P32+'Bridgestone 936'!P32</f>
        <v>45808.990204233924</v>
      </c>
      <c r="R35" s="6">
        <f>SUM(E35:P35)</f>
        <v>549707.88245080702</v>
      </c>
    </row>
    <row r="36" spans="1:19" x14ac:dyDescent="0.25">
      <c r="R36" s="271">
        <f>R35-'Bridgestone 935'!R32-'Bridgestone 936'!R32</f>
        <v>-2.1827872842550278E-10</v>
      </c>
      <c r="S36" s="34" t="s">
        <v>1093</v>
      </c>
    </row>
    <row r="37" spans="1:19" x14ac:dyDescent="0.25">
      <c r="A37" t="s">
        <v>1324</v>
      </c>
      <c r="E37" s="7">
        <f>E10</f>
        <v>71259.270000000019</v>
      </c>
      <c r="F37" s="7">
        <f t="shared" ref="F37:P37" si="12">F10</f>
        <v>99432.169999999984</v>
      </c>
      <c r="G37" s="7">
        <f t="shared" si="12"/>
        <v>90339.969999999987</v>
      </c>
      <c r="H37" s="7">
        <f t="shared" si="12"/>
        <v>94891.56</v>
      </c>
      <c r="I37" s="7">
        <f t="shared" si="12"/>
        <v>96009.540000000008</v>
      </c>
      <c r="J37" s="7">
        <f t="shared" si="12"/>
        <v>95237.450000000012</v>
      </c>
      <c r="K37" s="7">
        <f t="shared" si="12"/>
        <v>89421.35</v>
      </c>
      <c r="L37" s="7">
        <f t="shared" si="12"/>
        <v>108574.36</v>
      </c>
      <c r="M37" s="7">
        <f t="shared" si="12"/>
        <v>94417.919999999998</v>
      </c>
      <c r="N37" s="7">
        <f t="shared" si="12"/>
        <v>95206.099999999991</v>
      </c>
      <c r="O37" s="7">
        <f t="shared" si="12"/>
        <v>84503.669999999984</v>
      </c>
      <c r="P37" s="7">
        <f t="shared" si="12"/>
        <v>93482.450000000012</v>
      </c>
      <c r="Q37" s="34"/>
      <c r="R37" s="7">
        <f>SUM(E37:P37)</f>
        <v>1112775.8099999998</v>
      </c>
    </row>
    <row r="38" spans="1:19" x14ac:dyDescent="0.25">
      <c r="A38" t="s">
        <v>1325</v>
      </c>
      <c r="E38" s="7">
        <f>E24</f>
        <v>67968.757580634148</v>
      </c>
      <c r="F38" s="7">
        <f t="shared" ref="F38:P38" si="13">F24</f>
        <v>82914.114696958568</v>
      </c>
      <c r="G38" s="7">
        <f t="shared" si="13"/>
        <v>79656.67885491511</v>
      </c>
      <c r="H38" s="7">
        <f t="shared" si="13"/>
        <v>87167.026431821985</v>
      </c>
      <c r="I38" s="7">
        <f t="shared" si="13"/>
        <v>99551.209988998598</v>
      </c>
      <c r="J38" s="7">
        <f t="shared" si="13"/>
        <v>99916.836934537598</v>
      </c>
      <c r="K38" s="7">
        <f t="shared" si="13"/>
        <v>100387.4387046234</v>
      </c>
      <c r="L38" s="7">
        <f t="shared" si="13"/>
        <v>109829.11089339707</v>
      </c>
      <c r="M38" s="7">
        <f t="shared" si="13"/>
        <v>100718.0740419801</v>
      </c>
      <c r="N38" s="7">
        <f t="shared" si="13"/>
        <v>97513.12561221006</v>
      </c>
      <c r="O38" s="7">
        <f t="shared" si="13"/>
        <v>83787.119961140546</v>
      </c>
      <c r="P38" s="7">
        <f t="shared" si="13"/>
        <v>111030.96655456083</v>
      </c>
      <c r="Q38" s="34"/>
      <c r="R38" s="7">
        <f>SUM(E38:P38)</f>
        <v>1120440.4602557779</v>
      </c>
    </row>
  </sheetData>
  <pageMargins left="0.7" right="0.7" top="0.75" bottom="0.75" header="0.3" footer="0.3"/>
  <pageSetup paperSize="9" orientation="portrait"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0EA4E-91E5-48C7-97A8-BA2EB363993F}">
  <sheetPr codeName="Sheet32">
    <tabColor theme="9" tint="0.79998168889431442"/>
  </sheetPr>
  <dimension ref="A1:V37"/>
  <sheetViews>
    <sheetView workbookViewId="0">
      <selection activeCell="P11" sqref="P11"/>
    </sheetView>
  </sheetViews>
  <sheetFormatPr defaultRowHeight="15" x14ac:dyDescent="0.25"/>
  <cols>
    <col min="1" max="1" width="30.42578125" bestFit="1" customWidth="1"/>
    <col min="2" max="2" width="8.5703125" hidden="1" customWidth="1"/>
    <col min="3" max="4" width="9.5703125" hidden="1" customWidth="1"/>
    <col min="5" max="5" width="9.5703125" bestFit="1" customWidth="1"/>
    <col min="6" max="16" width="10.7109375" customWidth="1"/>
    <col min="17" max="17" width="2.85546875" customWidth="1"/>
    <col min="18" max="18" width="12.7109375" customWidth="1"/>
    <col min="19" max="19" width="10.28515625" style="34" bestFit="1" customWidth="1"/>
    <col min="20" max="20" width="12.140625" customWidth="1"/>
  </cols>
  <sheetData>
    <row r="1" spans="1:20" s="7" customFormat="1" ht="15.75" x14ac:dyDescent="0.25">
      <c r="A1" s="11" t="s">
        <v>1287</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c r="S1" s="34"/>
      <c r="T1"/>
    </row>
    <row r="2" spans="1:20"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0" s="7" customFormat="1" x14ac:dyDescent="0.25">
      <c r="A3"/>
      <c r="B3"/>
      <c r="C3"/>
      <c r="D3"/>
      <c r="E3"/>
      <c r="F3"/>
      <c r="G3"/>
      <c r="H3"/>
      <c r="I3"/>
      <c r="J3"/>
      <c r="K3"/>
      <c r="L3"/>
      <c r="M3"/>
      <c r="N3"/>
      <c r="O3"/>
      <c r="P3"/>
      <c r="Q3"/>
      <c r="R3"/>
      <c r="S3" s="34"/>
      <c r="T3"/>
    </row>
    <row r="4" spans="1:20" s="7" customFormat="1" x14ac:dyDescent="0.25">
      <c r="A4" s="7" t="s">
        <v>1288</v>
      </c>
      <c r="B4" s="6">
        <f>'[3]Bridgestone 935'!$B$13</f>
        <v>125521.03</v>
      </c>
      <c r="C4" s="6">
        <f>'[4]Bridgestone 935'!$B$13</f>
        <v>159882.19</v>
      </c>
      <c r="D4" s="6">
        <f>'[5]Bridgestone 935'!$B$13</f>
        <v>230684.52</v>
      </c>
      <c r="E4" s="6">
        <f>'[6]Bridgestone 935'!$B$13</f>
        <v>128426.93000000002</v>
      </c>
      <c r="F4" s="6">
        <f>'[7]Bridgestone 935'!$B$13</f>
        <v>180776.07</v>
      </c>
      <c r="G4" s="6">
        <f>'[8]Bridgestone 935'!$B$13</f>
        <v>143381.44</v>
      </c>
      <c r="H4" s="6">
        <f>'[9]Bridgestone 935'!$B$13</f>
        <v>149668.35</v>
      </c>
      <c r="I4" s="6">
        <f>'[10]Bridgestone 935'!$B$13</f>
        <v>158603.89000000001</v>
      </c>
      <c r="J4" s="6">
        <f>'[11]Bridgestone 935'!$B$13</f>
        <v>161783.07</v>
      </c>
      <c r="K4" s="6">
        <f>'[12]Bridgestone 935'!$B$13</f>
        <v>143669.88</v>
      </c>
      <c r="L4" s="6">
        <f>'[13]Bridgestone 935'!$B$13</f>
        <v>168607.68</v>
      </c>
      <c r="M4" s="6">
        <f>'[14]Bridgestone 935'!$B$13</f>
        <v>152251.97</v>
      </c>
      <c r="N4" s="6">
        <f>'[15]Bridgestone 935'!$B$13</f>
        <v>144483.56</v>
      </c>
      <c r="O4" s="6">
        <f>'[16]Bridgestone 935'!$B$13</f>
        <v>131102.97999999998</v>
      </c>
      <c r="P4" s="6">
        <f>'[17]Bridgestone 935'!$B$13</f>
        <v>167361.98000000001</v>
      </c>
      <c r="Q4" s="8"/>
      <c r="R4" s="6">
        <f>SUM(E4:P4)</f>
        <v>1830117.7999999998</v>
      </c>
      <c r="S4" s="34"/>
      <c r="T4"/>
    </row>
    <row r="5" spans="1:20" s="9" customFormat="1" x14ac:dyDescent="0.25">
      <c r="A5" t="s">
        <v>1176</v>
      </c>
      <c r="B5" s="3">
        <f t="shared" ref="B5:N5" si="0">B10/B4</f>
        <v>0.39058275732759673</v>
      </c>
      <c r="C5" s="3">
        <f t="shared" si="0"/>
        <v>0.30848220180121383</v>
      </c>
      <c r="D5" s="3">
        <f t="shared" si="0"/>
        <v>0.36510018097443209</v>
      </c>
      <c r="E5" s="3">
        <f t="shared" si="0"/>
        <v>0.39248022202197003</v>
      </c>
      <c r="F5" s="3">
        <f t="shared" si="0"/>
        <v>0.38195979147018733</v>
      </c>
      <c r="G5" s="3">
        <f t="shared" si="0"/>
        <v>0.4049413229494695</v>
      </c>
      <c r="H5" s="3">
        <f t="shared" si="0"/>
        <v>0.41054952499977454</v>
      </c>
      <c r="I5" s="3">
        <f t="shared" si="0"/>
        <v>0.41321250065178095</v>
      </c>
      <c r="J5" s="3">
        <f t="shared" si="0"/>
        <v>0.40016467730523347</v>
      </c>
      <c r="K5" s="3">
        <f t="shared" si="0"/>
        <v>0.4121361415489454</v>
      </c>
      <c r="L5" s="3">
        <f t="shared" si="0"/>
        <v>0.42542973131473016</v>
      </c>
      <c r="M5" s="3">
        <f t="shared" si="0"/>
        <v>0.41255315120060509</v>
      </c>
      <c r="N5" s="3">
        <f t="shared" si="0"/>
        <v>0.44208628303455422</v>
      </c>
      <c r="O5" s="3">
        <f t="shared" ref="O5" si="1">O10/O4</f>
        <v>0.42631639646940134</v>
      </c>
      <c r="P5" s="3">
        <f>P10/P4</f>
        <v>0.42456751527437714</v>
      </c>
      <c r="Q5" s="3"/>
      <c r="R5" s="3">
        <f>R10/R4</f>
        <v>0.41189416877973645</v>
      </c>
      <c r="S5" s="34"/>
      <c r="T5"/>
    </row>
    <row r="6" spans="1:20" s="9" customFormat="1" x14ac:dyDescent="0.25">
      <c r="A6" t="s">
        <v>1182</v>
      </c>
      <c r="B6" s="3">
        <f>'[3]Bridgestone 935'!$B$28</f>
        <v>0.23380695649167316</v>
      </c>
      <c r="C6" s="3">
        <f>'[4]Bridgestone 935'!$B$28</f>
        <v>0.22809745100439266</v>
      </c>
      <c r="D6" s="3">
        <f>'[5]Bridgestone 935'!$B$28</f>
        <v>0.19298585791539025</v>
      </c>
      <c r="E6" s="3">
        <f>'[6]Bridgestone 935'!$B$28</f>
        <v>0.23890877092522567</v>
      </c>
      <c r="F6" s="3">
        <f>'[7]Bridgestone 935'!$B$28</f>
        <v>0.20186316695567064</v>
      </c>
      <c r="G6" s="3">
        <f>'[8]Bridgestone 935'!$B$28</f>
        <v>0.31566038114835504</v>
      </c>
      <c r="H6" s="3">
        <f>'[9]Bridgestone 935'!$B$28</f>
        <v>0.22767465532960041</v>
      </c>
      <c r="I6" s="3">
        <f>'[10]Bridgestone 935'!$B$28</f>
        <v>0.23525507476519014</v>
      </c>
      <c r="J6" s="3">
        <f>'[11]Bridgestone 935'!$B$28</f>
        <v>0.22609281675764961</v>
      </c>
      <c r="K6" s="3">
        <f>'[12]Bridgestone 935'!$B$28</f>
        <v>0.24734954884071736</v>
      </c>
      <c r="L6" s="3">
        <f>'[13]Bridgestone 935'!$B$28</f>
        <v>0.23243626862074138</v>
      </c>
      <c r="M6" s="3">
        <f>'[14]Bridgestone 935'!$B$28</f>
        <v>0.23848873679598365</v>
      </c>
      <c r="N6" s="3">
        <f>'[15]Bridgestone 935'!$B$28</f>
        <v>0.27446575928776945</v>
      </c>
      <c r="O6" s="3">
        <f>'[16]Bridgestone 935'!$B$28</f>
        <v>0.29888336634300761</v>
      </c>
      <c r="P6" s="3">
        <f>'[17]Bridgestone 935'!$B$28</f>
        <v>0.2304143390272988</v>
      </c>
      <c r="Q6" s="3"/>
      <c r="R6" s="3">
        <f>R11/R4</f>
        <v>0.24525237118616081</v>
      </c>
      <c r="S6" s="34"/>
      <c r="T6"/>
    </row>
    <row r="7" spans="1:20" s="9" customFormat="1" x14ac:dyDescent="0.25">
      <c r="A7" t="s">
        <v>1289</v>
      </c>
      <c r="B7" s="60">
        <f>'[3]Bridgestone 935'!$B$33</f>
        <v>5</v>
      </c>
      <c r="C7" s="60">
        <f>'[4]Bridgestone 935'!$B$33</f>
        <v>5</v>
      </c>
      <c r="D7" s="60">
        <f>'[5]Bridgestone 935'!$B$33</f>
        <v>5</v>
      </c>
      <c r="E7" s="60">
        <f>'[6]Bridgestone 935'!$B$33</f>
        <v>5</v>
      </c>
      <c r="F7" s="60">
        <f>'[7]Bridgestone 935'!$B$33</f>
        <v>5</v>
      </c>
      <c r="G7" s="60">
        <f>'[8]Bridgestone 935'!$B$33</f>
        <v>5</v>
      </c>
      <c r="H7" s="60">
        <f>'[9]Bridgestone 935'!$B$33</f>
        <v>5</v>
      </c>
      <c r="I7" s="60">
        <f>'[10]Bridgestone 935'!$B$33</f>
        <v>5</v>
      </c>
      <c r="J7" s="60">
        <f>'[11]Bridgestone 935'!$B$33</f>
        <v>5</v>
      </c>
      <c r="K7" s="60">
        <f>'[12]Bridgestone 935'!$B$33</f>
        <v>5</v>
      </c>
      <c r="L7" s="60">
        <f>'[13]Bridgestone 935'!$B$33</f>
        <v>5</v>
      </c>
      <c r="M7" s="60">
        <f>'[14]Bridgestone 935'!$B$33</f>
        <v>5</v>
      </c>
      <c r="N7" s="60">
        <f>'[15]Bridgestone 935'!$B$33</f>
        <v>5</v>
      </c>
      <c r="O7" s="60">
        <f>'[16]Bridgestone 935'!$B$33</f>
        <v>5</v>
      </c>
      <c r="P7" s="60">
        <f>'[17]Bridgestone 935'!$B$33</f>
        <v>5</v>
      </c>
      <c r="Q7" s="3"/>
      <c r="R7" s="60">
        <f>AVERAGE(E7:P7)</f>
        <v>5</v>
      </c>
      <c r="S7" s="34"/>
      <c r="T7" s="134"/>
    </row>
    <row r="8" spans="1:20" s="9" customFormat="1" x14ac:dyDescent="0.25">
      <c r="A8" s="7" t="s">
        <v>1290</v>
      </c>
      <c r="B8" s="6">
        <f t="shared" ref="B8:N8" si="2">B4/B7</f>
        <v>25104.205999999998</v>
      </c>
      <c r="C8" s="6">
        <f t="shared" si="2"/>
        <v>31976.438000000002</v>
      </c>
      <c r="D8" s="6">
        <f t="shared" si="2"/>
        <v>46136.903999999995</v>
      </c>
      <c r="E8" s="6">
        <f t="shared" si="2"/>
        <v>25685.386000000006</v>
      </c>
      <c r="F8" s="6">
        <f t="shared" si="2"/>
        <v>36155.214</v>
      </c>
      <c r="G8" s="6">
        <f t="shared" si="2"/>
        <v>28676.288</v>
      </c>
      <c r="H8" s="6">
        <f t="shared" si="2"/>
        <v>29933.670000000002</v>
      </c>
      <c r="I8" s="6">
        <f t="shared" si="2"/>
        <v>31720.778000000002</v>
      </c>
      <c r="J8" s="6">
        <f t="shared" si="2"/>
        <v>32356.614000000001</v>
      </c>
      <c r="K8" s="6">
        <f t="shared" si="2"/>
        <v>28733.976000000002</v>
      </c>
      <c r="L8" s="6">
        <f t="shared" si="2"/>
        <v>33721.536</v>
      </c>
      <c r="M8" s="6">
        <f t="shared" si="2"/>
        <v>30450.394</v>
      </c>
      <c r="N8" s="6">
        <f t="shared" si="2"/>
        <v>28896.712</v>
      </c>
      <c r="O8" s="6">
        <f t="shared" ref="O8" si="3">O4/O7</f>
        <v>26220.595999999998</v>
      </c>
      <c r="P8" s="6">
        <f>P4/P7</f>
        <v>33472.396000000001</v>
      </c>
      <c r="Q8" s="3"/>
      <c r="R8" s="6">
        <f>AVERAGE(E8:P8)</f>
        <v>30501.963333333337</v>
      </c>
      <c r="S8" s="34"/>
      <c r="T8" s="7"/>
    </row>
    <row r="9" spans="1:20" s="9" customFormat="1" x14ac:dyDescent="0.25">
      <c r="A9"/>
      <c r="B9" s="3"/>
      <c r="C9" s="3"/>
      <c r="D9" s="3"/>
      <c r="E9" s="3"/>
      <c r="F9" s="3"/>
      <c r="G9" s="3"/>
      <c r="H9" s="3"/>
      <c r="I9" s="3"/>
      <c r="J9" s="3"/>
      <c r="K9" s="3"/>
      <c r="L9" s="3"/>
      <c r="M9" s="3"/>
      <c r="N9" s="3"/>
      <c r="O9" s="3"/>
      <c r="P9" s="3"/>
      <c r="Q9" s="3"/>
      <c r="R9" s="3"/>
      <c r="S9" s="34"/>
      <c r="T9" t="s">
        <v>1234</v>
      </c>
    </row>
    <row r="10" spans="1:20" x14ac:dyDescent="0.25">
      <c r="A10" s="7" t="s">
        <v>1291</v>
      </c>
      <c r="B10" s="6">
        <f>'[3]Bridgestone 935'!$B$24</f>
        <v>49026.349999999991</v>
      </c>
      <c r="C10" s="6">
        <f>'[4]Bridgestone 935'!$B$24</f>
        <v>49320.810000000012</v>
      </c>
      <c r="D10" s="6">
        <f>'[5]Bridgestone 935'!$B$24</f>
        <v>84222.959999999992</v>
      </c>
      <c r="E10" s="6">
        <f>'[6]Bridgestone 935'!$B$24</f>
        <v>50405.030000000013</v>
      </c>
      <c r="F10" s="6">
        <f>'[7]Bridgestone 935'!$B$24</f>
        <v>69049.189999999988</v>
      </c>
      <c r="G10" s="6">
        <f>'[8]Bridgestone 935'!$B$24</f>
        <v>58061.069999999985</v>
      </c>
      <c r="H10" s="6">
        <f>'[9]Bridgestone 935'!$B$24</f>
        <v>61446.270000000004</v>
      </c>
      <c r="I10" s="6">
        <f>'[10]Bridgestone 935'!$B$24</f>
        <v>65537.11</v>
      </c>
      <c r="J10" s="6">
        <f>'[11]Bridgestone 935'!$B$24</f>
        <v>64739.87</v>
      </c>
      <c r="K10" s="6">
        <f>'[12]Bridgestone 935'!$B$24</f>
        <v>59211.55</v>
      </c>
      <c r="L10" s="6">
        <f>'[13]Bridgestone 935'!$B$24</f>
        <v>71730.720000000001</v>
      </c>
      <c r="M10" s="6">
        <f>'[14]Bridgestone 935'!$B$24</f>
        <v>62812.029999999992</v>
      </c>
      <c r="N10" s="6">
        <f>'[15]Bridgestone 935'!$B$24</f>
        <v>63874.2</v>
      </c>
      <c r="O10" s="6">
        <f>'[16]Bridgestone 935'!$B$24</f>
        <v>55891.349999999984</v>
      </c>
      <c r="P10" s="6">
        <f>'[17]Bridgestone 935'!$B$24</f>
        <v>71056.460000000006</v>
      </c>
      <c r="R10" s="6">
        <f>SUM(E10:P10)</f>
        <v>753814.84999999986</v>
      </c>
      <c r="T10" s="7">
        <f>SUM(E10:O10)</f>
        <v>682758.3899999999</v>
      </c>
    </row>
    <row r="11" spans="1:20" x14ac:dyDescent="0.25">
      <c r="A11" s="7" t="s">
        <v>1076</v>
      </c>
      <c r="B11" s="6">
        <f t="shared" ref="B11:N11" si="4">B4*B6</f>
        <v>29347.690000000002</v>
      </c>
      <c r="C11" s="6">
        <f t="shared" si="4"/>
        <v>36468.720000000001</v>
      </c>
      <c r="D11" s="6">
        <f t="shared" si="4"/>
        <v>44518.85</v>
      </c>
      <c r="E11" s="6">
        <f t="shared" si="4"/>
        <v>30682.319999999996</v>
      </c>
      <c r="F11" s="6">
        <f t="shared" si="4"/>
        <v>36492.030000000006</v>
      </c>
      <c r="G11" s="6">
        <f t="shared" si="4"/>
        <v>45259.839999999997</v>
      </c>
      <c r="H11" s="6">
        <f t="shared" si="4"/>
        <v>34075.69</v>
      </c>
      <c r="I11" s="6">
        <f t="shared" si="4"/>
        <v>37312.369999999995</v>
      </c>
      <c r="J11" s="6">
        <f t="shared" si="4"/>
        <v>36577.990000000005</v>
      </c>
      <c r="K11" s="6">
        <f t="shared" si="4"/>
        <v>35536.68</v>
      </c>
      <c r="L11" s="6">
        <f t="shared" si="4"/>
        <v>39190.54</v>
      </c>
      <c r="M11" s="6">
        <f t="shared" si="4"/>
        <v>36310.379999999997</v>
      </c>
      <c r="N11" s="6">
        <f t="shared" si="4"/>
        <v>39655.789999999994</v>
      </c>
      <c r="O11" s="6">
        <f t="shared" ref="O11" si="5">O4*O6</f>
        <v>39184.499999999993</v>
      </c>
      <c r="P11" s="6">
        <f>P4*P6</f>
        <v>38562.600000000006</v>
      </c>
      <c r="R11" s="6">
        <f>SUM(E11:P11)</f>
        <v>448840.73</v>
      </c>
      <c r="T11" s="7">
        <f>SUM(E4:O4)</f>
        <v>1662755.8199999998</v>
      </c>
    </row>
    <row r="12" spans="1:20" ht="15.75" thickBot="1" x14ac:dyDescent="0.3">
      <c r="A12" s="9" t="s">
        <v>1078</v>
      </c>
      <c r="B12" s="10">
        <f t="shared" ref="B12:P12" si="6">B10-B11</f>
        <v>19678.659999999989</v>
      </c>
      <c r="C12" s="10">
        <f t="shared" si="6"/>
        <v>12852.090000000011</v>
      </c>
      <c r="D12" s="10">
        <f t="shared" si="6"/>
        <v>39704.109999999993</v>
      </c>
      <c r="E12" s="10">
        <f t="shared" si="6"/>
        <v>19722.710000000017</v>
      </c>
      <c r="F12" s="10">
        <f t="shared" si="6"/>
        <v>32557.159999999982</v>
      </c>
      <c r="G12" s="10">
        <f t="shared" si="6"/>
        <v>12801.229999999989</v>
      </c>
      <c r="H12" s="10">
        <f t="shared" si="6"/>
        <v>27370.58</v>
      </c>
      <c r="I12" s="10">
        <f t="shared" si="6"/>
        <v>28224.740000000005</v>
      </c>
      <c r="J12" s="10">
        <f t="shared" si="6"/>
        <v>28161.879999999997</v>
      </c>
      <c r="K12" s="10">
        <f t="shared" si="6"/>
        <v>23674.870000000003</v>
      </c>
      <c r="L12" s="10">
        <f t="shared" si="6"/>
        <v>32540.18</v>
      </c>
      <c r="M12" s="10">
        <f t="shared" si="6"/>
        <v>26501.649999999994</v>
      </c>
      <c r="N12" s="10">
        <f t="shared" si="6"/>
        <v>24218.410000000003</v>
      </c>
      <c r="O12" s="10">
        <f t="shared" ref="O12" si="7">O10-O11</f>
        <v>16706.849999999991</v>
      </c>
      <c r="P12" s="10">
        <f t="shared" si="6"/>
        <v>32493.86</v>
      </c>
      <c r="R12" s="10">
        <f>R10-R11</f>
        <v>304974.11999999988</v>
      </c>
      <c r="T12" s="3">
        <f>T10/T11</f>
        <v>0.41061855372125533</v>
      </c>
    </row>
    <row r="13" spans="1:20" ht="15.75" thickTop="1" x14ac:dyDescent="0.25">
      <c r="T13" s="7">
        <f>T11/R7/12</f>
        <v>27712.596999999998</v>
      </c>
    </row>
    <row r="14" spans="1:20" x14ac:dyDescent="0.25">
      <c r="T14" s="7"/>
    </row>
    <row r="15" spans="1:20" ht="15.75" x14ac:dyDescent="0.25">
      <c r="A15" s="11" t="s">
        <v>1287</v>
      </c>
      <c r="B15" s="5">
        <v>45292</v>
      </c>
      <c r="C15" s="5">
        <v>45323</v>
      </c>
      <c r="D15" s="5">
        <v>45352</v>
      </c>
      <c r="E15" s="5">
        <v>45383</v>
      </c>
      <c r="F15" s="5">
        <v>45413</v>
      </c>
      <c r="G15" s="5">
        <v>45444</v>
      </c>
      <c r="H15" s="5">
        <v>45474</v>
      </c>
      <c r="I15" s="5">
        <v>45505</v>
      </c>
      <c r="J15" s="5">
        <v>45536</v>
      </c>
      <c r="K15" s="5">
        <v>45566</v>
      </c>
      <c r="L15" s="5">
        <v>45597</v>
      </c>
      <c r="M15" s="5">
        <v>45627</v>
      </c>
      <c r="N15" s="5">
        <v>45658</v>
      </c>
      <c r="O15" s="5">
        <v>45689</v>
      </c>
      <c r="P15" s="5">
        <v>45717</v>
      </c>
      <c r="Q15" s="5"/>
      <c r="R15" s="5" t="s">
        <v>955</v>
      </c>
      <c r="T15" s="7"/>
    </row>
    <row r="16" spans="1:20" x14ac:dyDescent="0.25">
      <c r="A16" s="4"/>
      <c r="B16" s="5" t="s">
        <v>958</v>
      </c>
      <c r="C16" s="5" t="s">
        <v>959</v>
      </c>
      <c r="D16" s="5" t="s">
        <v>959</v>
      </c>
      <c r="E16" s="5" t="s">
        <v>959</v>
      </c>
      <c r="F16" s="5" t="s">
        <v>959</v>
      </c>
      <c r="G16" s="5" t="s">
        <v>959</v>
      </c>
      <c r="H16" s="5" t="s">
        <v>959</v>
      </c>
      <c r="I16" s="5" t="s">
        <v>959</v>
      </c>
      <c r="J16" s="5" t="s">
        <v>959</v>
      </c>
      <c r="K16" s="5" t="s">
        <v>959</v>
      </c>
      <c r="L16" s="5" t="s">
        <v>959</v>
      </c>
      <c r="M16" s="5" t="s">
        <v>959</v>
      </c>
      <c r="N16" s="5" t="s">
        <v>959</v>
      </c>
      <c r="O16" s="5" t="s">
        <v>959</v>
      </c>
      <c r="P16" s="5" t="s">
        <v>959</v>
      </c>
      <c r="Q16" s="5"/>
      <c r="R16" s="5" t="s">
        <v>961</v>
      </c>
      <c r="T16" s="3"/>
    </row>
    <row r="17" spans="1:22" x14ac:dyDescent="0.25">
      <c r="T17" s="7"/>
    </row>
    <row r="18" spans="1:22" x14ac:dyDescent="0.25">
      <c r="A18" s="7" t="s">
        <v>1288</v>
      </c>
      <c r="B18" s="6">
        <f t="shared" ref="B18:D25" si="8">N4</f>
        <v>144483.56</v>
      </c>
      <c r="C18" s="6">
        <f t="shared" si="8"/>
        <v>131102.97999999998</v>
      </c>
      <c r="D18" s="6">
        <f t="shared" si="8"/>
        <v>167361.98000000001</v>
      </c>
      <c r="E18" s="6">
        <v>130000</v>
      </c>
      <c r="F18" s="6">
        <v>160000</v>
      </c>
      <c r="G18" s="6">
        <v>155000</v>
      </c>
      <c r="H18" s="6">
        <v>132000</v>
      </c>
      <c r="I18" s="6">
        <v>165000</v>
      </c>
      <c r="J18" s="6">
        <v>168000</v>
      </c>
      <c r="K18" s="6">
        <v>165000</v>
      </c>
      <c r="L18" s="6">
        <v>175000</v>
      </c>
      <c r="M18" s="6">
        <v>170000</v>
      </c>
      <c r="N18" s="6">
        <v>162000</v>
      </c>
      <c r="O18" s="6">
        <v>134000</v>
      </c>
      <c r="P18" s="6">
        <v>178000</v>
      </c>
      <c r="Q18" s="8"/>
      <c r="R18" s="6">
        <f>SUM(E18:P18)</f>
        <v>1894000</v>
      </c>
      <c r="S18" s="127" t="s">
        <v>1292</v>
      </c>
      <c r="V18" s="3"/>
    </row>
    <row r="19" spans="1:22" x14ac:dyDescent="0.25">
      <c r="A19" t="s">
        <v>1176</v>
      </c>
      <c r="B19" s="3">
        <f t="shared" si="8"/>
        <v>0.44208628303455422</v>
      </c>
      <c r="C19" s="3">
        <f t="shared" si="8"/>
        <v>0.42631639646940134</v>
      </c>
      <c r="D19" s="3">
        <f t="shared" si="8"/>
        <v>0.42456751527437714</v>
      </c>
      <c r="E19" s="3">
        <f>$T$12-0.01</f>
        <v>0.40061855372125532</v>
      </c>
      <c r="F19" s="3">
        <f t="shared" ref="F19:P19" si="9">$T$12-0.01</f>
        <v>0.40061855372125532</v>
      </c>
      <c r="G19" s="3">
        <f t="shared" si="9"/>
        <v>0.40061855372125532</v>
      </c>
      <c r="H19" s="3">
        <f t="shared" si="9"/>
        <v>0.40061855372125532</v>
      </c>
      <c r="I19" s="3">
        <f t="shared" si="9"/>
        <v>0.40061855372125532</v>
      </c>
      <c r="J19" s="3">
        <f t="shared" si="9"/>
        <v>0.40061855372125532</v>
      </c>
      <c r="K19" s="3">
        <f t="shared" si="9"/>
        <v>0.40061855372125532</v>
      </c>
      <c r="L19" s="3">
        <f t="shared" si="9"/>
        <v>0.40061855372125532</v>
      </c>
      <c r="M19" s="3">
        <f t="shared" si="9"/>
        <v>0.40061855372125532</v>
      </c>
      <c r="N19" s="3">
        <f t="shared" si="9"/>
        <v>0.40061855372125532</v>
      </c>
      <c r="O19" s="3">
        <f t="shared" si="9"/>
        <v>0.40061855372125532</v>
      </c>
      <c r="P19" s="3">
        <f t="shared" si="9"/>
        <v>0.40061855372125532</v>
      </c>
      <c r="Q19" s="3"/>
      <c r="R19" s="3">
        <f>R24/R18</f>
        <v>0.40061855372125532</v>
      </c>
      <c r="S19" s="34" t="s">
        <v>1293</v>
      </c>
      <c r="T19" s="3"/>
    </row>
    <row r="20" spans="1:22" x14ac:dyDescent="0.25">
      <c r="A20" t="s">
        <v>1182</v>
      </c>
      <c r="B20" s="3">
        <f t="shared" si="8"/>
        <v>0.27446575928776945</v>
      </c>
      <c r="C20" s="3">
        <f t="shared" si="8"/>
        <v>0.29888336634300761</v>
      </c>
      <c r="D20" s="3">
        <f t="shared" si="8"/>
        <v>0.2304143390272988</v>
      </c>
      <c r="E20" s="3">
        <f>E25/E18</f>
        <v>0.28101724227798119</v>
      </c>
      <c r="F20" s="3">
        <f t="shared" ref="F20:P20" si="10">F25/F18</f>
        <v>0.22832650935085971</v>
      </c>
      <c r="G20" s="3">
        <f t="shared" si="10"/>
        <v>0.23569188062024229</v>
      </c>
      <c r="H20" s="3">
        <f t="shared" si="10"/>
        <v>0.27675940527376935</v>
      </c>
      <c r="I20" s="3">
        <f t="shared" si="10"/>
        <v>0.22140752421901549</v>
      </c>
      <c r="J20" s="3">
        <f t="shared" si="10"/>
        <v>0.21745381842939021</v>
      </c>
      <c r="K20" s="3">
        <f t="shared" si="10"/>
        <v>0.22140752421901549</v>
      </c>
      <c r="L20" s="3">
        <f t="shared" si="10"/>
        <v>0.2087556656922146</v>
      </c>
      <c r="M20" s="3">
        <f t="shared" si="10"/>
        <v>0.21489553821257384</v>
      </c>
      <c r="N20" s="3">
        <f t="shared" si="10"/>
        <v>0.22550766355640467</v>
      </c>
      <c r="O20" s="3">
        <f t="shared" si="10"/>
        <v>0.27262866788162354</v>
      </c>
      <c r="P20" s="3">
        <f t="shared" si="10"/>
        <v>0.20523731177605367</v>
      </c>
      <c r="Q20" s="3"/>
      <c r="R20" s="3">
        <f>R25/R18</f>
        <v>0.23146087537151569</v>
      </c>
    </row>
    <row r="21" spans="1:22" x14ac:dyDescent="0.25">
      <c r="A21" t="s">
        <v>1289</v>
      </c>
      <c r="B21" s="60">
        <f t="shared" si="8"/>
        <v>5</v>
      </c>
      <c r="C21" s="60">
        <f t="shared" si="8"/>
        <v>5</v>
      </c>
      <c r="D21" s="60">
        <f t="shared" si="8"/>
        <v>5</v>
      </c>
      <c r="E21" s="60">
        <v>4</v>
      </c>
      <c r="F21" s="60">
        <f>E21</f>
        <v>4</v>
      </c>
      <c r="G21" s="60">
        <f t="shared" ref="G21:P21" si="11">F21</f>
        <v>4</v>
      </c>
      <c r="H21" s="60">
        <v>5</v>
      </c>
      <c r="I21" s="60">
        <f t="shared" si="11"/>
        <v>5</v>
      </c>
      <c r="J21" s="60">
        <f t="shared" si="11"/>
        <v>5</v>
      </c>
      <c r="K21" s="60">
        <f t="shared" si="11"/>
        <v>5</v>
      </c>
      <c r="L21" s="60">
        <f t="shared" si="11"/>
        <v>5</v>
      </c>
      <c r="M21" s="60">
        <f t="shared" si="11"/>
        <v>5</v>
      </c>
      <c r="N21" s="60">
        <f t="shared" si="11"/>
        <v>5</v>
      </c>
      <c r="O21" s="60">
        <f t="shared" si="11"/>
        <v>5</v>
      </c>
      <c r="P21" s="60">
        <f t="shared" si="11"/>
        <v>5</v>
      </c>
      <c r="Q21" s="3"/>
      <c r="R21" s="60">
        <f>AVERAGE(E21:P21)</f>
        <v>4.75</v>
      </c>
    </row>
    <row r="22" spans="1:22" x14ac:dyDescent="0.25">
      <c r="A22" s="7" t="s">
        <v>1290</v>
      </c>
      <c r="B22" s="6">
        <f t="shared" si="8"/>
        <v>28896.712</v>
      </c>
      <c r="C22" s="6">
        <f t="shared" si="8"/>
        <v>26220.595999999998</v>
      </c>
      <c r="D22" s="6">
        <f t="shared" si="8"/>
        <v>33472.396000000001</v>
      </c>
      <c r="E22" s="6">
        <f>E18/E21</f>
        <v>32500</v>
      </c>
      <c r="F22" s="6">
        <f t="shared" ref="F22:P22" si="12">F18/F21</f>
        <v>40000</v>
      </c>
      <c r="G22" s="6">
        <f t="shared" si="12"/>
        <v>38750</v>
      </c>
      <c r="H22" s="6">
        <f t="shared" si="12"/>
        <v>26400</v>
      </c>
      <c r="I22" s="6">
        <f t="shared" si="12"/>
        <v>33000</v>
      </c>
      <c r="J22" s="6">
        <f t="shared" si="12"/>
        <v>33600</v>
      </c>
      <c r="K22" s="6">
        <f t="shared" si="12"/>
        <v>33000</v>
      </c>
      <c r="L22" s="6">
        <f t="shared" si="12"/>
        <v>35000</v>
      </c>
      <c r="M22" s="6">
        <f t="shared" si="12"/>
        <v>34000</v>
      </c>
      <c r="N22" s="6">
        <f t="shared" si="12"/>
        <v>32400</v>
      </c>
      <c r="O22" s="6">
        <f t="shared" si="12"/>
        <v>26800</v>
      </c>
      <c r="P22" s="6">
        <f t="shared" si="12"/>
        <v>35600</v>
      </c>
      <c r="Q22" s="3"/>
      <c r="R22" s="6">
        <f>R18/R21/12</f>
        <v>33228.070175438595</v>
      </c>
      <c r="S22" s="34" t="s">
        <v>1294</v>
      </c>
    </row>
    <row r="23" spans="1:22" x14ac:dyDescent="0.25">
      <c r="B23" s="3"/>
      <c r="C23" s="3"/>
      <c r="D23" s="3"/>
      <c r="E23" s="3"/>
      <c r="F23" s="3"/>
      <c r="G23" s="3"/>
      <c r="H23" s="3"/>
      <c r="I23" s="3"/>
      <c r="J23" s="3"/>
      <c r="K23" s="3"/>
      <c r="L23" s="3"/>
      <c r="M23" s="3"/>
      <c r="N23" s="3"/>
      <c r="O23" s="3"/>
      <c r="P23" s="3"/>
      <c r="Q23" s="3"/>
      <c r="R23" s="3"/>
    </row>
    <row r="24" spans="1:22" x14ac:dyDescent="0.25">
      <c r="A24" s="7" t="s">
        <v>1291</v>
      </c>
      <c r="B24" s="6">
        <f t="shared" si="8"/>
        <v>63874.2</v>
      </c>
      <c r="C24" s="6">
        <f t="shared" si="8"/>
        <v>55891.349999999984</v>
      </c>
      <c r="D24" s="6">
        <f t="shared" si="8"/>
        <v>71056.460000000006</v>
      </c>
      <c r="E24" s="6">
        <f>E18*E19</f>
        <v>52080.411983763195</v>
      </c>
      <c r="F24" s="6">
        <f t="shared" ref="F24:P24" si="13">F18*F19</f>
        <v>64098.968595400853</v>
      </c>
      <c r="G24" s="6">
        <f t="shared" si="13"/>
        <v>62095.875826794574</v>
      </c>
      <c r="H24" s="6">
        <f t="shared" si="13"/>
        <v>52881.649091205705</v>
      </c>
      <c r="I24" s="6">
        <f t="shared" si="13"/>
        <v>66102.061364007124</v>
      </c>
      <c r="J24" s="6">
        <f t="shared" si="13"/>
        <v>67303.9170251709</v>
      </c>
      <c r="K24" s="6">
        <f t="shared" si="13"/>
        <v>66102.061364007124</v>
      </c>
      <c r="L24" s="6">
        <f t="shared" si="13"/>
        <v>70108.246901219682</v>
      </c>
      <c r="M24" s="6">
        <f t="shared" si="13"/>
        <v>68105.154132613403</v>
      </c>
      <c r="N24" s="6">
        <f t="shared" si="13"/>
        <v>64900.205702843363</v>
      </c>
      <c r="O24" s="6">
        <f t="shared" si="13"/>
        <v>53682.886198648215</v>
      </c>
      <c r="P24" s="6">
        <f t="shared" si="13"/>
        <v>71310.102562383443</v>
      </c>
      <c r="R24" s="6">
        <f>SUM(E24:P24)</f>
        <v>758771.54074805754</v>
      </c>
    </row>
    <row r="25" spans="1:22" x14ac:dyDescent="0.25">
      <c r="A25" s="7" t="s">
        <v>1076</v>
      </c>
      <c r="B25" s="6">
        <f t="shared" si="8"/>
        <v>39655.789999999994</v>
      </c>
      <c r="C25" s="6">
        <f t="shared" si="8"/>
        <v>39184.499999999993</v>
      </c>
      <c r="D25" s="6">
        <f t="shared" si="8"/>
        <v>38562.600000000006</v>
      </c>
      <c r="E25" s="6">
        <f t="shared" ref="E25:P25" si="14">E32</f>
        <v>36532.241496137554</v>
      </c>
      <c r="F25" s="6">
        <f t="shared" si="14"/>
        <v>36532.241496137554</v>
      </c>
      <c r="G25" s="6">
        <f t="shared" si="14"/>
        <v>36532.241496137554</v>
      </c>
      <c r="H25" s="6">
        <f t="shared" si="14"/>
        <v>36532.241496137554</v>
      </c>
      <c r="I25" s="6">
        <f t="shared" si="14"/>
        <v>36532.241496137554</v>
      </c>
      <c r="J25" s="6">
        <f t="shared" si="14"/>
        <v>36532.241496137554</v>
      </c>
      <c r="K25" s="6">
        <f t="shared" si="14"/>
        <v>36532.241496137554</v>
      </c>
      <c r="L25" s="6">
        <f t="shared" si="14"/>
        <v>36532.241496137554</v>
      </c>
      <c r="M25" s="6">
        <f t="shared" si="14"/>
        <v>36532.241496137554</v>
      </c>
      <c r="N25" s="6">
        <f t="shared" si="14"/>
        <v>36532.241496137554</v>
      </c>
      <c r="O25" s="6">
        <f t="shared" si="14"/>
        <v>36532.241496137554</v>
      </c>
      <c r="P25" s="6">
        <f t="shared" si="14"/>
        <v>36532.241496137554</v>
      </c>
      <c r="R25" s="6">
        <f>SUM(E25:P25)</f>
        <v>438386.89795365074</v>
      </c>
      <c r="S25" s="127"/>
    </row>
    <row r="26" spans="1:22" ht="15.75" thickBot="1" x14ac:dyDescent="0.3">
      <c r="A26" s="9" t="s">
        <v>1078</v>
      </c>
      <c r="B26" s="10">
        <f t="shared" ref="B26:K26" si="15">B24-B25</f>
        <v>24218.410000000003</v>
      </c>
      <c r="C26" s="10">
        <f t="shared" si="15"/>
        <v>16706.849999999991</v>
      </c>
      <c r="D26" s="10">
        <f t="shared" si="15"/>
        <v>32493.86</v>
      </c>
      <c r="E26" s="10">
        <f t="shared" si="15"/>
        <v>15548.170487625641</v>
      </c>
      <c r="F26" s="10">
        <f t="shared" si="15"/>
        <v>27566.727099263298</v>
      </c>
      <c r="G26" s="10">
        <f t="shared" si="15"/>
        <v>25563.63433065702</v>
      </c>
      <c r="H26" s="10">
        <f t="shared" si="15"/>
        <v>16349.407595068151</v>
      </c>
      <c r="I26" s="10">
        <f t="shared" si="15"/>
        <v>29569.81986786957</v>
      </c>
      <c r="J26" s="10">
        <f t="shared" si="15"/>
        <v>30771.675529033346</v>
      </c>
      <c r="K26" s="10">
        <f t="shared" si="15"/>
        <v>29569.81986786957</v>
      </c>
      <c r="L26" s="10">
        <f>L24-L25</f>
        <v>33576.005405082127</v>
      </c>
      <c r="M26" s="10">
        <f>M24-M25</f>
        <v>31572.912636475849</v>
      </c>
      <c r="N26" s="10">
        <f>N24-N25</f>
        <v>28367.964206705808</v>
      </c>
      <c r="O26" s="10">
        <f>O24-O25</f>
        <v>17150.644702510661</v>
      </c>
      <c r="P26" s="10">
        <f>P24-P25</f>
        <v>34777.861066245889</v>
      </c>
      <c r="R26" s="10">
        <f>R24-R25</f>
        <v>320384.6427944068</v>
      </c>
    </row>
    <row r="27" spans="1:22" ht="15.75" thickTop="1" x14ac:dyDescent="0.25">
      <c r="S27" s="133"/>
    </row>
    <row r="29" spans="1:22" x14ac:dyDescent="0.25">
      <c r="A29" t="s">
        <v>1206</v>
      </c>
      <c r="B29" s="121">
        <f>'Service - 140 '!B41</f>
        <v>0.89005844696004988</v>
      </c>
      <c r="C29" s="121">
        <f>'Service - 140 '!C41</f>
        <v>0.81195327492650082</v>
      </c>
      <c r="D29" s="121">
        <f>'Service - 140 '!D41</f>
        <v>1.0583278365440478</v>
      </c>
      <c r="E29" s="121">
        <f>E18/$R$18</f>
        <v>6.863780359028511E-2</v>
      </c>
      <c r="F29" s="121">
        <f t="shared" ref="F29:P29" si="16">F18/$R$18</f>
        <v>8.4477296726504753E-2</v>
      </c>
      <c r="G29" s="121">
        <f t="shared" si="16"/>
        <v>8.1837381203801476E-2</v>
      </c>
      <c r="H29" s="121">
        <f t="shared" si="16"/>
        <v>6.9693769799366423E-2</v>
      </c>
      <c r="I29" s="121">
        <f t="shared" si="16"/>
        <v>8.7117212249208029E-2</v>
      </c>
      <c r="J29" s="121">
        <f t="shared" si="16"/>
        <v>8.8701161562829992E-2</v>
      </c>
      <c r="K29" s="121">
        <f t="shared" si="16"/>
        <v>8.7117212249208029E-2</v>
      </c>
      <c r="L29" s="121">
        <f t="shared" si="16"/>
        <v>9.2397043294614567E-2</v>
      </c>
      <c r="M29" s="121">
        <f t="shared" si="16"/>
        <v>8.9757127771911305E-2</v>
      </c>
      <c r="N29" s="121">
        <f t="shared" si="16"/>
        <v>8.5533262935586066E-2</v>
      </c>
      <c r="O29" s="121">
        <f t="shared" si="16"/>
        <v>7.0749736008447736E-2</v>
      </c>
      <c r="P29" s="121">
        <f t="shared" si="16"/>
        <v>9.398099260823653E-2</v>
      </c>
      <c r="S29" s="34" t="s">
        <v>1295</v>
      </c>
    </row>
    <row r="32" spans="1:22" x14ac:dyDescent="0.25">
      <c r="A32" s="7" t="s">
        <v>1076</v>
      </c>
      <c r="E32" s="7">
        <f>SUMIFS('[18]Summary - Selling Expenses'!Z:Z,'[18]Summary - Selling Expenses'!$E:$E,3,'[18]Summary - Selling Expenses'!$C:$C,935)</f>
        <v>36532.241496137554</v>
      </c>
      <c r="F32" s="7">
        <f>SUMIFS('[18]Summary - Selling Expenses'!AA:AA,'[18]Summary - Selling Expenses'!$E:$E,3,'[18]Summary - Selling Expenses'!$C:$C,935)</f>
        <v>36532.241496137554</v>
      </c>
      <c r="G32" s="7">
        <f>SUMIFS('[18]Summary - Selling Expenses'!AB:AB,'[18]Summary - Selling Expenses'!$E:$E,3,'[18]Summary - Selling Expenses'!$C:$C,935)</f>
        <v>36532.241496137554</v>
      </c>
      <c r="H32" s="7">
        <f>SUMIFS('[18]Summary - Selling Expenses'!AC:AC,'[18]Summary - Selling Expenses'!$E:$E,3,'[18]Summary - Selling Expenses'!$C:$C,935)</f>
        <v>36532.241496137554</v>
      </c>
      <c r="I32" s="7">
        <f>SUMIFS('[18]Summary - Selling Expenses'!AD:AD,'[18]Summary - Selling Expenses'!$E:$E,3,'[18]Summary - Selling Expenses'!$C:$C,935)</f>
        <v>36532.241496137554</v>
      </c>
      <c r="J32" s="7">
        <f>SUMIFS('[18]Summary - Selling Expenses'!AE:AE,'[18]Summary - Selling Expenses'!$E:$E,3,'[18]Summary - Selling Expenses'!$C:$C,935)</f>
        <v>36532.241496137554</v>
      </c>
      <c r="K32" s="7">
        <f>SUMIFS('[18]Summary - Selling Expenses'!AF:AF,'[18]Summary - Selling Expenses'!$E:$E,3,'[18]Summary - Selling Expenses'!$C:$C,935)</f>
        <v>36532.241496137554</v>
      </c>
      <c r="L32" s="7">
        <f>SUMIFS('[18]Summary - Selling Expenses'!AG:AG,'[18]Summary - Selling Expenses'!$E:$E,3,'[18]Summary - Selling Expenses'!$C:$C,935)</f>
        <v>36532.241496137554</v>
      </c>
      <c r="M32" s="7">
        <f>SUMIFS('[18]Summary - Selling Expenses'!AH:AH,'[18]Summary - Selling Expenses'!$E:$E,3,'[18]Summary - Selling Expenses'!$C:$C,935)</f>
        <v>36532.241496137554</v>
      </c>
      <c r="N32" s="7">
        <f>SUMIFS('[18]Summary - Selling Expenses'!AI:AI,'[18]Summary - Selling Expenses'!$E:$E,3,'[18]Summary - Selling Expenses'!$C:$C,935)</f>
        <v>36532.241496137554</v>
      </c>
      <c r="O32" s="7">
        <f>SUMIFS('[18]Summary - Selling Expenses'!AJ:AJ,'[18]Summary - Selling Expenses'!$E:$E,3,'[18]Summary - Selling Expenses'!$C:$C,935)</f>
        <v>36532.241496137554</v>
      </c>
      <c r="P32" s="7">
        <f>SUMIFS('[18]Summary - Selling Expenses'!AK:AK,'[18]Summary - Selling Expenses'!$E:$E,3,'[18]Summary - Selling Expenses'!$C:$C,935)</f>
        <v>36532.241496137554</v>
      </c>
      <c r="R32" s="6">
        <f>SUM(E32:P32)</f>
        <v>438386.89795365074</v>
      </c>
    </row>
    <row r="33" spans="1:19" x14ac:dyDescent="0.25">
      <c r="R33" s="7">
        <f>R32-SUMIFS('[18]Summary - Selling Expenses'!$AL:$AL,'[18]Summary - Selling Expenses'!$D:$D,'[18]Summary - Selling Expenses'!$D$26,'[18]Summary - Selling Expenses'!$C:$C,935)</f>
        <v>0</v>
      </c>
      <c r="S33" s="34" t="s">
        <v>1093</v>
      </c>
    </row>
    <row r="34" spans="1:19" x14ac:dyDescent="0.25">
      <c r="A34" t="s">
        <v>1324</v>
      </c>
      <c r="E34" s="7">
        <f>E10</f>
        <v>50405.030000000013</v>
      </c>
      <c r="F34" s="7">
        <f t="shared" ref="F34:P34" si="17">F10</f>
        <v>69049.189999999988</v>
      </c>
      <c r="G34" s="7">
        <f t="shared" si="17"/>
        <v>58061.069999999985</v>
      </c>
      <c r="H34" s="7">
        <f t="shared" si="17"/>
        <v>61446.270000000004</v>
      </c>
      <c r="I34" s="7">
        <f t="shared" si="17"/>
        <v>65537.11</v>
      </c>
      <c r="J34" s="7">
        <f t="shared" si="17"/>
        <v>64739.87</v>
      </c>
      <c r="K34" s="7">
        <f t="shared" si="17"/>
        <v>59211.55</v>
      </c>
      <c r="L34" s="7">
        <f t="shared" si="17"/>
        <v>71730.720000000001</v>
      </c>
      <c r="M34" s="7">
        <f t="shared" si="17"/>
        <v>62812.029999999992</v>
      </c>
      <c r="N34" s="7">
        <f t="shared" si="17"/>
        <v>63874.2</v>
      </c>
      <c r="O34" s="7">
        <f t="shared" si="17"/>
        <v>55891.349999999984</v>
      </c>
      <c r="P34" s="7">
        <f t="shared" si="17"/>
        <v>71056.460000000006</v>
      </c>
      <c r="Q34" s="34"/>
      <c r="R34" s="7">
        <f>SUM(E34:P34)</f>
        <v>753814.84999999986</v>
      </c>
      <c r="S34" s="120"/>
    </row>
    <row r="35" spans="1:19" x14ac:dyDescent="0.25">
      <c r="A35" t="s">
        <v>1325</v>
      </c>
      <c r="E35" s="7">
        <f>E24</f>
        <v>52080.411983763195</v>
      </c>
      <c r="F35" s="7">
        <f t="shared" ref="F35:P35" si="18">F24</f>
        <v>64098.968595400853</v>
      </c>
      <c r="G35" s="7">
        <f t="shared" si="18"/>
        <v>62095.875826794574</v>
      </c>
      <c r="H35" s="7">
        <f t="shared" si="18"/>
        <v>52881.649091205705</v>
      </c>
      <c r="I35" s="7">
        <f t="shared" si="18"/>
        <v>66102.061364007124</v>
      </c>
      <c r="J35" s="7">
        <f t="shared" si="18"/>
        <v>67303.9170251709</v>
      </c>
      <c r="K35" s="7">
        <f t="shared" si="18"/>
        <v>66102.061364007124</v>
      </c>
      <c r="L35" s="7">
        <f t="shared" si="18"/>
        <v>70108.246901219682</v>
      </c>
      <c r="M35" s="7">
        <f t="shared" si="18"/>
        <v>68105.154132613403</v>
      </c>
      <c r="N35" s="7">
        <f t="shared" si="18"/>
        <v>64900.205702843363</v>
      </c>
      <c r="O35" s="7">
        <f t="shared" si="18"/>
        <v>53682.886198648215</v>
      </c>
      <c r="P35" s="7">
        <f t="shared" si="18"/>
        <v>71310.102562383443</v>
      </c>
      <c r="Q35" s="34"/>
      <c r="R35" s="7">
        <f>SUM(E35:P35)</f>
        <v>758771.54074805754</v>
      </c>
      <c r="S35" s="120"/>
    </row>
    <row r="36" spans="1:19" x14ac:dyDescent="0.25">
      <c r="S36" s="120"/>
    </row>
    <row r="37" spans="1:19" x14ac:dyDescent="0.25">
      <c r="S37" s="120"/>
    </row>
  </sheetData>
  <pageMargins left="0.7" right="0.7" top="0.75" bottom="0.75" header="0.3" footer="0.3"/>
  <pageSetup paperSize="9" orientation="portrait" verticalDpi="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9AD65-9677-4174-8F7C-03C66831CEB0}">
  <sheetPr codeName="Sheet33">
    <tabColor theme="9" tint="0.79998168889431442"/>
  </sheetPr>
  <dimension ref="A1:V37"/>
  <sheetViews>
    <sheetView workbookViewId="0">
      <selection activeCell="P12" sqref="P12"/>
    </sheetView>
  </sheetViews>
  <sheetFormatPr defaultRowHeight="15" x14ac:dyDescent="0.25"/>
  <cols>
    <col min="1" max="1" width="30.42578125" bestFit="1" customWidth="1"/>
    <col min="2" max="4" width="10.7109375" hidden="1" customWidth="1"/>
    <col min="5" max="16" width="10.7109375" customWidth="1"/>
    <col min="17" max="17" width="2.85546875" customWidth="1"/>
    <col min="18" max="18" width="10.7109375" customWidth="1"/>
    <col min="19" max="19" width="10.28515625" style="34" bestFit="1" customWidth="1"/>
    <col min="20" max="20" width="12.140625" customWidth="1"/>
  </cols>
  <sheetData>
    <row r="1" spans="1:20" s="7" customFormat="1" ht="15.75" x14ac:dyDescent="0.25">
      <c r="A1" s="11" t="s">
        <v>1287</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c r="S1" s="34"/>
      <c r="T1"/>
    </row>
    <row r="2" spans="1:20"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3" spans="1:20" s="7" customFormat="1" x14ac:dyDescent="0.25">
      <c r="A3"/>
      <c r="B3"/>
      <c r="C3"/>
      <c r="D3"/>
      <c r="E3"/>
      <c r="F3"/>
      <c r="G3"/>
      <c r="H3"/>
      <c r="I3"/>
      <c r="J3"/>
      <c r="K3"/>
      <c r="L3"/>
      <c r="M3"/>
      <c r="N3"/>
      <c r="O3"/>
      <c r="P3"/>
      <c r="Q3"/>
      <c r="R3"/>
      <c r="S3" s="34"/>
      <c r="T3"/>
    </row>
    <row r="4" spans="1:20" s="7" customFormat="1" x14ac:dyDescent="0.25">
      <c r="A4" s="7" t="s">
        <v>1288</v>
      </c>
      <c r="B4" s="6">
        <f>'[3]Bridgestone 936'!$B$13</f>
        <v>49282.54</v>
      </c>
      <c r="C4" s="6">
        <f>'[4]Bridgestone 936'!$B$13</f>
        <v>58793.2</v>
      </c>
      <c r="D4" s="6">
        <f>'[5]Bridgestone 936'!$B$13</f>
        <v>78627.539999999994</v>
      </c>
      <c r="E4" s="6">
        <f>'[6]Bridgestone 936'!$B$13</f>
        <v>50721.11</v>
      </c>
      <c r="F4" s="6">
        <f>'[7]Bridgestone 936'!$B$13</f>
        <v>69063.210000000006</v>
      </c>
      <c r="G4" s="6">
        <f>'[8]Bridgestone 936'!$B$13</f>
        <v>81592.2</v>
      </c>
      <c r="H4" s="6">
        <f>'[9]Bridgestone 936'!$B$13</f>
        <v>80287.08</v>
      </c>
      <c r="I4" s="6">
        <f>'[10]Bridgestone 936'!$B$13</f>
        <v>77763.760000000009</v>
      </c>
      <c r="J4" s="6">
        <f>'[11]Bridgestone 936'!$B$13</f>
        <v>76031.149999999994</v>
      </c>
      <c r="K4" s="6">
        <f>'[12]Bridgestone 936'!$B$13</f>
        <v>71377.12000000001</v>
      </c>
      <c r="L4" s="6">
        <f>'[13]Bridgestone 936'!$B$13</f>
        <v>84620.760000000009</v>
      </c>
      <c r="M4" s="6">
        <f>'[14]Bridgestone 936'!$B$13</f>
        <v>68443.77</v>
      </c>
      <c r="N4" s="6">
        <f>'[15]Bridgestone 936'!$B$13</f>
        <v>74268.28</v>
      </c>
      <c r="O4" s="6">
        <f>'[16]Bridgestone 936'!$B$13</f>
        <v>70718.94</v>
      </c>
      <c r="P4" s="6">
        <f>'[17]Bridgestone 936'!$B$13</f>
        <v>55317.82</v>
      </c>
      <c r="Q4" s="8"/>
      <c r="R4" s="6">
        <f>SUM(E4:P4)</f>
        <v>860205.20000000007</v>
      </c>
      <c r="S4" s="34"/>
      <c r="T4"/>
    </row>
    <row r="5" spans="1:20" s="9" customFormat="1" x14ac:dyDescent="0.25">
      <c r="A5" t="s">
        <v>1176</v>
      </c>
      <c r="B5" s="3">
        <f t="shared" ref="B5:N5" si="0">B10/B4</f>
        <v>0.39730054498002748</v>
      </c>
      <c r="C5" s="3">
        <f t="shared" si="0"/>
        <v>0.41734911520379903</v>
      </c>
      <c r="D5" s="3">
        <f t="shared" si="0"/>
        <v>0.46190202567700839</v>
      </c>
      <c r="E5" s="3">
        <f t="shared" si="0"/>
        <v>0.41115503978520979</v>
      </c>
      <c r="F5" s="3">
        <f t="shared" si="0"/>
        <v>0.43993002931662162</v>
      </c>
      <c r="G5" s="3">
        <f t="shared" si="0"/>
        <v>0.39561257080946466</v>
      </c>
      <c r="H5" s="3">
        <f t="shared" si="0"/>
        <v>0.41657125903694592</v>
      </c>
      <c r="I5" s="3">
        <f t="shared" si="0"/>
        <v>0.39185900990384215</v>
      </c>
      <c r="J5" s="3">
        <f t="shared" si="0"/>
        <v>0.40111954113544257</v>
      </c>
      <c r="K5" s="3">
        <f t="shared" si="0"/>
        <v>0.42324206972766626</v>
      </c>
      <c r="L5" s="3">
        <f t="shared" si="0"/>
        <v>0.43539717676844303</v>
      </c>
      <c r="M5" s="3">
        <f t="shared" si="0"/>
        <v>0.46177891720459002</v>
      </c>
      <c r="N5" s="3">
        <f t="shared" si="0"/>
        <v>0.42187458764360769</v>
      </c>
      <c r="O5" s="3">
        <f t="shared" ref="O5" si="1">O10/O4</f>
        <v>0.40459203715440312</v>
      </c>
      <c r="P5" s="3">
        <f>P10/P4</f>
        <v>0.40540263517253577</v>
      </c>
      <c r="Q5" s="3"/>
      <c r="R5" s="3">
        <f>R10/R4</f>
        <v>0.41729689613594523</v>
      </c>
      <c r="S5" s="34"/>
      <c r="T5"/>
    </row>
    <row r="6" spans="1:20" s="9" customFormat="1" x14ac:dyDescent="0.25">
      <c r="A6" t="s">
        <v>1182</v>
      </c>
      <c r="B6" s="3">
        <f>'[3]Bridgestone 936'!$B$28</f>
        <v>0.13993089641889397</v>
      </c>
      <c r="C6" s="3">
        <f>'[4]Bridgestone 936'!$B$28</f>
        <v>0.2331701625358035</v>
      </c>
      <c r="D6" s="3">
        <f>'[5]Bridgestone 936'!$B$28</f>
        <v>0.20821979169130819</v>
      </c>
      <c r="E6" s="3">
        <f>'[6]Bridgestone 936'!$B$28</f>
        <v>0.20056087100617473</v>
      </c>
      <c r="F6" s="3">
        <f>'[7]Bridgestone 936'!$B$28</f>
        <v>0.21026361213155309</v>
      </c>
      <c r="G6" s="3">
        <f>'[8]Bridgestone 936'!$B$28</f>
        <v>0.20866737261650009</v>
      </c>
      <c r="H6" s="3">
        <f>'[9]Bridgestone 936'!$B$28</f>
        <v>0.16191696098550351</v>
      </c>
      <c r="I6" s="3">
        <f>'[10]Bridgestone 936'!$B$28</f>
        <v>0.1792810687137556</v>
      </c>
      <c r="J6" s="3">
        <f>'[11]Bridgestone 936'!$B$28</f>
        <v>0.1926561678996043</v>
      </c>
      <c r="K6" s="3">
        <f>'[12]Bridgestone 936'!$B$28</f>
        <v>0.16925886054242589</v>
      </c>
      <c r="L6" s="3">
        <f>'[13]Bridgestone 936'!$B$28</f>
        <v>0.17149278734910911</v>
      </c>
      <c r="M6" s="3">
        <f>'[14]Bridgestone 936'!$B$28</f>
        <v>0.17769477046632587</v>
      </c>
      <c r="N6" s="3">
        <f>'[15]Bridgestone 936'!$B$28</f>
        <v>0.20339894770688105</v>
      </c>
      <c r="O6" s="3">
        <f>'[16]Bridgestone 936'!$B$28</f>
        <v>0.18351745656821214</v>
      </c>
      <c r="P6" s="3">
        <f>'[17]Bridgestone 936'!$B$28</f>
        <v>0.1680765800243032</v>
      </c>
      <c r="Q6" s="3"/>
      <c r="R6" s="3">
        <f>R11/R4</f>
        <v>0.18535821452834741</v>
      </c>
      <c r="S6" s="34"/>
      <c r="T6"/>
    </row>
    <row r="7" spans="1:20" s="9" customFormat="1" x14ac:dyDescent="0.25">
      <c r="A7" t="s">
        <v>1289</v>
      </c>
      <c r="B7" s="60">
        <f>'[3]Bridgestone 936'!$B$33</f>
        <v>2</v>
      </c>
      <c r="C7" s="60">
        <f>'[4]Bridgestone 936'!$B$33</f>
        <v>2</v>
      </c>
      <c r="D7" s="60">
        <f>'[5]Bridgestone 936'!$B$33</f>
        <v>2</v>
      </c>
      <c r="E7" s="60">
        <f>'[6]Bridgestone 936'!$B$33</f>
        <v>2</v>
      </c>
      <c r="F7" s="60">
        <f>'[7]Bridgestone 936'!$B$33</f>
        <v>2</v>
      </c>
      <c r="G7" s="60">
        <f>'[8]Bridgestone 936'!$B$33</f>
        <v>2</v>
      </c>
      <c r="H7" s="60">
        <f>'[9]Bridgestone 936'!$B$33</f>
        <v>2</v>
      </c>
      <c r="I7" s="60">
        <f>'[10]Bridgestone 936'!$B$33</f>
        <v>2</v>
      </c>
      <c r="J7" s="60">
        <f>'[11]Bridgestone 936'!$B$33</f>
        <v>2</v>
      </c>
      <c r="K7" s="60">
        <f>'[12]Bridgestone 936'!$B$33</f>
        <v>2</v>
      </c>
      <c r="L7" s="60">
        <f>'[13]Bridgestone 936'!$B$33</f>
        <v>2</v>
      </c>
      <c r="M7" s="60">
        <f>'[14]Bridgestone 936'!$B$33</f>
        <v>2</v>
      </c>
      <c r="N7" s="60">
        <f>'[15]Bridgestone 936'!$B$33</f>
        <v>2</v>
      </c>
      <c r="O7" s="60">
        <f>'[16]Bridgestone 936'!$B$33</f>
        <v>2</v>
      </c>
      <c r="P7" s="60">
        <f>'[17]Bridgestone 936'!$B$33</f>
        <v>2</v>
      </c>
      <c r="Q7" s="3"/>
      <c r="R7" s="60">
        <f>AVERAGE(E7:P7)</f>
        <v>2</v>
      </c>
      <c r="S7" s="34"/>
      <c r="T7" s="134"/>
    </row>
    <row r="8" spans="1:20" s="9" customFormat="1" x14ac:dyDescent="0.25">
      <c r="A8" s="7" t="s">
        <v>1290</v>
      </c>
      <c r="B8" s="6">
        <f t="shared" ref="B8:N8" si="2">B4/B7</f>
        <v>24641.27</v>
      </c>
      <c r="C8" s="6">
        <f t="shared" si="2"/>
        <v>29396.6</v>
      </c>
      <c r="D8" s="6">
        <f t="shared" si="2"/>
        <v>39313.769999999997</v>
      </c>
      <c r="E8" s="6">
        <f t="shared" si="2"/>
        <v>25360.555</v>
      </c>
      <c r="F8" s="6">
        <f t="shared" si="2"/>
        <v>34531.605000000003</v>
      </c>
      <c r="G8" s="6">
        <f t="shared" si="2"/>
        <v>40796.1</v>
      </c>
      <c r="H8" s="6">
        <f t="shared" si="2"/>
        <v>40143.54</v>
      </c>
      <c r="I8" s="6">
        <f t="shared" si="2"/>
        <v>38881.880000000005</v>
      </c>
      <c r="J8" s="6">
        <f t="shared" si="2"/>
        <v>38015.574999999997</v>
      </c>
      <c r="K8" s="6">
        <f t="shared" si="2"/>
        <v>35688.560000000005</v>
      </c>
      <c r="L8" s="6">
        <f t="shared" si="2"/>
        <v>42310.380000000005</v>
      </c>
      <c r="M8" s="6">
        <f t="shared" si="2"/>
        <v>34221.885000000002</v>
      </c>
      <c r="N8" s="6">
        <f t="shared" si="2"/>
        <v>37134.14</v>
      </c>
      <c r="O8" s="6">
        <f t="shared" ref="O8" si="3">O4/O7</f>
        <v>35359.47</v>
      </c>
      <c r="P8" s="6">
        <f>P4/P7</f>
        <v>27658.91</v>
      </c>
      <c r="Q8" s="3"/>
      <c r="R8" s="6">
        <f>AVERAGE(E8:P8)</f>
        <v>35841.883333333339</v>
      </c>
      <c r="S8" s="34"/>
      <c r="T8" s="7"/>
    </row>
    <row r="9" spans="1:20" s="9" customFormat="1" x14ac:dyDescent="0.25">
      <c r="A9"/>
      <c r="B9" s="3"/>
      <c r="C9" s="3"/>
      <c r="D9" s="3"/>
      <c r="E9" s="3"/>
      <c r="F9" s="3"/>
      <c r="G9" s="3"/>
      <c r="H9" s="3"/>
      <c r="I9" s="3"/>
      <c r="J9" s="3"/>
      <c r="K9" s="3"/>
      <c r="L9" s="3"/>
      <c r="M9" s="3"/>
      <c r="N9" s="3"/>
      <c r="O9" s="3"/>
      <c r="P9" s="3"/>
      <c r="Q9" s="3"/>
      <c r="R9" s="3"/>
      <c r="S9" s="34"/>
      <c r="T9" t="s">
        <v>1234</v>
      </c>
    </row>
    <row r="10" spans="1:20" x14ac:dyDescent="0.25">
      <c r="A10" s="7" t="s">
        <v>1291</v>
      </c>
      <c r="B10" s="6">
        <f>'[3]Bridgestone 936'!$B$24</f>
        <v>19579.980000000003</v>
      </c>
      <c r="C10" s="6">
        <f>'[4]Bridgestone 936'!$B$24</f>
        <v>24537.289999999997</v>
      </c>
      <c r="D10" s="6">
        <f>'[5]Bridgestone 936'!$B$24</f>
        <v>36318.22</v>
      </c>
      <c r="E10" s="6">
        <f>'[6]Bridgestone 936'!$B$24</f>
        <v>20854.240000000002</v>
      </c>
      <c r="F10" s="6">
        <f>'[7]Bridgestone 936'!$B$24</f>
        <v>30382.98</v>
      </c>
      <c r="G10" s="6">
        <f>'[8]Bridgestone 936'!$B$24</f>
        <v>32278.9</v>
      </c>
      <c r="H10" s="6">
        <f>'[9]Bridgestone 936'!$B$24</f>
        <v>33445.29</v>
      </c>
      <c r="I10" s="6">
        <f>'[10]Bridgestone 936'!$B$24</f>
        <v>30472.430000000008</v>
      </c>
      <c r="J10" s="6">
        <f>'[11]Bridgestone 936'!$B$24</f>
        <v>30497.58</v>
      </c>
      <c r="K10" s="6">
        <f>'[12]Bridgestone 936'!$B$24</f>
        <v>30209.800000000007</v>
      </c>
      <c r="L10" s="6">
        <f>'[13]Bridgestone 936'!$B$24</f>
        <v>36843.64</v>
      </c>
      <c r="M10" s="6">
        <f>'[14]Bridgestone 936'!$B$24</f>
        <v>31605.890000000003</v>
      </c>
      <c r="N10" s="6">
        <f>'[15]Bridgestone 936'!$B$24</f>
        <v>31331.899999999994</v>
      </c>
      <c r="O10" s="6">
        <f>'[16]Bridgestone 936'!$B$24</f>
        <v>28612.320000000007</v>
      </c>
      <c r="P10" s="6">
        <f>'[17]Bridgestone 936'!$B$24</f>
        <v>22425.99</v>
      </c>
      <c r="R10" s="6">
        <f>SUM(E10:P10)</f>
        <v>358960.96</v>
      </c>
      <c r="T10" s="7">
        <f>SUM(E10:O10)</f>
        <v>336534.97000000003</v>
      </c>
    </row>
    <row r="11" spans="1:20" x14ac:dyDescent="0.25">
      <c r="A11" s="7" t="s">
        <v>1076</v>
      </c>
      <c r="B11" s="6">
        <f t="shared" ref="B11:N11" si="4">B4*B6</f>
        <v>6896.1499999999987</v>
      </c>
      <c r="C11" s="6">
        <f t="shared" si="4"/>
        <v>13708.820000000002</v>
      </c>
      <c r="D11" s="6">
        <f t="shared" si="4"/>
        <v>16371.810000000001</v>
      </c>
      <c r="E11" s="6">
        <f t="shared" si="4"/>
        <v>10172.67</v>
      </c>
      <c r="F11" s="6">
        <f t="shared" si="4"/>
        <v>14521.48</v>
      </c>
      <c r="G11" s="6">
        <f t="shared" si="4"/>
        <v>17025.629999999997</v>
      </c>
      <c r="H11" s="6">
        <f t="shared" si="4"/>
        <v>12999.84</v>
      </c>
      <c r="I11" s="6">
        <f t="shared" si="4"/>
        <v>13941.570000000002</v>
      </c>
      <c r="J11" s="6">
        <f t="shared" si="4"/>
        <v>14647.869999999999</v>
      </c>
      <c r="K11" s="6">
        <f t="shared" si="4"/>
        <v>12081.21</v>
      </c>
      <c r="L11" s="6">
        <f t="shared" si="4"/>
        <v>14511.85</v>
      </c>
      <c r="M11" s="6">
        <f t="shared" si="4"/>
        <v>12162.1</v>
      </c>
      <c r="N11" s="6">
        <f t="shared" si="4"/>
        <v>15106.09</v>
      </c>
      <c r="O11" s="6">
        <f t="shared" ref="O11" si="5">O4*O6</f>
        <v>12978.16</v>
      </c>
      <c r="P11" s="6">
        <f>P4*P6</f>
        <v>9297.6299999999992</v>
      </c>
      <c r="R11" s="6">
        <f>SUM(E11:P11)</f>
        <v>159446.1</v>
      </c>
      <c r="T11" s="7">
        <f>SUM(E4:O4)</f>
        <v>804887.38000000012</v>
      </c>
    </row>
    <row r="12" spans="1:20" ht="15.75" thickBot="1" x14ac:dyDescent="0.3">
      <c r="A12" s="9" t="s">
        <v>1078</v>
      </c>
      <c r="B12" s="10">
        <f t="shared" ref="B12:P12" si="6">B10-B11</f>
        <v>12683.830000000005</v>
      </c>
      <c r="C12" s="10">
        <f t="shared" si="6"/>
        <v>10828.469999999996</v>
      </c>
      <c r="D12" s="10">
        <f t="shared" si="6"/>
        <v>19946.41</v>
      </c>
      <c r="E12" s="10">
        <f t="shared" si="6"/>
        <v>10681.570000000002</v>
      </c>
      <c r="F12" s="10">
        <f t="shared" si="6"/>
        <v>15861.5</v>
      </c>
      <c r="G12" s="10">
        <f t="shared" si="6"/>
        <v>15253.270000000004</v>
      </c>
      <c r="H12" s="10">
        <f t="shared" si="6"/>
        <v>20445.45</v>
      </c>
      <c r="I12" s="10">
        <f t="shared" si="6"/>
        <v>16530.860000000008</v>
      </c>
      <c r="J12" s="10">
        <f t="shared" si="6"/>
        <v>15849.710000000003</v>
      </c>
      <c r="K12" s="10">
        <f t="shared" si="6"/>
        <v>18128.590000000007</v>
      </c>
      <c r="L12" s="10">
        <f t="shared" si="6"/>
        <v>22331.79</v>
      </c>
      <c r="M12" s="10">
        <f t="shared" si="6"/>
        <v>19443.79</v>
      </c>
      <c r="N12" s="10">
        <f t="shared" si="6"/>
        <v>16225.809999999994</v>
      </c>
      <c r="O12" s="10">
        <f t="shared" ref="O12" si="7">O10-O11</f>
        <v>15634.160000000007</v>
      </c>
      <c r="P12" s="10">
        <f t="shared" si="6"/>
        <v>13128.360000000002</v>
      </c>
      <c r="R12" s="10">
        <f>R10-R11</f>
        <v>199514.86000000002</v>
      </c>
      <c r="T12" s="3">
        <f>T10/T11</f>
        <v>0.41811435781239353</v>
      </c>
    </row>
    <row r="13" spans="1:20" ht="15.75" thickTop="1" x14ac:dyDescent="0.25">
      <c r="T13" s="7">
        <f>T11/R7/12</f>
        <v>33536.974166666674</v>
      </c>
    </row>
    <row r="14" spans="1:20" x14ac:dyDescent="0.25">
      <c r="T14" s="7"/>
    </row>
    <row r="15" spans="1:20" ht="15.75" x14ac:dyDescent="0.25">
      <c r="A15" s="11" t="s">
        <v>1287</v>
      </c>
      <c r="B15" s="5">
        <v>45292</v>
      </c>
      <c r="C15" s="5">
        <v>45323</v>
      </c>
      <c r="D15" s="5">
        <v>45352</v>
      </c>
      <c r="E15" s="5">
        <v>45383</v>
      </c>
      <c r="F15" s="5">
        <v>45413</v>
      </c>
      <c r="G15" s="5">
        <v>45444</v>
      </c>
      <c r="H15" s="5">
        <v>45474</v>
      </c>
      <c r="I15" s="5">
        <v>45505</v>
      </c>
      <c r="J15" s="5">
        <v>45536</v>
      </c>
      <c r="K15" s="5">
        <v>45566</v>
      </c>
      <c r="L15" s="5">
        <v>45597</v>
      </c>
      <c r="M15" s="5">
        <v>45627</v>
      </c>
      <c r="N15" s="5">
        <v>45658</v>
      </c>
      <c r="O15" s="5">
        <v>45689</v>
      </c>
      <c r="P15" s="5">
        <v>45717</v>
      </c>
      <c r="Q15" s="5"/>
      <c r="R15" s="5" t="s">
        <v>955</v>
      </c>
      <c r="T15" s="7"/>
    </row>
    <row r="16" spans="1:20" x14ac:dyDescent="0.25">
      <c r="A16" s="4"/>
      <c r="B16" s="5" t="s">
        <v>958</v>
      </c>
      <c r="C16" s="5" t="s">
        <v>959</v>
      </c>
      <c r="D16" s="5" t="s">
        <v>959</v>
      </c>
      <c r="E16" s="5" t="s">
        <v>959</v>
      </c>
      <c r="F16" s="5" t="s">
        <v>959</v>
      </c>
      <c r="G16" s="5" t="s">
        <v>959</v>
      </c>
      <c r="H16" s="5" t="s">
        <v>959</v>
      </c>
      <c r="I16" s="5" t="s">
        <v>959</v>
      </c>
      <c r="J16" s="5" t="s">
        <v>959</v>
      </c>
      <c r="K16" s="5" t="s">
        <v>959</v>
      </c>
      <c r="L16" s="5" t="s">
        <v>959</v>
      </c>
      <c r="M16" s="5" t="s">
        <v>959</v>
      </c>
      <c r="N16" s="5" t="s">
        <v>959</v>
      </c>
      <c r="O16" s="5" t="s">
        <v>959</v>
      </c>
      <c r="P16" s="5" t="s">
        <v>959</v>
      </c>
      <c r="Q16" s="5"/>
      <c r="R16" s="5" t="s">
        <v>961</v>
      </c>
      <c r="T16" s="3"/>
    </row>
    <row r="17" spans="1:22" x14ac:dyDescent="0.25">
      <c r="T17" s="7"/>
    </row>
    <row r="18" spans="1:22" x14ac:dyDescent="0.25">
      <c r="A18" s="7" t="s">
        <v>1288</v>
      </c>
      <c r="B18" s="6">
        <f t="shared" ref="B18:D25" si="8">N4</f>
        <v>74268.28</v>
      </c>
      <c r="C18" s="6">
        <f t="shared" si="8"/>
        <v>70718.94</v>
      </c>
      <c r="D18" s="6">
        <f t="shared" si="8"/>
        <v>55317.82</v>
      </c>
      <c r="E18" s="6">
        <v>38000</v>
      </c>
      <c r="F18" s="6">
        <v>45000</v>
      </c>
      <c r="G18" s="6">
        <v>42000</v>
      </c>
      <c r="H18" s="6">
        <v>82000</v>
      </c>
      <c r="I18" s="6">
        <v>80000</v>
      </c>
      <c r="J18" s="6">
        <v>78000</v>
      </c>
      <c r="K18" s="6">
        <v>82000</v>
      </c>
      <c r="L18" s="6">
        <v>95000</v>
      </c>
      <c r="M18" s="6">
        <v>78000</v>
      </c>
      <c r="N18" s="6">
        <v>78000</v>
      </c>
      <c r="O18" s="6">
        <v>72000</v>
      </c>
      <c r="P18" s="6">
        <v>95000</v>
      </c>
      <c r="Q18" s="8"/>
      <c r="R18" s="6">
        <f>SUM(E18:P18)</f>
        <v>865000</v>
      </c>
      <c r="S18" s="127" t="s">
        <v>1241</v>
      </c>
      <c r="V18" s="3"/>
    </row>
    <row r="19" spans="1:22" x14ac:dyDescent="0.25">
      <c r="A19" t="s">
        <v>1176</v>
      </c>
      <c r="B19" s="3">
        <f t="shared" si="8"/>
        <v>0.42187458764360769</v>
      </c>
      <c r="C19" s="3">
        <f t="shared" si="8"/>
        <v>0.40459203715440312</v>
      </c>
      <c r="D19" s="3">
        <f t="shared" si="8"/>
        <v>0.40540263517253577</v>
      </c>
      <c r="E19" s="3">
        <f>$T$12</f>
        <v>0.41811435781239353</v>
      </c>
      <c r="F19" s="3">
        <f t="shared" ref="F19:P19" si="9">$T$12</f>
        <v>0.41811435781239353</v>
      </c>
      <c r="G19" s="3">
        <f t="shared" si="9"/>
        <v>0.41811435781239353</v>
      </c>
      <c r="H19" s="3">
        <f t="shared" si="9"/>
        <v>0.41811435781239353</v>
      </c>
      <c r="I19" s="3">
        <f t="shared" si="9"/>
        <v>0.41811435781239353</v>
      </c>
      <c r="J19" s="3">
        <f t="shared" si="9"/>
        <v>0.41811435781239353</v>
      </c>
      <c r="K19" s="3">
        <f t="shared" si="9"/>
        <v>0.41811435781239353</v>
      </c>
      <c r="L19" s="3">
        <f t="shared" si="9"/>
        <v>0.41811435781239353</v>
      </c>
      <c r="M19" s="3">
        <f t="shared" si="9"/>
        <v>0.41811435781239353</v>
      </c>
      <c r="N19" s="3">
        <f t="shared" si="9"/>
        <v>0.41811435781239353</v>
      </c>
      <c r="O19" s="3">
        <f t="shared" si="9"/>
        <v>0.41811435781239353</v>
      </c>
      <c r="P19" s="3">
        <f t="shared" si="9"/>
        <v>0.41811435781239353</v>
      </c>
      <c r="Q19" s="3"/>
      <c r="R19" s="3">
        <f>R24/R18</f>
        <v>0.41811435781239353</v>
      </c>
      <c r="T19" s="3"/>
    </row>
    <row r="20" spans="1:22" x14ac:dyDescent="0.25">
      <c r="A20" t="s">
        <v>1182</v>
      </c>
      <c r="B20" s="3">
        <f t="shared" si="8"/>
        <v>0.20339894770688105</v>
      </c>
      <c r="C20" s="3">
        <f t="shared" si="8"/>
        <v>0.18351745656821214</v>
      </c>
      <c r="D20" s="3">
        <f t="shared" si="8"/>
        <v>0.1680765800243032</v>
      </c>
      <c r="E20" s="3">
        <f>E25/E18</f>
        <v>0.24412496600253614</v>
      </c>
      <c r="F20" s="3">
        <f t="shared" ref="F20:P20" si="10">F25/F18</f>
        <v>0.20614997129103052</v>
      </c>
      <c r="G20" s="3">
        <f t="shared" si="10"/>
        <v>0.22087496924038982</v>
      </c>
      <c r="H20" s="3">
        <f t="shared" si="10"/>
        <v>0.11313108180605333</v>
      </c>
      <c r="I20" s="3">
        <f t="shared" si="10"/>
        <v>0.11595935885120466</v>
      </c>
      <c r="J20" s="3">
        <f t="shared" si="10"/>
        <v>0.11893267574482529</v>
      </c>
      <c r="K20" s="3">
        <f t="shared" si="10"/>
        <v>0.11313108180605333</v>
      </c>
      <c r="L20" s="3">
        <f t="shared" si="10"/>
        <v>9.7649986401014452E-2</v>
      </c>
      <c r="M20" s="3">
        <f t="shared" si="10"/>
        <v>0.11893267574482529</v>
      </c>
      <c r="N20" s="3">
        <f t="shared" si="10"/>
        <v>0.11893267574482529</v>
      </c>
      <c r="O20" s="3">
        <f t="shared" si="10"/>
        <v>0.12884373205689406</v>
      </c>
      <c r="P20" s="3">
        <f t="shared" si="10"/>
        <v>9.7649986401014452E-2</v>
      </c>
      <c r="Q20" s="3"/>
      <c r="R20" s="3">
        <f>R25/R18</f>
        <v>0.12869477976549884</v>
      </c>
    </row>
    <row r="21" spans="1:22" x14ac:dyDescent="0.25">
      <c r="A21" t="s">
        <v>1289</v>
      </c>
      <c r="B21" s="60">
        <f t="shared" si="8"/>
        <v>2</v>
      </c>
      <c r="C21" s="60">
        <f t="shared" si="8"/>
        <v>2</v>
      </c>
      <c r="D21" s="60">
        <f t="shared" si="8"/>
        <v>2</v>
      </c>
      <c r="E21" s="60">
        <v>1</v>
      </c>
      <c r="F21" s="60">
        <f>E21</f>
        <v>1</v>
      </c>
      <c r="G21" s="60">
        <f t="shared" ref="G21:P21" si="11">F21</f>
        <v>1</v>
      </c>
      <c r="H21" s="60">
        <v>2</v>
      </c>
      <c r="I21" s="60">
        <f t="shared" si="11"/>
        <v>2</v>
      </c>
      <c r="J21" s="60">
        <f t="shared" si="11"/>
        <v>2</v>
      </c>
      <c r="K21" s="60">
        <f t="shared" si="11"/>
        <v>2</v>
      </c>
      <c r="L21" s="60">
        <v>2.5</v>
      </c>
      <c r="M21" s="60">
        <f t="shared" si="11"/>
        <v>2.5</v>
      </c>
      <c r="N21" s="60">
        <f t="shared" si="11"/>
        <v>2.5</v>
      </c>
      <c r="O21" s="60">
        <f t="shared" si="11"/>
        <v>2.5</v>
      </c>
      <c r="P21" s="60">
        <f t="shared" si="11"/>
        <v>2.5</v>
      </c>
      <c r="Q21" s="3"/>
      <c r="R21" s="60">
        <f>AVERAGE(E21:P21)</f>
        <v>1.9583333333333333</v>
      </c>
    </row>
    <row r="22" spans="1:22" x14ac:dyDescent="0.25">
      <c r="A22" s="7" t="s">
        <v>1290</v>
      </c>
      <c r="B22" s="6">
        <f t="shared" si="8"/>
        <v>37134.14</v>
      </c>
      <c r="C22" s="6">
        <f t="shared" si="8"/>
        <v>35359.47</v>
      </c>
      <c r="D22" s="6">
        <f t="shared" si="8"/>
        <v>27658.91</v>
      </c>
      <c r="E22" s="6">
        <f>E18/E21</f>
        <v>38000</v>
      </c>
      <c r="F22" s="6">
        <f t="shared" ref="F22:P22" si="12">F18/F21</f>
        <v>45000</v>
      </c>
      <c r="G22" s="6">
        <f t="shared" si="12"/>
        <v>42000</v>
      </c>
      <c r="H22" s="6">
        <f t="shared" si="12"/>
        <v>41000</v>
      </c>
      <c r="I22" s="6">
        <f t="shared" si="12"/>
        <v>40000</v>
      </c>
      <c r="J22" s="6">
        <f t="shared" si="12"/>
        <v>39000</v>
      </c>
      <c r="K22" s="6">
        <f t="shared" si="12"/>
        <v>41000</v>
      </c>
      <c r="L22" s="6">
        <f t="shared" si="12"/>
        <v>38000</v>
      </c>
      <c r="M22" s="6">
        <f t="shared" si="12"/>
        <v>31200</v>
      </c>
      <c r="N22" s="6">
        <f t="shared" si="12"/>
        <v>31200</v>
      </c>
      <c r="O22" s="6">
        <f t="shared" si="12"/>
        <v>28800</v>
      </c>
      <c r="P22" s="6">
        <f t="shared" si="12"/>
        <v>38000</v>
      </c>
      <c r="Q22" s="3"/>
      <c r="R22" s="6">
        <f>R18/R21/12</f>
        <v>36808.510638297877</v>
      </c>
      <c r="S22" s="34" t="s">
        <v>1296</v>
      </c>
    </row>
    <row r="23" spans="1:22" x14ac:dyDescent="0.25">
      <c r="B23" s="3"/>
      <c r="C23" s="3"/>
      <c r="D23" s="3"/>
      <c r="E23" s="3"/>
      <c r="F23" s="3"/>
      <c r="G23" s="3"/>
      <c r="H23" s="3"/>
      <c r="I23" s="3"/>
      <c r="J23" s="3"/>
      <c r="K23" s="3"/>
      <c r="L23" s="3"/>
      <c r="M23" s="3"/>
      <c r="N23" s="3"/>
      <c r="O23" s="3"/>
      <c r="P23" s="3"/>
      <c r="Q23" s="3"/>
      <c r="R23" s="3"/>
    </row>
    <row r="24" spans="1:22" x14ac:dyDescent="0.25">
      <c r="A24" s="7" t="s">
        <v>1291</v>
      </c>
      <c r="B24" s="6">
        <f t="shared" si="8"/>
        <v>31331.899999999994</v>
      </c>
      <c r="C24" s="6">
        <f t="shared" si="8"/>
        <v>28612.320000000007</v>
      </c>
      <c r="D24" s="6">
        <f t="shared" si="8"/>
        <v>22425.99</v>
      </c>
      <c r="E24" s="6">
        <f>E18*E19</f>
        <v>15888.345596870955</v>
      </c>
      <c r="F24" s="6">
        <f t="shared" ref="F24:P24" si="13">F18*F19</f>
        <v>18815.146101557708</v>
      </c>
      <c r="G24" s="6">
        <f t="shared" si="13"/>
        <v>17560.803028120528</v>
      </c>
      <c r="H24" s="6">
        <f t="shared" si="13"/>
        <v>34285.377340616273</v>
      </c>
      <c r="I24" s="6">
        <f t="shared" si="13"/>
        <v>33449.148624991481</v>
      </c>
      <c r="J24" s="6">
        <f t="shared" si="13"/>
        <v>32612.919909366694</v>
      </c>
      <c r="K24" s="6">
        <f t="shared" si="13"/>
        <v>34285.377340616273</v>
      </c>
      <c r="L24" s="6">
        <f t="shared" si="13"/>
        <v>39720.863992177387</v>
      </c>
      <c r="M24" s="6">
        <f t="shared" si="13"/>
        <v>32612.919909366694</v>
      </c>
      <c r="N24" s="6">
        <f t="shared" si="13"/>
        <v>32612.919909366694</v>
      </c>
      <c r="O24" s="6">
        <f t="shared" si="13"/>
        <v>30104.233762492335</v>
      </c>
      <c r="P24" s="6">
        <f t="shared" si="13"/>
        <v>39720.863992177387</v>
      </c>
      <c r="R24" s="6">
        <f>SUM(E24:P24)</f>
        <v>361668.91950772039</v>
      </c>
    </row>
    <row r="25" spans="1:22" x14ac:dyDescent="0.25">
      <c r="A25" s="7" t="s">
        <v>1076</v>
      </c>
      <c r="B25" s="6">
        <f t="shared" si="8"/>
        <v>15106.09</v>
      </c>
      <c r="C25" s="6">
        <f t="shared" si="8"/>
        <v>12978.16</v>
      </c>
      <c r="D25" s="6">
        <f t="shared" si="8"/>
        <v>9297.6299999999992</v>
      </c>
      <c r="E25" s="6">
        <f t="shared" ref="E25:P25" si="14">E32</f>
        <v>9276.7487080963729</v>
      </c>
      <c r="F25" s="6">
        <f t="shared" si="14"/>
        <v>9276.7487080963729</v>
      </c>
      <c r="G25" s="6">
        <f t="shared" si="14"/>
        <v>9276.7487080963729</v>
      </c>
      <c r="H25" s="6">
        <f t="shared" si="14"/>
        <v>9276.7487080963729</v>
      </c>
      <c r="I25" s="6">
        <f t="shared" si="14"/>
        <v>9276.7487080963729</v>
      </c>
      <c r="J25" s="6">
        <f t="shared" si="14"/>
        <v>9276.7487080963729</v>
      </c>
      <c r="K25" s="6">
        <f t="shared" si="14"/>
        <v>9276.7487080963729</v>
      </c>
      <c r="L25" s="6">
        <f t="shared" si="14"/>
        <v>9276.7487080963729</v>
      </c>
      <c r="M25" s="6">
        <f t="shared" si="14"/>
        <v>9276.7487080963729</v>
      </c>
      <c r="N25" s="6">
        <f t="shared" si="14"/>
        <v>9276.7487080963729</v>
      </c>
      <c r="O25" s="6">
        <f t="shared" si="14"/>
        <v>9276.7487080963729</v>
      </c>
      <c r="P25" s="6">
        <f t="shared" si="14"/>
        <v>9276.7487080963729</v>
      </c>
      <c r="R25" s="6">
        <f>SUM(E25:P25)</f>
        <v>111320.9844971565</v>
      </c>
      <c r="S25" s="127"/>
    </row>
    <row r="26" spans="1:22" ht="15.75" thickBot="1" x14ac:dyDescent="0.3">
      <c r="A26" s="9" t="s">
        <v>1078</v>
      </c>
      <c r="B26" s="10">
        <f t="shared" ref="B26:K26" si="15">B24-B25</f>
        <v>16225.809999999994</v>
      </c>
      <c r="C26" s="10">
        <f t="shared" si="15"/>
        <v>15634.160000000007</v>
      </c>
      <c r="D26" s="10">
        <f t="shared" si="15"/>
        <v>13128.360000000002</v>
      </c>
      <c r="E26" s="10">
        <f t="shared" si="15"/>
        <v>6611.5968887745821</v>
      </c>
      <c r="F26" s="10">
        <f t="shared" si="15"/>
        <v>9538.397393461335</v>
      </c>
      <c r="G26" s="10">
        <f t="shared" si="15"/>
        <v>8284.0543200241555</v>
      </c>
      <c r="H26" s="10">
        <f t="shared" si="15"/>
        <v>25008.6286325199</v>
      </c>
      <c r="I26" s="10">
        <f t="shared" si="15"/>
        <v>24172.399916895109</v>
      </c>
      <c r="J26" s="10">
        <f t="shared" si="15"/>
        <v>23336.171201270321</v>
      </c>
      <c r="K26" s="10">
        <f t="shared" si="15"/>
        <v>25008.6286325199</v>
      </c>
      <c r="L26" s="10">
        <f>L24-L25</f>
        <v>30444.115284081014</v>
      </c>
      <c r="M26" s="10">
        <f>M24-M25</f>
        <v>23336.171201270321</v>
      </c>
      <c r="N26" s="10">
        <f>N24-N25</f>
        <v>23336.171201270321</v>
      </c>
      <c r="O26" s="10">
        <f>O24-O25</f>
        <v>20827.485054395962</v>
      </c>
      <c r="P26" s="10">
        <f>P24-P25</f>
        <v>30444.115284081014</v>
      </c>
      <c r="R26" s="10">
        <f>R24-R25</f>
        <v>250347.93501056387</v>
      </c>
    </row>
    <row r="27" spans="1:22" ht="15.75" thickTop="1" x14ac:dyDescent="0.25">
      <c r="S27" s="133"/>
    </row>
    <row r="29" spans="1:22" x14ac:dyDescent="0.25">
      <c r="A29" t="s">
        <v>1206</v>
      </c>
      <c r="B29" s="121">
        <f>'Service - 340'!B41</f>
        <v>0.63816622977803983</v>
      </c>
      <c r="C29" s="121">
        <f>'Service - 340'!C41</f>
        <v>0.84937860780944152</v>
      </c>
      <c r="D29" s="121">
        <f>'Service - 340'!D41</f>
        <v>1.2587398774132255</v>
      </c>
      <c r="E29" s="121">
        <f>'Service - 340'!E41</f>
        <v>0.7700106366392544</v>
      </c>
      <c r="F29" s="121">
        <f>'Service - 340'!F41</f>
        <v>0.98604995775021576</v>
      </c>
      <c r="G29" s="121">
        <f>'Service - 340'!G41</f>
        <v>0.95083159315335564</v>
      </c>
      <c r="H29" s="121">
        <f>'Service - 340'!H41</f>
        <v>0.99822252938481326</v>
      </c>
      <c r="I29" s="121">
        <f>'Service - 340'!I41</f>
        <v>1.1381749777017516</v>
      </c>
      <c r="J29" s="121">
        <f>'Service - 340'!J41</f>
        <v>0.93608707223474108</v>
      </c>
      <c r="K29" s="121">
        <f>'Service - 340'!K41</f>
        <v>1.1603537409555276</v>
      </c>
      <c r="L29" s="121">
        <f>'Service - 340'!L41</f>
        <v>1.1044081116003379</v>
      </c>
      <c r="M29" s="121">
        <f>'Service - 340'!M41</f>
        <v>1.0122936094596044</v>
      </c>
      <c r="N29" s="121">
        <f>'Service - 340'!N41</f>
        <v>0.97028625893460074</v>
      </c>
      <c r="O29" s="121">
        <f>'Service - 340'!O41</f>
        <v>0.96850574296713221</v>
      </c>
      <c r="P29" s="121">
        <f>'Service - 340'!P41</f>
        <v>1.0047757692186661</v>
      </c>
      <c r="S29" s="34" t="s">
        <v>1297</v>
      </c>
    </row>
    <row r="32" spans="1:22" x14ac:dyDescent="0.25">
      <c r="A32" s="7" t="s">
        <v>1076</v>
      </c>
      <c r="E32" s="7">
        <f>SUMIFS('[18]Summary - Selling Expenses'!Z:Z,'[18]Summary - Selling Expenses'!$E:$E,3,'[18]Summary - Selling Expenses'!$C:$C,936)</f>
        <v>9276.7487080963729</v>
      </c>
      <c r="F32" s="7">
        <f>SUMIFS('[18]Summary - Selling Expenses'!AA:AA,'[18]Summary - Selling Expenses'!$E:$E,3,'[18]Summary - Selling Expenses'!$C:$C,936)</f>
        <v>9276.7487080963729</v>
      </c>
      <c r="G32" s="7">
        <f>SUMIFS('[18]Summary - Selling Expenses'!AB:AB,'[18]Summary - Selling Expenses'!$E:$E,3,'[18]Summary - Selling Expenses'!$C:$C,936)</f>
        <v>9276.7487080963729</v>
      </c>
      <c r="H32" s="7">
        <f>SUMIFS('[18]Summary - Selling Expenses'!AC:AC,'[18]Summary - Selling Expenses'!$E:$E,3,'[18]Summary - Selling Expenses'!$C:$C,936)</f>
        <v>9276.7487080963729</v>
      </c>
      <c r="I32" s="7">
        <f>SUMIFS('[18]Summary - Selling Expenses'!AD:AD,'[18]Summary - Selling Expenses'!$E:$E,3,'[18]Summary - Selling Expenses'!$C:$C,936)</f>
        <v>9276.7487080963729</v>
      </c>
      <c r="J32" s="7">
        <f>SUMIFS('[18]Summary - Selling Expenses'!AE:AE,'[18]Summary - Selling Expenses'!$E:$E,3,'[18]Summary - Selling Expenses'!$C:$C,936)</f>
        <v>9276.7487080963729</v>
      </c>
      <c r="K32" s="7">
        <f>SUMIFS('[18]Summary - Selling Expenses'!AF:AF,'[18]Summary - Selling Expenses'!$E:$E,3,'[18]Summary - Selling Expenses'!$C:$C,936)</f>
        <v>9276.7487080963729</v>
      </c>
      <c r="L32" s="7">
        <f>SUMIFS('[18]Summary - Selling Expenses'!AG:AG,'[18]Summary - Selling Expenses'!$E:$E,3,'[18]Summary - Selling Expenses'!$C:$C,936)</f>
        <v>9276.7487080963729</v>
      </c>
      <c r="M32" s="7">
        <f>SUMIFS('[18]Summary - Selling Expenses'!AH:AH,'[18]Summary - Selling Expenses'!$E:$E,3,'[18]Summary - Selling Expenses'!$C:$C,936)</f>
        <v>9276.7487080963729</v>
      </c>
      <c r="N32" s="7">
        <f>SUMIFS('[18]Summary - Selling Expenses'!AI:AI,'[18]Summary - Selling Expenses'!$E:$E,3,'[18]Summary - Selling Expenses'!$C:$C,936)</f>
        <v>9276.7487080963729</v>
      </c>
      <c r="O32" s="7">
        <f>SUMIFS('[18]Summary - Selling Expenses'!AJ:AJ,'[18]Summary - Selling Expenses'!$E:$E,3,'[18]Summary - Selling Expenses'!$C:$C,936)</f>
        <v>9276.7487080963729</v>
      </c>
      <c r="P32" s="7">
        <f>SUMIFS('[18]Summary - Selling Expenses'!AK:AK,'[18]Summary - Selling Expenses'!$E:$E,3,'[18]Summary - Selling Expenses'!$C:$C,936)</f>
        <v>9276.7487080963729</v>
      </c>
      <c r="R32" s="6">
        <f>SUM(E32:P32)</f>
        <v>111320.9844971565</v>
      </c>
    </row>
    <row r="33" spans="1:19" x14ac:dyDescent="0.25">
      <c r="R33" s="7">
        <f>R32-SUMIFS('[18]Summary - Selling Expenses'!$AL:$AL,'[18]Summary - Selling Expenses'!$C:$C,936,'[18]Summary - Selling Expenses'!$D:$D,'[18]Summary - Selling Expenses'!$D$26)</f>
        <v>0</v>
      </c>
      <c r="S33" s="34" t="s">
        <v>1093</v>
      </c>
    </row>
    <row r="34" spans="1:19" x14ac:dyDescent="0.25">
      <c r="A34" t="s">
        <v>1324</v>
      </c>
      <c r="E34" s="7">
        <f>E10</f>
        <v>20854.240000000002</v>
      </c>
      <c r="F34" s="7">
        <f t="shared" ref="F34:P34" si="16">F10</f>
        <v>30382.98</v>
      </c>
      <c r="G34" s="7">
        <f t="shared" si="16"/>
        <v>32278.9</v>
      </c>
      <c r="H34" s="7">
        <f t="shared" si="16"/>
        <v>33445.29</v>
      </c>
      <c r="I34" s="7">
        <f t="shared" si="16"/>
        <v>30472.430000000008</v>
      </c>
      <c r="J34" s="7">
        <f t="shared" si="16"/>
        <v>30497.58</v>
      </c>
      <c r="K34" s="7">
        <f t="shared" si="16"/>
        <v>30209.800000000007</v>
      </c>
      <c r="L34" s="7">
        <f t="shared" si="16"/>
        <v>36843.64</v>
      </c>
      <c r="M34" s="7">
        <f t="shared" si="16"/>
        <v>31605.890000000003</v>
      </c>
      <c r="N34" s="7">
        <f t="shared" si="16"/>
        <v>31331.899999999994</v>
      </c>
      <c r="O34" s="7">
        <f t="shared" si="16"/>
        <v>28612.320000000007</v>
      </c>
      <c r="P34" s="7">
        <f t="shared" si="16"/>
        <v>22425.99</v>
      </c>
      <c r="Q34" s="34"/>
      <c r="R34" s="7">
        <f>SUM(E34:P34)</f>
        <v>358960.96</v>
      </c>
      <c r="S34" s="120"/>
    </row>
    <row r="35" spans="1:19" x14ac:dyDescent="0.25">
      <c r="A35" t="s">
        <v>1325</v>
      </c>
      <c r="E35" s="7">
        <f>E24</f>
        <v>15888.345596870955</v>
      </c>
      <c r="F35" s="7">
        <f t="shared" ref="F35:P35" si="17">F24</f>
        <v>18815.146101557708</v>
      </c>
      <c r="G35" s="7">
        <f t="shared" si="17"/>
        <v>17560.803028120528</v>
      </c>
      <c r="H35" s="7">
        <f t="shared" si="17"/>
        <v>34285.377340616273</v>
      </c>
      <c r="I35" s="7">
        <f t="shared" si="17"/>
        <v>33449.148624991481</v>
      </c>
      <c r="J35" s="7">
        <f t="shared" si="17"/>
        <v>32612.919909366694</v>
      </c>
      <c r="K35" s="7">
        <f t="shared" si="17"/>
        <v>34285.377340616273</v>
      </c>
      <c r="L35" s="7">
        <f t="shared" si="17"/>
        <v>39720.863992177387</v>
      </c>
      <c r="M35" s="7">
        <f t="shared" si="17"/>
        <v>32612.919909366694</v>
      </c>
      <c r="N35" s="7">
        <f t="shared" si="17"/>
        <v>32612.919909366694</v>
      </c>
      <c r="O35" s="7">
        <f t="shared" si="17"/>
        <v>30104.233762492335</v>
      </c>
      <c r="P35" s="7">
        <f t="shared" si="17"/>
        <v>39720.863992177387</v>
      </c>
      <c r="Q35" s="34"/>
      <c r="R35" s="7">
        <f>SUM(E35:P35)</f>
        <v>361668.91950772039</v>
      </c>
      <c r="S35" s="120"/>
    </row>
    <row r="36" spans="1:19" x14ac:dyDescent="0.25">
      <c r="S36" s="120"/>
    </row>
    <row r="37" spans="1:19" x14ac:dyDescent="0.25">
      <c r="S37" s="120"/>
    </row>
  </sheetData>
  <pageMargins left="0.7" right="0.7" top="0.75" bottom="0.75" header="0.3" footer="0.3"/>
  <pageSetup paperSize="9" orientation="portrait"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FB13C-38C2-4BD5-AD3A-1BB2C0772073}">
  <sheetPr codeName="Sheet30">
    <tabColor theme="9" tint="0.79998168889431442"/>
  </sheetPr>
  <dimension ref="A1:T46"/>
  <sheetViews>
    <sheetView topLeftCell="A32" workbookViewId="0">
      <selection activeCell="P12" sqref="P12"/>
    </sheetView>
  </sheetViews>
  <sheetFormatPr defaultRowHeight="15" x14ac:dyDescent="0.25"/>
  <cols>
    <col min="1" max="1" width="36.28515625" customWidth="1"/>
    <col min="2" max="4" width="10.7109375" hidden="1" customWidth="1"/>
    <col min="5" max="16" width="10.7109375" customWidth="1"/>
    <col min="17" max="17" width="2.85546875" customWidth="1"/>
    <col min="18" max="18" width="10.7109375" customWidth="1"/>
    <col min="19" max="19" width="21.42578125" style="34" customWidth="1"/>
  </cols>
  <sheetData>
    <row r="1" spans="1:19" ht="15.75" x14ac:dyDescent="0.25">
      <c r="A1" s="11" t="s">
        <v>976</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row>
    <row r="2" spans="1:19"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961</v>
      </c>
    </row>
    <row r="4" spans="1:19" x14ac:dyDescent="0.25">
      <c r="A4" s="7" t="s">
        <v>1298</v>
      </c>
      <c r="B4" s="6">
        <f>'[3]Retail Detailing'!$B$9*'[3]Retail Detailing'!$B$8</f>
        <v>11680</v>
      </c>
      <c r="C4" s="6">
        <f>'[4]Retail Detailing'!$B$9*'[4]Retail Detailing'!$B$8</f>
        <v>5170</v>
      </c>
      <c r="D4" s="6">
        <f>'[5]Retail Detailing'!$B$9*'[5]Retail Detailing'!$B$8</f>
        <v>8955</v>
      </c>
      <c r="E4" s="6">
        <f>'[6]Retail Detailing'!$B$9*'[6]Retail Detailing'!$B$8</f>
        <v>10615</v>
      </c>
      <c r="F4" s="6">
        <f>'[7]Retail Detailing'!$B$9*'[7]Retail Detailing'!$B$8</f>
        <v>20423.7</v>
      </c>
      <c r="G4" s="6">
        <f>'[8]Retail Detailing'!$B$9*'[8]Retail Detailing'!$B$8</f>
        <v>23235.919999999998</v>
      </c>
      <c r="H4" s="6">
        <f>'[9]Retail Detailing'!$B$9*'[9]Retail Detailing'!$B$8</f>
        <v>18152</v>
      </c>
      <c r="I4" s="6">
        <f>'[10]Retail Detailing'!$B$9*'[10]Retail Detailing'!$B$8</f>
        <v>18152</v>
      </c>
      <c r="J4" s="6">
        <f>'[11]Retail Detailing'!$B$9*'[11]Retail Detailing'!$B$8</f>
        <v>18152</v>
      </c>
      <c r="K4" s="6">
        <f>'[12]Retail Detailing'!$B$9*'[12]Retail Detailing'!$B$8</f>
        <v>18152</v>
      </c>
      <c r="L4" s="6">
        <f>'[13]Retail Detailing'!$B$9*'[13]Retail Detailing'!$B$8</f>
        <v>18152</v>
      </c>
      <c r="M4" s="6">
        <f>'[14]Retail Detailing'!$B$9*'[14]Retail Detailing'!$B$8</f>
        <v>18151.999999999996</v>
      </c>
      <c r="N4" s="6">
        <f>'[15]Retail Detailing'!$B$8*'[15]Retail Detailing'!$B$9</f>
        <v>18152</v>
      </c>
      <c r="O4" s="6">
        <f>'[16]Retail Detailing'!$B$8*'[16]Retail Detailing'!$B$9</f>
        <v>18152</v>
      </c>
      <c r="P4" s="6">
        <f>'[17]Retail Detailing'!$B$8*'[17]Retail Detailing'!$B$9</f>
        <v>18152</v>
      </c>
      <c r="Q4" s="1"/>
      <c r="R4" s="6">
        <f>SUM(E4:P4)</f>
        <v>217642.62</v>
      </c>
    </row>
    <row r="5" spans="1:19" x14ac:dyDescent="0.25">
      <c r="A5" s="7" t="s">
        <v>1299</v>
      </c>
      <c r="B5" s="6">
        <f t="shared" ref="B5:N5" si="0">B7-B4</f>
        <v>2180</v>
      </c>
      <c r="C5" s="6">
        <f t="shared" si="0"/>
        <v>1459.7799999999997</v>
      </c>
      <c r="D5" s="6">
        <f t="shared" si="0"/>
        <v>928.26000000000022</v>
      </c>
      <c r="E5" s="6">
        <f t="shared" si="0"/>
        <v>1728.25</v>
      </c>
      <c r="F5" s="6">
        <f t="shared" si="0"/>
        <v>3039.2299999999996</v>
      </c>
      <c r="G5" s="6">
        <f t="shared" si="0"/>
        <v>4343.6899999999987</v>
      </c>
      <c r="H5" s="6">
        <f t="shared" si="0"/>
        <v>18184.650000000001</v>
      </c>
      <c r="I5" s="6">
        <f t="shared" si="0"/>
        <v>30164.130000000005</v>
      </c>
      <c r="J5" s="6">
        <f t="shared" si="0"/>
        <v>29434</v>
      </c>
      <c r="K5" s="6">
        <f t="shared" si="0"/>
        <v>26504.61</v>
      </c>
      <c r="L5" s="6">
        <f t="shared" si="0"/>
        <v>31154.199999999997</v>
      </c>
      <c r="M5" s="6">
        <f t="shared" si="0"/>
        <v>18074.430000000004</v>
      </c>
      <c r="N5" s="6">
        <f t="shared" si="0"/>
        <v>12300</v>
      </c>
      <c r="O5" s="6">
        <f t="shared" ref="O5" si="1">O7-O4</f>
        <v>22218.690000000002</v>
      </c>
      <c r="P5" s="6">
        <f>P7-P4</f>
        <v>16837.5</v>
      </c>
      <c r="Q5" s="1"/>
      <c r="R5" s="6">
        <f t="shared" ref="R5:R12" si="2">SUM(E5:P5)</f>
        <v>213983.38</v>
      </c>
    </row>
    <row r="6" spans="1:19" x14ac:dyDescent="0.25">
      <c r="A6" s="7" t="s">
        <v>238</v>
      </c>
      <c r="B6" s="16">
        <f>'[3]Retail Detailing'!$B$33</f>
        <v>7</v>
      </c>
      <c r="C6" s="16">
        <f>'[4]Retail Detailing'!$B$33</f>
        <v>7</v>
      </c>
      <c r="D6" s="16">
        <f>'[5]Retail Detailing'!$B$33</f>
        <v>7</v>
      </c>
      <c r="E6" s="16">
        <f>'[6]Retail Detailing'!$B$33</f>
        <v>7</v>
      </c>
      <c r="F6" s="16">
        <f>'[7]Retail Detailing'!$B$33</f>
        <v>7</v>
      </c>
      <c r="G6" s="16">
        <f>'[8]Retail Detailing'!$B$33</f>
        <v>7</v>
      </c>
      <c r="H6" s="16">
        <f>'[9]Retail Detailing'!$B$33</f>
        <v>7</v>
      </c>
      <c r="I6" s="16">
        <f>'[10]Retail Detailing'!$B$33</f>
        <v>7</v>
      </c>
      <c r="J6" s="16">
        <f>'[11]Retail Detailing'!$B$33</f>
        <v>7</v>
      </c>
      <c r="K6" s="16">
        <f>'[12]Retail Detailing'!$B$33</f>
        <v>7</v>
      </c>
      <c r="L6" s="16">
        <f>'[13]Retail Detailing'!$B$33</f>
        <v>7</v>
      </c>
      <c r="M6" s="16">
        <f>'[14]Retail Detailing'!$B$33</f>
        <v>7</v>
      </c>
      <c r="N6" s="16">
        <f>'[15]Retail Detailing'!$B$33</f>
        <v>7</v>
      </c>
      <c r="O6" s="16">
        <f>'[16]Retail Detailing'!$B$33</f>
        <v>7</v>
      </c>
      <c r="P6" s="16">
        <f>'[17]Retail Detailing'!$B$33</f>
        <v>7</v>
      </c>
      <c r="Q6" s="1"/>
      <c r="R6" s="16">
        <f>AVERAGE(E6:P6)</f>
        <v>7</v>
      </c>
    </row>
    <row r="7" spans="1:19" x14ac:dyDescent="0.25">
      <c r="A7" s="7" t="s">
        <v>1216</v>
      </c>
      <c r="B7" s="6">
        <f>'[3]Retail Detailing'!$B$12</f>
        <v>13860</v>
      </c>
      <c r="C7" s="6">
        <f>'[4]Retail Detailing'!$B$12</f>
        <v>6629.78</v>
      </c>
      <c r="D7" s="6">
        <f>'[5]Retail Detailing'!$B$12</f>
        <v>9883.26</v>
      </c>
      <c r="E7" s="6">
        <f>'[6]Retail Detailing'!$B$12</f>
        <v>12343.25</v>
      </c>
      <c r="F7" s="6">
        <f>'[7]Retail Detailing'!$B$12</f>
        <v>23462.93</v>
      </c>
      <c r="G7" s="6">
        <f>'[8]Retail Detailing'!$B$12</f>
        <v>27579.609999999997</v>
      </c>
      <c r="H7" s="6">
        <f>'[9]Retail Detailing'!$B$12</f>
        <v>36336.65</v>
      </c>
      <c r="I7" s="6">
        <f>'[10]Retail Detailing'!$B$12</f>
        <v>48316.130000000005</v>
      </c>
      <c r="J7" s="6">
        <f>'[11]Retail Detailing'!$B$12</f>
        <v>47586</v>
      </c>
      <c r="K7" s="6">
        <f>'[12]Retail Detailing'!$B$12</f>
        <v>44656.61</v>
      </c>
      <c r="L7" s="6">
        <f>'[13]Retail Detailing'!$B$12</f>
        <v>49306.2</v>
      </c>
      <c r="M7" s="6">
        <f>'[14]Retail Detailing'!$B$12</f>
        <v>36226.43</v>
      </c>
      <c r="N7" s="6">
        <f>'[15]Retail Detailing'!$B$12</f>
        <v>30452</v>
      </c>
      <c r="O7" s="6">
        <f>'[16]Retail Detailing'!$B$12</f>
        <v>40370.69</v>
      </c>
      <c r="P7" s="6">
        <f>'[17]Retail Detailing'!$B$12</f>
        <v>34989.5</v>
      </c>
      <c r="Q7" s="3"/>
      <c r="R7" s="6">
        <f t="shared" si="2"/>
        <v>431626</v>
      </c>
      <c r="S7" s="132"/>
    </row>
    <row r="8" spans="1:19" x14ac:dyDescent="0.25">
      <c r="A8" s="7" t="s">
        <v>1300</v>
      </c>
      <c r="B8" s="6">
        <f t="shared" ref="B8:L8" si="3">B7/B6</f>
        <v>1980</v>
      </c>
      <c r="C8" s="6">
        <f t="shared" si="3"/>
        <v>947.11142857142852</v>
      </c>
      <c r="D8" s="6">
        <f t="shared" si="3"/>
        <v>1411.8942857142858</v>
      </c>
      <c r="E8" s="6">
        <f t="shared" si="3"/>
        <v>1763.3214285714287</v>
      </c>
      <c r="F8" s="6">
        <f t="shared" si="3"/>
        <v>3351.8471428571429</v>
      </c>
      <c r="G8" s="6">
        <f t="shared" si="3"/>
        <v>3939.9442857142853</v>
      </c>
      <c r="H8" s="6">
        <f t="shared" si="3"/>
        <v>5190.95</v>
      </c>
      <c r="I8" s="6">
        <f t="shared" si="3"/>
        <v>6902.3042857142864</v>
      </c>
      <c r="J8" s="6">
        <f t="shared" si="3"/>
        <v>6798</v>
      </c>
      <c r="K8" s="6">
        <f t="shared" si="3"/>
        <v>6379.5157142857142</v>
      </c>
      <c r="L8" s="6">
        <f t="shared" si="3"/>
        <v>7043.7428571428563</v>
      </c>
      <c r="M8" s="6">
        <f>M7/M6</f>
        <v>5175.204285714286</v>
      </c>
      <c r="N8" s="6">
        <f>N7/N6</f>
        <v>4350.2857142857147</v>
      </c>
      <c r="O8" s="6">
        <f>O7/O6</f>
        <v>5767.2414285714285</v>
      </c>
      <c r="P8" s="6">
        <f>P7/P6</f>
        <v>4998.5</v>
      </c>
      <c r="Q8" s="3"/>
      <c r="R8" s="6">
        <f>AVERAGE(E8:P8)</f>
        <v>5138.4047619047624</v>
      </c>
      <c r="S8" s="122"/>
    </row>
    <row r="9" spans="1:19" x14ac:dyDescent="0.25">
      <c r="A9" s="7" t="s">
        <v>1301</v>
      </c>
      <c r="B9" s="3">
        <f>B11/B7</f>
        <v>0.96724458874458874</v>
      </c>
      <c r="C9" s="3">
        <f t="shared" ref="C9:P9" si="4">C11/C7</f>
        <v>0.90037527640434545</v>
      </c>
      <c r="D9" s="3">
        <f t="shared" si="4"/>
        <v>0.97837757986737162</v>
      </c>
      <c r="E9" s="3">
        <f t="shared" si="4"/>
        <v>0.89251048143722278</v>
      </c>
      <c r="F9" s="3">
        <f t="shared" si="4"/>
        <v>0.94364429335978084</v>
      </c>
      <c r="G9" s="3">
        <f t="shared" si="4"/>
        <v>0.82368133559539092</v>
      </c>
      <c r="H9" s="3">
        <f t="shared" si="4"/>
        <v>0.8672772531314803</v>
      </c>
      <c r="I9" s="3">
        <f t="shared" si="4"/>
        <v>0.92619752451200033</v>
      </c>
      <c r="J9" s="3">
        <f t="shared" si="4"/>
        <v>0.92412558315470938</v>
      </c>
      <c r="K9" s="3">
        <f t="shared" si="4"/>
        <v>0.9487368163414106</v>
      </c>
      <c r="L9" s="3">
        <f t="shared" si="4"/>
        <v>0.95493000880213841</v>
      </c>
      <c r="M9" s="3">
        <f t="shared" si="4"/>
        <v>0.83142197561283293</v>
      </c>
      <c r="N9" s="3">
        <f t="shared" si="4"/>
        <v>0.90496486273479571</v>
      </c>
      <c r="O9" s="3">
        <f t="shared" ref="O9" si="5">O11/O7</f>
        <v>0.84294942692334474</v>
      </c>
      <c r="P9" s="3">
        <f t="shared" si="4"/>
        <v>0.87465125251861275</v>
      </c>
      <c r="Q9" s="3"/>
      <c r="R9" s="3">
        <f>R11/R7</f>
        <v>0.89864016532831659</v>
      </c>
      <c r="S9" s="122"/>
    </row>
    <row r="10" spans="1:19" x14ac:dyDescent="0.25">
      <c r="A10" s="7"/>
      <c r="B10" s="6"/>
      <c r="C10" s="6"/>
      <c r="D10" s="6"/>
      <c r="E10" s="6"/>
      <c r="F10" s="6"/>
      <c r="G10" s="6"/>
      <c r="H10" s="6"/>
      <c r="I10" s="6"/>
      <c r="J10" s="6"/>
      <c r="K10" s="6"/>
      <c r="L10" s="6"/>
      <c r="M10" s="6"/>
      <c r="N10" s="6"/>
      <c r="O10" s="6"/>
      <c r="P10" s="6"/>
      <c r="Q10" s="3"/>
      <c r="R10" s="6"/>
      <c r="S10" s="122"/>
    </row>
    <row r="11" spans="1:19" x14ac:dyDescent="0.25">
      <c r="A11" s="7" t="s">
        <v>1302</v>
      </c>
      <c r="B11" s="6">
        <f>'[3]Retail Detailing'!$B$21</f>
        <v>13406.01</v>
      </c>
      <c r="C11" s="6">
        <f>'[4]Retail Detailing'!$B$21</f>
        <v>5969.2900000000009</v>
      </c>
      <c r="D11" s="6">
        <f>'[5]Retail Detailing'!$B$21</f>
        <v>9669.56</v>
      </c>
      <c r="E11" s="6">
        <f>'[6]Retail Detailing'!$B$21</f>
        <v>11016.48</v>
      </c>
      <c r="F11" s="6">
        <f>'[7]Retail Detailing'!$B$21</f>
        <v>22140.660000000003</v>
      </c>
      <c r="G11" s="6">
        <f>'[8]Retail Detailing'!$B$21</f>
        <v>22716.809999999998</v>
      </c>
      <c r="H11" s="6">
        <f>'[9]Retail Detailing'!$B$21</f>
        <v>31513.950000000004</v>
      </c>
      <c r="I11" s="6">
        <f>'[10]Retail Detailing'!$B$21</f>
        <v>44750.28</v>
      </c>
      <c r="J11" s="6">
        <f>'[11]Retail Detailing'!$B$21</f>
        <v>43975.44</v>
      </c>
      <c r="K11" s="6">
        <f>'[12]Retail Detailing'!$B$21</f>
        <v>42367.37</v>
      </c>
      <c r="L11" s="6">
        <f>'[13]Retail Detailing'!$B$21</f>
        <v>47083.969999999994</v>
      </c>
      <c r="M11" s="6">
        <f>'[14]Retail Detailing'!$B$21</f>
        <v>30119.45</v>
      </c>
      <c r="N11" s="6">
        <f>'[15]Retail Detailing'!$B$21</f>
        <v>27557.989999999998</v>
      </c>
      <c r="O11" s="6">
        <f>'[16]Retail Detailing'!$B$21</f>
        <v>34030.450000000004</v>
      </c>
      <c r="P11" s="6">
        <f>'[17]Retail Detailing'!$B$21</f>
        <v>30603.61</v>
      </c>
      <c r="Q11" s="3"/>
      <c r="R11" s="6">
        <f t="shared" si="2"/>
        <v>387876.45999999996</v>
      </c>
      <c r="S11" s="122"/>
    </row>
    <row r="12" spans="1:19" x14ac:dyDescent="0.25">
      <c r="A12" s="7" t="s">
        <v>1226</v>
      </c>
      <c r="B12" s="6">
        <f>'[3]Retail Detailing'!$B$24*'[3]Retail Detailing'!$B$12</f>
        <v>35264.179999999993</v>
      </c>
      <c r="C12" s="6">
        <f>'[4]Retail Detailing'!$B$24*'[4]Retail Detailing'!$B$12</f>
        <v>43929.45</v>
      </c>
      <c r="D12" s="6">
        <f>'[5]Retail Detailing'!$B$24*'[5]Retail Detailing'!$B$12</f>
        <v>42667.69</v>
      </c>
      <c r="E12" s="6">
        <f>'[6]Retail Detailing'!$B$24*'[6]Retail Detailing'!$B$12</f>
        <v>31745.640000000003</v>
      </c>
      <c r="F12" s="6">
        <f>'[7]Retail Detailing'!$B$24*'[7]Retail Detailing'!$B$12</f>
        <v>36838.19</v>
      </c>
      <c r="G12" s="6">
        <f>'[8]Retail Detailing'!$B$24*'[8]Retail Detailing'!$B$12</f>
        <v>37329.96</v>
      </c>
      <c r="H12" s="6">
        <f>'[9]Retail Detailing'!$B$24*'[9]Retail Detailing'!$B$12</f>
        <v>44464.2</v>
      </c>
      <c r="I12" s="6">
        <f>'[10]Retail Detailing'!$B$24*'[10]Retail Detailing'!$B$12</f>
        <v>49581.359999999993</v>
      </c>
      <c r="J12" s="6">
        <f>'[11]Retail Detailing'!$B$24*'[11]Retail Detailing'!$B$12</f>
        <v>46765.590000000004</v>
      </c>
      <c r="K12" s="6">
        <f>'[12]Retail Detailing'!$B$24*'[12]Retail Detailing'!$B$12</f>
        <v>50542.310000000005</v>
      </c>
      <c r="L12" s="6">
        <f>'[13]Retail Detailing'!$B$24*'[13]Retail Detailing'!$B$12</f>
        <v>42364.610000000008</v>
      </c>
      <c r="M12" s="6">
        <f>'[14]Retail Detailing'!$B$24*'[14]Retail Detailing'!$B$12</f>
        <v>37985.339999999997</v>
      </c>
      <c r="N12" s="6">
        <f>'[15]Retail Detailing'!$B$24*'[15]Retail Detailing'!$B$12</f>
        <v>48435.929999999993</v>
      </c>
      <c r="O12" s="6">
        <f>'[16]Retail Detailing'!$B$24*'[16]Retail Detailing'!$B$12</f>
        <v>47286.87</v>
      </c>
      <c r="P12" s="6">
        <f>'[17]Retail Detailing'!$B$24*'[17]Retail Detailing'!$B$12</f>
        <v>43758.270000000004</v>
      </c>
      <c r="Q12" s="1"/>
      <c r="R12" s="6">
        <f t="shared" si="2"/>
        <v>517098.26999999996</v>
      </c>
      <c r="S12" s="116"/>
    </row>
    <row r="13" spans="1:19" ht="15.75" thickBot="1" x14ac:dyDescent="0.3">
      <c r="A13" s="9" t="s">
        <v>1078</v>
      </c>
      <c r="B13" s="59">
        <f t="shared" ref="B13:M13" si="6">B11-B12</f>
        <v>-21858.169999999991</v>
      </c>
      <c r="C13" s="59">
        <f t="shared" si="6"/>
        <v>-37960.159999999996</v>
      </c>
      <c r="D13" s="59">
        <f t="shared" si="6"/>
        <v>-32998.130000000005</v>
      </c>
      <c r="E13" s="59">
        <f t="shared" si="6"/>
        <v>-20729.160000000003</v>
      </c>
      <c r="F13" s="59">
        <f t="shared" si="6"/>
        <v>-14697.529999999999</v>
      </c>
      <c r="G13" s="59">
        <f t="shared" si="6"/>
        <v>-14613.150000000001</v>
      </c>
      <c r="H13" s="59">
        <f t="shared" si="6"/>
        <v>-12950.249999999993</v>
      </c>
      <c r="I13" s="59">
        <f t="shared" si="6"/>
        <v>-4831.0799999999945</v>
      </c>
      <c r="J13" s="59">
        <f t="shared" si="6"/>
        <v>-2790.1500000000015</v>
      </c>
      <c r="K13" s="59">
        <f t="shared" si="6"/>
        <v>-8174.9400000000023</v>
      </c>
      <c r="L13" s="59">
        <f t="shared" si="6"/>
        <v>4719.359999999986</v>
      </c>
      <c r="M13" s="59">
        <f t="shared" si="6"/>
        <v>-7865.8899999999958</v>
      </c>
      <c r="N13" s="59">
        <f>N11-N12</f>
        <v>-20877.939999999995</v>
      </c>
      <c r="O13" s="59">
        <f>O11-O12</f>
        <v>-13256.419999999998</v>
      </c>
      <c r="P13" s="59">
        <f>P11-P12</f>
        <v>-13154.660000000003</v>
      </c>
      <c r="R13" s="59">
        <f>R11-R12</f>
        <v>-129221.81</v>
      </c>
      <c r="S13" s="116"/>
    </row>
    <row r="14" spans="1:19" ht="15.75" thickTop="1" x14ac:dyDescent="0.25">
      <c r="S14" s="116"/>
    </row>
    <row r="16" spans="1:19" ht="15.75" x14ac:dyDescent="0.25">
      <c r="A16" s="11" t="s">
        <v>976</v>
      </c>
      <c r="B16" s="5">
        <v>45292</v>
      </c>
      <c r="C16" s="5">
        <v>45323</v>
      </c>
      <c r="D16" s="5">
        <v>45352</v>
      </c>
      <c r="E16" s="5">
        <v>45383</v>
      </c>
      <c r="F16" s="5">
        <v>45413</v>
      </c>
      <c r="G16" s="5">
        <v>45444</v>
      </c>
      <c r="H16" s="5">
        <v>45474</v>
      </c>
      <c r="I16" s="5">
        <v>45505</v>
      </c>
      <c r="J16" s="5">
        <v>45536</v>
      </c>
      <c r="K16" s="5">
        <v>45566</v>
      </c>
      <c r="L16" s="5">
        <v>45597</v>
      </c>
      <c r="M16" s="5">
        <v>45627</v>
      </c>
      <c r="N16" s="5">
        <v>45658</v>
      </c>
      <c r="O16" s="5">
        <v>45689</v>
      </c>
      <c r="P16" s="5">
        <v>45717</v>
      </c>
      <c r="Q16" s="5"/>
      <c r="R16" s="5" t="s">
        <v>955</v>
      </c>
    </row>
    <row r="17" spans="1:20" x14ac:dyDescent="0.25">
      <c r="A17" s="4"/>
      <c r="B17" s="5" t="s">
        <v>958</v>
      </c>
      <c r="C17" s="5" t="s">
        <v>959</v>
      </c>
      <c r="D17" s="5" t="s">
        <v>959</v>
      </c>
      <c r="E17" s="5" t="s">
        <v>959</v>
      </c>
      <c r="F17" s="5" t="s">
        <v>959</v>
      </c>
      <c r="G17" s="5" t="s">
        <v>959</v>
      </c>
      <c r="H17" s="5" t="s">
        <v>959</v>
      </c>
      <c r="I17" s="5" t="s">
        <v>959</v>
      </c>
      <c r="J17" s="5" t="s">
        <v>959</v>
      </c>
      <c r="K17" s="5" t="s">
        <v>959</v>
      </c>
      <c r="L17" s="5" t="s">
        <v>959</v>
      </c>
      <c r="M17" s="5" t="s">
        <v>959</v>
      </c>
      <c r="N17" s="5" t="s">
        <v>959</v>
      </c>
      <c r="O17" s="5" t="s">
        <v>959</v>
      </c>
      <c r="P17" s="5" t="s">
        <v>959</v>
      </c>
      <c r="Q17" s="5"/>
      <c r="R17" s="5" t="s">
        <v>961</v>
      </c>
    </row>
    <row r="19" spans="1:20" x14ac:dyDescent="0.25">
      <c r="A19" s="7" t="s">
        <v>1298</v>
      </c>
      <c r="B19" s="6">
        <f t="shared" ref="B19:D23" si="7">N4</f>
        <v>18152</v>
      </c>
      <c r="C19" s="6">
        <f t="shared" si="7"/>
        <v>18152</v>
      </c>
      <c r="D19" s="6">
        <f t="shared" si="7"/>
        <v>18152</v>
      </c>
      <c r="E19" s="6">
        <f>E37+E38</f>
        <v>19220</v>
      </c>
      <c r="F19" s="6">
        <f t="shared" ref="F19:P19" si="8">F37+F38</f>
        <v>19220</v>
      </c>
      <c r="G19" s="6">
        <f t="shared" si="8"/>
        <v>19220</v>
      </c>
      <c r="H19" s="6">
        <f t="shared" si="8"/>
        <v>19220</v>
      </c>
      <c r="I19" s="6">
        <f t="shared" si="8"/>
        <v>19220</v>
      </c>
      <c r="J19" s="6">
        <f t="shared" si="8"/>
        <v>19220</v>
      </c>
      <c r="K19" s="6">
        <f t="shared" si="8"/>
        <v>19220</v>
      </c>
      <c r="L19" s="6">
        <f t="shared" si="8"/>
        <v>19220</v>
      </c>
      <c r="M19" s="6">
        <f t="shared" si="8"/>
        <v>19220</v>
      </c>
      <c r="N19" s="6">
        <f t="shared" si="8"/>
        <v>19220</v>
      </c>
      <c r="O19" s="6">
        <f t="shared" si="8"/>
        <v>19220</v>
      </c>
      <c r="P19" s="6">
        <f t="shared" si="8"/>
        <v>19220</v>
      </c>
      <c r="Q19" s="1"/>
      <c r="R19" s="6">
        <f>SUM(E19:P19)</f>
        <v>230640</v>
      </c>
    </row>
    <row r="20" spans="1:20" x14ac:dyDescent="0.25">
      <c r="A20" s="7" t="s">
        <v>1299</v>
      </c>
      <c r="B20" s="6">
        <f t="shared" si="7"/>
        <v>12300</v>
      </c>
      <c r="C20" s="6">
        <f t="shared" si="7"/>
        <v>22218.690000000002</v>
      </c>
      <c r="D20" s="6">
        <f t="shared" si="7"/>
        <v>16837.5</v>
      </c>
      <c r="E20" s="6">
        <f t="shared" ref="E20:P20" si="9">$R$20/12</f>
        <v>28583.333333333332</v>
      </c>
      <c r="F20" s="6">
        <f t="shared" si="9"/>
        <v>28583.333333333332</v>
      </c>
      <c r="G20" s="6">
        <f t="shared" si="9"/>
        <v>28583.333333333332</v>
      </c>
      <c r="H20" s="6">
        <f t="shared" si="9"/>
        <v>28583.333333333332</v>
      </c>
      <c r="I20" s="6">
        <f t="shared" si="9"/>
        <v>28583.333333333332</v>
      </c>
      <c r="J20" s="6">
        <f t="shared" si="9"/>
        <v>28583.333333333332</v>
      </c>
      <c r="K20" s="6">
        <f t="shared" si="9"/>
        <v>28583.333333333332</v>
      </c>
      <c r="L20" s="6">
        <f t="shared" si="9"/>
        <v>28583.333333333332</v>
      </c>
      <c r="M20" s="6">
        <f t="shared" si="9"/>
        <v>28583.333333333332</v>
      </c>
      <c r="N20" s="6">
        <f t="shared" si="9"/>
        <v>28583.333333333332</v>
      </c>
      <c r="O20" s="6">
        <f t="shared" si="9"/>
        <v>28583.333333333332</v>
      </c>
      <c r="P20" s="6">
        <f t="shared" si="9"/>
        <v>28583.333333333332</v>
      </c>
      <c r="Q20" s="1"/>
      <c r="R20" s="6">
        <v>343000</v>
      </c>
      <c r="S20" s="34" t="s">
        <v>1303</v>
      </c>
      <c r="T20" s="7">
        <f>AVERAGE(H5:M5)</f>
        <v>25586.00333333333</v>
      </c>
    </row>
    <row r="21" spans="1:20" x14ac:dyDescent="0.25">
      <c r="A21" s="7" t="s">
        <v>238</v>
      </c>
      <c r="B21" s="16">
        <f t="shared" si="7"/>
        <v>7</v>
      </c>
      <c r="C21" s="16">
        <f t="shared" si="7"/>
        <v>7</v>
      </c>
      <c r="D21" s="16">
        <f t="shared" si="7"/>
        <v>7</v>
      </c>
      <c r="E21" s="16">
        <v>7</v>
      </c>
      <c r="F21" s="16">
        <f>E21</f>
        <v>7</v>
      </c>
      <c r="G21" s="16">
        <f t="shared" ref="G21:P21" si="10">F21</f>
        <v>7</v>
      </c>
      <c r="H21" s="16">
        <f t="shared" si="10"/>
        <v>7</v>
      </c>
      <c r="I21" s="16">
        <f t="shared" si="10"/>
        <v>7</v>
      </c>
      <c r="J21" s="16">
        <f t="shared" si="10"/>
        <v>7</v>
      </c>
      <c r="K21" s="16">
        <f t="shared" si="10"/>
        <v>7</v>
      </c>
      <c r="L21" s="16">
        <f t="shared" si="10"/>
        <v>7</v>
      </c>
      <c r="M21" s="16">
        <f t="shared" si="10"/>
        <v>7</v>
      </c>
      <c r="N21" s="16">
        <f t="shared" si="10"/>
        <v>7</v>
      </c>
      <c r="O21" s="16">
        <f t="shared" si="10"/>
        <v>7</v>
      </c>
      <c r="P21" s="16">
        <f t="shared" si="10"/>
        <v>7</v>
      </c>
      <c r="Q21" s="1"/>
      <c r="R21" s="16">
        <f>AVERAGE(E21:P21)</f>
        <v>7</v>
      </c>
    </row>
    <row r="22" spans="1:20" x14ac:dyDescent="0.25">
      <c r="A22" s="7" t="s">
        <v>1216</v>
      </c>
      <c r="B22" s="6">
        <f t="shared" si="7"/>
        <v>30452</v>
      </c>
      <c r="C22" s="6">
        <f t="shared" si="7"/>
        <v>40370.69</v>
      </c>
      <c r="D22" s="6">
        <f t="shared" si="7"/>
        <v>34989.5</v>
      </c>
      <c r="E22" s="6">
        <f>E19+E20</f>
        <v>47803.333333333328</v>
      </c>
      <c r="F22" s="6">
        <f t="shared" ref="F22:P22" si="11">F19+F20</f>
        <v>47803.333333333328</v>
      </c>
      <c r="G22" s="6">
        <f t="shared" si="11"/>
        <v>47803.333333333328</v>
      </c>
      <c r="H22" s="6">
        <f t="shared" si="11"/>
        <v>47803.333333333328</v>
      </c>
      <c r="I22" s="6">
        <f t="shared" si="11"/>
        <v>47803.333333333328</v>
      </c>
      <c r="J22" s="6">
        <f t="shared" si="11"/>
        <v>47803.333333333328</v>
      </c>
      <c r="K22" s="6">
        <f t="shared" si="11"/>
        <v>47803.333333333328</v>
      </c>
      <c r="L22" s="6">
        <f t="shared" si="11"/>
        <v>47803.333333333328</v>
      </c>
      <c r="M22" s="6">
        <f t="shared" si="11"/>
        <v>47803.333333333328</v>
      </c>
      <c r="N22" s="6">
        <f t="shared" si="11"/>
        <v>47803.333333333328</v>
      </c>
      <c r="O22" s="6">
        <f t="shared" si="11"/>
        <v>47803.333333333328</v>
      </c>
      <c r="P22" s="6">
        <f t="shared" si="11"/>
        <v>47803.333333333328</v>
      </c>
      <c r="Q22" s="3"/>
      <c r="R22" s="6">
        <f>SUM(E22:P22)</f>
        <v>573639.99999999988</v>
      </c>
      <c r="S22" s="120"/>
      <c r="T22" s="7"/>
    </row>
    <row r="23" spans="1:20" x14ac:dyDescent="0.25">
      <c r="A23" s="7" t="s">
        <v>1300</v>
      </c>
      <c r="B23" s="6">
        <f t="shared" si="7"/>
        <v>4350.2857142857147</v>
      </c>
      <c r="C23" s="6">
        <f t="shared" si="7"/>
        <v>5767.2414285714285</v>
      </c>
      <c r="D23" s="6">
        <f t="shared" si="7"/>
        <v>4998.5</v>
      </c>
      <c r="E23" s="6">
        <f>E22/E21</f>
        <v>6829.0476190476184</v>
      </c>
      <c r="F23" s="6">
        <f t="shared" ref="F23:P23" si="12">F22/F21</f>
        <v>6829.0476190476184</v>
      </c>
      <c r="G23" s="6">
        <f t="shared" si="12"/>
        <v>6829.0476190476184</v>
      </c>
      <c r="H23" s="6">
        <f t="shared" si="12"/>
        <v>6829.0476190476184</v>
      </c>
      <c r="I23" s="6">
        <f t="shared" si="12"/>
        <v>6829.0476190476184</v>
      </c>
      <c r="J23" s="6">
        <f t="shared" si="12"/>
        <v>6829.0476190476184</v>
      </c>
      <c r="K23" s="6">
        <f t="shared" si="12"/>
        <v>6829.0476190476184</v>
      </c>
      <c r="L23" s="6">
        <f t="shared" si="12"/>
        <v>6829.0476190476184</v>
      </c>
      <c r="M23" s="6">
        <f t="shared" si="12"/>
        <v>6829.0476190476184</v>
      </c>
      <c r="N23" s="6">
        <f t="shared" si="12"/>
        <v>6829.0476190476184</v>
      </c>
      <c r="O23" s="6">
        <f t="shared" si="12"/>
        <v>6829.0476190476184</v>
      </c>
      <c r="P23" s="6">
        <f t="shared" si="12"/>
        <v>6829.0476190476184</v>
      </c>
      <c r="Q23" s="3"/>
      <c r="R23" s="6">
        <f>AVERAGE(E23:P23)</f>
        <v>6829.0476190476184</v>
      </c>
    </row>
    <row r="24" spans="1:20" x14ac:dyDescent="0.25">
      <c r="A24" s="7"/>
      <c r="B24" s="6"/>
      <c r="C24" s="6"/>
      <c r="D24" s="6"/>
      <c r="E24" s="6"/>
      <c r="F24" s="6"/>
      <c r="G24" s="6"/>
      <c r="H24" s="6"/>
      <c r="I24" s="6"/>
      <c r="J24" s="6"/>
      <c r="K24" s="6"/>
      <c r="L24" s="6"/>
      <c r="M24" s="6"/>
      <c r="N24" s="6"/>
      <c r="O24" s="6"/>
      <c r="P24" s="6"/>
      <c r="Q24" s="3"/>
      <c r="R24" s="6"/>
    </row>
    <row r="25" spans="1:20" x14ac:dyDescent="0.25">
      <c r="A25" s="7" t="s">
        <v>1301</v>
      </c>
      <c r="B25" s="3">
        <f>B26/B22</f>
        <v>0.90496486273479571</v>
      </c>
      <c r="C25" s="3">
        <f>C26/C22</f>
        <v>0.84294942692334474</v>
      </c>
      <c r="D25" s="3">
        <f>D26/D22</f>
        <v>0.87465125251861275</v>
      </c>
      <c r="E25" s="3">
        <f>AVERAGE($B$9:$M$9)</f>
        <v>0.91321022641360605</v>
      </c>
      <c r="F25" s="3">
        <f t="shared" ref="F25:P25" si="13">AVERAGE($B$9:$M$9)</f>
        <v>0.91321022641360605</v>
      </c>
      <c r="G25" s="3">
        <f t="shared" si="13"/>
        <v>0.91321022641360605</v>
      </c>
      <c r="H25" s="3">
        <f t="shared" si="13"/>
        <v>0.91321022641360605</v>
      </c>
      <c r="I25" s="3">
        <f t="shared" si="13"/>
        <v>0.91321022641360605</v>
      </c>
      <c r="J25" s="3">
        <f t="shared" si="13"/>
        <v>0.91321022641360605</v>
      </c>
      <c r="K25" s="3">
        <f t="shared" si="13"/>
        <v>0.91321022641360605</v>
      </c>
      <c r="L25" s="3">
        <f t="shared" si="13"/>
        <v>0.91321022641360605</v>
      </c>
      <c r="M25" s="3">
        <f t="shared" si="13"/>
        <v>0.91321022641360605</v>
      </c>
      <c r="N25" s="3">
        <f t="shared" si="13"/>
        <v>0.91321022641360605</v>
      </c>
      <c r="O25" s="3">
        <f t="shared" si="13"/>
        <v>0.91321022641360605</v>
      </c>
      <c r="P25" s="3">
        <f t="shared" si="13"/>
        <v>0.91321022641360605</v>
      </c>
      <c r="Q25" s="3"/>
      <c r="R25" s="3">
        <f>R26/R22</f>
        <v>0.91321022641360616</v>
      </c>
    </row>
    <row r="26" spans="1:20" x14ac:dyDescent="0.25">
      <c r="A26" s="7" t="s">
        <v>1302</v>
      </c>
      <c r="B26" s="6">
        <f t="shared" ref="B26:D27" si="14">N11</f>
        <v>27557.989999999998</v>
      </c>
      <c r="C26" s="6">
        <f t="shared" si="14"/>
        <v>34030.450000000004</v>
      </c>
      <c r="D26" s="6">
        <f t="shared" si="14"/>
        <v>30603.61</v>
      </c>
      <c r="E26" s="6">
        <f>E22*E25</f>
        <v>43654.492856658413</v>
      </c>
      <c r="F26" s="6">
        <f t="shared" ref="F26:P26" si="15">F22*F25</f>
        <v>43654.492856658413</v>
      </c>
      <c r="G26" s="6">
        <f t="shared" si="15"/>
        <v>43654.492856658413</v>
      </c>
      <c r="H26" s="6">
        <f t="shared" si="15"/>
        <v>43654.492856658413</v>
      </c>
      <c r="I26" s="6">
        <f t="shared" si="15"/>
        <v>43654.492856658413</v>
      </c>
      <c r="J26" s="6">
        <f t="shared" si="15"/>
        <v>43654.492856658413</v>
      </c>
      <c r="K26" s="6">
        <f t="shared" si="15"/>
        <v>43654.492856658413</v>
      </c>
      <c r="L26" s="6">
        <f t="shared" si="15"/>
        <v>43654.492856658413</v>
      </c>
      <c r="M26" s="6">
        <f t="shared" si="15"/>
        <v>43654.492856658413</v>
      </c>
      <c r="N26" s="6">
        <f t="shared" si="15"/>
        <v>43654.492856658413</v>
      </c>
      <c r="O26" s="6">
        <f t="shared" si="15"/>
        <v>43654.492856658413</v>
      </c>
      <c r="P26" s="6">
        <f t="shared" si="15"/>
        <v>43654.492856658413</v>
      </c>
      <c r="Q26" s="3"/>
      <c r="R26" s="6">
        <f>SUM(E26:P26)</f>
        <v>523853.91427990096</v>
      </c>
    </row>
    <row r="27" spans="1:20" x14ac:dyDescent="0.25">
      <c r="A27" s="7" t="s">
        <v>1226</v>
      </c>
      <c r="B27" s="6">
        <f t="shared" si="14"/>
        <v>48435.929999999993</v>
      </c>
      <c r="C27" s="6">
        <f t="shared" si="14"/>
        <v>47286.87</v>
      </c>
      <c r="D27" s="6">
        <f t="shared" si="14"/>
        <v>43758.270000000004</v>
      </c>
      <c r="E27" s="6">
        <f t="shared" ref="E27:P27" si="16">E40</f>
        <v>46660.363203848145</v>
      </c>
      <c r="F27" s="6">
        <f t="shared" si="16"/>
        <v>46660.363203848145</v>
      </c>
      <c r="G27" s="6">
        <f t="shared" si="16"/>
        <v>46660.363203848145</v>
      </c>
      <c r="H27" s="6">
        <f t="shared" si="16"/>
        <v>46660.363203848145</v>
      </c>
      <c r="I27" s="6">
        <f t="shared" si="16"/>
        <v>46660.363203848145</v>
      </c>
      <c r="J27" s="6">
        <f t="shared" si="16"/>
        <v>46660.363203848145</v>
      </c>
      <c r="K27" s="6">
        <f t="shared" si="16"/>
        <v>46660.363203848145</v>
      </c>
      <c r="L27" s="6">
        <f t="shared" si="16"/>
        <v>46660.363203848145</v>
      </c>
      <c r="M27" s="6">
        <f t="shared" si="16"/>
        <v>46660.363203848145</v>
      </c>
      <c r="N27" s="6">
        <f t="shared" si="16"/>
        <v>46660.363203848145</v>
      </c>
      <c r="O27" s="6">
        <f t="shared" si="16"/>
        <v>46660.363203848145</v>
      </c>
      <c r="P27" s="6">
        <f t="shared" si="16"/>
        <v>46660.363203848145</v>
      </c>
      <c r="Q27" s="1"/>
      <c r="R27" s="6">
        <f>SUM(E27:P27)</f>
        <v>559924.35844617768</v>
      </c>
      <c r="S27" s="127"/>
    </row>
    <row r="28" spans="1:20" ht="15.75" thickBot="1" x14ac:dyDescent="0.3">
      <c r="A28" s="9" t="s">
        <v>1078</v>
      </c>
      <c r="B28" s="59">
        <f t="shared" ref="B28:J28" si="17">B26-B27</f>
        <v>-20877.939999999995</v>
      </c>
      <c r="C28" s="59">
        <f t="shared" si="17"/>
        <v>-13256.419999999998</v>
      </c>
      <c r="D28" s="59">
        <f t="shared" si="17"/>
        <v>-13154.660000000003</v>
      </c>
      <c r="E28" s="10">
        <f t="shared" si="17"/>
        <v>-3005.8703471897315</v>
      </c>
      <c r="F28" s="10">
        <f t="shared" si="17"/>
        <v>-3005.8703471897315</v>
      </c>
      <c r="G28" s="10">
        <f t="shared" si="17"/>
        <v>-3005.8703471897315</v>
      </c>
      <c r="H28" s="10">
        <f t="shared" si="17"/>
        <v>-3005.8703471897315</v>
      </c>
      <c r="I28" s="10">
        <f t="shared" si="17"/>
        <v>-3005.8703471897315</v>
      </c>
      <c r="J28" s="10">
        <f t="shared" si="17"/>
        <v>-3005.8703471897315</v>
      </c>
      <c r="K28" s="10">
        <f t="shared" ref="K28:P28" si="18">K26-K27</f>
        <v>-3005.8703471897315</v>
      </c>
      <c r="L28" s="10">
        <f t="shared" si="18"/>
        <v>-3005.8703471897315</v>
      </c>
      <c r="M28" s="10">
        <f t="shared" si="18"/>
        <v>-3005.8703471897315</v>
      </c>
      <c r="N28" s="10">
        <f t="shared" si="18"/>
        <v>-3005.8703471897315</v>
      </c>
      <c r="O28" s="10">
        <f t="shared" si="18"/>
        <v>-3005.8703471897315</v>
      </c>
      <c r="P28" s="10">
        <f t="shared" si="18"/>
        <v>-3005.8703471897315</v>
      </c>
      <c r="R28" s="10">
        <f>R26-R27</f>
        <v>-36070.44416627672</v>
      </c>
    </row>
    <row r="29" spans="1:20" ht="15.75" thickTop="1" x14ac:dyDescent="0.25">
      <c r="S29" s="133"/>
    </row>
    <row r="32" spans="1:20" x14ac:dyDescent="0.25">
      <c r="A32" s="7" t="s">
        <v>1304</v>
      </c>
      <c r="B32" s="6"/>
      <c r="C32" s="6"/>
      <c r="D32" s="6"/>
      <c r="E32" s="6">
        <v>27</v>
      </c>
      <c r="F32" s="6" t="s">
        <v>1305</v>
      </c>
      <c r="G32" s="6"/>
      <c r="H32" s="6"/>
      <c r="I32" s="6"/>
      <c r="J32" s="6"/>
      <c r="K32" s="6"/>
      <c r="L32" s="6"/>
      <c r="M32" s="6"/>
      <c r="N32" s="6"/>
      <c r="O32" s="6"/>
    </row>
    <row r="33" spans="1:19" x14ac:dyDescent="0.25">
      <c r="A33" s="124" t="s">
        <v>1306</v>
      </c>
      <c r="B33" s="6"/>
      <c r="C33" s="6"/>
      <c r="D33" s="6"/>
      <c r="E33" s="6">
        <f>4*E32*40*52/12</f>
        <v>18720</v>
      </c>
      <c r="F33" s="6" t="s">
        <v>1289</v>
      </c>
      <c r="G33" s="6"/>
      <c r="H33" s="6"/>
      <c r="I33" s="6"/>
      <c r="J33" s="6">
        <f>24*40*52/12</f>
        <v>4160</v>
      </c>
      <c r="K33" s="6"/>
      <c r="L33" s="6"/>
      <c r="M33" s="6"/>
      <c r="N33" s="6"/>
      <c r="O33" s="6"/>
    </row>
    <row r="34" spans="1:19" x14ac:dyDescent="0.25">
      <c r="A34" s="7"/>
      <c r="B34" s="6"/>
      <c r="C34" s="6"/>
      <c r="D34" s="6"/>
      <c r="E34" s="125">
        <v>500</v>
      </c>
      <c r="F34" s="6" t="s">
        <v>1307</v>
      </c>
      <c r="G34" s="6"/>
      <c r="H34" s="6"/>
      <c r="I34" s="6"/>
      <c r="J34" s="6"/>
      <c r="K34" s="6"/>
      <c r="L34" s="6"/>
      <c r="M34" s="6"/>
      <c r="N34" s="6"/>
      <c r="O34" s="6"/>
    </row>
    <row r="35" spans="1:19" x14ac:dyDescent="0.25">
      <c r="A35" s="7" t="s">
        <v>1308</v>
      </c>
      <c r="B35" s="6"/>
      <c r="C35" s="6"/>
      <c r="D35" s="6"/>
      <c r="E35" s="6">
        <f>E33+E34</f>
        <v>19220</v>
      </c>
      <c r="F35" s="6"/>
      <c r="G35" s="6"/>
      <c r="H35" s="6"/>
      <c r="I35" s="6"/>
      <c r="J35" s="6"/>
      <c r="K35" s="6"/>
      <c r="L35" s="6"/>
      <c r="M35" s="6"/>
      <c r="N35" s="6"/>
      <c r="O35" s="6"/>
    </row>
    <row r="36" spans="1:19" x14ac:dyDescent="0.25">
      <c r="A36" s="7"/>
      <c r="B36" s="6"/>
      <c r="C36" s="6"/>
      <c r="D36" s="6"/>
      <c r="E36" s="6"/>
      <c r="F36" s="6"/>
      <c r="G36" s="6"/>
      <c r="H36" s="6"/>
      <c r="I36" s="6"/>
      <c r="J36" s="6"/>
      <c r="K36" s="6"/>
      <c r="L36" s="6"/>
      <c r="M36" s="6"/>
      <c r="N36" s="6"/>
      <c r="O36" s="6"/>
    </row>
    <row r="37" spans="1:19" x14ac:dyDescent="0.25">
      <c r="A37" s="7" t="s">
        <v>1309</v>
      </c>
      <c r="B37" s="126">
        <v>0.75</v>
      </c>
      <c r="C37" s="6"/>
      <c r="D37" s="6"/>
      <c r="E37" s="6">
        <f>$E$35*$B37</f>
        <v>14415</v>
      </c>
      <c r="F37" s="6">
        <f t="shared" ref="F37:P38" si="19">$E$35*$B37</f>
        <v>14415</v>
      </c>
      <c r="G37" s="6">
        <f t="shared" si="19"/>
        <v>14415</v>
      </c>
      <c r="H37" s="6">
        <f t="shared" si="19"/>
        <v>14415</v>
      </c>
      <c r="I37" s="6">
        <f t="shared" si="19"/>
        <v>14415</v>
      </c>
      <c r="J37" s="6">
        <f t="shared" si="19"/>
        <v>14415</v>
      </c>
      <c r="K37" s="6">
        <f t="shared" si="19"/>
        <v>14415</v>
      </c>
      <c r="L37" s="6">
        <f t="shared" si="19"/>
        <v>14415</v>
      </c>
      <c r="M37" s="6">
        <f t="shared" si="19"/>
        <v>14415</v>
      </c>
      <c r="N37" s="6">
        <f t="shared" si="19"/>
        <v>14415</v>
      </c>
      <c r="O37" s="6">
        <f t="shared" si="19"/>
        <v>14415</v>
      </c>
      <c r="P37" s="6">
        <f t="shared" si="19"/>
        <v>14415</v>
      </c>
    </row>
    <row r="38" spans="1:19" x14ac:dyDescent="0.25">
      <c r="A38" s="7" t="s">
        <v>1310</v>
      </c>
      <c r="B38" s="126">
        <v>0.25</v>
      </c>
      <c r="C38" s="6"/>
      <c r="D38" s="6"/>
      <c r="E38" s="6">
        <f>$E$35*$B38</f>
        <v>4805</v>
      </c>
      <c r="F38" s="6">
        <f t="shared" si="19"/>
        <v>4805</v>
      </c>
      <c r="G38" s="6">
        <f t="shared" si="19"/>
        <v>4805</v>
      </c>
      <c r="H38" s="6">
        <f t="shared" si="19"/>
        <v>4805</v>
      </c>
      <c r="I38" s="6">
        <f t="shared" si="19"/>
        <v>4805</v>
      </c>
      <c r="J38" s="6">
        <f t="shared" si="19"/>
        <v>4805</v>
      </c>
      <c r="K38" s="6">
        <f t="shared" si="19"/>
        <v>4805</v>
      </c>
      <c r="L38" s="6">
        <f t="shared" si="19"/>
        <v>4805</v>
      </c>
      <c r="M38" s="6">
        <f t="shared" si="19"/>
        <v>4805</v>
      </c>
      <c r="N38" s="6">
        <f t="shared" si="19"/>
        <v>4805</v>
      </c>
      <c r="O38" s="6">
        <f t="shared" si="19"/>
        <v>4805</v>
      </c>
      <c r="P38" s="6">
        <f t="shared" si="19"/>
        <v>4805</v>
      </c>
    </row>
    <row r="39" spans="1:19" x14ac:dyDescent="0.25">
      <c r="R39" s="7"/>
    </row>
    <row r="40" spans="1:19" x14ac:dyDescent="0.25">
      <c r="A40" s="7" t="s">
        <v>1226</v>
      </c>
      <c r="E40" s="6">
        <f>SUMIFS('[18]Summary - Selling Expenses'!Z:Z,'[18]Summary - Selling Expenses'!$E:$E,3,'[18]Summary - Selling Expenses'!$C:$C,150)</f>
        <v>46660.363203848145</v>
      </c>
      <c r="F40" s="6">
        <f>SUMIFS('[18]Summary - Selling Expenses'!AA:AA,'[18]Summary - Selling Expenses'!$E:$E,3,'[18]Summary - Selling Expenses'!$C:$C,150)</f>
        <v>46660.363203848145</v>
      </c>
      <c r="G40" s="6">
        <f>SUMIFS('[18]Summary - Selling Expenses'!AB:AB,'[18]Summary - Selling Expenses'!$E:$E,3,'[18]Summary - Selling Expenses'!$C:$C,150)</f>
        <v>46660.363203848145</v>
      </c>
      <c r="H40" s="6">
        <f>SUMIFS('[18]Summary - Selling Expenses'!AC:AC,'[18]Summary - Selling Expenses'!$E:$E,3,'[18]Summary - Selling Expenses'!$C:$C,150)</f>
        <v>46660.363203848145</v>
      </c>
      <c r="I40" s="6">
        <f>SUMIFS('[18]Summary - Selling Expenses'!AD:AD,'[18]Summary - Selling Expenses'!$E:$E,3,'[18]Summary - Selling Expenses'!$C:$C,150)</f>
        <v>46660.363203848145</v>
      </c>
      <c r="J40" s="6">
        <f>SUMIFS('[18]Summary - Selling Expenses'!AE:AE,'[18]Summary - Selling Expenses'!$E:$E,3,'[18]Summary - Selling Expenses'!$C:$C,150)</f>
        <v>46660.363203848145</v>
      </c>
      <c r="K40" s="6">
        <f>SUMIFS('[18]Summary - Selling Expenses'!AF:AF,'[18]Summary - Selling Expenses'!$E:$E,3,'[18]Summary - Selling Expenses'!$C:$C,150)</f>
        <v>46660.363203848145</v>
      </c>
      <c r="L40" s="6">
        <f>SUMIFS('[18]Summary - Selling Expenses'!AG:AG,'[18]Summary - Selling Expenses'!$E:$E,3,'[18]Summary - Selling Expenses'!$C:$C,150)</f>
        <v>46660.363203848145</v>
      </c>
      <c r="M40" s="6">
        <f>SUMIFS('[18]Summary - Selling Expenses'!AH:AH,'[18]Summary - Selling Expenses'!$E:$E,3,'[18]Summary - Selling Expenses'!$C:$C,150)</f>
        <v>46660.363203848145</v>
      </c>
      <c r="N40" s="6">
        <f>SUMIFS('[18]Summary - Selling Expenses'!AI:AI,'[18]Summary - Selling Expenses'!$E:$E,3,'[18]Summary - Selling Expenses'!$C:$C,150)</f>
        <v>46660.363203848145</v>
      </c>
      <c r="O40" s="6">
        <f>SUMIFS('[18]Summary - Selling Expenses'!AJ:AJ,'[18]Summary - Selling Expenses'!$E:$E,3,'[18]Summary - Selling Expenses'!$C:$C,150)</f>
        <v>46660.363203848145</v>
      </c>
      <c r="P40" s="6">
        <f>SUMIFS('[18]Summary - Selling Expenses'!AK:AK,'[18]Summary - Selling Expenses'!$E:$E,3,'[18]Summary - Selling Expenses'!$C:$C,150)</f>
        <v>46660.363203848145</v>
      </c>
      <c r="R40" s="6">
        <f>SUM(E40:P40)</f>
        <v>559924.35844617768</v>
      </c>
    </row>
    <row r="41" spans="1:19" x14ac:dyDescent="0.25">
      <c r="R41" s="7">
        <f>R40-SUMIFS('[18]Summary - Selling Expenses'!$AL:$AL,'[18]Summary - Selling Expenses'!$C:$C,150,'[18]Summary - Selling Expenses'!$D:$D,'[18]Summary - Selling Expenses'!$D$85)</f>
        <v>0</v>
      </c>
      <c r="S41" s="34" t="s">
        <v>1093</v>
      </c>
    </row>
    <row r="42" spans="1:19" x14ac:dyDescent="0.25">
      <c r="A42" t="s">
        <v>1324</v>
      </c>
      <c r="E42" s="7">
        <f>E11</f>
        <v>11016.48</v>
      </c>
      <c r="F42" s="7">
        <f t="shared" ref="F42:P42" si="20">F11</f>
        <v>22140.660000000003</v>
      </c>
      <c r="G42" s="7">
        <f t="shared" si="20"/>
        <v>22716.809999999998</v>
      </c>
      <c r="H42" s="7">
        <f t="shared" si="20"/>
        <v>31513.950000000004</v>
      </c>
      <c r="I42" s="7">
        <f t="shared" si="20"/>
        <v>44750.28</v>
      </c>
      <c r="J42" s="7">
        <f t="shared" si="20"/>
        <v>43975.44</v>
      </c>
      <c r="K42" s="7">
        <f t="shared" si="20"/>
        <v>42367.37</v>
      </c>
      <c r="L42" s="7">
        <f t="shared" si="20"/>
        <v>47083.969999999994</v>
      </c>
      <c r="M42" s="7">
        <f t="shared" si="20"/>
        <v>30119.45</v>
      </c>
      <c r="N42" s="7">
        <f t="shared" si="20"/>
        <v>27557.989999999998</v>
      </c>
      <c r="O42" s="7">
        <f t="shared" si="20"/>
        <v>34030.450000000004</v>
      </c>
      <c r="P42" s="7">
        <f t="shared" si="20"/>
        <v>30603.61</v>
      </c>
      <c r="Q42" s="34"/>
      <c r="R42" s="7">
        <f>SUM(E42:P42)</f>
        <v>387876.45999999996</v>
      </c>
    </row>
    <row r="43" spans="1:19" x14ac:dyDescent="0.25">
      <c r="A43" t="s">
        <v>1325</v>
      </c>
      <c r="E43" s="7">
        <f>E26</f>
        <v>43654.492856658413</v>
      </c>
      <c r="F43" s="7">
        <f t="shared" ref="F43:P43" si="21">F26</f>
        <v>43654.492856658413</v>
      </c>
      <c r="G43" s="7">
        <f t="shared" si="21"/>
        <v>43654.492856658413</v>
      </c>
      <c r="H43" s="7">
        <f t="shared" si="21"/>
        <v>43654.492856658413</v>
      </c>
      <c r="I43" s="7">
        <f t="shared" si="21"/>
        <v>43654.492856658413</v>
      </c>
      <c r="J43" s="7">
        <f t="shared" si="21"/>
        <v>43654.492856658413</v>
      </c>
      <c r="K43" s="7">
        <f t="shared" si="21"/>
        <v>43654.492856658413</v>
      </c>
      <c r="L43" s="7">
        <f t="shared" si="21"/>
        <v>43654.492856658413</v>
      </c>
      <c r="M43" s="7">
        <f t="shared" si="21"/>
        <v>43654.492856658413</v>
      </c>
      <c r="N43" s="7">
        <f t="shared" si="21"/>
        <v>43654.492856658413</v>
      </c>
      <c r="O43" s="7">
        <f t="shared" si="21"/>
        <v>43654.492856658413</v>
      </c>
      <c r="P43" s="7">
        <f t="shared" si="21"/>
        <v>43654.492856658413</v>
      </c>
      <c r="Q43" s="34"/>
      <c r="R43" s="7">
        <f>SUM(E43:P43)</f>
        <v>523853.91427990096</v>
      </c>
    </row>
    <row r="44" spans="1:19" x14ac:dyDescent="0.25">
      <c r="R44" s="7"/>
    </row>
    <row r="45" spans="1:19" x14ac:dyDescent="0.25">
      <c r="R45" s="7"/>
    </row>
    <row r="46" spans="1:19" x14ac:dyDescent="0.25">
      <c r="S46" s="120"/>
    </row>
  </sheetData>
  <pageMargins left="0.7" right="0.7" top="0.75" bottom="0.75" header="0.3" footer="0.3"/>
  <pageSetup paperSize="9" orientation="portrait"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F05B1-90E8-4B94-8412-0C7C2659395B}">
  <sheetPr codeName="Sheet34">
    <tabColor theme="9" tint="0.79998168889431442"/>
  </sheetPr>
  <dimension ref="A1:V39"/>
  <sheetViews>
    <sheetView workbookViewId="0">
      <selection activeCell="P5" sqref="P5"/>
    </sheetView>
  </sheetViews>
  <sheetFormatPr defaultRowHeight="15" outlineLevelRow="1" x14ac:dyDescent="0.25"/>
  <cols>
    <col min="1" max="1" width="22.28515625" bestFit="1" customWidth="1"/>
    <col min="2" max="2" width="8.5703125" hidden="1" customWidth="1"/>
    <col min="3" max="4" width="9.5703125" hidden="1" customWidth="1"/>
    <col min="5" max="5" width="9.5703125" bestFit="1" customWidth="1"/>
    <col min="6" max="16" width="10.7109375" customWidth="1"/>
    <col min="17" max="17" width="2.85546875" customWidth="1"/>
    <col min="18" max="19" width="14.28515625" bestFit="1" customWidth="1"/>
    <col min="21" max="21" width="12.7109375" bestFit="1" customWidth="1"/>
    <col min="22" max="22" width="11.140625" bestFit="1" customWidth="1"/>
  </cols>
  <sheetData>
    <row r="1" spans="1:22" ht="15.75" x14ac:dyDescent="0.25">
      <c r="A1" s="11" t="s">
        <v>1311</v>
      </c>
      <c r="B1" s="5">
        <v>44927</v>
      </c>
      <c r="C1" s="5">
        <v>44958</v>
      </c>
      <c r="D1" s="5">
        <v>44986</v>
      </c>
      <c r="E1" s="5">
        <v>45017</v>
      </c>
      <c r="F1" s="5">
        <v>45047</v>
      </c>
      <c r="G1" s="5">
        <v>45078</v>
      </c>
      <c r="H1" s="5">
        <v>45108</v>
      </c>
      <c r="I1" s="5">
        <v>45139</v>
      </c>
      <c r="J1" s="5">
        <v>45170</v>
      </c>
      <c r="K1" s="5">
        <v>45200</v>
      </c>
      <c r="L1" s="5">
        <v>45231</v>
      </c>
      <c r="M1" s="5">
        <v>45261</v>
      </c>
      <c r="N1" s="5">
        <v>45292</v>
      </c>
      <c r="O1" s="5">
        <v>45323</v>
      </c>
      <c r="P1" s="5">
        <v>45352</v>
      </c>
      <c r="Q1" s="5"/>
      <c r="R1" s="5" t="s">
        <v>951</v>
      </c>
      <c r="S1" s="5" t="s">
        <v>951</v>
      </c>
      <c r="U1" t="s">
        <v>1247</v>
      </c>
    </row>
    <row r="2" spans="1:22" x14ac:dyDescent="0.25">
      <c r="A2" s="4"/>
      <c r="B2" s="5" t="s">
        <v>958</v>
      </c>
      <c r="C2" s="5" t="s">
        <v>958</v>
      </c>
      <c r="D2" s="5" t="s">
        <v>958</v>
      </c>
      <c r="E2" s="5" t="s">
        <v>958</v>
      </c>
      <c r="F2" s="5" t="s">
        <v>958</v>
      </c>
      <c r="G2" s="5" t="s">
        <v>958</v>
      </c>
      <c r="H2" s="5" t="s">
        <v>958</v>
      </c>
      <c r="I2" s="5" t="s">
        <v>958</v>
      </c>
      <c r="J2" s="5" t="s">
        <v>958</v>
      </c>
      <c r="K2" s="5" t="s">
        <v>958</v>
      </c>
      <c r="L2" s="5" t="s">
        <v>958</v>
      </c>
      <c r="M2" s="5" t="s">
        <v>958</v>
      </c>
      <c r="N2" s="5" t="s">
        <v>958</v>
      </c>
      <c r="O2" s="5" t="s">
        <v>958</v>
      </c>
      <c r="P2" s="5" t="s">
        <v>958</v>
      </c>
      <c r="Q2" s="5"/>
      <c r="R2" s="5" t="s">
        <v>960</v>
      </c>
      <c r="S2" s="5" t="s">
        <v>961</v>
      </c>
    </row>
    <row r="4" spans="1:22" x14ac:dyDescent="0.25">
      <c r="A4" s="9" t="s">
        <v>1248</v>
      </c>
      <c r="B4" s="61">
        <f>'[3]LEX ADMIN &amp; OTHER'!$B$6</f>
        <v>151275.34000000003</v>
      </c>
      <c r="C4" s="61">
        <f>'[4]LEX ADMIN &amp; OTHER'!$B$6</f>
        <v>179688.80000000002</v>
      </c>
      <c r="D4" s="61">
        <f>'[5]LEX ADMIN &amp; OTHER'!$B$6</f>
        <v>212169.49999999997</v>
      </c>
      <c r="E4" s="61">
        <f>'[6]LEX ADMIN &amp; OTHER'!$B$6</f>
        <v>165344.91999999981</v>
      </c>
      <c r="F4" s="61">
        <f>'[7]LEX ADMIN &amp; OTHER'!$B$6</f>
        <v>190870.14</v>
      </c>
      <c r="G4" s="61">
        <f>'[8]LEX ADMIN &amp; OTHER'!$B$6</f>
        <v>219482.11999999994</v>
      </c>
      <c r="H4" s="61">
        <f>'[9]LEX ADMIN &amp; OTHER'!$B$6</f>
        <v>218427.28999999995</v>
      </c>
      <c r="I4" s="61">
        <f>'[10]LEX ADMIN &amp; OTHER'!$B$6</f>
        <v>199854.25000000012</v>
      </c>
      <c r="J4" s="61">
        <f>'[11]LEX ADMIN &amp; OTHER'!$B$6</f>
        <v>188467.02000000005</v>
      </c>
      <c r="K4" s="61">
        <f>'[12]LEX ADMIN &amp; OTHER'!$B$6</f>
        <v>201296.07000000004</v>
      </c>
      <c r="L4" s="61">
        <f>'[13]LEX ADMIN &amp; OTHER'!$B$6</f>
        <v>200693.35000000003</v>
      </c>
      <c r="M4" s="61">
        <f>'[14]LEX ADMIN &amp; OTHER'!$B$6</f>
        <v>196989.33000000005</v>
      </c>
      <c r="N4" s="61">
        <f>'[15]LEX ADMIN &amp; OTHER'!$B$6</f>
        <v>214047.11000000007</v>
      </c>
      <c r="O4" s="61">
        <f>'[16]LEX ADMIN &amp; OTHER'!$B$6</f>
        <v>206020.68</v>
      </c>
      <c r="P4" s="61">
        <f>'[17]LEX ADMIN &amp; OTHER'!$B$6</f>
        <v>187535.90000000008</v>
      </c>
      <c r="Q4" s="8"/>
      <c r="R4" s="8">
        <f>SUM(B4:M4)</f>
        <v>2324558.13</v>
      </c>
      <c r="S4" s="61">
        <f>SUM(E4:P4)</f>
        <v>2389028.1800000002</v>
      </c>
      <c r="U4" s="15">
        <f>SUM(E4:M4)</f>
        <v>1781424.49</v>
      </c>
      <c r="V4" s="15">
        <f>U4/9</f>
        <v>197936.05444444445</v>
      </c>
    </row>
    <row r="5" spans="1:22" x14ac:dyDescent="0.25">
      <c r="B5" s="2"/>
      <c r="C5" s="2"/>
      <c r="D5" s="2"/>
      <c r="E5" s="2"/>
      <c r="F5" s="2"/>
      <c r="G5" s="2"/>
      <c r="H5" s="2"/>
      <c r="I5" s="2"/>
      <c r="J5" s="2"/>
      <c r="K5" s="2"/>
      <c r="L5" s="1"/>
      <c r="M5" s="1"/>
      <c r="N5" s="1"/>
      <c r="O5" s="1"/>
      <c r="P5" s="1"/>
      <c r="Q5" s="1"/>
      <c r="R5" s="1"/>
      <c r="S5" s="1"/>
    </row>
    <row r="6" spans="1:22" x14ac:dyDescent="0.25">
      <c r="A6" t="s">
        <v>1249</v>
      </c>
      <c r="B6" s="62">
        <f t="shared" ref="B6:L6" si="0">B4/B7</f>
        <v>0.60220892643796142</v>
      </c>
      <c r="C6" s="62">
        <f t="shared" si="0"/>
        <v>0.6861550932415732</v>
      </c>
      <c r="D6" s="62">
        <f t="shared" si="0"/>
        <v>0.31861172119977577</v>
      </c>
      <c r="E6" s="62">
        <f t="shared" si="0"/>
        <v>0.32000518062404004</v>
      </c>
      <c r="F6" s="62">
        <f t="shared" si="0"/>
        <v>0.26060754322771701</v>
      </c>
      <c r="G6" s="62">
        <f t="shared" si="0"/>
        <v>0.33492219939886131</v>
      </c>
      <c r="H6" s="62">
        <f t="shared" si="0"/>
        <v>0.40489242088261651</v>
      </c>
      <c r="I6" s="62">
        <f t="shared" si="0"/>
        <v>0.27829510339421437</v>
      </c>
      <c r="J6" s="62">
        <f t="shared" si="0"/>
        <v>0.27702939884463679</v>
      </c>
      <c r="K6" s="62">
        <f t="shared" si="0"/>
        <v>0.35420622383982908</v>
      </c>
      <c r="L6" s="62">
        <f t="shared" si="0"/>
        <v>0.34626119718487786</v>
      </c>
      <c r="M6" s="62">
        <f>M4/M7</f>
        <v>0.40328378815767729</v>
      </c>
      <c r="N6" s="62">
        <f>N4/N7</f>
        <v>0.43755821923072807</v>
      </c>
      <c r="O6" s="62">
        <f>O4/O7</f>
        <v>0.41354579825948801</v>
      </c>
      <c r="P6" s="62">
        <f>P4/P7</f>
        <v>0.32778320531407096</v>
      </c>
      <c r="Q6" s="3"/>
      <c r="R6" s="62">
        <f>R4/R7</f>
        <v>0.34915295418564801</v>
      </c>
      <c r="S6" s="62">
        <f>S4/S7</f>
        <v>0.33943688255921489</v>
      </c>
      <c r="U6" s="62">
        <f>U4/U7</f>
        <v>0.32515400874728917</v>
      </c>
    </row>
    <row r="7" spans="1:22" outlineLevel="1" x14ac:dyDescent="0.25">
      <c r="A7" t="s">
        <v>1250</v>
      </c>
      <c r="B7" s="7">
        <f t="shared" ref="B7:L7" si="1">SUM(B8:B15)</f>
        <v>251200.76000000004</v>
      </c>
      <c r="C7" s="7">
        <f t="shared" si="1"/>
        <v>261877.82000000015</v>
      </c>
      <c r="D7" s="7">
        <f t="shared" si="1"/>
        <v>665918.69000000018</v>
      </c>
      <c r="E7" s="7">
        <f t="shared" si="1"/>
        <v>516694.50999999983</v>
      </c>
      <c r="F7" s="7">
        <f t="shared" si="1"/>
        <v>732404.51000000047</v>
      </c>
      <c r="G7" s="7">
        <f t="shared" si="1"/>
        <v>655322.69999999925</v>
      </c>
      <c r="H7" s="7">
        <f t="shared" si="1"/>
        <v>539469.94000000018</v>
      </c>
      <c r="I7" s="7">
        <f t="shared" si="1"/>
        <v>718137.86000000103</v>
      </c>
      <c r="J7" s="7">
        <f t="shared" si="1"/>
        <v>680314.14999999991</v>
      </c>
      <c r="K7" s="7">
        <f t="shared" si="1"/>
        <v>568301.89999999967</v>
      </c>
      <c r="L7" s="7">
        <f t="shared" si="1"/>
        <v>579601.03999999934</v>
      </c>
      <c r="M7" s="7">
        <f>SUM(M8:M15)</f>
        <v>488463.30000000016</v>
      </c>
      <c r="N7" s="7">
        <f>SUM(N8:N15)</f>
        <v>489185.43999999977</v>
      </c>
      <c r="O7" s="7">
        <f>SUM(O8:O15)</f>
        <v>498181.05000000022</v>
      </c>
      <c r="P7" s="7">
        <f>SUM(P8:P15)</f>
        <v>572133.94999999902</v>
      </c>
      <c r="R7" s="61">
        <f>SUM(R8:R14)</f>
        <v>6657707.1800000006</v>
      </c>
      <c r="S7" s="61">
        <f>SUM(E7:P7)</f>
        <v>7038210.3499999978</v>
      </c>
      <c r="U7" s="61">
        <f>SUM(U8:U14)</f>
        <v>5478709.9100000001</v>
      </c>
    </row>
    <row r="8" spans="1:22" outlineLevel="1" x14ac:dyDescent="0.25">
      <c r="A8" t="s">
        <v>1251</v>
      </c>
      <c r="B8" s="7">
        <f>'LEX - New Vehicles'!B15</f>
        <v>95147.950000000041</v>
      </c>
      <c r="C8" s="7">
        <f>'LEX - New Vehicles'!C15</f>
        <v>95751.080000000104</v>
      </c>
      <c r="D8" s="7">
        <f>'LEX - New Vehicles'!D15</f>
        <v>306383.74000000011</v>
      </c>
      <c r="E8" s="7">
        <f>'LEX - New Vehicles'!E15</f>
        <v>310228.49999999988</v>
      </c>
      <c r="F8" s="7">
        <f>'LEX - New Vehicles'!F15</f>
        <v>381621.29000000039</v>
      </c>
      <c r="G8" s="7">
        <f>'LEX - New Vehicles'!G15</f>
        <v>334195.52999999933</v>
      </c>
      <c r="H8" s="7">
        <f>'LEX - New Vehicles'!H15</f>
        <v>251749.79</v>
      </c>
      <c r="I8" s="7">
        <f>'LEX - New Vehicles'!I15</f>
        <v>375282.86000000092</v>
      </c>
      <c r="J8" s="7">
        <f>'LEX - New Vehicles'!J15</f>
        <v>326939.80000000005</v>
      </c>
      <c r="K8" s="7">
        <f>'LEX - New Vehicles'!K15</f>
        <v>271223.74999999965</v>
      </c>
      <c r="L8" s="7">
        <f>'LEX - New Vehicles'!L15</f>
        <v>291224.08999999939</v>
      </c>
      <c r="M8" s="7">
        <f>'LEX - New Vehicles'!M15</f>
        <v>223009.77000000019</v>
      </c>
      <c r="N8" s="7">
        <f>'LEX - New Vehicles'!N15</f>
        <v>254553.79999999981</v>
      </c>
      <c r="O8" s="7">
        <f>'LEX - New Vehicles'!O15</f>
        <v>232349.7100000002</v>
      </c>
      <c r="P8" s="7">
        <f>'LEX - New Vehicles'!P15</f>
        <v>283481.67999999912</v>
      </c>
      <c r="Q8" s="1"/>
      <c r="R8" s="61">
        <f>SUM(B8:M8)</f>
        <v>3262758.15</v>
      </c>
      <c r="S8" s="61">
        <f>SUM(E8:P8)</f>
        <v>3535860.5699999989</v>
      </c>
      <c r="T8" s="14"/>
      <c r="U8" s="61">
        <f>SUM(E8:M8)</f>
        <v>2765475.38</v>
      </c>
    </row>
    <row r="9" spans="1:22" outlineLevel="1" x14ac:dyDescent="0.25">
      <c r="A9" t="s">
        <v>1252</v>
      </c>
      <c r="B9" s="7">
        <f>'LEX - Used Vehicles'!B17</f>
        <v>31917.690000000002</v>
      </c>
      <c r="C9" s="7">
        <f>'LEX - Used Vehicles'!C17</f>
        <v>33290.280000000028</v>
      </c>
      <c r="D9" s="7">
        <f>'LEX - Used Vehicles'!D17</f>
        <v>59021.59000000004</v>
      </c>
      <c r="E9" s="7">
        <f>'LEX - Used Vehicles'!E17</f>
        <v>25739.99000000002</v>
      </c>
      <c r="F9" s="7">
        <f>'LEX - Used Vehicles'!F17</f>
        <v>79470.95000000007</v>
      </c>
      <c r="G9" s="7">
        <f>'LEX - Used Vehicles'!G17</f>
        <v>79109.539999999979</v>
      </c>
      <c r="H9" s="7">
        <f>'LEX - Used Vehicles'!H17</f>
        <v>66436.750000000087</v>
      </c>
      <c r="I9" s="7">
        <f>'LEX - Used Vehicles'!I17</f>
        <v>87480.550000000017</v>
      </c>
      <c r="J9" s="7">
        <f>'LEX - Used Vehicles'!J17</f>
        <v>98044.829999999929</v>
      </c>
      <c r="K9" s="7">
        <f>'LEX - Used Vehicles'!K17</f>
        <v>54378.619999999995</v>
      </c>
      <c r="L9" s="7">
        <f>'LEX - Used Vehicles'!L17</f>
        <v>33464.339999999967</v>
      </c>
      <c r="M9" s="7">
        <f>'LEX - Used Vehicles'!M17</f>
        <v>29929.380000000016</v>
      </c>
      <c r="N9" s="7">
        <f>'LEX - Used Vehicles'!N17</f>
        <v>26353.47</v>
      </c>
      <c r="O9" s="7">
        <f>'LEX - Used Vehicles'!O17</f>
        <v>66397.97000000003</v>
      </c>
      <c r="P9" s="7">
        <f>'LEX - Used Vehicles'!P17</f>
        <v>33072.229999999974</v>
      </c>
      <c r="Q9" s="1"/>
      <c r="R9" s="61">
        <f t="shared" ref="R9:R14" si="2">SUM(B9:M9)</f>
        <v>678284.51000000024</v>
      </c>
      <c r="S9" s="61">
        <f t="shared" ref="S9:S14" si="3">SUM(E9:P9)</f>
        <v>679878.62000000011</v>
      </c>
      <c r="T9" s="14"/>
      <c r="U9" s="61">
        <f t="shared" ref="U9:U14" si="4">SUM(E9:M9)</f>
        <v>554054.95000000007</v>
      </c>
    </row>
    <row r="10" spans="1:22" outlineLevel="1" x14ac:dyDescent="0.25">
      <c r="A10" t="s">
        <v>1253</v>
      </c>
      <c r="B10" s="7">
        <f>'LEX - F&amp;I'!B12</f>
        <v>-1615.38</v>
      </c>
      <c r="C10" s="7">
        <f>'LEX - F&amp;I'!C12</f>
        <v>15810.419999999998</v>
      </c>
      <c r="D10" s="7">
        <f>'LEX - F&amp;I'!D12</f>
        <v>27934.000000000004</v>
      </c>
      <c r="E10" s="7">
        <f>'LEX - F&amp;I'!E12</f>
        <v>36967.229999999996</v>
      </c>
      <c r="F10" s="7">
        <f>'LEX - F&amp;I'!F12</f>
        <v>58388.67</v>
      </c>
      <c r="G10" s="7">
        <f>'LEX - F&amp;I'!G12</f>
        <v>62990.33</v>
      </c>
      <c r="H10" s="7">
        <f>'LEX - F&amp;I'!H12</f>
        <v>27349.09</v>
      </c>
      <c r="I10" s="7">
        <f>'LEX - F&amp;I'!I12</f>
        <v>41186.06</v>
      </c>
      <c r="J10" s="7">
        <f>'LEX - F&amp;I'!J12</f>
        <v>52189.520000000004</v>
      </c>
      <c r="K10" s="7">
        <f>'LEX - F&amp;I'!K12</f>
        <v>48511.18</v>
      </c>
      <c r="L10" s="7">
        <f>'LEX - F&amp;I'!L12</f>
        <v>24839.260000000002</v>
      </c>
      <c r="M10" s="7">
        <f>'LEX - F&amp;I'!M12</f>
        <v>44854.78</v>
      </c>
      <c r="N10" s="7">
        <f>'LEX - F&amp;I'!N12</f>
        <v>27288.48</v>
      </c>
      <c r="O10" s="7">
        <f>'LEX - F&amp;I'!O12</f>
        <v>21811.52</v>
      </c>
      <c r="P10" s="7">
        <f>'LEX - F&amp;I'!P12</f>
        <v>61347.42</v>
      </c>
      <c r="R10" s="61">
        <f t="shared" si="2"/>
        <v>439405.16000000003</v>
      </c>
      <c r="S10" s="61">
        <f t="shared" si="3"/>
        <v>507723.54</v>
      </c>
      <c r="U10" s="61">
        <f t="shared" si="4"/>
        <v>397276.12</v>
      </c>
    </row>
    <row r="11" spans="1:22" outlineLevel="1" x14ac:dyDescent="0.25">
      <c r="A11" t="s">
        <v>1254</v>
      </c>
      <c r="B11" s="7">
        <f>'LEX - Parts'!B9</f>
        <v>4466</v>
      </c>
      <c r="C11" s="7">
        <f>'LEX - Parts'!C9</f>
        <v>4466</v>
      </c>
      <c r="D11" s="7">
        <f>'LEX - Parts'!D9</f>
        <v>21161.66</v>
      </c>
      <c r="E11" s="7">
        <f>'LEX - Parts'!E9</f>
        <v>3237</v>
      </c>
      <c r="F11" s="7">
        <f>'LEX - Parts'!F9</f>
        <v>3237</v>
      </c>
      <c r="G11" s="7">
        <f>'LEX - Parts'!G9</f>
        <v>4203</v>
      </c>
      <c r="H11" s="7">
        <f>'LEX - Parts'!H9</f>
        <v>3916</v>
      </c>
      <c r="I11" s="7">
        <f>'LEX - Parts'!I9</f>
        <v>4810</v>
      </c>
      <c r="J11" s="7">
        <f>'LEX - Parts'!J9</f>
        <v>4643</v>
      </c>
      <c r="K11" s="7">
        <f>'LEX - Parts'!K9</f>
        <v>6709.8099999999977</v>
      </c>
      <c r="L11" s="7">
        <f>'LEX - Parts'!L9</f>
        <v>9066.75</v>
      </c>
      <c r="M11" s="7">
        <f>'LEX - Parts'!M9</f>
        <v>7483.0400000000009</v>
      </c>
      <c r="N11" s="7">
        <f>'LEX - Parts'!N9</f>
        <v>7783.4500000000007</v>
      </c>
      <c r="O11" s="7">
        <f>'LEX - Parts'!O9</f>
        <v>7781.1599999999989</v>
      </c>
      <c r="P11" s="7">
        <f>'LEX - Parts'!P9</f>
        <v>5687.6299999999992</v>
      </c>
      <c r="R11" s="61">
        <f t="shared" si="2"/>
        <v>77399.260000000009</v>
      </c>
      <c r="S11" s="61">
        <f t="shared" si="3"/>
        <v>68557.84</v>
      </c>
      <c r="T11" s="14"/>
      <c r="U11" s="61">
        <f t="shared" si="4"/>
        <v>47305.599999999999</v>
      </c>
    </row>
    <row r="12" spans="1:22" outlineLevel="1" x14ac:dyDescent="0.25">
      <c r="A12" t="s">
        <v>1255</v>
      </c>
      <c r="B12" s="7">
        <f>'LEX - Service'!B16</f>
        <v>39272.159999999996</v>
      </c>
      <c r="C12" s="7">
        <f>'LEX - Service'!C16</f>
        <v>32732.649999999994</v>
      </c>
      <c r="D12" s="7">
        <f>'LEX - Service'!D16</f>
        <v>121206.96000000002</v>
      </c>
      <c r="E12" s="7">
        <f>'LEX - Service'!E16</f>
        <v>58246.039999999994</v>
      </c>
      <c r="F12" s="7">
        <f>'LEX - Service'!F16</f>
        <v>88113.76999999999</v>
      </c>
      <c r="G12" s="7">
        <f>'LEX - Service'!G16</f>
        <v>61767.519999999997</v>
      </c>
      <c r="H12" s="7">
        <f>'LEX - Service'!H16</f>
        <v>63612.799999999988</v>
      </c>
      <c r="I12" s="7">
        <f>'LEX - Service'!I16</f>
        <v>68618.570000000007</v>
      </c>
      <c r="J12" s="7">
        <f>'LEX - Service'!J16</f>
        <v>59284.109999999993</v>
      </c>
      <c r="K12" s="7">
        <f>'LEX - Service'!K16</f>
        <v>55689.82</v>
      </c>
      <c r="L12" s="7">
        <f>'LEX - Service'!L16</f>
        <v>65348.270000000004</v>
      </c>
      <c r="M12" s="7">
        <f>'LEX - Service'!M16</f>
        <v>58648.959999999992</v>
      </c>
      <c r="N12" s="7">
        <f>'LEX - Service'!N16</f>
        <v>50442.150000000009</v>
      </c>
      <c r="O12" s="7">
        <f>'LEX - Service'!O16</f>
        <v>51306.57</v>
      </c>
      <c r="P12" s="7">
        <f>'LEX - Service'!P16</f>
        <v>64458.93</v>
      </c>
      <c r="R12" s="61">
        <f t="shared" si="2"/>
        <v>772541.62999999989</v>
      </c>
      <c r="S12" s="61">
        <f t="shared" si="3"/>
        <v>745537.51</v>
      </c>
      <c r="U12" s="61">
        <f t="shared" si="4"/>
        <v>579329.86</v>
      </c>
    </row>
    <row r="13" spans="1:22" outlineLevel="1" x14ac:dyDescent="0.25">
      <c r="A13" t="s">
        <v>1312</v>
      </c>
      <c r="B13" s="7">
        <f>'Retail Detailing'!B11</f>
        <v>13406.01</v>
      </c>
      <c r="C13" s="7">
        <f>'Retail Detailing'!C11</f>
        <v>5969.2900000000009</v>
      </c>
      <c r="D13" s="7">
        <f>'Retail Detailing'!D11</f>
        <v>9669.56</v>
      </c>
      <c r="E13" s="7">
        <f>'Retail Detailing'!E11</f>
        <v>11016.48</v>
      </c>
      <c r="F13" s="7">
        <f>'Retail Detailing'!F11</f>
        <v>22140.660000000003</v>
      </c>
      <c r="G13" s="7">
        <f>'Retail Detailing'!G11</f>
        <v>22716.809999999998</v>
      </c>
      <c r="H13" s="7">
        <f>'Retail Detailing'!H11</f>
        <v>31513.950000000004</v>
      </c>
      <c r="I13" s="7">
        <f>'Retail Detailing'!I11</f>
        <v>44750.28</v>
      </c>
      <c r="J13" s="7">
        <f>'Retail Detailing'!J11</f>
        <v>43975.44</v>
      </c>
      <c r="K13" s="7">
        <f>'Retail Detailing'!K11</f>
        <v>42367.37</v>
      </c>
      <c r="L13" s="7">
        <f>'Retail Detailing'!L11</f>
        <v>47083.969999999994</v>
      </c>
      <c r="M13" s="7">
        <f>'Retail Detailing'!M11</f>
        <v>30119.45</v>
      </c>
      <c r="N13" s="7">
        <f>'Retail Detailing'!N11</f>
        <v>27557.989999999998</v>
      </c>
      <c r="O13" s="7">
        <f>'Retail Detailing'!O11</f>
        <v>34030.450000000004</v>
      </c>
      <c r="P13" s="7">
        <f>'Retail Detailing'!P11</f>
        <v>30603.61</v>
      </c>
      <c r="R13" s="61">
        <f t="shared" si="2"/>
        <v>324729.27</v>
      </c>
      <c r="S13" s="61">
        <f t="shared" si="3"/>
        <v>387876.45999999996</v>
      </c>
      <c r="U13" s="61">
        <f t="shared" si="4"/>
        <v>295684.40999999997</v>
      </c>
    </row>
    <row r="14" spans="1:22" outlineLevel="1" x14ac:dyDescent="0.25">
      <c r="A14" t="s">
        <v>1313</v>
      </c>
      <c r="B14" s="7">
        <f>'Bridgestone Group'!B10</f>
        <v>68606.329999999987</v>
      </c>
      <c r="C14" s="7">
        <f>'Bridgestone Group'!C10</f>
        <v>73858.100000000006</v>
      </c>
      <c r="D14" s="7">
        <f>'Bridgestone Group'!D10</f>
        <v>120541.18</v>
      </c>
      <c r="E14" s="7">
        <f>'Bridgestone Group'!E10</f>
        <v>71259.270000000019</v>
      </c>
      <c r="F14" s="7">
        <f>'Bridgestone Group'!F10</f>
        <v>99432.169999999984</v>
      </c>
      <c r="G14" s="7">
        <f>'Bridgestone Group'!G10</f>
        <v>90339.969999999987</v>
      </c>
      <c r="H14" s="7">
        <f>'Bridgestone Group'!H10</f>
        <v>94891.56</v>
      </c>
      <c r="I14" s="7">
        <f>'Bridgestone Group'!I10</f>
        <v>96009.540000000008</v>
      </c>
      <c r="J14" s="7">
        <f>'Bridgestone Group'!J10</f>
        <v>95237.450000000012</v>
      </c>
      <c r="K14" s="7">
        <f>'Bridgestone Group'!K10</f>
        <v>89421.35</v>
      </c>
      <c r="L14" s="7">
        <f>'Bridgestone Group'!L10</f>
        <v>108574.36</v>
      </c>
      <c r="M14" s="7">
        <f>'Bridgestone Group'!M10</f>
        <v>94417.919999999998</v>
      </c>
      <c r="N14" s="7">
        <f>'Bridgestone Group'!N10</f>
        <v>95206.099999999991</v>
      </c>
      <c r="O14" s="7">
        <f>'Bridgestone Group'!O10</f>
        <v>84503.669999999984</v>
      </c>
      <c r="P14" s="7">
        <f>'Bridgestone Group'!P10</f>
        <v>93482.450000000012</v>
      </c>
      <c r="R14" s="61">
        <f t="shared" si="2"/>
        <v>1102589.2</v>
      </c>
      <c r="S14" s="61">
        <f t="shared" si="3"/>
        <v>1112775.8099999998</v>
      </c>
      <c r="U14" s="61">
        <f t="shared" si="4"/>
        <v>839583.59</v>
      </c>
    </row>
    <row r="15" spans="1:22" x14ac:dyDescent="0.25">
      <c r="M15" s="16"/>
      <c r="N15" s="16"/>
      <c r="O15" s="16"/>
      <c r="P15" s="16"/>
      <c r="Q15" s="16"/>
      <c r="R15" s="5"/>
      <c r="S15" s="16"/>
    </row>
    <row r="16" spans="1:22" x14ac:dyDescent="0.25">
      <c r="R16" s="5"/>
    </row>
    <row r="17" spans="1:22" ht="15.75" x14ac:dyDescent="0.25">
      <c r="A17" s="11" t="s">
        <v>1311</v>
      </c>
      <c r="B17" s="5">
        <v>45292</v>
      </c>
      <c r="C17" s="5">
        <v>45323</v>
      </c>
      <c r="D17" s="5">
        <v>45352</v>
      </c>
      <c r="E17" s="5">
        <v>45383</v>
      </c>
      <c r="F17" s="5">
        <v>45413</v>
      </c>
      <c r="G17" s="5">
        <v>45444</v>
      </c>
      <c r="H17" s="5">
        <v>45474</v>
      </c>
      <c r="I17" s="5">
        <v>45505</v>
      </c>
      <c r="J17" s="5">
        <v>45536</v>
      </c>
      <c r="K17" s="5">
        <v>45566</v>
      </c>
      <c r="L17" s="5">
        <v>45597</v>
      </c>
      <c r="M17" s="5">
        <v>45627</v>
      </c>
      <c r="N17" s="5">
        <v>45658</v>
      </c>
      <c r="O17" s="5">
        <v>45689</v>
      </c>
      <c r="P17" s="5">
        <v>45717</v>
      </c>
      <c r="Q17" s="5"/>
      <c r="S17" s="5" t="s">
        <v>955</v>
      </c>
    </row>
    <row r="18" spans="1:22" x14ac:dyDescent="0.25">
      <c r="A18" s="4"/>
      <c r="B18" s="5" t="s">
        <v>958</v>
      </c>
      <c r="C18" s="5" t="s">
        <v>959</v>
      </c>
      <c r="D18" s="5" t="s">
        <v>959</v>
      </c>
      <c r="E18" s="5" t="s">
        <v>959</v>
      </c>
      <c r="F18" s="5" t="s">
        <v>959</v>
      </c>
      <c r="G18" s="5" t="s">
        <v>959</v>
      </c>
      <c r="H18" s="5" t="s">
        <v>959</v>
      </c>
      <c r="I18" s="5" t="s">
        <v>959</v>
      </c>
      <c r="J18" s="5" t="s">
        <v>959</v>
      </c>
      <c r="K18" s="5" t="s">
        <v>959</v>
      </c>
      <c r="L18" s="5" t="s">
        <v>959</v>
      </c>
      <c r="M18" s="5" t="s">
        <v>959</v>
      </c>
      <c r="N18" s="5" t="s">
        <v>959</v>
      </c>
      <c r="O18" s="5" t="s">
        <v>959</v>
      </c>
      <c r="P18" s="5" t="s">
        <v>959</v>
      </c>
      <c r="Q18" s="5"/>
      <c r="R18" s="61"/>
      <c r="S18" s="5" t="s">
        <v>961</v>
      </c>
    </row>
    <row r="19" spans="1:22" x14ac:dyDescent="0.25">
      <c r="R19" s="1"/>
    </row>
    <row r="20" spans="1:22" x14ac:dyDescent="0.25">
      <c r="A20" s="9" t="s">
        <v>1248</v>
      </c>
      <c r="B20" s="63">
        <f>N4</f>
        <v>214047.11000000007</v>
      </c>
      <c r="C20" s="63">
        <f>O4</f>
        <v>206020.68</v>
      </c>
      <c r="D20" s="63">
        <f>P4</f>
        <v>187535.90000000008</v>
      </c>
      <c r="E20" s="63">
        <f>SUMIFS('[18]Summary - Overhead Expenses'!V:V,'[18]Summary - Overhead Expenses'!$C:$C,'[18]Summary - Overhead Expenses'!$C$6)</f>
        <v>198915.12452138335</v>
      </c>
      <c r="F20" s="63">
        <f>SUMIFS('[18]Summary - Overhead Expenses'!W:W,'[18]Summary - Overhead Expenses'!$C:$C,'[18]Summary - Overhead Expenses'!$C$6)</f>
        <v>196326.53511548741</v>
      </c>
      <c r="G20" s="63">
        <f>SUMIFS('[18]Summary - Overhead Expenses'!X:X,'[18]Summary - Overhead Expenses'!$C:$C,'[18]Summary - Overhead Expenses'!$C$6)</f>
        <v>193327.41505438602</v>
      </c>
      <c r="H20" s="63">
        <f>SUMIFS('[18]Summary - Overhead Expenses'!Y:Y,'[18]Summary - Overhead Expenses'!$C:$C,'[18]Summary - Overhead Expenses'!$C$6)</f>
        <v>194231.29748219447</v>
      </c>
      <c r="I20" s="63">
        <f>SUMIFS('[18]Summary - Overhead Expenses'!Z:Z,'[18]Summary - Overhead Expenses'!$C:$C,'[18]Summary - Overhead Expenses'!$C$6)</f>
        <v>195553.71700607982</v>
      </c>
      <c r="J20" s="63">
        <f>SUMIFS('[18]Summary - Overhead Expenses'!AA:AA,'[18]Summary - Overhead Expenses'!$C:$C,'[18]Summary - Overhead Expenses'!$C$6)</f>
        <v>196345.09215967884</v>
      </c>
      <c r="K20" s="63">
        <f>SUMIFS('[18]Summary - Overhead Expenses'!AB:AB,'[18]Summary - Overhead Expenses'!$C:$C,'[18]Summary - Overhead Expenses'!$C$6)</f>
        <v>199265.28565356304</v>
      </c>
      <c r="L20" s="63">
        <f>SUMIFS('[18]Summary - Overhead Expenses'!AC:AC,'[18]Summary - Overhead Expenses'!$C:$C,'[18]Summary - Overhead Expenses'!$C$6)</f>
        <v>196524.55789019007</v>
      </c>
      <c r="M20" s="63">
        <f>SUMIFS('[18]Summary - Overhead Expenses'!AD:AD,'[18]Summary - Overhead Expenses'!$C:$C,'[18]Summary - Overhead Expenses'!$C$6)</f>
        <v>193665.09189193745</v>
      </c>
      <c r="N20" s="63">
        <f>SUMIFS('[18]Summary - Overhead Expenses'!AE:AE,'[18]Summary - Overhead Expenses'!$C:$C,'[18]Summary - Overhead Expenses'!$C$6)</f>
        <v>198881.74357588988</v>
      </c>
      <c r="O20" s="63">
        <f>SUMIFS('[18]Summary - Overhead Expenses'!AF:AF,'[18]Summary - Overhead Expenses'!$C:$C,'[18]Summary - Overhead Expenses'!$C$6)</f>
        <v>199503.24155091945</v>
      </c>
      <c r="P20" s="63">
        <f>SUMIFS('[18]Summary - Overhead Expenses'!AG:AG,'[18]Summary - Overhead Expenses'!$C:$C,'[18]Summary - Overhead Expenses'!$C$6)</f>
        <v>196397.03654173171</v>
      </c>
      <c r="Q20" s="8"/>
      <c r="S20" s="61">
        <f>SUM(E20:P20)</f>
        <v>2358936.1384434411</v>
      </c>
      <c r="U20" s="15"/>
    </row>
    <row r="21" spans="1:22" x14ac:dyDescent="0.25">
      <c r="B21" s="2"/>
      <c r="C21" s="2"/>
      <c r="D21" s="2"/>
      <c r="E21" s="2"/>
      <c r="F21" s="2"/>
      <c r="G21" s="2"/>
      <c r="H21" s="2"/>
      <c r="I21" s="2"/>
      <c r="J21" s="2"/>
      <c r="K21" s="2"/>
      <c r="L21" s="1"/>
      <c r="M21" s="1"/>
      <c r="N21" s="1"/>
      <c r="O21" s="1"/>
      <c r="P21" s="1"/>
      <c r="Q21" s="1"/>
      <c r="R21" s="61"/>
      <c r="S21" s="1"/>
      <c r="U21" s="15">
        <f>V4*(1+0.0423947625176293)</f>
        <v>206327.50646629321</v>
      </c>
    </row>
    <row r="22" spans="1:22" x14ac:dyDescent="0.25">
      <c r="A22" t="s">
        <v>1249</v>
      </c>
      <c r="B22" s="62">
        <f t="shared" ref="B22:L22" si="5">B20/B23</f>
        <v>0.43755821923072807</v>
      </c>
      <c r="C22" s="62">
        <f t="shared" si="5"/>
        <v>0.41354579825948801</v>
      </c>
      <c r="D22" s="62">
        <f t="shared" si="5"/>
        <v>0.32778320531407096</v>
      </c>
      <c r="E22" s="62">
        <f t="shared" si="5"/>
        <v>0.3629297556096317</v>
      </c>
      <c r="F22" s="62">
        <f t="shared" si="5"/>
        <v>0.34284360470126762</v>
      </c>
      <c r="G22" s="62">
        <f t="shared" si="5"/>
        <v>0.28584261256469584</v>
      </c>
      <c r="H22" s="62">
        <f t="shared" si="5"/>
        <v>0.3366842103827753</v>
      </c>
      <c r="I22" s="62">
        <f t="shared" si="5"/>
        <v>0.33275752568625794</v>
      </c>
      <c r="J22" s="62">
        <f t="shared" si="5"/>
        <v>0.27865601248918248</v>
      </c>
      <c r="K22" s="62">
        <f t="shared" si="5"/>
        <v>0.33951586040805365</v>
      </c>
      <c r="L22" s="62">
        <f t="shared" si="5"/>
        <v>0.3304325919463868</v>
      </c>
      <c r="M22" s="62">
        <f>M20/M23</f>
        <v>0.27579333329073902</v>
      </c>
      <c r="N22" s="62">
        <f>N20/N23</f>
        <v>0.35710938734434094</v>
      </c>
      <c r="O22" s="62">
        <f>O20/O23</f>
        <v>0.36945717518465332</v>
      </c>
      <c r="P22" s="62">
        <f>P20/P23</f>
        <v>0.2629342509779487</v>
      </c>
      <c r="Q22" s="3"/>
      <c r="R22" s="62"/>
      <c r="S22" s="62">
        <f>S20/S23</f>
        <v>0.31903486319601337</v>
      </c>
      <c r="U22" s="15">
        <v>200000</v>
      </c>
      <c r="V22" t="s">
        <v>1314</v>
      </c>
    </row>
    <row r="23" spans="1:22" outlineLevel="1" x14ac:dyDescent="0.25">
      <c r="A23" t="s">
        <v>1250</v>
      </c>
      <c r="B23" s="7">
        <f t="shared" ref="B23:L23" si="6">SUM(B24:B31)</f>
        <v>489185.43999999977</v>
      </c>
      <c r="C23" s="7">
        <f t="shared" si="6"/>
        <v>498181.05000000022</v>
      </c>
      <c r="D23" s="7">
        <f t="shared" si="6"/>
        <v>572133.94999999902</v>
      </c>
      <c r="E23" s="7">
        <f t="shared" si="6"/>
        <v>548081.60931102338</v>
      </c>
      <c r="F23" s="7">
        <f t="shared" si="6"/>
        <v>572641.67224747862</v>
      </c>
      <c r="G23" s="7">
        <f t="shared" si="6"/>
        <v>676342.17767523893</v>
      </c>
      <c r="H23" s="7">
        <f t="shared" si="6"/>
        <v>576894.58398234204</v>
      </c>
      <c r="I23" s="7">
        <f t="shared" si="6"/>
        <v>587676.31656949688</v>
      </c>
      <c r="J23" s="7">
        <f t="shared" si="6"/>
        <v>704614.59060497046</v>
      </c>
      <c r="K23" s="7">
        <f t="shared" si="6"/>
        <v>586910.09431509988</v>
      </c>
      <c r="L23" s="7">
        <f t="shared" si="6"/>
        <v>594749.31553385174</v>
      </c>
      <c r="M23" s="7">
        <f>SUM(M24:M31)</f>
        <v>702210.92577236937</v>
      </c>
      <c r="N23" s="7">
        <f>SUM(N24:N31)</f>
        <v>556921.07411368366</v>
      </c>
      <c r="O23" s="7">
        <f>SUM(O24:O31)</f>
        <v>539990.16652257054</v>
      </c>
      <c r="P23" s="7">
        <f>SUM(P24:P31)</f>
        <v>746943.52603838895</v>
      </c>
      <c r="R23" s="61"/>
      <c r="S23" s="61">
        <f>SUM(E23:P23)</f>
        <v>7393976.0526865143</v>
      </c>
    </row>
    <row r="24" spans="1:22" outlineLevel="1" x14ac:dyDescent="0.25">
      <c r="A24" t="s">
        <v>1251</v>
      </c>
      <c r="B24" s="7">
        <f>N8</f>
        <v>254553.79999999981</v>
      </c>
      <c r="C24" s="7">
        <f t="shared" ref="C24:D30" si="7">O8</f>
        <v>232349.7100000002</v>
      </c>
      <c r="D24" s="7">
        <f t="shared" si="7"/>
        <v>283481.67999999912</v>
      </c>
      <c r="E24" s="7">
        <f>'LEX - New Vehicles'!E34</f>
        <v>266000</v>
      </c>
      <c r="F24" s="7">
        <f>'LEX - New Vehicles'!F34</f>
        <v>266000</v>
      </c>
      <c r="G24" s="7">
        <f>'LEX - New Vehicles'!G34</f>
        <v>330260</v>
      </c>
      <c r="H24" s="7">
        <f>'LEX - New Vehicles'!H34</f>
        <v>266000</v>
      </c>
      <c r="I24" s="7">
        <f>'LEX - New Vehicles'!I34</f>
        <v>266000</v>
      </c>
      <c r="J24" s="7">
        <f>'LEX - New Vehicles'!J34</f>
        <v>330260</v>
      </c>
      <c r="K24" s="7">
        <f>'LEX - New Vehicles'!K34</f>
        <v>266000</v>
      </c>
      <c r="L24" s="7">
        <f>'LEX - New Vehicles'!L34</f>
        <v>266000</v>
      </c>
      <c r="M24" s="7">
        <f>'LEX - New Vehicles'!M34</f>
        <v>330260</v>
      </c>
      <c r="N24" s="7">
        <f>'LEX - New Vehicles'!N34</f>
        <v>247000</v>
      </c>
      <c r="O24" s="7">
        <f>'LEX - New Vehicles'!O34</f>
        <v>247000</v>
      </c>
      <c r="P24" s="7">
        <f>'LEX - New Vehicles'!P34</f>
        <v>357995</v>
      </c>
      <c r="Q24" s="1"/>
      <c r="R24" s="61"/>
      <c r="S24" s="61">
        <f>SUM(E24:P24)</f>
        <v>3438775</v>
      </c>
    </row>
    <row r="25" spans="1:22" outlineLevel="1" x14ac:dyDescent="0.25">
      <c r="A25" t="s">
        <v>1252</v>
      </c>
      <c r="B25" s="7">
        <f t="shared" ref="B25:B30" si="8">N9</f>
        <v>26353.47</v>
      </c>
      <c r="C25" s="7">
        <f t="shared" si="7"/>
        <v>66397.97000000003</v>
      </c>
      <c r="D25" s="7">
        <f t="shared" si="7"/>
        <v>33072.229999999974</v>
      </c>
      <c r="E25" s="7">
        <f>'LEX - Used Vehicles'!E38</f>
        <v>65000</v>
      </c>
      <c r="F25" s="7">
        <f>'LEX - Used Vehicles'!F38</f>
        <v>65000</v>
      </c>
      <c r="G25" s="7">
        <f>'LEX - Used Vehicles'!G38</f>
        <v>86420</v>
      </c>
      <c r="H25" s="7">
        <f>'LEX - Used Vehicles'!H38</f>
        <v>65000</v>
      </c>
      <c r="I25" s="7">
        <f>'LEX - Used Vehicles'!I38</f>
        <v>65000</v>
      </c>
      <c r="J25" s="7">
        <f>'LEX - Used Vehicles'!J38</f>
        <v>86420</v>
      </c>
      <c r="K25" s="7">
        <f>'LEX - Used Vehicles'!K38</f>
        <v>65000</v>
      </c>
      <c r="L25" s="7">
        <f>'LEX - Used Vehicles'!L38</f>
        <v>65000</v>
      </c>
      <c r="M25" s="7">
        <f>'LEX - Used Vehicles'!M38</f>
        <v>86420</v>
      </c>
      <c r="N25" s="7">
        <f>'LEX - Used Vehicles'!N38</f>
        <v>65000</v>
      </c>
      <c r="O25" s="7">
        <f>'LEX - Used Vehicles'!O38</f>
        <v>65000</v>
      </c>
      <c r="P25" s="7">
        <f>'LEX - Used Vehicles'!P38</f>
        <v>86165</v>
      </c>
      <c r="Q25" s="1"/>
      <c r="R25" s="61"/>
      <c r="S25" s="61">
        <f t="shared" ref="S25:S30" si="9">SUM(E25:P25)</f>
        <v>865425</v>
      </c>
    </row>
    <row r="26" spans="1:22" outlineLevel="1" x14ac:dyDescent="0.25">
      <c r="A26" t="s">
        <v>1253</v>
      </c>
      <c r="B26" s="7">
        <f t="shared" si="8"/>
        <v>27288.48</v>
      </c>
      <c r="C26" s="7">
        <f t="shared" si="7"/>
        <v>21811.52</v>
      </c>
      <c r="D26" s="7">
        <f t="shared" si="7"/>
        <v>61347.42</v>
      </c>
      <c r="E26" s="7">
        <f>'LEX - F&amp;I'!E28</f>
        <v>34950.51619277108</v>
      </c>
      <c r="F26" s="7">
        <f>'LEX - F&amp;I'!F28</f>
        <v>34950.51619277108</v>
      </c>
      <c r="G26" s="7">
        <f>'LEX - F&amp;I'!G28</f>
        <v>70650.516192771087</v>
      </c>
      <c r="H26" s="7">
        <f>'LEX - F&amp;I'!H28</f>
        <v>34950.51619277108</v>
      </c>
      <c r="I26" s="7">
        <f>'LEX - F&amp;I'!I28</f>
        <v>34950.51619277108</v>
      </c>
      <c r="J26" s="7">
        <f>'LEX - F&amp;I'!J28</f>
        <v>70650.516192771087</v>
      </c>
      <c r="K26" s="7">
        <f>'LEX - F&amp;I'!K28</f>
        <v>34950.51619277108</v>
      </c>
      <c r="L26" s="7">
        <f>'LEX - F&amp;I'!L28</f>
        <v>34950.51619277108</v>
      </c>
      <c r="M26" s="7">
        <f>'LEX - F&amp;I'!M28</f>
        <v>70650.516192771087</v>
      </c>
      <c r="N26" s="7">
        <f>'LEX - F&amp;I'!N28</f>
        <v>33245.612963855419</v>
      </c>
      <c r="O26" s="7">
        <f>'LEX - F&amp;I'!O28</f>
        <v>33245.612963855419</v>
      </c>
      <c r="P26" s="7">
        <f>'LEX - F&amp;I'!P28</f>
        <v>72782.871036144585</v>
      </c>
      <c r="R26" s="61"/>
      <c r="S26" s="61">
        <f t="shared" si="9"/>
        <v>560928.74269879528</v>
      </c>
    </row>
    <row r="27" spans="1:22" outlineLevel="1" x14ac:dyDescent="0.25">
      <c r="A27" t="s">
        <v>1254</v>
      </c>
      <c r="B27" s="7">
        <f t="shared" si="8"/>
        <v>7783.4500000000007</v>
      </c>
      <c r="C27" s="7">
        <f t="shared" si="7"/>
        <v>7781.1599999999989</v>
      </c>
      <c r="D27" s="7">
        <f t="shared" si="7"/>
        <v>5687.6299999999992</v>
      </c>
      <c r="E27" s="7">
        <f>'LEX - Parts'!E22</f>
        <v>5705.1491671964086</v>
      </c>
      <c r="F27" s="7">
        <f>'LEX - Parts'!F22</f>
        <v>6483.1240536322821</v>
      </c>
      <c r="G27" s="7">
        <f>'LEX - Parts'!G22</f>
        <v>5316.1617239784709</v>
      </c>
      <c r="H27" s="7">
        <f>'LEX - Parts'!H22</f>
        <v>6483.1240536322821</v>
      </c>
      <c r="I27" s="7">
        <f>'LEX - Parts'!I22</f>
        <v>6353.4615725596359</v>
      </c>
      <c r="J27" s="7">
        <f>'LEX - Parts'!J22</f>
        <v>5964.4741293416992</v>
      </c>
      <c r="K27" s="7">
        <f>'LEX - Parts'!K22</f>
        <v>6223.7990914869906</v>
      </c>
      <c r="L27" s="7">
        <f>'LEX - Parts'!L22</f>
        <v>6094.1366104143463</v>
      </c>
      <c r="M27" s="7">
        <f>'LEX - Parts'!M22</f>
        <v>5705.1491671964086</v>
      </c>
      <c r="N27" s="7">
        <f>'LEX - Parts'!N22</f>
        <v>5705.1491671964086</v>
      </c>
      <c r="O27" s="7">
        <f>'LEX - Parts'!O22</f>
        <v>5445.8242050511162</v>
      </c>
      <c r="P27" s="7">
        <f>'LEX - Parts'!P22</f>
        <v>6094.1366104143463</v>
      </c>
      <c r="S27" s="61">
        <f t="shared" si="9"/>
        <v>71573.689552100404</v>
      </c>
    </row>
    <row r="28" spans="1:22" outlineLevel="1" x14ac:dyDescent="0.25">
      <c r="A28" t="s">
        <v>1255</v>
      </c>
      <c r="B28" s="7">
        <f t="shared" si="8"/>
        <v>50442.150000000009</v>
      </c>
      <c r="C28" s="7">
        <f t="shared" si="7"/>
        <v>51306.57</v>
      </c>
      <c r="D28" s="7">
        <f t="shared" si="7"/>
        <v>64458.93</v>
      </c>
      <c r="E28" s="7" cm="1">
        <f t="array" ref="E28:P28">'LEX - Service'!E36:P36</f>
        <v>64802.693513763319</v>
      </c>
      <c r="F28" s="7">
        <v>73639.42444745831</v>
      </c>
      <c r="G28" s="7">
        <v>60384.32804691582</v>
      </c>
      <c r="H28" s="7">
        <v>73639.42444745831</v>
      </c>
      <c r="I28" s="7">
        <v>72166.635958509156</v>
      </c>
      <c r="J28" s="7">
        <v>67748.270491661649</v>
      </c>
      <c r="K28" s="7">
        <v>70693.847469559973</v>
      </c>
      <c r="L28" s="7">
        <v>69221.058980610833</v>
      </c>
      <c r="M28" s="7">
        <v>64802.693513763319</v>
      </c>
      <c r="N28" s="7">
        <v>64802.693513763319</v>
      </c>
      <c r="O28" s="7">
        <v>61857.116535864989</v>
      </c>
      <c r="P28" s="7">
        <v>69221.058980610833</v>
      </c>
      <c r="R28" s="5"/>
      <c r="S28" s="61">
        <f t="shared" si="9"/>
        <v>812979.24589993991</v>
      </c>
    </row>
    <row r="29" spans="1:22" outlineLevel="1" x14ac:dyDescent="0.25">
      <c r="A29" t="s">
        <v>1312</v>
      </c>
      <c r="B29" s="7">
        <f t="shared" si="8"/>
        <v>27557.989999999998</v>
      </c>
      <c r="C29" s="7">
        <f t="shared" si="7"/>
        <v>34030.450000000004</v>
      </c>
      <c r="D29" s="7">
        <f t="shared" si="7"/>
        <v>30603.61</v>
      </c>
      <c r="E29" s="7">
        <f>'Retail Detailing'!E26</f>
        <v>43654.492856658413</v>
      </c>
      <c r="F29" s="7">
        <f>'Retail Detailing'!F26</f>
        <v>43654.492856658413</v>
      </c>
      <c r="G29" s="7">
        <f>'Retail Detailing'!G26</f>
        <v>43654.492856658413</v>
      </c>
      <c r="H29" s="7">
        <f>'Retail Detailing'!H26</f>
        <v>43654.492856658413</v>
      </c>
      <c r="I29" s="7">
        <f>'Retail Detailing'!I26</f>
        <v>43654.492856658413</v>
      </c>
      <c r="J29" s="7">
        <f>'Retail Detailing'!J26</f>
        <v>43654.492856658413</v>
      </c>
      <c r="K29" s="7">
        <f>'Retail Detailing'!K26</f>
        <v>43654.492856658413</v>
      </c>
      <c r="L29" s="7">
        <f>'Retail Detailing'!L26</f>
        <v>43654.492856658413</v>
      </c>
      <c r="M29" s="7">
        <f>'Retail Detailing'!M26</f>
        <v>43654.492856658413</v>
      </c>
      <c r="N29" s="7">
        <f>'Retail Detailing'!N26</f>
        <v>43654.492856658413</v>
      </c>
      <c r="O29" s="7">
        <f>'Retail Detailing'!O26</f>
        <v>43654.492856658413</v>
      </c>
      <c r="P29" s="7">
        <f>'Retail Detailing'!P26</f>
        <v>43654.492856658413</v>
      </c>
      <c r="R29" s="5"/>
      <c r="S29" s="61">
        <f t="shared" si="9"/>
        <v>523853.91427990096</v>
      </c>
    </row>
    <row r="30" spans="1:22" outlineLevel="1" x14ac:dyDescent="0.25">
      <c r="A30" t="s">
        <v>1313</v>
      </c>
      <c r="B30" s="7">
        <f t="shared" si="8"/>
        <v>95206.099999999991</v>
      </c>
      <c r="C30" s="7">
        <f t="shared" si="7"/>
        <v>84503.669999999984</v>
      </c>
      <c r="D30" s="7">
        <f t="shared" si="7"/>
        <v>93482.450000000012</v>
      </c>
      <c r="E30" s="7" cm="1">
        <f t="array" ref="E30:P30">'Bridgestone Group'!E24:P24</f>
        <v>67968.757580634148</v>
      </c>
      <c r="F30" s="7">
        <v>82914.114696958568</v>
      </c>
      <c r="G30" s="7">
        <v>79656.67885491511</v>
      </c>
      <c r="H30" s="7">
        <v>87167.026431821985</v>
      </c>
      <c r="I30" s="7">
        <v>99551.209988998598</v>
      </c>
      <c r="J30" s="7">
        <v>99916.836934537598</v>
      </c>
      <c r="K30" s="7">
        <v>100387.4387046234</v>
      </c>
      <c r="L30" s="7">
        <v>109829.11089339707</v>
      </c>
      <c r="M30" s="7">
        <v>100718.0740419801</v>
      </c>
      <c r="N30" s="7">
        <v>97513.12561221006</v>
      </c>
      <c r="O30" s="7">
        <v>83787.119961140546</v>
      </c>
      <c r="P30" s="7">
        <v>111030.96655456083</v>
      </c>
      <c r="R30" s="33"/>
      <c r="S30" s="61">
        <f t="shared" si="9"/>
        <v>1120440.4602557779</v>
      </c>
    </row>
    <row r="31" spans="1:22" x14ac:dyDescent="0.25">
      <c r="R31" s="33"/>
    </row>
    <row r="32" spans="1:22" x14ac:dyDescent="0.25">
      <c r="N32" s="7"/>
      <c r="R32" s="33"/>
    </row>
    <row r="33" spans="18:20" x14ac:dyDescent="0.25">
      <c r="R33" s="33"/>
      <c r="S33" s="163"/>
    </row>
    <row r="34" spans="18:20" x14ac:dyDescent="0.25">
      <c r="R34" s="33"/>
    </row>
    <row r="35" spans="18:20" x14ac:dyDescent="0.25">
      <c r="R35" s="33"/>
    </row>
    <row r="36" spans="18:20" x14ac:dyDescent="0.25">
      <c r="R36" s="33"/>
      <c r="S36" s="7">
        <f>'[18]Summary - Overhead Expenses'!$AH$81-S20-'Toyota - Admin'!S18</f>
        <v>0</v>
      </c>
      <c r="T36" s="34" t="s">
        <v>1093</v>
      </c>
    </row>
    <row r="37" spans="18:20" x14ac:dyDescent="0.25">
      <c r="R37" s="33"/>
    </row>
    <row r="38" spans="18:20" x14ac:dyDescent="0.25">
      <c r="R38" s="33"/>
    </row>
    <row r="39" spans="18:20" x14ac:dyDescent="0.25">
      <c r="R39" s="3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2D67A-ED53-48DE-98BC-1D6AACA5D3D0}">
  <dimension ref="A1:U62"/>
  <sheetViews>
    <sheetView workbookViewId="0"/>
  </sheetViews>
  <sheetFormatPr defaultRowHeight="15" x14ac:dyDescent="0.25"/>
  <cols>
    <col min="1" max="1" width="13.7109375" bestFit="1" customWidth="1"/>
    <col min="2" max="2" width="7.5703125" bestFit="1" customWidth="1"/>
    <col min="3" max="3" width="11.42578125" bestFit="1" customWidth="1"/>
    <col min="4" max="4" width="5.140625" bestFit="1" customWidth="1"/>
    <col min="5" max="5" width="38.28515625" bestFit="1" customWidth="1"/>
    <col min="6" max="6" width="8.28515625" bestFit="1" customWidth="1"/>
    <col min="8" max="19" width="9.7109375" bestFit="1" customWidth="1"/>
  </cols>
  <sheetData>
    <row r="1" spans="1:21" x14ac:dyDescent="0.25">
      <c r="A1" s="283" t="s">
        <v>1349</v>
      </c>
      <c r="B1" s="283" t="s">
        <v>1350</v>
      </c>
      <c r="C1" s="283" t="s">
        <v>1351</v>
      </c>
      <c r="D1" s="283" t="s">
        <v>1352</v>
      </c>
      <c r="E1" s="283" t="s">
        <v>1353</v>
      </c>
      <c r="F1" s="283" t="s">
        <v>1354</v>
      </c>
      <c r="H1" s="184">
        <v>45383</v>
      </c>
      <c r="I1" s="184">
        <v>45413</v>
      </c>
      <c r="J1" s="184">
        <v>45444</v>
      </c>
      <c r="K1" s="184">
        <v>45474</v>
      </c>
      <c r="L1" s="184">
        <v>45505</v>
      </c>
      <c r="M1" s="184">
        <v>45536</v>
      </c>
      <c r="N1" s="184">
        <v>45566</v>
      </c>
      <c r="O1" s="184">
        <v>45597</v>
      </c>
      <c r="P1" s="184">
        <v>45627</v>
      </c>
      <c r="Q1" s="184">
        <v>45658</v>
      </c>
      <c r="R1" s="184">
        <v>45689</v>
      </c>
      <c r="S1" s="184">
        <v>45717</v>
      </c>
    </row>
    <row r="2" spans="1:21" x14ac:dyDescent="0.25">
      <c r="A2" t="s">
        <v>1355</v>
      </c>
      <c r="B2" t="s">
        <v>1356</v>
      </c>
      <c r="C2" t="s">
        <v>1357</v>
      </c>
      <c r="D2">
        <v>5</v>
      </c>
      <c r="E2" t="s">
        <v>1358</v>
      </c>
      <c r="F2">
        <v>1</v>
      </c>
      <c r="H2">
        <f>D2-0.5+D3-0.5+D4-0.5+D5-0.5+D6</f>
        <v>22</v>
      </c>
      <c r="I2">
        <f>D7-0.5+D8-0.5+D9-0.5+D10-0.5+D11</f>
        <v>25</v>
      </c>
      <c r="J2">
        <f>D12-0.5+D13-0.5+D14-0.5+D15-0.5+D16-0.5</f>
        <v>20.5</v>
      </c>
      <c r="K2">
        <f>D17-0.5+D18-0.5+D19-0.5+D20-0.5+D21</f>
        <v>25</v>
      </c>
      <c r="L2">
        <f>D22-0.5+D23-0.5+D24-0.5+D25-0.5+D26-0.5</f>
        <v>24.5</v>
      </c>
      <c r="M2">
        <f>D27-0.5+D28-0.5+D29-0.5+D30-0.5+D31</f>
        <v>23</v>
      </c>
      <c r="N2">
        <f>D32-0.5+D33-0.5+D34-0.5+D35-0.5+D36</f>
        <v>24</v>
      </c>
      <c r="O2">
        <f>D37-0.5+D38-0.5+D39-0.5+D40-0.5+D41-0.5</f>
        <v>23.5</v>
      </c>
      <c r="P2">
        <f>D42-0.5+D43-0.5+D44-0.5+D45-0.5+D46</f>
        <v>22</v>
      </c>
      <c r="Q2">
        <f>D47-0.5+D48-0.5+D49-0.5+D50-0.5+D51</f>
        <v>22</v>
      </c>
      <c r="R2">
        <f>D52-0.5+D53-0.5+D54-0.5+D55-0.5+D56</f>
        <v>21</v>
      </c>
      <c r="S2">
        <f>D57-0.5+D58-0.5+D59-0.5+D60-0.5+D61-0.5+D62</f>
        <v>23.5</v>
      </c>
    </row>
    <row r="3" spans="1:21" x14ac:dyDescent="0.25">
      <c r="A3" t="s">
        <v>1355</v>
      </c>
      <c r="B3" t="s">
        <v>1359</v>
      </c>
      <c r="C3" t="s">
        <v>1360</v>
      </c>
      <c r="D3">
        <v>6</v>
      </c>
      <c r="F3">
        <v>0</v>
      </c>
      <c r="H3" s="16">
        <f t="shared" ref="H3:S3" si="0">H2/AVERAGE($H$2:$S$2)</f>
        <v>0.95652173913043481</v>
      </c>
      <c r="I3" s="16">
        <f t="shared" si="0"/>
        <v>1.0869565217391304</v>
      </c>
      <c r="J3" s="16">
        <f t="shared" si="0"/>
        <v>0.89130434782608692</v>
      </c>
      <c r="K3" s="16">
        <f t="shared" si="0"/>
        <v>1.0869565217391304</v>
      </c>
      <c r="L3" s="16">
        <f t="shared" si="0"/>
        <v>1.0652173913043479</v>
      </c>
      <c r="M3" s="16">
        <f t="shared" si="0"/>
        <v>1</v>
      </c>
      <c r="N3" s="16">
        <f t="shared" si="0"/>
        <v>1.0434782608695652</v>
      </c>
      <c r="O3" s="16">
        <f t="shared" si="0"/>
        <v>1.0217391304347827</v>
      </c>
      <c r="P3" s="16">
        <f t="shared" si="0"/>
        <v>0.95652173913043481</v>
      </c>
      <c r="Q3" s="16">
        <f t="shared" si="0"/>
        <v>0.95652173913043481</v>
      </c>
      <c r="R3" s="16">
        <f t="shared" si="0"/>
        <v>0.91304347826086951</v>
      </c>
      <c r="S3" s="16">
        <f t="shared" si="0"/>
        <v>1.0217391304347827</v>
      </c>
      <c r="U3" s="44">
        <f>AVERAGE(H3:S3)</f>
        <v>1.0000000000000002</v>
      </c>
    </row>
    <row r="4" spans="1:21" x14ac:dyDescent="0.25">
      <c r="A4" t="s">
        <v>1355</v>
      </c>
      <c r="B4" t="s">
        <v>1361</v>
      </c>
      <c r="C4" t="s">
        <v>1362</v>
      </c>
      <c r="D4">
        <v>6</v>
      </c>
      <c r="F4">
        <v>0</v>
      </c>
    </row>
    <row r="5" spans="1:21" x14ac:dyDescent="0.25">
      <c r="A5" t="s">
        <v>1355</v>
      </c>
      <c r="B5" t="s">
        <v>1363</v>
      </c>
      <c r="C5" t="s">
        <v>1364</v>
      </c>
      <c r="D5">
        <v>5</v>
      </c>
      <c r="E5" t="s">
        <v>1365</v>
      </c>
      <c r="F5">
        <v>1</v>
      </c>
    </row>
    <row r="6" spans="1:21" x14ac:dyDescent="0.25">
      <c r="A6" t="s">
        <v>1355</v>
      </c>
      <c r="B6" t="s">
        <v>1366</v>
      </c>
      <c r="C6" t="s">
        <v>1367</v>
      </c>
      <c r="D6">
        <v>2</v>
      </c>
      <c r="F6">
        <v>0</v>
      </c>
    </row>
    <row r="7" spans="1:21" x14ac:dyDescent="0.25">
      <c r="A7" t="s">
        <v>1368</v>
      </c>
      <c r="B7" t="s">
        <v>1356</v>
      </c>
      <c r="C7" t="s">
        <v>1369</v>
      </c>
      <c r="D7">
        <v>4</v>
      </c>
      <c r="F7">
        <v>0</v>
      </c>
    </row>
    <row r="8" spans="1:21" x14ac:dyDescent="0.25">
      <c r="A8" t="s">
        <v>1368</v>
      </c>
      <c r="B8" t="s">
        <v>1359</v>
      </c>
      <c r="C8" t="s">
        <v>1370</v>
      </c>
      <c r="D8">
        <v>6</v>
      </c>
      <c r="F8">
        <v>0</v>
      </c>
    </row>
    <row r="9" spans="1:21" x14ac:dyDescent="0.25">
      <c r="A9" t="s">
        <v>1368</v>
      </c>
      <c r="B9" t="s">
        <v>1361</v>
      </c>
      <c r="C9" t="s">
        <v>1371</v>
      </c>
      <c r="D9">
        <v>6</v>
      </c>
      <c r="F9">
        <v>0</v>
      </c>
    </row>
    <row r="10" spans="1:21" x14ac:dyDescent="0.25">
      <c r="A10" t="s">
        <v>1368</v>
      </c>
      <c r="B10" t="s">
        <v>1363</v>
      </c>
      <c r="C10" t="s">
        <v>1372</v>
      </c>
      <c r="D10">
        <v>6</v>
      </c>
      <c r="F10">
        <v>0</v>
      </c>
    </row>
    <row r="11" spans="1:21" x14ac:dyDescent="0.25">
      <c r="A11" t="s">
        <v>1368</v>
      </c>
      <c r="B11" t="s">
        <v>1366</v>
      </c>
      <c r="C11" t="s">
        <v>1373</v>
      </c>
      <c r="D11">
        <v>5</v>
      </c>
      <c r="F11">
        <v>0</v>
      </c>
    </row>
    <row r="12" spans="1:21" x14ac:dyDescent="0.25">
      <c r="A12" t="s">
        <v>1374</v>
      </c>
      <c r="B12" t="s">
        <v>1356</v>
      </c>
      <c r="C12" t="s">
        <v>1375</v>
      </c>
      <c r="D12">
        <v>1</v>
      </c>
      <c r="F12">
        <v>0</v>
      </c>
    </row>
    <row r="13" spans="1:21" x14ac:dyDescent="0.25">
      <c r="A13" t="s">
        <v>1374</v>
      </c>
      <c r="B13" t="s">
        <v>1359</v>
      </c>
      <c r="C13" t="s">
        <v>1376</v>
      </c>
      <c r="D13">
        <v>5</v>
      </c>
      <c r="E13" t="s">
        <v>1377</v>
      </c>
      <c r="F13">
        <v>1</v>
      </c>
    </row>
    <row r="14" spans="1:21" x14ac:dyDescent="0.25">
      <c r="A14" t="s">
        <v>1374</v>
      </c>
      <c r="B14" t="s">
        <v>1361</v>
      </c>
      <c r="C14" t="s">
        <v>1378</v>
      </c>
      <c r="D14">
        <v>6</v>
      </c>
      <c r="F14">
        <v>0</v>
      </c>
    </row>
    <row r="15" spans="1:21" x14ac:dyDescent="0.25">
      <c r="A15" t="s">
        <v>1374</v>
      </c>
      <c r="B15" t="s">
        <v>1363</v>
      </c>
      <c r="C15" t="s">
        <v>1379</v>
      </c>
      <c r="D15">
        <v>6</v>
      </c>
      <c r="F15">
        <v>0</v>
      </c>
    </row>
    <row r="16" spans="1:21" x14ac:dyDescent="0.25">
      <c r="A16" t="s">
        <v>1374</v>
      </c>
      <c r="B16" t="s">
        <v>1366</v>
      </c>
      <c r="C16" t="s">
        <v>1380</v>
      </c>
      <c r="D16">
        <v>5</v>
      </c>
      <c r="E16" t="s">
        <v>1381</v>
      </c>
      <c r="F16">
        <v>1</v>
      </c>
    </row>
    <row r="17" spans="1:6" x14ac:dyDescent="0.25">
      <c r="A17" t="s">
        <v>1382</v>
      </c>
      <c r="B17" t="s">
        <v>1356</v>
      </c>
      <c r="C17" t="s">
        <v>1383</v>
      </c>
      <c r="D17">
        <v>6</v>
      </c>
      <c r="F17">
        <v>0</v>
      </c>
    </row>
    <row r="18" spans="1:6" x14ac:dyDescent="0.25">
      <c r="A18" t="s">
        <v>1382</v>
      </c>
      <c r="B18" t="s">
        <v>1359</v>
      </c>
      <c r="C18" t="s">
        <v>1360</v>
      </c>
      <c r="D18">
        <v>6</v>
      </c>
      <c r="F18">
        <v>0</v>
      </c>
    </row>
    <row r="19" spans="1:6" x14ac:dyDescent="0.25">
      <c r="A19" t="s">
        <v>1382</v>
      </c>
      <c r="B19" t="s">
        <v>1361</v>
      </c>
      <c r="C19" t="s">
        <v>1362</v>
      </c>
      <c r="D19">
        <v>6</v>
      </c>
      <c r="F19">
        <v>0</v>
      </c>
    </row>
    <row r="20" spans="1:6" x14ac:dyDescent="0.25">
      <c r="A20" t="s">
        <v>1382</v>
      </c>
      <c r="B20" t="s">
        <v>1363</v>
      </c>
      <c r="C20" t="s">
        <v>1384</v>
      </c>
      <c r="D20">
        <v>6</v>
      </c>
      <c r="F20">
        <v>0</v>
      </c>
    </row>
    <row r="21" spans="1:6" x14ac:dyDescent="0.25">
      <c r="A21" t="s">
        <v>1382</v>
      </c>
      <c r="B21" t="s">
        <v>1366</v>
      </c>
      <c r="C21" t="s">
        <v>1385</v>
      </c>
      <c r="D21">
        <v>3</v>
      </c>
      <c r="F21">
        <v>0</v>
      </c>
    </row>
    <row r="22" spans="1:6" x14ac:dyDescent="0.25">
      <c r="A22" t="s">
        <v>1386</v>
      </c>
      <c r="B22" t="s">
        <v>1356</v>
      </c>
      <c r="C22" t="s">
        <v>1387</v>
      </c>
      <c r="D22">
        <v>3</v>
      </c>
      <c r="F22">
        <v>0</v>
      </c>
    </row>
    <row r="23" spans="1:6" x14ac:dyDescent="0.25">
      <c r="A23" t="s">
        <v>1386</v>
      </c>
      <c r="B23" t="s">
        <v>1359</v>
      </c>
      <c r="C23" t="s">
        <v>1388</v>
      </c>
      <c r="D23">
        <v>6</v>
      </c>
      <c r="F23">
        <v>0</v>
      </c>
    </row>
    <row r="24" spans="1:6" x14ac:dyDescent="0.25">
      <c r="A24" t="s">
        <v>1386</v>
      </c>
      <c r="B24" t="s">
        <v>1361</v>
      </c>
      <c r="C24" t="s">
        <v>1389</v>
      </c>
      <c r="D24">
        <v>6</v>
      </c>
      <c r="F24">
        <v>0</v>
      </c>
    </row>
    <row r="25" spans="1:6" x14ac:dyDescent="0.25">
      <c r="A25" t="s">
        <v>1386</v>
      </c>
      <c r="B25" t="s">
        <v>1363</v>
      </c>
      <c r="C25" t="s">
        <v>1390</v>
      </c>
      <c r="D25">
        <v>6</v>
      </c>
      <c r="F25">
        <v>0</v>
      </c>
    </row>
    <row r="26" spans="1:6" x14ac:dyDescent="0.25">
      <c r="A26" t="s">
        <v>1386</v>
      </c>
      <c r="B26" t="s">
        <v>1366</v>
      </c>
      <c r="C26" t="s">
        <v>1391</v>
      </c>
      <c r="D26">
        <v>6</v>
      </c>
      <c r="F26">
        <v>0</v>
      </c>
    </row>
    <row r="27" spans="1:6" x14ac:dyDescent="0.25">
      <c r="A27" t="s">
        <v>1392</v>
      </c>
      <c r="B27" t="s">
        <v>1356</v>
      </c>
      <c r="C27" t="s">
        <v>1393</v>
      </c>
      <c r="D27">
        <v>6</v>
      </c>
      <c r="F27">
        <v>0</v>
      </c>
    </row>
    <row r="28" spans="1:6" x14ac:dyDescent="0.25">
      <c r="A28" t="s">
        <v>1392</v>
      </c>
      <c r="B28" t="s">
        <v>1359</v>
      </c>
      <c r="C28" t="s">
        <v>1394</v>
      </c>
      <c r="D28">
        <v>6</v>
      </c>
      <c r="F28">
        <v>0</v>
      </c>
    </row>
    <row r="29" spans="1:6" x14ac:dyDescent="0.25">
      <c r="A29" t="s">
        <v>1392</v>
      </c>
      <c r="B29" t="s">
        <v>1361</v>
      </c>
      <c r="C29" t="s">
        <v>1395</v>
      </c>
      <c r="D29">
        <v>6</v>
      </c>
      <c r="F29">
        <v>0</v>
      </c>
    </row>
    <row r="30" spans="1:6" x14ac:dyDescent="0.25">
      <c r="A30" t="s">
        <v>1392</v>
      </c>
      <c r="B30" t="s">
        <v>1363</v>
      </c>
      <c r="C30" t="s">
        <v>1396</v>
      </c>
      <c r="D30">
        <v>6</v>
      </c>
      <c r="F30">
        <v>0</v>
      </c>
    </row>
    <row r="31" spans="1:6" x14ac:dyDescent="0.25">
      <c r="A31" t="s">
        <v>1392</v>
      </c>
      <c r="B31" t="s">
        <v>1366</v>
      </c>
      <c r="C31" t="s">
        <v>1397</v>
      </c>
      <c r="D31">
        <v>1</v>
      </c>
      <c r="F31">
        <v>0</v>
      </c>
    </row>
    <row r="32" spans="1:6" x14ac:dyDescent="0.25">
      <c r="A32" t="s">
        <v>1398</v>
      </c>
      <c r="B32" t="s">
        <v>1356</v>
      </c>
      <c r="C32" t="s">
        <v>1399</v>
      </c>
      <c r="D32">
        <v>5</v>
      </c>
      <c r="F32">
        <v>0</v>
      </c>
    </row>
    <row r="33" spans="1:6" x14ac:dyDescent="0.25">
      <c r="A33" t="s">
        <v>1398</v>
      </c>
      <c r="B33" t="s">
        <v>1359</v>
      </c>
      <c r="C33" t="s">
        <v>1400</v>
      </c>
      <c r="D33">
        <v>6</v>
      </c>
      <c r="F33">
        <v>0</v>
      </c>
    </row>
    <row r="34" spans="1:6" x14ac:dyDescent="0.25">
      <c r="A34" t="s">
        <v>1398</v>
      </c>
      <c r="B34" t="s">
        <v>1361</v>
      </c>
      <c r="C34" t="s">
        <v>1401</v>
      </c>
      <c r="D34">
        <v>6</v>
      </c>
      <c r="F34">
        <v>0</v>
      </c>
    </row>
    <row r="35" spans="1:6" x14ac:dyDescent="0.25">
      <c r="A35" t="s">
        <v>1398</v>
      </c>
      <c r="B35" t="s">
        <v>1363</v>
      </c>
      <c r="C35" t="s">
        <v>1402</v>
      </c>
      <c r="D35">
        <v>6</v>
      </c>
      <c r="F35">
        <v>0</v>
      </c>
    </row>
    <row r="36" spans="1:6" x14ac:dyDescent="0.25">
      <c r="A36" t="s">
        <v>1398</v>
      </c>
      <c r="B36" t="s">
        <v>1366</v>
      </c>
      <c r="C36" t="s">
        <v>1385</v>
      </c>
      <c r="D36">
        <v>3</v>
      </c>
      <c r="E36" t="s">
        <v>1403</v>
      </c>
      <c r="F36">
        <v>1</v>
      </c>
    </row>
    <row r="37" spans="1:6" x14ac:dyDescent="0.25">
      <c r="A37" t="s">
        <v>1404</v>
      </c>
      <c r="B37" t="s">
        <v>1356</v>
      </c>
      <c r="C37" t="s">
        <v>1405</v>
      </c>
      <c r="D37">
        <v>2</v>
      </c>
      <c r="F37">
        <v>0</v>
      </c>
    </row>
    <row r="38" spans="1:6" x14ac:dyDescent="0.25">
      <c r="A38" t="s">
        <v>1404</v>
      </c>
      <c r="B38" t="s">
        <v>1359</v>
      </c>
      <c r="C38" t="s">
        <v>1406</v>
      </c>
      <c r="D38">
        <v>6</v>
      </c>
      <c r="F38">
        <v>0</v>
      </c>
    </row>
    <row r="39" spans="1:6" x14ac:dyDescent="0.25">
      <c r="A39" t="s">
        <v>1404</v>
      </c>
      <c r="B39" t="s">
        <v>1361</v>
      </c>
      <c r="C39" t="s">
        <v>1407</v>
      </c>
      <c r="D39">
        <v>6</v>
      </c>
      <c r="F39">
        <v>0</v>
      </c>
    </row>
    <row r="40" spans="1:6" x14ac:dyDescent="0.25">
      <c r="A40" t="s">
        <v>1404</v>
      </c>
      <c r="B40" t="s">
        <v>1363</v>
      </c>
      <c r="C40" t="s">
        <v>1408</v>
      </c>
      <c r="D40">
        <v>6</v>
      </c>
      <c r="F40">
        <v>0</v>
      </c>
    </row>
    <row r="41" spans="1:6" x14ac:dyDescent="0.25">
      <c r="A41" t="s">
        <v>1404</v>
      </c>
      <c r="B41" t="s">
        <v>1366</v>
      </c>
      <c r="C41" t="s">
        <v>1409</v>
      </c>
      <c r="D41">
        <v>6</v>
      </c>
      <c r="F41">
        <v>0</v>
      </c>
    </row>
    <row r="42" spans="1:6" x14ac:dyDescent="0.25">
      <c r="A42" t="s">
        <v>1410</v>
      </c>
      <c r="B42" t="s">
        <v>1356</v>
      </c>
      <c r="C42" t="s">
        <v>1393</v>
      </c>
      <c r="D42">
        <v>6</v>
      </c>
      <c r="F42">
        <v>0</v>
      </c>
    </row>
    <row r="43" spans="1:6" x14ac:dyDescent="0.25">
      <c r="A43" t="s">
        <v>1410</v>
      </c>
      <c r="B43" t="s">
        <v>1359</v>
      </c>
      <c r="C43" t="s">
        <v>1394</v>
      </c>
      <c r="D43">
        <v>6</v>
      </c>
      <c r="F43">
        <v>0</v>
      </c>
    </row>
    <row r="44" spans="1:6" x14ac:dyDescent="0.25">
      <c r="A44" t="s">
        <v>1410</v>
      </c>
      <c r="B44" t="s">
        <v>1361</v>
      </c>
      <c r="C44" t="s">
        <v>1395</v>
      </c>
      <c r="D44">
        <v>6</v>
      </c>
      <c r="F44">
        <v>0</v>
      </c>
    </row>
    <row r="45" spans="1:6" x14ac:dyDescent="0.25">
      <c r="A45" t="s">
        <v>1410</v>
      </c>
      <c r="B45" t="s">
        <v>1363</v>
      </c>
      <c r="C45" t="s">
        <v>1411</v>
      </c>
      <c r="D45">
        <v>4</v>
      </c>
      <c r="E45" t="s">
        <v>1412</v>
      </c>
      <c r="F45">
        <v>2</v>
      </c>
    </row>
    <row r="46" spans="1:6" x14ac:dyDescent="0.25">
      <c r="A46" t="s">
        <v>1410</v>
      </c>
      <c r="B46" t="s">
        <v>1366</v>
      </c>
      <c r="C46" t="s">
        <v>1413</v>
      </c>
      <c r="D46">
        <v>2</v>
      </c>
      <c r="F46">
        <v>0</v>
      </c>
    </row>
    <row r="47" spans="1:6" x14ac:dyDescent="0.25">
      <c r="A47" t="s">
        <v>1414</v>
      </c>
      <c r="B47" t="s">
        <v>1356</v>
      </c>
      <c r="C47" t="s">
        <v>1415</v>
      </c>
      <c r="D47">
        <v>2</v>
      </c>
      <c r="E47" t="s">
        <v>1416</v>
      </c>
      <c r="F47">
        <v>2</v>
      </c>
    </row>
    <row r="48" spans="1:6" x14ac:dyDescent="0.25">
      <c r="A48" t="s">
        <v>1414</v>
      </c>
      <c r="B48" t="s">
        <v>1359</v>
      </c>
      <c r="C48" t="s">
        <v>1370</v>
      </c>
      <c r="D48">
        <v>6</v>
      </c>
      <c r="F48">
        <v>0</v>
      </c>
    </row>
    <row r="49" spans="1:6" x14ac:dyDescent="0.25">
      <c r="A49" t="s">
        <v>1414</v>
      </c>
      <c r="B49" t="s">
        <v>1361</v>
      </c>
      <c r="C49" t="s">
        <v>1371</v>
      </c>
      <c r="D49">
        <v>6</v>
      </c>
      <c r="F49">
        <v>0</v>
      </c>
    </row>
    <row r="50" spans="1:6" x14ac:dyDescent="0.25">
      <c r="A50" t="s">
        <v>1414</v>
      </c>
      <c r="B50" t="s">
        <v>1363</v>
      </c>
      <c r="C50" t="s">
        <v>1372</v>
      </c>
      <c r="D50">
        <v>6</v>
      </c>
      <c r="F50">
        <v>0</v>
      </c>
    </row>
    <row r="51" spans="1:6" x14ac:dyDescent="0.25">
      <c r="A51" t="s">
        <v>1414</v>
      </c>
      <c r="B51" t="s">
        <v>1366</v>
      </c>
      <c r="C51" t="s">
        <v>1417</v>
      </c>
      <c r="D51">
        <v>4</v>
      </c>
      <c r="E51" t="s">
        <v>1418</v>
      </c>
      <c r="F51">
        <v>1</v>
      </c>
    </row>
    <row r="52" spans="1:6" x14ac:dyDescent="0.25">
      <c r="A52" t="s">
        <v>1419</v>
      </c>
      <c r="B52" t="s">
        <v>1356</v>
      </c>
      <c r="C52" t="s">
        <v>1375</v>
      </c>
      <c r="D52">
        <v>1</v>
      </c>
      <c r="F52">
        <v>0</v>
      </c>
    </row>
    <row r="53" spans="1:6" x14ac:dyDescent="0.25">
      <c r="A53" t="s">
        <v>1419</v>
      </c>
      <c r="B53" t="s">
        <v>1359</v>
      </c>
      <c r="C53" t="s">
        <v>1420</v>
      </c>
      <c r="D53">
        <v>5</v>
      </c>
      <c r="E53" t="s">
        <v>1421</v>
      </c>
      <c r="F53">
        <v>1</v>
      </c>
    </row>
    <row r="54" spans="1:6" x14ac:dyDescent="0.25">
      <c r="A54" t="s">
        <v>1419</v>
      </c>
      <c r="B54" t="s">
        <v>1361</v>
      </c>
      <c r="C54" t="s">
        <v>1378</v>
      </c>
      <c r="D54">
        <v>6</v>
      </c>
      <c r="F54">
        <v>0</v>
      </c>
    </row>
    <row r="55" spans="1:6" x14ac:dyDescent="0.25">
      <c r="A55" t="s">
        <v>1419</v>
      </c>
      <c r="B55" t="s">
        <v>1363</v>
      </c>
      <c r="C55" t="s">
        <v>1379</v>
      </c>
      <c r="D55">
        <v>6</v>
      </c>
      <c r="F55">
        <v>0</v>
      </c>
    </row>
    <row r="56" spans="1:6" x14ac:dyDescent="0.25">
      <c r="A56" t="s">
        <v>1419</v>
      </c>
      <c r="B56" t="s">
        <v>1366</v>
      </c>
      <c r="C56" t="s">
        <v>1422</v>
      </c>
      <c r="D56">
        <v>5</v>
      </c>
      <c r="F56">
        <v>0</v>
      </c>
    </row>
    <row r="57" spans="1:6" x14ac:dyDescent="0.25">
      <c r="A57" t="s">
        <v>1423</v>
      </c>
      <c r="B57" t="s">
        <v>1356</v>
      </c>
      <c r="C57" t="s">
        <v>1375</v>
      </c>
      <c r="D57">
        <v>1</v>
      </c>
      <c r="F57">
        <v>0</v>
      </c>
    </row>
    <row r="58" spans="1:6" x14ac:dyDescent="0.25">
      <c r="A58" t="s">
        <v>1423</v>
      </c>
      <c r="B58" t="s">
        <v>1359</v>
      </c>
      <c r="C58" t="s">
        <v>1424</v>
      </c>
      <c r="D58">
        <v>6</v>
      </c>
      <c r="F58">
        <v>0</v>
      </c>
    </row>
    <row r="59" spans="1:6" x14ac:dyDescent="0.25">
      <c r="A59" t="s">
        <v>1423</v>
      </c>
      <c r="B59" t="s">
        <v>1361</v>
      </c>
      <c r="C59" t="s">
        <v>1378</v>
      </c>
      <c r="D59">
        <v>6</v>
      </c>
      <c r="F59">
        <v>0</v>
      </c>
    </row>
    <row r="60" spans="1:6" x14ac:dyDescent="0.25">
      <c r="A60" t="s">
        <v>1423</v>
      </c>
      <c r="B60" t="s">
        <v>1363</v>
      </c>
      <c r="C60" t="s">
        <v>1379</v>
      </c>
      <c r="D60">
        <v>6</v>
      </c>
      <c r="F60">
        <v>0</v>
      </c>
    </row>
    <row r="61" spans="1:6" x14ac:dyDescent="0.25">
      <c r="A61" t="s">
        <v>1423</v>
      </c>
      <c r="B61" t="s">
        <v>1366</v>
      </c>
      <c r="C61" t="s">
        <v>1425</v>
      </c>
      <c r="D61">
        <v>6</v>
      </c>
      <c r="F61">
        <v>0</v>
      </c>
    </row>
    <row r="62" spans="1:6" x14ac:dyDescent="0.25">
      <c r="A62" t="s">
        <v>1423</v>
      </c>
      <c r="B62" t="s">
        <v>1426</v>
      </c>
      <c r="C62" t="s">
        <v>1427</v>
      </c>
      <c r="D62">
        <v>1</v>
      </c>
      <c r="F62">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08555261-89a9-4972-b816-b52b4d248888">
      <UserInfo>
        <DisplayName>Matt Oxnam</DisplayName>
        <AccountId>41</AccountId>
        <AccountType/>
      </UserInfo>
      <UserInfo>
        <DisplayName>Mark Jago</DisplayName>
        <AccountId>13</AccountId>
        <AccountType/>
      </UserInfo>
    </SharedWithUser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97DFC4C9A1543C4387DCD1B1B1140F58" ma:contentTypeVersion="13" ma:contentTypeDescription="Create a new document." ma:contentTypeScope="" ma:versionID="af30ee93757eb95713b2755d3ece8c6d">
  <xsd:schema xmlns:xsd="http://www.w3.org/2001/XMLSchema" xmlns:xs="http://www.w3.org/2001/XMLSchema" xmlns:p="http://schemas.microsoft.com/office/2006/metadata/properties" xmlns:ns2="b23855be-dcb9-4ae9-8aaf-eb4540158cf9" xmlns:ns3="08555261-89a9-4972-b816-b52b4d248888" targetNamespace="http://schemas.microsoft.com/office/2006/metadata/properties" ma:root="true" ma:fieldsID="50b4c8ae9d3eacb7c947f5e32cb6f81f" ns2:_="" ns3:_="">
    <xsd:import namespace="b23855be-dcb9-4ae9-8aaf-eb4540158cf9"/>
    <xsd:import namespace="08555261-89a9-4972-b816-b52b4d24888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3855be-dcb9-4ae9-8aaf-eb4540158c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8555261-89a9-4972-b816-b52b4d24888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B5BBCD7-0494-48B8-A4C3-306F42A2FA8D}">
  <ds:schemaRefs>
    <ds:schemaRef ds:uri="http://schemas.microsoft.com/DataMashup"/>
  </ds:schemaRefs>
</ds:datastoreItem>
</file>

<file path=customXml/itemProps2.xml><?xml version="1.0" encoding="utf-8"?>
<ds:datastoreItem xmlns:ds="http://schemas.openxmlformats.org/officeDocument/2006/customXml" ds:itemID="{973912A3-ECCA-4501-A0DF-902A91E59A43}">
  <ds:schemaRefs>
    <ds:schemaRef ds:uri="http://schemas.microsoft.com/sharepoint/v3/contenttype/forms"/>
  </ds:schemaRefs>
</ds:datastoreItem>
</file>

<file path=customXml/itemProps3.xml><?xml version="1.0" encoding="utf-8"?>
<ds:datastoreItem xmlns:ds="http://schemas.openxmlformats.org/officeDocument/2006/customXml" ds:itemID="{A9F9AC4E-B0BB-4607-A17F-750EEE3D2E74}">
  <ds:schemaRefs>
    <ds:schemaRef ds:uri="http://schemas.microsoft.com/office/2006/metadata/properties"/>
    <ds:schemaRef ds:uri="http://schemas.microsoft.com/office/infopath/2007/PartnerControls"/>
    <ds:schemaRef ds:uri="08555261-89a9-4972-b816-b52b4d248888"/>
  </ds:schemaRefs>
</ds:datastoreItem>
</file>

<file path=customXml/itemProps4.xml><?xml version="1.0" encoding="utf-8"?>
<ds:datastoreItem xmlns:ds="http://schemas.openxmlformats.org/officeDocument/2006/customXml" ds:itemID="{1A3D40D9-8121-4E82-97B4-D8A4402BD4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3855be-dcb9-4ae9-8aaf-eb4540158cf9"/>
    <ds:schemaRef ds:uri="08555261-89a9-4972-b816-b52b4d24888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FY 2024</vt:lpstr>
      <vt:lpstr>FY 2023</vt:lpstr>
      <vt:lpstr>Assumption</vt:lpstr>
      <vt:lpstr>Overall </vt:lpstr>
      <vt:lpstr>Overall - Toyota</vt:lpstr>
      <vt:lpstr>Overall - lexus</vt:lpstr>
      <vt:lpstr>FEF Incentive Forecast FY2025</vt:lpstr>
      <vt:lpstr>Commission OLD vs NEW</vt:lpstr>
      <vt:lpstr>New Vehicles - Group</vt:lpstr>
      <vt:lpstr>New Vehicles - NS</vt:lpstr>
      <vt:lpstr>New Vehicles - NW</vt:lpstr>
      <vt:lpstr>Used Vehicles - Group</vt:lpstr>
      <vt:lpstr>Used Vehicles - NS 5</vt:lpstr>
      <vt:lpstr>Used Vehicles - NS 6</vt:lpstr>
      <vt:lpstr>Used Vehicles - NW</vt:lpstr>
      <vt:lpstr>F&amp;I</vt:lpstr>
      <vt:lpstr>F&amp;I - NS </vt:lpstr>
      <vt:lpstr>F&amp;I - NW</vt:lpstr>
      <vt:lpstr>Parts - Group </vt:lpstr>
      <vt:lpstr>Parts - 130</vt:lpstr>
      <vt:lpstr>Parts - 230</vt:lpstr>
      <vt:lpstr>Parts - 330</vt:lpstr>
      <vt:lpstr>Parts - 430</vt:lpstr>
      <vt:lpstr>Service - Group </vt:lpstr>
      <vt:lpstr>Service - 140 </vt:lpstr>
      <vt:lpstr>Service - 240</vt:lpstr>
      <vt:lpstr>Service - 340</vt:lpstr>
      <vt:lpstr>Service - 440</vt:lpstr>
      <vt:lpstr>Toyota - Admin</vt:lpstr>
      <vt:lpstr>LEF Incentive Forecast FY2025</vt:lpstr>
      <vt:lpstr>LEX - New Vehicles</vt:lpstr>
      <vt:lpstr>LEX - Used Vehicles</vt:lpstr>
      <vt:lpstr>LEX - F&amp;I</vt:lpstr>
      <vt:lpstr>LEX - Parts</vt:lpstr>
      <vt:lpstr>LEX - Service</vt:lpstr>
      <vt:lpstr>Bridgestone Group</vt:lpstr>
      <vt:lpstr>Bridgestone 935</vt:lpstr>
      <vt:lpstr>Bridgestone 936</vt:lpstr>
      <vt:lpstr>Retail Detailing</vt:lpstr>
      <vt:lpstr>Other - Admin</vt:lpstr>
      <vt:lpstr>Working date cal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Peter Sun</dc:creator>
  <cp:keywords/>
  <dc:description/>
  <cp:lastModifiedBy>Alvin Chen</cp:lastModifiedBy>
  <cp:revision/>
  <dcterms:created xsi:type="dcterms:W3CDTF">2023-11-16T01:58:12Z</dcterms:created>
  <dcterms:modified xsi:type="dcterms:W3CDTF">2024-04-16T03:16:20Z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0x01010097DFC4C9A1543C4387DCD1B1B1140F58</vt:lpwstr>
  </property>
</Properties>
</file>