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0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8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9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0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1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2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3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4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5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6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7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8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9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0.xml" ContentType="application/vnd.openxmlformats-officedocument.themeOverrid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2.xml" ContentType="application/vnd.openxmlformats-officedocument.themeOverrid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cords\CC月报\"/>
    </mc:Choice>
  </mc:AlternateContent>
  <bookViews>
    <workbookView xWindow="0" yWindow="0" windowWidth="28800" windowHeight="12540" activeTab="1"/>
  </bookViews>
  <sheets>
    <sheet name="用户" sheetId="1" r:id="rId1"/>
    <sheet name="图-用户-公式" sheetId="7" r:id="rId2"/>
    <sheet name="新用户" sheetId="2" r:id="rId3"/>
    <sheet name="图-新用户-公式" sheetId="8" r:id="rId4"/>
    <sheet name="活跃" sheetId="4" r:id="rId5"/>
    <sheet name="图-活跃-公式" sheetId="10" r:id="rId6"/>
    <sheet name="终端" sheetId="5" r:id="rId7"/>
    <sheet name="图-终端-公式" sheetId="12" r:id="rId8"/>
  </sheets>
  <externalReferences>
    <externalReference r:id="rId9"/>
    <externalReference r:id="rId10"/>
    <externalReference r:id="rId11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4" i="12" l="1"/>
  <c r="E234" i="12"/>
  <c r="D234" i="12"/>
  <c r="C234" i="12"/>
  <c r="B234" i="12"/>
  <c r="A234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F231" i="12"/>
  <c r="E231" i="12"/>
  <c r="D231" i="12"/>
  <c r="C231" i="12"/>
  <c r="B231" i="12"/>
  <c r="A231" i="12"/>
  <c r="F230" i="12"/>
  <c r="E230" i="12"/>
  <c r="D230" i="12"/>
  <c r="C230" i="12"/>
  <c r="B230" i="12"/>
  <c r="A230" i="12"/>
  <c r="F229" i="12"/>
  <c r="E229" i="12"/>
  <c r="D229" i="12"/>
  <c r="C229" i="12"/>
  <c r="B229" i="12"/>
  <c r="A229" i="12"/>
  <c r="F228" i="12"/>
  <c r="E228" i="12"/>
  <c r="D228" i="12"/>
  <c r="C228" i="12"/>
  <c r="B228" i="12"/>
  <c r="A228" i="12"/>
  <c r="F227" i="12"/>
  <c r="E227" i="12"/>
  <c r="D227" i="12"/>
  <c r="C227" i="12"/>
  <c r="B227" i="12"/>
  <c r="A227" i="12"/>
  <c r="F226" i="12"/>
  <c r="E226" i="12"/>
  <c r="D226" i="12"/>
  <c r="C226" i="12"/>
  <c r="B226" i="12"/>
  <c r="A226" i="12"/>
  <c r="E225" i="12"/>
  <c r="D225" i="12"/>
  <c r="C225" i="12"/>
  <c r="B225" i="12"/>
  <c r="E223" i="12"/>
  <c r="C223" i="12"/>
  <c r="I202" i="12"/>
  <c r="H202" i="12"/>
  <c r="G202" i="12"/>
  <c r="F202" i="12"/>
  <c r="E202" i="12"/>
  <c r="D202" i="12"/>
  <c r="I201" i="12"/>
  <c r="H201" i="12"/>
  <c r="G201" i="12"/>
  <c r="F201" i="12"/>
  <c r="E201" i="12"/>
  <c r="D201" i="12"/>
  <c r="I200" i="12"/>
  <c r="H200" i="12"/>
  <c r="G200" i="12"/>
  <c r="F200" i="12"/>
  <c r="E200" i="12"/>
  <c r="D200" i="12"/>
  <c r="I199" i="12"/>
  <c r="H199" i="12"/>
  <c r="G199" i="12"/>
  <c r="F199" i="12"/>
  <c r="E199" i="12"/>
  <c r="D199" i="12"/>
  <c r="D196" i="12"/>
  <c r="C196" i="12"/>
  <c r="A196" i="12"/>
  <c r="D195" i="12"/>
  <c r="C195" i="12"/>
  <c r="A195" i="12"/>
  <c r="D194" i="12"/>
  <c r="C194" i="12"/>
  <c r="A194" i="12"/>
  <c r="D193" i="12"/>
  <c r="C193" i="12"/>
  <c r="A193" i="12"/>
  <c r="D192" i="12"/>
  <c r="C192" i="12"/>
  <c r="A192" i="12"/>
  <c r="D191" i="12"/>
  <c r="C191" i="12"/>
  <c r="A191" i="12"/>
  <c r="D190" i="12"/>
  <c r="C190" i="12"/>
  <c r="A190" i="12"/>
  <c r="D189" i="12"/>
  <c r="C189" i="12"/>
  <c r="A189" i="12"/>
  <c r="D188" i="12"/>
  <c r="C188" i="12"/>
  <c r="A188" i="12"/>
  <c r="D187" i="12"/>
  <c r="C187" i="12"/>
  <c r="A187" i="12"/>
  <c r="D186" i="12"/>
  <c r="C186" i="12"/>
  <c r="F185" i="12"/>
  <c r="E185" i="12"/>
  <c r="D185" i="12"/>
  <c r="C185" i="12"/>
  <c r="F183" i="12"/>
  <c r="E183" i="12"/>
  <c r="D183" i="12"/>
  <c r="B162" i="12"/>
  <c r="I138" i="12"/>
  <c r="H138" i="12"/>
  <c r="G138" i="12"/>
  <c r="F138" i="12"/>
  <c r="E138" i="12"/>
  <c r="D138" i="12"/>
  <c r="A138" i="12"/>
  <c r="I137" i="12"/>
  <c r="H137" i="12"/>
  <c r="G137" i="12"/>
  <c r="F137" i="12"/>
  <c r="E137" i="12"/>
  <c r="D137" i="12"/>
  <c r="A137" i="12"/>
  <c r="I136" i="12"/>
  <c r="H136" i="12"/>
  <c r="G136" i="12"/>
  <c r="F136" i="12"/>
  <c r="E136" i="12"/>
  <c r="D136" i="12"/>
  <c r="A136" i="12"/>
  <c r="I135" i="12"/>
  <c r="H135" i="12"/>
  <c r="G135" i="12"/>
  <c r="F135" i="12"/>
  <c r="E135" i="12"/>
  <c r="D135" i="12"/>
  <c r="A135" i="12"/>
  <c r="I134" i="12"/>
  <c r="H134" i="12"/>
  <c r="G134" i="12"/>
  <c r="F134" i="12"/>
  <c r="E134" i="12"/>
  <c r="D134" i="12"/>
  <c r="A134" i="12"/>
  <c r="I133" i="12"/>
  <c r="H133" i="12"/>
  <c r="G133" i="12"/>
  <c r="F133" i="12"/>
  <c r="E133" i="12"/>
  <c r="D133" i="12"/>
  <c r="A133" i="12"/>
  <c r="I132" i="12"/>
  <c r="H132" i="12"/>
  <c r="G132" i="12"/>
  <c r="F132" i="12"/>
  <c r="E132" i="12"/>
  <c r="D132" i="12"/>
  <c r="I131" i="12"/>
  <c r="H131" i="12"/>
  <c r="G131" i="12"/>
  <c r="F131" i="12"/>
  <c r="E131" i="12"/>
  <c r="D131" i="12"/>
  <c r="I130" i="12"/>
  <c r="H130" i="12"/>
  <c r="G130" i="12"/>
  <c r="F130" i="12"/>
  <c r="E130" i="12"/>
  <c r="D130" i="12"/>
  <c r="I90" i="12"/>
  <c r="H90" i="12"/>
  <c r="G90" i="12"/>
  <c r="F90" i="12"/>
  <c r="E90" i="12"/>
  <c r="D90" i="12"/>
  <c r="A90" i="12"/>
  <c r="I89" i="12"/>
  <c r="H89" i="12"/>
  <c r="G89" i="12"/>
  <c r="F89" i="12"/>
  <c r="E89" i="12"/>
  <c r="D89" i="12"/>
  <c r="A89" i="12"/>
  <c r="I88" i="12"/>
  <c r="H88" i="12"/>
  <c r="G88" i="12"/>
  <c r="F88" i="12"/>
  <c r="E88" i="12"/>
  <c r="D88" i="12"/>
  <c r="A88" i="12"/>
  <c r="I87" i="12"/>
  <c r="H87" i="12"/>
  <c r="G87" i="12"/>
  <c r="F87" i="12"/>
  <c r="E87" i="12"/>
  <c r="D87" i="12"/>
  <c r="A87" i="12"/>
  <c r="I86" i="12"/>
  <c r="H86" i="12"/>
  <c r="G86" i="12"/>
  <c r="F86" i="12"/>
  <c r="E86" i="12"/>
  <c r="D86" i="12"/>
  <c r="A86" i="12"/>
  <c r="I85" i="12"/>
  <c r="H85" i="12"/>
  <c r="G85" i="12"/>
  <c r="F85" i="12"/>
  <c r="E85" i="12"/>
  <c r="D85" i="12"/>
  <c r="A85" i="12"/>
  <c r="I84" i="12"/>
  <c r="H84" i="12"/>
  <c r="G84" i="12"/>
  <c r="F84" i="12"/>
  <c r="E84" i="12"/>
  <c r="D84" i="12"/>
  <c r="I83" i="12"/>
  <c r="H83" i="12"/>
  <c r="G83" i="12"/>
  <c r="F83" i="12"/>
  <c r="E83" i="12"/>
  <c r="D83" i="12"/>
  <c r="I82" i="12"/>
  <c r="H82" i="12"/>
  <c r="G82" i="12"/>
  <c r="F82" i="12"/>
  <c r="E82" i="12"/>
  <c r="D82" i="12"/>
  <c r="B60" i="12"/>
  <c r="D58" i="12"/>
  <c r="I57" i="12"/>
  <c r="H57" i="12"/>
  <c r="E57" i="12"/>
  <c r="D57" i="12"/>
  <c r="C57" i="12"/>
  <c r="B57" i="12"/>
  <c r="A57" i="12"/>
  <c r="I56" i="12"/>
  <c r="H56" i="12"/>
  <c r="E56" i="12"/>
  <c r="D56" i="12"/>
  <c r="C56" i="12"/>
  <c r="B56" i="12"/>
  <c r="A56" i="12"/>
  <c r="I55" i="12"/>
  <c r="H55" i="12"/>
  <c r="E55" i="12"/>
  <c r="D55" i="12"/>
  <c r="C55" i="12"/>
  <c r="B55" i="12"/>
  <c r="A55" i="12"/>
  <c r="I54" i="12"/>
  <c r="H54" i="12"/>
  <c r="E54" i="12"/>
  <c r="D54" i="12"/>
  <c r="C54" i="12"/>
  <c r="B54" i="12"/>
  <c r="A54" i="12"/>
  <c r="I53" i="12"/>
  <c r="H53" i="12"/>
  <c r="E53" i="12"/>
  <c r="D53" i="12"/>
  <c r="C53" i="12"/>
  <c r="B53" i="12"/>
  <c r="A53" i="12"/>
  <c r="I52" i="12"/>
  <c r="H52" i="12"/>
  <c r="E52" i="12"/>
  <c r="D52" i="12"/>
  <c r="C52" i="12"/>
  <c r="B52" i="12"/>
  <c r="A52" i="12"/>
  <c r="I51" i="12"/>
  <c r="H51" i="12"/>
  <c r="E51" i="12"/>
  <c r="D51" i="12"/>
  <c r="C51" i="12"/>
  <c r="B51" i="12"/>
  <c r="A51" i="12"/>
  <c r="I50" i="12"/>
  <c r="H50" i="12"/>
  <c r="E50" i="12"/>
  <c r="D50" i="12"/>
  <c r="C50" i="12"/>
  <c r="B50" i="12"/>
  <c r="A50" i="12"/>
  <c r="I49" i="12"/>
  <c r="H49" i="12"/>
  <c r="I48" i="12"/>
  <c r="H48" i="12"/>
  <c r="E48" i="12"/>
  <c r="D48" i="12"/>
  <c r="C48" i="12"/>
  <c r="B48" i="12"/>
  <c r="A48" i="12"/>
  <c r="I47" i="12"/>
  <c r="H47" i="12"/>
  <c r="E47" i="12"/>
  <c r="D47" i="12"/>
  <c r="C47" i="12"/>
  <c r="B47" i="12"/>
  <c r="A47" i="12"/>
  <c r="I46" i="12"/>
  <c r="H46" i="12"/>
  <c r="E46" i="12"/>
  <c r="D46" i="12"/>
  <c r="C46" i="12"/>
  <c r="B46" i="12"/>
  <c r="A46" i="12"/>
  <c r="I45" i="12"/>
  <c r="H45" i="12"/>
  <c r="E45" i="12"/>
  <c r="D45" i="12"/>
  <c r="C45" i="12"/>
  <c r="B45" i="12"/>
  <c r="A45" i="12"/>
  <c r="E44" i="12"/>
  <c r="D44" i="12"/>
  <c r="C44" i="12"/>
  <c r="B44" i="12"/>
  <c r="A44" i="12"/>
  <c r="E43" i="12"/>
  <c r="D43" i="12"/>
  <c r="C43" i="12"/>
  <c r="B43" i="12"/>
  <c r="E41" i="12"/>
  <c r="D41" i="12"/>
  <c r="C41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0" i="12"/>
  <c r="B10" i="12"/>
  <c r="C9" i="12"/>
  <c r="B9" i="12"/>
  <c r="A9" i="12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C1" i="12"/>
  <c r="P16" i="5"/>
  <c r="O16" i="5"/>
  <c r="N16" i="5"/>
  <c r="M16" i="5"/>
  <c r="L16" i="5"/>
  <c r="K16" i="5"/>
  <c r="P15" i="5"/>
  <c r="O15" i="5"/>
  <c r="N15" i="5"/>
  <c r="M15" i="5"/>
  <c r="L15" i="5"/>
  <c r="K15" i="5"/>
  <c r="P14" i="5"/>
  <c r="O14" i="5"/>
  <c r="N14" i="5"/>
  <c r="M14" i="5"/>
  <c r="L14" i="5"/>
  <c r="K14" i="5"/>
  <c r="P9" i="5"/>
  <c r="O9" i="5"/>
  <c r="N9" i="5"/>
  <c r="M9" i="5"/>
  <c r="L9" i="5"/>
  <c r="K9" i="5"/>
  <c r="P8" i="5"/>
  <c r="O8" i="5"/>
  <c r="N8" i="5"/>
  <c r="M8" i="5"/>
  <c r="L8" i="5"/>
  <c r="K8" i="5"/>
  <c r="P7" i="5"/>
  <c r="O7" i="5"/>
  <c r="N7" i="5"/>
  <c r="M7" i="5"/>
  <c r="L7" i="5"/>
  <c r="K7" i="5"/>
  <c r="I360" i="10"/>
  <c r="H360" i="10"/>
  <c r="G360" i="10"/>
  <c r="F360" i="10"/>
  <c r="E360" i="10"/>
  <c r="D360" i="10"/>
  <c r="A360" i="10"/>
  <c r="I359" i="10"/>
  <c r="H359" i="10"/>
  <c r="G359" i="10"/>
  <c r="F359" i="10"/>
  <c r="E359" i="10"/>
  <c r="D359" i="10"/>
  <c r="A359" i="10"/>
  <c r="I358" i="10"/>
  <c r="H358" i="10"/>
  <c r="G358" i="10"/>
  <c r="F358" i="10"/>
  <c r="E358" i="10"/>
  <c r="D358" i="10"/>
  <c r="A358" i="10"/>
  <c r="I357" i="10"/>
  <c r="H357" i="10"/>
  <c r="G357" i="10"/>
  <c r="F357" i="10"/>
  <c r="E357" i="10"/>
  <c r="D357" i="10"/>
  <c r="A357" i="10"/>
  <c r="I356" i="10"/>
  <c r="H356" i="10"/>
  <c r="G356" i="10"/>
  <c r="F356" i="10"/>
  <c r="E356" i="10"/>
  <c r="D356" i="10"/>
  <c r="A356" i="10"/>
  <c r="I355" i="10"/>
  <c r="H355" i="10"/>
  <c r="G355" i="10"/>
  <c r="F355" i="10"/>
  <c r="E355" i="10"/>
  <c r="D355" i="10"/>
  <c r="A355" i="10"/>
  <c r="I354" i="10"/>
  <c r="H354" i="10"/>
  <c r="G354" i="10"/>
  <c r="F354" i="10"/>
  <c r="E354" i="10"/>
  <c r="D354" i="10"/>
  <c r="A354" i="10"/>
  <c r="I353" i="10"/>
  <c r="H353" i="10"/>
  <c r="G353" i="10"/>
  <c r="F353" i="10"/>
  <c r="E353" i="10"/>
  <c r="D353" i="10"/>
  <c r="A353" i="10"/>
  <c r="I352" i="10"/>
  <c r="H352" i="10"/>
  <c r="G352" i="10"/>
  <c r="F352" i="10"/>
  <c r="E352" i="10"/>
  <c r="D352" i="10"/>
  <c r="A352" i="10"/>
  <c r="I351" i="10"/>
  <c r="H351" i="10"/>
  <c r="G351" i="10"/>
  <c r="F351" i="10"/>
  <c r="E351" i="10"/>
  <c r="D351" i="10"/>
  <c r="A351" i="10"/>
  <c r="I350" i="10"/>
  <c r="H350" i="10"/>
  <c r="G350" i="10"/>
  <c r="F350" i="10"/>
  <c r="E350" i="10"/>
  <c r="D350" i="10"/>
  <c r="A350" i="10"/>
  <c r="I349" i="10"/>
  <c r="H349" i="10"/>
  <c r="G349" i="10"/>
  <c r="F349" i="10"/>
  <c r="E349" i="10"/>
  <c r="D349" i="10"/>
  <c r="A349" i="10"/>
  <c r="I348" i="10"/>
  <c r="H348" i="10"/>
  <c r="G348" i="10"/>
  <c r="F348" i="10"/>
  <c r="E348" i="10"/>
  <c r="D348" i="10"/>
  <c r="I347" i="10"/>
  <c r="H347" i="10"/>
  <c r="G347" i="10"/>
  <c r="F347" i="10"/>
  <c r="E347" i="10"/>
  <c r="D347" i="10"/>
  <c r="I303" i="10"/>
  <c r="H303" i="10"/>
  <c r="G303" i="10"/>
  <c r="F303" i="10"/>
  <c r="E303" i="10"/>
  <c r="D303" i="10"/>
  <c r="A303" i="10"/>
  <c r="I302" i="10"/>
  <c r="H302" i="10"/>
  <c r="G302" i="10"/>
  <c r="F302" i="10"/>
  <c r="E302" i="10"/>
  <c r="D302" i="10"/>
  <c r="A302" i="10"/>
  <c r="I301" i="10"/>
  <c r="H301" i="10"/>
  <c r="G301" i="10"/>
  <c r="F301" i="10"/>
  <c r="E301" i="10"/>
  <c r="D301" i="10"/>
  <c r="A301" i="10"/>
  <c r="I300" i="10"/>
  <c r="H300" i="10"/>
  <c r="G300" i="10"/>
  <c r="F300" i="10"/>
  <c r="E300" i="10"/>
  <c r="D300" i="10"/>
  <c r="A300" i="10"/>
  <c r="I299" i="10"/>
  <c r="H299" i="10"/>
  <c r="G299" i="10"/>
  <c r="F299" i="10"/>
  <c r="E299" i="10"/>
  <c r="D299" i="10"/>
  <c r="A299" i="10"/>
  <c r="I298" i="10"/>
  <c r="H298" i="10"/>
  <c r="G298" i="10"/>
  <c r="F298" i="10"/>
  <c r="E298" i="10"/>
  <c r="D298" i="10"/>
  <c r="A298" i="10"/>
  <c r="I297" i="10"/>
  <c r="H297" i="10"/>
  <c r="G297" i="10"/>
  <c r="F297" i="10"/>
  <c r="E297" i="10"/>
  <c r="D297" i="10"/>
  <c r="A297" i="10"/>
  <c r="I296" i="10"/>
  <c r="H296" i="10"/>
  <c r="G296" i="10"/>
  <c r="F296" i="10"/>
  <c r="E296" i="10"/>
  <c r="D296" i="10"/>
  <c r="A296" i="10"/>
  <c r="I295" i="10"/>
  <c r="H295" i="10"/>
  <c r="G295" i="10"/>
  <c r="F295" i="10"/>
  <c r="E295" i="10"/>
  <c r="D295" i="10"/>
  <c r="A295" i="10"/>
  <c r="I294" i="10"/>
  <c r="H294" i="10"/>
  <c r="G294" i="10"/>
  <c r="F294" i="10"/>
  <c r="E294" i="10"/>
  <c r="D294" i="10"/>
  <c r="A294" i="10"/>
  <c r="I293" i="10"/>
  <c r="H293" i="10"/>
  <c r="G293" i="10"/>
  <c r="F293" i="10"/>
  <c r="E293" i="10"/>
  <c r="D293" i="10"/>
  <c r="A293" i="10"/>
  <c r="I292" i="10"/>
  <c r="H292" i="10"/>
  <c r="G292" i="10"/>
  <c r="F292" i="10"/>
  <c r="E292" i="10"/>
  <c r="D292" i="10"/>
  <c r="A292" i="10"/>
  <c r="I291" i="10"/>
  <c r="H291" i="10"/>
  <c r="G291" i="10"/>
  <c r="F291" i="10"/>
  <c r="E291" i="10"/>
  <c r="D291" i="10"/>
  <c r="A291" i="10"/>
  <c r="I290" i="10"/>
  <c r="H290" i="10"/>
  <c r="G290" i="10"/>
  <c r="F290" i="10"/>
  <c r="E290" i="10"/>
  <c r="D290" i="10"/>
  <c r="A290" i="10"/>
  <c r="I289" i="10"/>
  <c r="H289" i="10"/>
  <c r="G289" i="10"/>
  <c r="F289" i="10"/>
  <c r="E289" i="10"/>
  <c r="D289" i="10"/>
  <c r="A289" i="10"/>
  <c r="I288" i="10"/>
  <c r="H288" i="10"/>
  <c r="G288" i="10"/>
  <c r="F288" i="10"/>
  <c r="E288" i="10"/>
  <c r="D288" i="10"/>
  <c r="A288" i="10"/>
  <c r="I287" i="10"/>
  <c r="H287" i="10"/>
  <c r="G287" i="10"/>
  <c r="F287" i="10"/>
  <c r="E287" i="10"/>
  <c r="D287" i="10"/>
  <c r="A287" i="10"/>
  <c r="I286" i="10"/>
  <c r="H286" i="10"/>
  <c r="G286" i="10"/>
  <c r="F286" i="10"/>
  <c r="E286" i="10"/>
  <c r="D286" i="10"/>
  <c r="A286" i="10"/>
  <c r="I285" i="10"/>
  <c r="H285" i="10"/>
  <c r="G285" i="10"/>
  <c r="F285" i="10"/>
  <c r="E285" i="10"/>
  <c r="D285" i="10"/>
  <c r="A285" i="10"/>
  <c r="I284" i="10"/>
  <c r="H284" i="10"/>
  <c r="G284" i="10"/>
  <c r="F284" i="10"/>
  <c r="E284" i="10"/>
  <c r="D284" i="10"/>
  <c r="A284" i="10"/>
  <c r="I283" i="10"/>
  <c r="H283" i="10"/>
  <c r="G283" i="10"/>
  <c r="F283" i="10"/>
  <c r="E283" i="10"/>
  <c r="D283" i="10"/>
  <c r="A283" i="10"/>
  <c r="I282" i="10"/>
  <c r="H282" i="10"/>
  <c r="G282" i="10"/>
  <c r="F282" i="10"/>
  <c r="E282" i="10"/>
  <c r="D282" i="10"/>
  <c r="A282" i="10"/>
  <c r="I281" i="10"/>
  <c r="H281" i="10"/>
  <c r="G281" i="10"/>
  <c r="F281" i="10"/>
  <c r="E281" i="10"/>
  <c r="D281" i="10"/>
  <c r="A281" i="10"/>
  <c r="I280" i="10"/>
  <c r="H280" i="10"/>
  <c r="G280" i="10"/>
  <c r="F280" i="10"/>
  <c r="E280" i="10"/>
  <c r="D280" i="10"/>
  <c r="A280" i="10"/>
  <c r="I279" i="10"/>
  <c r="H279" i="10"/>
  <c r="G279" i="10"/>
  <c r="F279" i="10"/>
  <c r="E279" i="10"/>
  <c r="D279" i="10"/>
  <c r="A279" i="10"/>
  <c r="I278" i="10"/>
  <c r="H278" i="10"/>
  <c r="G278" i="10"/>
  <c r="F278" i="10"/>
  <c r="E278" i="10"/>
  <c r="D278" i="10"/>
  <c r="I277" i="10"/>
  <c r="H277" i="10"/>
  <c r="G277" i="10"/>
  <c r="F277" i="10"/>
  <c r="E277" i="10"/>
  <c r="D277" i="10"/>
  <c r="I233" i="10"/>
  <c r="H233" i="10"/>
  <c r="G233" i="10"/>
  <c r="F233" i="10"/>
  <c r="E233" i="10"/>
  <c r="D233" i="10"/>
  <c r="A233" i="10"/>
  <c r="I232" i="10"/>
  <c r="H232" i="10"/>
  <c r="G232" i="10"/>
  <c r="F232" i="10"/>
  <c r="E232" i="10"/>
  <c r="D232" i="10"/>
  <c r="A232" i="10"/>
  <c r="I231" i="10"/>
  <c r="H231" i="10"/>
  <c r="G231" i="10"/>
  <c r="F231" i="10"/>
  <c r="E231" i="10"/>
  <c r="D231" i="10"/>
  <c r="A231" i="10"/>
  <c r="I230" i="10"/>
  <c r="H230" i="10"/>
  <c r="G230" i="10"/>
  <c r="F230" i="10"/>
  <c r="E230" i="10"/>
  <c r="D230" i="10"/>
  <c r="A230" i="10"/>
  <c r="I229" i="10"/>
  <c r="H229" i="10"/>
  <c r="G229" i="10"/>
  <c r="F229" i="10"/>
  <c r="E229" i="10"/>
  <c r="D229" i="10"/>
  <c r="A229" i="10"/>
  <c r="I228" i="10"/>
  <c r="H228" i="10"/>
  <c r="G228" i="10"/>
  <c r="F228" i="10"/>
  <c r="E228" i="10"/>
  <c r="D228" i="10"/>
  <c r="A228" i="10"/>
  <c r="I227" i="10"/>
  <c r="H227" i="10"/>
  <c r="G227" i="10"/>
  <c r="F227" i="10"/>
  <c r="E227" i="10"/>
  <c r="D227" i="10"/>
  <c r="A227" i="10"/>
  <c r="I226" i="10"/>
  <c r="H226" i="10"/>
  <c r="G226" i="10"/>
  <c r="F226" i="10"/>
  <c r="E226" i="10"/>
  <c r="D226" i="10"/>
  <c r="A226" i="10"/>
  <c r="I225" i="10"/>
  <c r="H225" i="10"/>
  <c r="G225" i="10"/>
  <c r="F225" i="10"/>
  <c r="E225" i="10"/>
  <c r="D225" i="10"/>
  <c r="A225" i="10"/>
  <c r="I224" i="10"/>
  <c r="H224" i="10"/>
  <c r="G224" i="10"/>
  <c r="F224" i="10"/>
  <c r="E224" i="10"/>
  <c r="D224" i="10"/>
  <c r="A224" i="10"/>
  <c r="I223" i="10"/>
  <c r="H223" i="10"/>
  <c r="G223" i="10"/>
  <c r="F223" i="10"/>
  <c r="E223" i="10"/>
  <c r="D223" i="10"/>
  <c r="A223" i="10"/>
  <c r="I222" i="10"/>
  <c r="H222" i="10"/>
  <c r="G222" i="10"/>
  <c r="F222" i="10"/>
  <c r="E222" i="10"/>
  <c r="D222" i="10"/>
  <c r="A222" i="10"/>
  <c r="I221" i="10"/>
  <c r="H221" i="10"/>
  <c r="G221" i="10"/>
  <c r="F221" i="10"/>
  <c r="E221" i="10"/>
  <c r="D221" i="10"/>
  <c r="A221" i="10"/>
  <c r="I220" i="10"/>
  <c r="H220" i="10"/>
  <c r="G220" i="10"/>
  <c r="F220" i="10"/>
  <c r="E220" i="10"/>
  <c r="D220" i="10"/>
  <c r="A220" i="10"/>
  <c r="I219" i="10"/>
  <c r="H219" i="10"/>
  <c r="G219" i="10"/>
  <c r="F219" i="10"/>
  <c r="E219" i="10"/>
  <c r="D219" i="10"/>
  <c r="A219" i="10"/>
  <c r="I218" i="10"/>
  <c r="H218" i="10"/>
  <c r="G218" i="10"/>
  <c r="F218" i="10"/>
  <c r="E218" i="10"/>
  <c r="D218" i="10"/>
  <c r="A218" i="10"/>
  <c r="I217" i="10"/>
  <c r="H217" i="10"/>
  <c r="G217" i="10"/>
  <c r="F217" i="10"/>
  <c r="E217" i="10"/>
  <c r="D217" i="10"/>
  <c r="A217" i="10"/>
  <c r="I216" i="10"/>
  <c r="H216" i="10"/>
  <c r="G216" i="10"/>
  <c r="F216" i="10"/>
  <c r="E216" i="10"/>
  <c r="D216" i="10"/>
  <c r="A216" i="10"/>
  <c r="I215" i="10"/>
  <c r="H215" i="10"/>
  <c r="G215" i="10"/>
  <c r="F215" i="10"/>
  <c r="E215" i="10"/>
  <c r="D215" i="10"/>
  <c r="A215" i="10"/>
  <c r="I214" i="10"/>
  <c r="H214" i="10"/>
  <c r="G214" i="10"/>
  <c r="F214" i="10"/>
  <c r="E214" i="10"/>
  <c r="D214" i="10"/>
  <c r="A214" i="10"/>
  <c r="I213" i="10"/>
  <c r="H213" i="10"/>
  <c r="G213" i="10"/>
  <c r="F213" i="10"/>
  <c r="E213" i="10"/>
  <c r="D213" i="10"/>
  <c r="A213" i="10"/>
  <c r="I212" i="10"/>
  <c r="H212" i="10"/>
  <c r="G212" i="10"/>
  <c r="F212" i="10"/>
  <c r="E212" i="10"/>
  <c r="D212" i="10"/>
  <c r="A212" i="10"/>
  <c r="I211" i="10"/>
  <c r="H211" i="10"/>
  <c r="G211" i="10"/>
  <c r="F211" i="10"/>
  <c r="E211" i="10"/>
  <c r="D211" i="10"/>
  <c r="A211" i="10"/>
  <c r="I210" i="10"/>
  <c r="H210" i="10"/>
  <c r="G210" i="10"/>
  <c r="F210" i="10"/>
  <c r="E210" i="10"/>
  <c r="D210" i="10"/>
  <c r="A210" i="10"/>
  <c r="I209" i="10"/>
  <c r="H209" i="10"/>
  <c r="G209" i="10"/>
  <c r="F209" i="10"/>
  <c r="E209" i="10"/>
  <c r="D209" i="10"/>
  <c r="A209" i="10"/>
  <c r="I208" i="10"/>
  <c r="H208" i="10"/>
  <c r="G208" i="10"/>
  <c r="F208" i="10"/>
  <c r="E208" i="10"/>
  <c r="D208" i="10"/>
  <c r="I207" i="10"/>
  <c r="H207" i="10"/>
  <c r="G207" i="10"/>
  <c r="F207" i="10"/>
  <c r="E207" i="10"/>
  <c r="D207" i="10"/>
  <c r="I165" i="10"/>
  <c r="H165" i="10"/>
  <c r="G165" i="10"/>
  <c r="F165" i="10"/>
  <c r="E165" i="10"/>
  <c r="D165" i="10"/>
  <c r="A165" i="10"/>
  <c r="I164" i="10"/>
  <c r="H164" i="10"/>
  <c r="G164" i="10"/>
  <c r="F164" i="10"/>
  <c r="E164" i="10"/>
  <c r="D164" i="10"/>
  <c r="A164" i="10"/>
  <c r="I163" i="10"/>
  <c r="H163" i="10"/>
  <c r="G163" i="10"/>
  <c r="F163" i="10"/>
  <c r="E163" i="10"/>
  <c r="D163" i="10"/>
  <c r="A163" i="10"/>
  <c r="I162" i="10"/>
  <c r="H162" i="10"/>
  <c r="G162" i="10"/>
  <c r="F162" i="10"/>
  <c r="E162" i="10"/>
  <c r="D162" i="10"/>
  <c r="A162" i="10"/>
  <c r="I161" i="10"/>
  <c r="H161" i="10"/>
  <c r="G161" i="10"/>
  <c r="F161" i="10"/>
  <c r="E161" i="10"/>
  <c r="D161" i="10"/>
  <c r="A161" i="10"/>
  <c r="I160" i="10"/>
  <c r="H160" i="10"/>
  <c r="G160" i="10"/>
  <c r="F160" i="10"/>
  <c r="E160" i="10"/>
  <c r="D160" i="10"/>
  <c r="A160" i="10"/>
  <c r="I159" i="10"/>
  <c r="H159" i="10"/>
  <c r="G159" i="10"/>
  <c r="F159" i="10"/>
  <c r="E159" i="10"/>
  <c r="D159" i="10"/>
  <c r="A159" i="10"/>
  <c r="I158" i="10"/>
  <c r="H158" i="10"/>
  <c r="G158" i="10"/>
  <c r="F158" i="10"/>
  <c r="E158" i="10"/>
  <c r="D158" i="10"/>
  <c r="A158" i="10"/>
  <c r="I157" i="10"/>
  <c r="H157" i="10"/>
  <c r="G157" i="10"/>
  <c r="F157" i="10"/>
  <c r="E157" i="10"/>
  <c r="D157" i="10"/>
  <c r="A157" i="10"/>
  <c r="I156" i="10"/>
  <c r="H156" i="10"/>
  <c r="G156" i="10"/>
  <c r="F156" i="10"/>
  <c r="E156" i="10"/>
  <c r="D156" i="10"/>
  <c r="A156" i="10"/>
  <c r="I155" i="10"/>
  <c r="H155" i="10"/>
  <c r="G155" i="10"/>
  <c r="F155" i="10"/>
  <c r="E155" i="10"/>
  <c r="D155" i="10"/>
  <c r="A155" i="10"/>
  <c r="I154" i="10"/>
  <c r="H154" i="10"/>
  <c r="G154" i="10"/>
  <c r="F154" i="10"/>
  <c r="E154" i="10"/>
  <c r="D154" i="10"/>
  <c r="A154" i="10"/>
  <c r="I153" i="10"/>
  <c r="H153" i="10"/>
  <c r="G153" i="10"/>
  <c r="F153" i="10"/>
  <c r="E153" i="10"/>
  <c r="D153" i="10"/>
  <c r="A153" i="10"/>
  <c r="I152" i="10"/>
  <c r="H152" i="10"/>
  <c r="G152" i="10"/>
  <c r="F152" i="10"/>
  <c r="E152" i="10"/>
  <c r="D152" i="10"/>
  <c r="A152" i="10"/>
  <c r="I151" i="10"/>
  <c r="H151" i="10"/>
  <c r="G151" i="10"/>
  <c r="F151" i="10"/>
  <c r="E151" i="10"/>
  <c r="D151" i="10"/>
  <c r="A151" i="10"/>
  <c r="I150" i="10"/>
  <c r="H150" i="10"/>
  <c r="G150" i="10"/>
  <c r="F150" i="10"/>
  <c r="E150" i="10"/>
  <c r="D150" i="10"/>
  <c r="A150" i="10"/>
  <c r="I149" i="10"/>
  <c r="H149" i="10"/>
  <c r="G149" i="10"/>
  <c r="F149" i="10"/>
  <c r="E149" i="10"/>
  <c r="D149" i="10"/>
  <c r="A149" i="10"/>
  <c r="I148" i="10"/>
  <c r="H148" i="10"/>
  <c r="G148" i="10"/>
  <c r="F148" i="10"/>
  <c r="E148" i="10"/>
  <c r="D148" i="10"/>
  <c r="A148" i="10"/>
  <c r="I147" i="10"/>
  <c r="H147" i="10"/>
  <c r="G147" i="10"/>
  <c r="F147" i="10"/>
  <c r="E147" i="10"/>
  <c r="D147" i="10"/>
  <c r="A147" i="10"/>
  <c r="I146" i="10"/>
  <c r="H146" i="10"/>
  <c r="G146" i="10"/>
  <c r="F146" i="10"/>
  <c r="E146" i="10"/>
  <c r="D146" i="10"/>
  <c r="A146" i="10"/>
  <c r="I145" i="10"/>
  <c r="H145" i="10"/>
  <c r="G145" i="10"/>
  <c r="F145" i="10"/>
  <c r="E145" i="10"/>
  <c r="D145" i="10"/>
  <c r="A145" i="10"/>
  <c r="I144" i="10"/>
  <c r="H144" i="10"/>
  <c r="G144" i="10"/>
  <c r="F144" i="10"/>
  <c r="E144" i="10"/>
  <c r="D144" i="10"/>
  <c r="A144" i="10"/>
  <c r="I143" i="10"/>
  <c r="H143" i="10"/>
  <c r="G143" i="10"/>
  <c r="F143" i="10"/>
  <c r="E143" i="10"/>
  <c r="D143" i="10"/>
  <c r="A143" i="10"/>
  <c r="I142" i="10"/>
  <c r="H142" i="10"/>
  <c r="G142" i="10"/>
  <c r="F142" i="10"/>
  <c r="E142" i="10"/>
  <c r="D142" i="10"/>
  <c r="A142" i="10"/>
  <c r="I141" i="10"/>
  <c r="H141" i="10"/>
  <c r="G141" i="10"/>
  <c r="F141" i="10"/>
  <c r="E141" i="10"/>
  <c r="D141" i="10"/>
  <c r="A141" i="10"/>
  <c r="I140" i="10"/>
  <c r="H140" i="10"/>
  <c r="G140" i="10"/>
  <c r="F140" i="10"/>
  <c r="E140" i="10"/>
  <c r="D140" i="10"/>
  <c r="I139" i="10"/>
  <c r="H139" i="10"/>
  <c r="G139" i="10"/>
  <c r="F139" i="10"/>
  <c r="E139" i="10"/>
  <c r="D139" i="10"/>
  <c r="I97" i="10"/>
  <c r="H97" i="10"/>
  <c r="G97" i="10"/>
  <c r="F97" i="10"/>
  <c r="E97" i="10"/>
  <c r="D97" i="10"/>
  <c r="A97" i="10"/>
  <c r="I96" i="10"/>
  <c r="H96" i="10"/>
  <c r="G96" i="10"/>
  <c r="F96" i="10"/>
  <c r="E96" i="10"/>
  <c r="D96" i="10"/>
  <c r="A96" i="10"/>
  <c r="I95" i="10"/>
  <c r="H95" i="10"/>
  <c r="G95" i="10"/>
  <c r="F95" i="10"/>
  <c r="E95" i="10"/>
  <c r="D95" i="10"/>
  <c r="A95" i="10"/>
  <c r="I94" i="10"/>
  <c r="H94" i="10"/>
  <c r="G94" i="10"/>
  <c r="F94" i="10"/>
  <c r="E94" i="10"/>
  <c r="D94" i="10"/>
  <c r="A94" i="10"/>
  <c r="I93" i="10"/>
  <c r="H93" i="10"/>
  <c r="G93" i="10"/>
  <c r="F93" i="10"/>
  <c r="E93" i="10"/>
  <c r="D93" i="10"/>
  <c r="A93" i="10"/>
  <c r="I92" i="10"/>
  <c r="H92" i="10"/>
  <c r="G92" i="10"/>
  <c r="F92" i="10"/>
  <c r="E92" i="10"/>
  <c r="D92" i="10"/>
  <c r="A92" i="10"/>
  <c r="I91" i="10"/>
  <c r="H91" i="10"/>
  <c r="G91" i="10"/>
  <c r="F91" i="10"/>
  <c r="E91" i="10"/>
  <c r="D91" i="10"/>
  <c r="A91" i="10"/>
  <c r="I90" i="10"/>
  <c r="H90" i="10"/>
  <c r="G90" i="10"/>
  <c r="F90" i="10"/>
  <c r="E90" i="10"/>
  <c r="D90" i="10"/>
  <c r="A90" i="10"/>
  <c r="I89" i="10"/>
  <c r="H89" i="10"/>
  <c r="G89" i="10"/>
  <c r="F89" i="10"/>
  <c r="E89" i="10"/>
  <c r="D89" i="10"/>
  <c r="A89" i="10"/>
  <c r="I88" i="10"/>
  <c r="H88" i="10"/>
  <c r="G88" i="10"/>
  <c r="F88" i="10"/>
  <c r="E88" i="10"/>
  <c r="D88" i="10"/>
  <c r="A88" i="10"/>
  <c r="I87" i="10"/>
  <c r="H87" i="10"/>
  <c r="G87" i="10"/>
  <c r="F87" i="10"/>
  <c r="E87" i="10"/>
  <c r="D87" i="10"/>
  <c r="A87" i="10"/>
  <c r="I86" i="10"/>
  <c r="H86" i="10"/>
  <c r="G86" i="10"/>
  <c r="F86" i="10"/>
  <c r="E86" i="10"/>
  <c r="D86" i="10"/>
  <c r="A86" i="10"/>
  <c r="I85" i="10"/>
  <c r="H85" i="10"/>
  <c r="G85" i="10"/>
  <c r="F85" i="10"/>
  <c r="E85" i="10"/>
  <c r="D85" i="10"/>
  <c r="A85" i="10"/>
  <c r="I84" i="10"/>
  <c r="H84" i="10"/>
  <c r="G84" i="10"/>
  <c r="F84" i="10"/>
  <c r="E84" i="10"/>
  <c r="D84" i="10"/>
  <c r="A84" i="10"/>
  <c r="I83" i="10"/>
  <c r="H83" i="10"/>
  <c r="G83" i="10"/>
  <c r="F83" i="10"/>
  <c r="E83" i="10"/>
  <c r="D83" i="10"/>
  <c r="A83" i="10"/>
  <c r="I82" i="10"/>
  <c r="H82" i="10"/>
  <c r="G82" i="10"/>
  <c r="F82" i="10"/>
  <c r="E82" i="10"/>
  <c r="D82" i="10"/>
  <c r="A82" i="10"/>
  <c r="I81" i="10"/>
  <c r="H81" i="10"/>
  <c r="G81" i="10"/>
  <c r="F81" i="10"/>
  <c r="E81" i="10"/>
  <c r="D81" i="10"/>
  <c r="A81" i="10"/>
  <c r="I80" i="10"/>
  <c r="H80" i="10"/>
  <c r="G80" i="10"/>
  <c r="F80" i="10"/>
  <c r="E80" i="10"/>
  <c r="D80" i="10"/>
  <c r="A80" i="10"/>
  <c r="I79" i="10"/>
  <c r="H79" i="10"/>
  <c r="G79" i="10"/>
  <c r="F79" i="10"/>
  <c r="E79" i="10"/>
  <c r="D79" i="10"/>
  <c r="A79" i="10"/>
  <c r="I78" i="10"/>
  <c r="H78" i="10"/>
  <c r="G78" i="10"/>
  <c r="F78" i="10"/>
  <c r="E78" i="10"/>
  <c r="D78" i="10"/>
  <c r="A78" i="10"/>
  <c r="I77" i="10"/>
  <c r="H77" i="10"/>
  <c r="G77" i="10"/>
  <c r="F77" i="10"/>
  <c r="E77" i="10"/>
  <c r="D77" i="10"/>
  <c r="A77" i="10"/>
  <c r="I76" i="10"/>
  <c r="H76" i="10"/>
  <c r="G76" i="10"/>
  <c r="F76" i="10"/>
  <c r="E76" i="10"/>
  <c r="D76" i="10"/>
  <c r="A76" i="10"/>
  <c r="I75" i="10"/>
  <c r="H75" i="10"/>
  <c r="G75" i="10"/>
  <c r="F75" i="10"/>
  <c r="E75" i="10"/>
  <c r="D75" i="10"/>
  <c r="A75" i="10"/>
  <c r="I74" i="10"/>
  <c r="H74" i="10"/>
  <c r="G74" i="10"/>
  <c r="F74" i="10"/>
  <c r="E74" i="10"/>
  <c r="D74" i="10"/>
  <c r="A74" i="10"/>
  <c r="L73" i="10"/>
  <c r="I73" i="10"/>
  <c r="H73" i="10"/>
  <c r="G73" i="10"/>
  <c r="F73" i="10"/>
  <c r="E73" i="10"/>
  <c r="D73" i="10"/>
  <c r="A73" i="10"/>
  <c r="I72" i="10"/>
  <c r="H72" i="10"/>
  <c r="G72" i="10"/>
  <c r="F72" i="10"/>
  <c r="E72" i="10"/>
  <c r="D72" i="10"/>
  <c r="I71" i="10"/>
  <c r="H71" i="10"/>
  <c r="G71" i="10"/>
  <c r="F71" i="10"/>
  <c r="E71" i="10"/>
  <c r="D71" i="10"/>
  <c r="I29" i="10"/>
  <c r="H29" i="10"/>
  <c r="G29" i="10"/>
  <c r="F29" i="10"/>
  <c r="E29" i="10"/>
  <c r="D29" i="10"/>
  <c r="A29" i="10"/>
  <c r="I28" i="10"/>
  <c r="H28" i="10"/>
  <c r="G28" i="10"/>
  <c r="F28" i="10"/>
  <c r="E28" i="10"/>
  <c r="D28" i="10"/>
  <c r="A28" i="10"/>
  <c r="I27" i="10"/>
  <c r="H27" i="10"/>
  <c r="G27" i="10"/>
  <c r="F27" i="10"/>
  <c r="E27" i="10"/>
  <c r="D27" i="10"/>
  <c r="A27" i="10"/>
  <c r="I26" i="10"/>
  <c r="H26" i="10"/>
  <c r="G26" i="10"/>
  <c r="F26" i="10"/>
  <c r="E26" i="10"/>
  <c r="D26" i="10"/>
  <c r="A26" i="10"/>
  <c r="I25" i="10"/>
  <c r="H25" i="10"/>
  <c r="G25" i="10"/>
  <c r="F25" i="10"/>
  <c r="E25" i="10"/>
  <c r="D25" i="10"/>
  <c r="A25" i="10"/>
  <c r="I24" i="10"/>
  <c r="H24" i="10"/>
  <c r="G24" i="10"/>
  <c r="F24" i="10"/>
  <c r="E24" i="10"/>
  <c r="D24" i="10"/>
  <c r="A24" i="10"/>
  <c r="I23" i="10"/>
  <c r="H23" i="10"/>
  <c r="G23" i="10"/>
  <c r="F23" i="10"/>
  <c r="E23" i="10"/>
  <c r="D23" i="10"/>
  <c r="A23" i="10"/>
  <c r="I22" i="10"/>
  <c r="H22" i="10"/>
  <c r="G22" i="10"/>
  <c r="F22" i="10"/>
  <c r="E22" i="10"/>
  <c r="D22" i="10"/>
  <c r="A22" i="10"/>
  <c r="I21" i="10"/>
  <c r="H21" i="10"/>
  <c r="G21" i="10"/>
  <c r="F21" i="10"/>
  <c r="E21" i="10"/>
  <c r="D21" i="10"/>
  <c r="A21" i="10"/>
  <c r="I20" i="10"/>
  <c r="H20" i="10"/>
  <c r="G20" i="10"/>
  <c r="F20" i="10"/>
  <c r="E20" i="10"/>
  <c r="D20" i="10"/>
  <c r="A20" i="10"/>
  <c r="I19" i="10"/>
  <c r="H19" i="10"/>
  <c r="G19" i="10"/>
  <c r="F19" i="10"/>
  <c r="E19" i="10"/>
  <c r="D19" i="10"/>
  <c r="A19" i="10"/>
  <c r="I18" i="10"/>
  <c r="H18" i="10"/>
  <c r="G18" i="10"/>
  <c r="F18" i="10"/>
  <c r="E18" i="10"/>
  <c r="D18" i="10"/>
  <c r="A18" i="10"/>
  <c r="I17" i="10"/>
  <c r="H17" i="10"/>
  <c r="G17" i="10"/>
  <c r="F17" i="10"/>
  <c r="E17" i="10"/>
  <c r="D17" i="10"/>
  <c r="A17" i="10"/>
  <c r="I16" i="10"/>
  <c r="H16" i="10"/>
  <c r="G16" i="10"/>
  <c r="F16" i="10"/>
  <c r="E16" i="10"/>
  <c r="D16" i="10"/>
  <c r="A16" i="10"/>
  <c r="I15" i="10"/>
  <c r="H15" i="10"/>
  <c r="G15" i="10"/>
  <c r="F15" i="10"/>
  <c r="E15" i="10"/>
  <c r="D15" i="10"/>
  <c r="A15" i="10"/>
  <c r="I14" i="10"/>
  <c r="H14" i="10"/>
  <c r="G14" i="10"/>
  <c r="F14" i="10"/>
  <c r="E14" i="10"/>
  <c r="D14" i="10"/>
  <c r="A14" i="10"/>
  <c r="I13" i="10"/>
  <c r="H13" i="10"/>
  <c r="G13" i="10"/>
  <c r="F13" i="10"/>
  <c r="E13" i="10"/>
  <c r="D13" i="10"/>
  <c r="A13" i="10"/>
  <c r="I12" i="10"/>
  <c r="H12" i="10"/>
  <c r="G12" i="10"/>
  <c r="F12" i="10"/>
  <c r="E12" i="10"/>
  <c r="D12" i="10"/>
  <c r="A12" i="10"/>
  <c r="I11" i="10"/>
  <c r="H11" i="10"/>
  <c r="G11" i="10"/>
  <c r="F11" i="10"/>
  <c r="E11" i="10"/>
  <c r="D11" i="10"/>
  <c r="A11" i="10"/>
  <c r="I10" i="10"/>
  <c r="H10" i="10"/>
  <c r="G10" i="10"/>
  <c r="F10" i="10"/>
  <c r="E10" i="10"/>
  <c r="D10" i="10"/>
  <c r="A10" i="10"/>
  <c r="I9" i="10"/>
  <c r="H9" i="10"/>
  <c r="G9" i="10"/>
  <c r="F9" i="10"/>
  <c r="E9" i="10"/>
  <c r="D9" i="10"/>
  <c r="A9" i="10"/>
  <c r="I8" i="10"/>
  <c r="H8" i="10"/>
  <c r="G8" i="10"/>
  <c r="F8" i="10"/>
  <c r="E8" i="10"/>
  <c r="D8" i="10"/>
  <c r="A8" i="10"/>
  <c r="I7" i="10"/>
  <c r="H7" i="10"/>
  <c r="G7" i="10"/>
  <c r="F7" i="10"/>
  <c r="E7" i="10"/>
  <c r="D7" i="10"/>
  <c r="A7" i="10"/>
  <c r="I6" i="10"/>
  <c r="H6" i="10"/>
  <c r="G6" i="10"/>
  <c r="F6" i="10"/>
  <c r="E6" i="10"/>
  <c r="D6" i="10"/>
  <c r="A6" i="10"/>
  <c r="I5" i="10"/>
  <c r="H5" i="10"/>
  <c r="G5" i="10"/>
  <c r="F5" i="10"/>
  <c r="E5" i="10"/>
  <c r="D5" i="10"/>
  <c r="A5" i="10"/>
  <c r="I4" i="10"/>
  <c r="H4" i="10"/>
  <c r="G4" i="10"/>
  <c r="F4" i="10"/>
  <c r="E4" i="10"/>
  <c r="D4" i="10"/>
  <c r="I3" i="10"/>
  <c r="H3" i="10"/>
  <c r="G3" i="10"/>
  <c r="F3" i="10"/>
  <c r="E3" i="10"/>
  <c r="D3" i="10"/>
  <c r="I1" i="10"/>
  <c r="H1" i="10"/>
  <c r="G1" i="10"/>
  <c r="F1" i="10"/>
  <c r="E1" i="10"/>
  <c r="R158" i="4"/>
  <c r="Q158" i="4"/>
  <c r="R157" i="4"/>
  <c r="Q157" i="4"/>
  <c r="R156" i="4"/>
  <c r="Q156" i="4"/>
  <c r="R155" i="4"/>
  <c r="Q155" i="4"/>
  <c r="R154" i="4"/>
  <c r="Q154" i="4"/>
  <c r="R153" i="4"/>
  <c r="Q153" i="4"/>
  <c r="R146" i="4"/>
  <c r="Q146" i="4"/>
  <c r="R145" i="4"/>
  <c r="Q145" i="4"/>
  <c r="P145" i="4"/>
  <c r="O145" i="4"/>
  <c r="N145" i="4"/>
  <c r="M145" i="4"/>
  <c r="L145" i="4"/>
  <c r="K145" i="4"/>
  <c r="R144" i="4"/>
  <c r="Q144" i="4"/>
  <c r="P144" i="4"/>
  <c r="O144" i="4"/>
  <c r="N144" i="4"/>
  <c r="M144" i="4"/>
  <c r="L144" i="4"/>
  <c r="K144" i="4"/>
  <c r="R143" i="4"/>
  <c r="Q143" i="4"/>
  <c r="P143" i="4"/>
  <c r="O143" i="4"/>
  <c r="N143" i="4"/>
  <c r="M143" i="4"/>
  <c r="L143" i="4"/>
  <c r="K143" i="4"/>
  <c r="R142" i="4"/>
  <c r="Q142" i="4"/>
  <c r="P142" i="4"/>
  <c r="O142" i="4"/>
  <c r="N142" i="4"/>
  <c r="M142" i="4"/>
  <c r="L142" i="4"/>
  <c r="K142" i="4"/>
  <c r="R141" i="4"/>
  <c r="Q141" i="4"/>
  <c r="P141" i="4"/>
  <c r="O141" i="4"/>
  <c r="N141" i="4"/>
  <c r="M141" i="4"/>
  <c r="L141" i="4"/>
  <c r="K141" i="4"/>
  <c r="R140" i="4"/>
  <c r="Q140" i="4"/>
  <c r="P140" i="4"/>
  <c r="O140" i="4"/>
  <c r="N140" i="4"/>
  <c r="M140" i="4"/>
  <c r="L140" i="4"/>
  <c r="K140" i="4"/>
  <c r="R133" i="4"/>
  <c r="Q133" i="4"/>
  <c r="P133" i="4"/>
  <c r="O133" i="4"/>
  <c r="N133" i="4"/>
  <c r="M133" i="4"/>
  <c r="L133" i="4"/>
  <c r="K133" i="4"/>
  <c r="R132" i="4"/>
  <c r="Q132" i="4"/>
  <c r="P132" i="4"/>
  <c r="O132" i="4"/>
  <c r="N132" i="4"/>
  <c r="M132" i="4"/>
  <c r="L132" i="4"/>
  <c r="K132" i="4"/>
  <c r="R131" i="4"/>
  <c r="Q131" i="4"/>
  <c r="P131" i="4"/>
  <c r="O131" i="4"/>
  <c r="N131" i="4"/>
  <c r="M131" i="4"/>
  <c r="L131" i="4"/>
  <c r="K131" i="4"/>
  <c r="R130" i="4"/>
  <c r="Q130" i="4"/>
  <c r="P130" i="4"/>
  <c r="O130" i="4"/>
  <c r="N130" i="4"/>
  <c r="M130" i="4"/>
  <c r="L130" i="4"/>
  <c r="K130" i="4"/>
  <c r="R129" i="4"/>
  <c r="Q129" i="4"/>
  <c r="P129" i="4"/>
  <c r="O129" i="4"/>
  <c r="N129" i="4"/>
  <c r="M129" i="4"/>
  <c r="L129" i="4"/>
  <c r="K129" i="4"/>
  <c r="R128" i="4"/>
  <c r="Q128" i="4"/>
  <c r="P128" i="4"/>
  <c r="O128" i="4"/>
  <c r="N128" i="4"/>
  <c r="M128" i="4"/>
  <c r="L128" i="4"/>
  <c r="K128" i="4"/>
  <c r="R127" i="4"/>
  <c r="Q127" i="4"/>
  <c r="P127" i="4"/>
  <c r="O127" i="4"/>
  <c r="N127" i="4"/>
  <c r="M127" i="4"/>
  <c r="L127" i="4"/>
  <c r="K127" i="4"/>
  <c r="R120" i="4"/>
  <c r="Q120" i="4"/>
  <c r="P120" i="4"/>
  <c r="O120" i="4"/>
  <c r="N120" i="4"/>
  <c r="M120" i="4"/>
  <c r="L120" i="4"/>
  <c r="K120" i="4"/>
  <c r="R119" i="4"/>
  <c r="Q119" i="4"/>
  <c r="P119" i="4"/>
  <c r="O119" i="4"/>
  <c r="N119" i="4"/>
  <c r="M119" i="4"/>
  <c r="L119" i="4"/>
  <c r="K119" i="4"/>
  <c r="R118" i="4"/>
  <c r="Q118" i="4"/>
  <c r="P118" i="4"/>
  <c r="O118" i="4"/>
  <c r="N118" i="4"/>
  <c r="M118" i="4"/>
  <c r="L118" i="4"/>
  <c r="K118" i="4"/>
  <c r="R117" i="4"/>
  <c r="Q117" i="4"/>
  <c r="P117" i="4"/>
  <c r="O117" i="4"/>
  <c r="N117" i="4"/>
  <c r="M117" i="4"/>
  <c r="L117" i="4"/>
  <c r="K117" i="4"/>
  <c r="R116" i="4"/>
  <c r="Q116" i="4"/>
  <c r="P116" i="4"/>
  <c r="O116" i="4"/>
  <c r="N116" i="4"/>
  <c r="M116" i="4"/>
  <c r="L116" i="4"/>
  <c r="K116" i="4"/>
  <c r="R115" i="4"/>
  <c r="Q115" i="4"/>
  <c r="P115" i="4"/>
  <c r="O115" i="4"/>
  <c r="N115" i="4"/>
  <c r="M115" i="4"/>
  <c r="L115" i="4"/>
  <c r="K115" i="4"/>
  <c r="R114" i="4"/>
  <c r="Q114" i="4"/>
  <c r="P114" i="4"/>
  <c r="O114" i="4"/>
  <c r="N114" i="4"/>
  <c r="M114" i="4"/>
  <c r="L114" i="4"/>
  <c r="K114" i="4"/>
  <c r="R107" i="4"/>
  <c r="Q107" i="4"/>
  <c r="P107" i="4"/>
  <c r="O107" i="4"/>
  <c r="N107" i="4"/>
  <c r="M107" i="4"/>
  <c r="L107" i="4"/>
  <c r="K107" i="4"/>
  <c r="R106" i="4"/>
  <c r="Q106" i="4"/>
  <c r="P106" i="4"/>
  <c r="O106" i="4"/>
  <c r="N106" i="4"/>
  <c r="M106" i="4"/>
  <c r="L106" i="4"/>
  <c r="K106" i="4"/>
  <c r="R105" i="4"/>
  <c r="Q105" i="4"/>
  <c r="P105" i="4"/>
  <c r="O105" i="4"/>
  <c r="N105" i="4"/>
  <c r="M105" i="4"/>
  <c r="L105" i="4"/>
  <c r="K105" i="4"/>
  <c r="R104" i="4"/>
  <c r="Q104" i="4"/>
  <c r="P104" i="4"/>
  <c r="O104" i="4"/>
  <c r="N104" i="4"/>
  <c r="M104" i="4"/>
  <c r="L104" i="4"/>
  <c r="K104" i="4"/>
  <c r="R103" i="4"/>
  <c r="Q103" i="4"/>
  <c r="P103" i="4"/>
  <c r="O103" i="4"/>
  <c r="N103" i="4"/>
  <c r="M103" i="4"/>
  <c r="L103" i="4"/>
  <c r="K103" i="4"/>
  <c r="R102" i="4"/>
  <c r="Q102" i="4"/>
  <c r="P102" i="4"/>
  <c r="O102" i="4"/>
  <c r="N102" i="4"/>
  <c r="M102" i="4"/>
  <c r="L102" i="4"/>
  <c r="K102" i="4"/>
  <c r="R101" i="4"/>
  <c r="Q101" i="4"/>
  <c r="P101" i="4"/>
  <c r="O101" i="4"/>
  <c r="N101" i="4"/>
  <c r="M101" i="4"/>
  <c r="L101" i="4"/>
  <c r="K101" i="4"/>
  <c r="R94" i="4"/>
  <c r="Q94" i="4"/>
  <c r="P94" i="4"/>
  <c r="O94" i="4"/>
  <c r="N94" i="4"/>
  <c r="M94" i="4"/>
  <c r="L94" i="4"/>
  <c r="K94" i="4"/>
  <c r="R93" i="4"/>
  <c r="Q93" i="4"/>
  <c r="P93" i="4"/>
  <c r="O93" i="4"/>
  <c r="N93" i="4"/>
  <c r="M93" i="4"/>
  <c r="L93" i="4"/>
  <c r="K93" i="4"/>
  <c r="R92" i="4"/>
  <c r="Q92" i="4"/>
  <c r="P92" i="4"/>
  <c r="O92" i="4"/>
  <c r="N92" i="4"/>
  <c r="M92" i="4"/>
  <c r="L92" i="4"/>
  <c r="K92" i="4"/>
  <c r="R91" i="4"/>
  <c r="Q91" i="4"/>
  <c r="P91" i="4"/>
  <c r="O91" i="4"/>
  <c r="N91" i="4"/>
  <c r="M91" i="4"/>
  <c r="L91" i="4"/>
  <c r="K91" i="4"/>
  <c r="R90" i="4"/>
  <c r="Q90" i="4"/>
  <c r="P90" i="4"/>
  <c r="O90" i="4"/>
  <c r="N90" i="4"/>
  <c r="M90" i="4"/>
  <c r="L90" i="4"/>
  <c r="K90" i="4"/>
  <c r="R89" i="4"/>
  <c r="Q89" i="4"/>
  <c r="P89" i="4"/>
  <c r="O89" i="4"/>
  <c r="N89" i="4"/>
  <c r="M89" i="4"/>
  <c r="L89" i="4"/>
  <c r="K89" i="4"/>
  <c r="R88" i="4"/>
  <c r="Q88" i="4"/>
  <c r="P88" i="4"/>
  <c r="O88" i="4"/>
  <c r="N88" i="4"/>
  <c r="M88" i="4"/>
  <c r="L88" i="4"/>
  <c r="K88" i="4"/>
  <c r="R81" i="4"/>
  <c r="Q81" i="4"/>
  <c r="P81" i="4"/>
  <c r="O81" i="4"/>
  <c r="N81" i="4"/>
  <c r="M81" i="4"/>
  <c r="L81" i="4"/>
  <c r="K81" i="4"/>
  <c r="R80" i="4"/>
  <c r="Q80" i="4"/>
  <c r="P80" i="4"/>
  <c r="O80" i="4"/>
  <c r="N80" i="4"/>
  <c r="M80" i="4"/>
  <c r="L80" i="4"/>
  <c r="K80" i="4"/>
  <c r="R79" i="4"/>
  <c r="Q79" i="4"/>
  <c r="P79" i="4"/>
  <c r="O79" i="4"/>
  <c r="N79" i="4"/>
  <c r="M79" i="4"/>
  <c r="L79" i="4"/>
  <c r="K79" i="4"/>
  <c r="R78" i="4"/>
  <c r="Q78" i="4"/>
  <c r="P78" i="4"/>
  <c r="O78" i="4"/>
  <c r="N78" i="4"/>
  <c r="M78" i="4"/>
  <c r="L78" i="4"/>
  <c r="K78" i="4"/>
  <c r="R77" i="4"/>
  <c r="Q77" i="4"/>
  <c r="P77" i="4"/>
  <c r="O77" i="4"/>
  <c r="N77" i="4"/>
  <c r="M77" i="4"/>
  <c r="L77" i="4"/>
  <c r="K77" i="4"/>
  <c r="R76" i="4"/>
  <c r="Q76" i="4"/>
  <c r="P76" i="4"/>
  <c r="O76" i="4"/>
  <c r="N76" i="4"/>
  <c r="M76" i="4"/>
  <c r="L76" i="4"/>
  <c r="K76" i="4"/>
  <c r="R75" i="4"/>
  <c r="Q75" i="4"/>
  <c r="P75" i="4"/>
  <c r="O75" i="4"/>
  <c r="N75" i="4"/>
  <c r="M75" i="4"/>
  <c r="L75" i="4"/>
  <c r="K75" i="4"/>
  <c r="R68" i="4"/>
  <c r="Q68" i="4"/>
  <c r="P68" i="4"/>
  <c r="O68" i="4"/>
  <c r="N68" i="4"/>
  <c r="M68" i="4"/>
  <c r="L68" i="4"/>
  <c r="K68" i="4"/>
  <c r="R67" i="4"/>
  <c r="Q67" i="4"/>
  <c r="P67" i="4"/>
  <c r="O67" i="4"/>
  <c r="N67" i="4"/>
  <c r="M67" i="4"/>
  <c r="L67" i="4"/>
  <c r="K67" i="4"/>
  <c r="R66" i="4"/>
  <c r="Q66" i="4"/>
  <c r="P66" i="4"/>
  <c r="O66" i="4"/>
  <c r="N66" i="4"/>
  <c r="M66" i="4"/>
  <c r="L66" i="4"/>
  <c r="K66" i="4"/>
  <c r="R65" i="4"/>
  <c r="Q65" i="4"/>
  <c r="P65" i="4"/>
  <c r="O65" i="4"/>
  <c r="N65" i="4"/>
  <c r="M65" i="4"/>
  <c r="L65" i="4"/>
  <c r="K65" i="4"/>
  <c r="R64" i="4"/>
  <c r="Q64" i="4"/>
  <c r="P64" i="4"/>
  <c r="O64" i="4"/>
  <c r="N64" i="4"/>
  <c r="M64" i="4"/>
  <c r="L64" i="4"/>
  <c r="K64" i="4"/>
  <c r="R63" i="4"/>
  <c r="Q63" i="4"/>
  <c r="P63" i="4"/>
  <c r="O63" i="4"/>
  <c r="N63" i="4"/>
  <c r="M63" i="4"/>
  <c r="L63" i="4"/>
  <c r="K63" i="4"/>
  <c r="R62" i="4"/>
  <c r="Q62" i="4"/>
  <c r="P62" i="4"/>
  <c r="O62" i="4"/>
  <c r="N62" i="4"/>
  <c r="M62" i="4"/>
  <c r="L62" i="4"/>
  <c r="K62" i="4"/>
  <c r="R55" i="4"/>
  <c r="Q55" i="4"/>
  <c r="P55" i="4"/>
  <c r="O55" i="4"/>
  <c r="N55" i="4"/>
  <c r="M55" i="4"/>
  <c r="L55" i="4"/>
  <c r="K55" i="4"/>
  <c r="R54" i="4"/>
  <c r="Q54" i="4"/>
  <c r="P54" i="4"/>
  <c r="O54" i="4"/>
  <c r="N54" i="4"/>
  <c r="M54" i="4"/>
  <c r="L54" i="4"/>
  <c r="K54" i="4"/>
  <c r="R53" i="4"/>
  <c r="Q53" i="4"/>
  <c r="P53" i="4"/>
  <c r="O53" i="4"/>
  <c r="N53" i="4"/>
  <c r="M53" i="4"/>
  <c r="L53" i="4"/>
  <c r="K53" i="4"/>
  <c r="R52" i="4"/>
  <c r="Q52" i="4"/>
  <c r="P52" i="4"/>
  <c r="O52" i="4"/>
  <c r="N52" i="4"/>
  <c r="M52" i="4"/>
  <c r="L52" i="4"/>
  <c r="K52" i="4"/>
  <c r="R51" i="4"/>
  <c r="Q51" i="4"/>
  <c r="P51" i="4"/>
  <c r="O51" i="4"/>
  <c r="N51" i="4"/>
  <c r="M51" i="4"/>
  <c r="L51" i="4"/>
  <c r="K51" i="4"/>
  <c r="R50" i="4"/>
  <c r="Q50" i="4"/>
  <c r="P50" i="4"/>
  <c r="O50" i="4"/>
  <c r="N50" i="4"/>
  <c r="M50" i="4"/>
  <c r="L50" i="4"/>
  <c r="K50" i="4"/>
  <c r="R49" i="4"/>
  <c r="Q49" i="4"/>
  <c r="P49" i="4"/>
  <c r="O49" i="4"/>
  <c r="N49" i="4"/>
  <c r="M49" i="4"/>
  <c r="L49" i="4"/>
  <c r="K49" i="4"/>
  <c r="R42" i="4"/>
  <c r="Q42" i="4"/>
  <c r="P42" i="4"/>
  <c r="O42" i="4"/>
  <c r="N42" i="4"/>
  <c r="M42" i="4"/>
  <c r="L42" i="4"/>
  <c r="K42" i="4"/>
  <c r="R41" i="4"/>
  <c r="Q41" i="4"/>
  <c r="P41" i="4"/>
  <c r="O41" i="4"/>
  <c r="N41" i="4"/>
  <c r="M41" i="4"/>
  <c r="L41" i="4"/>
  <c r="K41" i="4"/>
  <c r="R40" i="4"/>
  <c r="Q40" i="4"/>
  <c r="P40" i="4"/>
  <c r="O40" i="4"/>
  <c r="N40" i="4"/>
  <c r="M40" i="4"/>
  <c r="L40" i="4"/>
  <c r="K40" i="4"/>
  <c r="R39" i="4"/>
  <c r="Q39" i="4"/>
  <c r="P39" i="4"/>
  <c r="O39" i="4"/>
  <c r="N39" i="4"/>
  <c r="M39" i="4"/>
  <c r="L39" i="4"/>
  <c r="K39" i="4"/>
  <c r="R38" i="4"/>
  <c r="Q38" i="4"/>
  <c r="P38" i="4"/>
  <c r="O38" i="4"/>
  <c r="N38" i="4"/>
  <c r="M38" i="4"/>
  <c r="L38" i="4"/>
  <c r="K38" i="4"/>
  <c r="R37" i="4"/>
  <c r="Q37" i="4"/>
  <c r="P37" i="4"/>
  <c r="O37" i="4"/>
  <c r="N37" i="4"/>
  <c r="M37" i="4"/>
  <c r="L37" i="4"/>
  <c r="K37" i="4"/>
  <c r="R36" i="4"/>
  <c r="Q36" i="4"/>
  <c r="P36" i="4"/>
  <c r="O36" i="4"/>
  <c r="N36" i="4"/>
  <c r="M36" i="4"/>
  <c r="L36" i="4"/>
  <c r="K36" i="4"/>
  <c r="R29" i="4"/>
  <c r="Q29" i="4"/>
  <c r="P29" i="4"/>
  <c r="O29" i="4"/>
  <c r="N29" i="4"/>
  <c r="M29" i="4"/>
  <c r="L29" i="4"/>
  <c r="K29" i="4"/>
  <c r="R28" i="4"/>
  <c r="Q28" i="4"/>
  <c r="P28" i="4"/>
  <c r="O28" i="4"/>
  <c r="N28" i="4"/>
  <c r="M28" i="4"/>
  <c r="L28" i="4"/>
  <c r="K28" i="4"/>
  <c r="R27" i="4"/>
  <c r="Q27" i="4"/>
  <c r="P27" i="4"/>
  <c r="O27" i="4"/>
  <c r="N27" i="4"/>
  <c r="M27" i="4"/>
  <c r="L27" i="4"/>
  <c r="K27" i="4"/>
  <c r="R26" i="4"/>
  <c r="Q26" i="4"/>
  <c r="P26" i="4"/>
  <c r="O26" i="4"/>
  <c r="N26" i="4"/>
  <c r="M26" i="4"/>
  <c r="L26" i="4"/>
  <c r="K26" i="4"/>
  <c r="R25" i="4"/>
  <c r="Q25" i="4"/>
  <c r="P25" i="4"/>
  <c r="O25" i="4"/>
  <c r="N25" i="4"/>
  <c r="M25" i="4"/>
  <c r="L25" i="4"/>
  <c r="K25" i="4"/>
  <c r="R24" i="4"/>
  <c r="Q24" i="4"/>
  <c r="P24" i="4"/>
  <c r="O24" i="4"/>
  <c r="N24" i="4"/>
  <c r="M24" i="4"/>
  <c r="L24" i="4"/>
  <c r="K24" i="4"/>
  <c r="R23" i="4"/>
  <c r="Q23" i="4"/>
  <c r="P23" i="4"/>
  <c r="O23" i="4"/>
  <c r="N23" i="4"/>
  <c r="M23" i="4"/>
  <c r="L23" i="4"/>
  <c r="K23" i="4"/>
  <c r="R16" i="4"/>
  <c r="Q16" i="4"/>
  <c r="P16" i="4"/>
  <c r="O16" i="4"/>
  <c r="N16" i="4"/>
  <c r="M16" i="4"/>
  <c r="L16" i="4"/>
  <c r="K16" i="4"/>
  <c r="R15" i="4"/>
  <c r="Q15" i="4"/>
  <c r="P15" i="4"/>
  <c r="O15" i="4"/>
  <c r="N15" i="4"/>
  <c r="M15" i="4"/>
  <c r="L15" i="4"/>
  <c r="K15" i="4"/>
  <c r="R14" i="4"/>
  <c r="Q14" i="4"/>
  <c r="P14" i="4"/>
  <c r="O14" i="4"/>
  <c r="N14" i="4"/>
  <c r="M14" i="4"/>
  <c r="L14" i="4"/>
  <c r="K14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Q3" i="4"/>
  <c r="P3" i="4"/>
  <c r="O3" i="4"/>
  <c r="N3" i="4"/>
  <c r="M3" i="4"/>
  <c r="L3" i="4"/>
  <c r="K3" i="4"/>
  <c r="B338" i="8"/>
  <c r="B320" i="8"/>
  <c r="I316" i="8"/>
  <c r="H316" i="8"/>
  <c r="G316" i="8"/>
  <c r="F316" i="8"/>
  <c r="E316" i="8"/>
  <c r="D316" i="8"/>
  <c r="I315" i="8"/>
  <c r="H315" i="8"/>
  <c r="G315" i="8"/>
  <c r="F315" i="8"/>
  <c r="E315" i="8"/>
  <c r="D315" i="8"/>
  <c r="I314" i="8"/>
  <c r="H314" i="8"/>
  <c r="G314" i="8"/>
  <c r="F314" i="8"/>
  <c r="E314" i="8"/>
  <c r="D314" i="8"/>
  <c r="I313" i="8"/>
  <c r="H313" i="8"/>
  <c r="G313" i="8"/>
  <c r="F313" i="8"/>
  <c r="E313" i="8"/>
  <c r="D313" i="8"/>
  <c r="I312" i="8"/>
  <c r="H312" i="8"/>
  <c r="G312" i="8"/>
  <c r="F312" i="8"/>
  <c r="E312" i="8"/>
  <c r="D312" i="8"/>
  <c r="I311" i="8"/>
  <c r="H311" i="8"/>
  <c r="G311" i="8"/>
  <c r="F311" i="8"/>
  <c r="E311" i="8"/>
  <c r="D311" i="8"/>
  <c r="I310" i="8"/>
  <c r="H310" i="8"/>
  <c r="G310" i="8"/>
  <c r="F310" i="8"/>
  <c r="E310" i="8"/>
  <c r="D310" i="8"/>
  <c r="I309" i="8"/>
  <c r="H309" i="8"/>
  <c r="G309" i="8"/>
  <c r="F309" i="8"/>
  <c r="E309" i="8"/>
  <c r="D309" i="8"/>
  <c r="I308" i="8"/>
  <c r="H308" i="8"/>
  <c r="G308" i="8"/>
  <c r="F308" i="8"/>
  <c r="E308" i="8"/>
  <c r="D308" i="8"/>
  <c r="I307" i="8"/>
  <c r="H307" i="8"/>
  <c r="G307" i="8"/>
  <c r="F307" i="8"/>
  <c r="E307" i="8"/>
  <c r="D307" i="8"/>
  <c r="B283" i="8"/>
  <c r="F274" i="8"/>
  <c r="E274" i="8"/>
  <c r="D274" i="8"/>
  <c r="F273" i="8"/>
  <c r="E273" i="8"/>
  <c r="D273" i="8"/>
  <c r="F272" i="8"/>
  <c r="E272" i="8"/>
  <c r="D272" i="8"/>
  <c r="F271" i="8"/>
  <c r="E271" i="8"/>
  <c r="D271" i="8"/>
  <c r="F270" i="8"/>
  <c r="E270" i="8"/>
  <c r="D270" i="8"/>
  <c r="F269" i="8"/>
  <c r="E269" i="8"/>
  <c r="D269" i="8"/>
  <c r="F268" i="8"/>
  <c r="E268" i="8"/>
  <c r="D268" i="8"/>
  <c r="F267" i="8"/>
  <c r="E267" i="8"/>
  <c r="D267" i="8"/>
  <c r="F266" i="8"/>
  <c r="E266" i="8"/>
  <c r="D266" i="8"/>
  <c r="F265" i="8"/>
  <c r="E265" i="8"/>
  <c r="D265" i="8"/>
  <c r="F264" i="8"/>
  <c r="E264" i="8"/>
  <c r="D264" i="8"/>
  <c r="F263" i="8"/>
  <c r="E263" i="8"/>
  <c r="D263" i="8"/>
  <c r="F262" i="8"/>
  <c r="E262" i="8"/>
  <c r="D262" i="8"/>
  <c r="F261" i="8"/>
  <c r="E261" i="8"/>
  <c r="D261" i="8"/>
  <c r="F260" i="8"/>
  <c r="E260" i="8"/>
  <c r="D260" i="8"/>
  <c r="F259" i="8"/>
  <c r="E259" i="8"/>
  <c r="D259" i="8"/>
  <c r="F258" i="8"/>
  <c r="E258" i="8"/>
  <c r="D258" i="8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B234" i="8"/>
  <c r="B232" i="8"/>
  <c r="B231" i="8"/>
  <c r="B230" i="8"/>
  <c r="B212" i="8"/>
  <c r="B211" i="8"/>
  <c r="B209" i="8"/>
  <c r="B208" i="8"/>
  <c r="B207" i="8"/>
  <c r="H205" i="8"/>
  <c r="H204" i="8"/>
  <c r="H203" i="8"/>
  <c r="H202" i="8"/>
  <c r="H201" i="8"/>
  <c r="H200" i="8"/>
  <c r="J198" i="8"/>
  <c r="I195" i="8"/>
  <c r="H195" i="8"/>
  <c r="G195" i="8"/>
  <c r="F195" i="8"/>
  <c r="E195" i="8"/>
  <c r="D195" i="8"/>
  <c r="I194" i="8"/>
  <c r="H194" i="8"/>
  <c r="G194" i="8"/>
  <c r="F194" i="8"/>
  <c r="E194" i="8"/>
  <c r="D194" i="8"/>
  <c r="I193" i="8"/>
  <c r="H193" i="8"/>
  <c r="G193" i="8"/>
  <c r="F193" i="8"/>
  <c r="E193" i="8"/>
  <c r="D193" i="8"/>
  <c r="I192" i="8"/>
  <c r="I191" i="8"/>
  <c r="I190" i="8"/>
  <c r="H187" i="8"/>
  <c r="H186" i="8"/>
  <c r="H185" i="8"/>
  <c r="H184" i="8"/>
  <c r="H183" i="8"/>
  <c r="H182" i="8"/>
  <c r="J180" i="8"/>
  <c r="I177" i="8"/>
  <c r="H177" i="8"/>
  <c r="G177" i="8"/>
  <c r="F177" i="8"/>
  <c r="E177" i="8"/>
  <c r="D177" i="8"/>
  <c r="I176" i="8"/>
  <c r="H176" i="8"/>
  <c r="G176" i="8"/>
  <c r="F176" i="8"/>
  <c r="E176" i="8"/>
  <c r="D176" i="8"/>
  <c r="I175" i="8"/>
  <c r="H175" i="8"/>
  <c r="G175" i="8"/>
  <c r="F175" i="8"/>
  <c r="E175" i="8"/>
  <c r="D175" i="8"/>
  <c r="I174" i="8"/>
  <c r="I173" i="8"/>
  <c r="I172" i="8"/>
  <c r="B150" i="8"/>
  <c r="B130" i="8"/>
  <c r="I127" i="8"/>
  <c r="H127" i="8"/>
  <c r="G127" i="8"/>
  <c r="F127" i="8"/>
  <c r="E127" i="8"/>
  <c r="D127" i="8"/>
  <c r="A127" i="8"/>
  <c r="I126" i="8"/>
  <c r="H126" i="8"/>
  <c r="G126" i="8"/>
  <c r="F126" i="8"/>
  <c r="E126" i="8"/>
  <c r="D126" i="8"/>
  <c r="A126" i="8"/>
  <c r="I125" i="8"/>
  <c r="H125" i="8"/>
  <c r="G125" i="8"/>
  <c r="F125" i="8"/>
  <c r="E125" i="8"/>
  <c r="D125" i="8"/>
  <c r="A125" i="8"/>
  <c r="I124" i="8"/>
  <c r="H124" i="8"/>
  <c r="G124" i="8"/>
  <c r="F124" i="8"/>
  <c r="E124" i="8"/>
  <c r="D124" i="8"/>
  <c r="A124" i="8"/>
  <c r="I123" i="8"/>
  <c r="H123" i="8"/>
  <c r="G123" i="8"/>
  <c r="F123" i="8"/>
  <c r="E123" i="8"/>
  <c r="D123" i="8"/>
  <c r="A123" i="8"/>
  <c r="I122" i="8"/>
  <c r="H122" i="8"/>
  <c r="G122" i="8"/>
  <c r="F122" i="8"/>
  <c r="E122" i="8"/>
  <c r="D122" i="8"/>
  <c r="A122" i="8"/>
  <c r="I121" i="8"/>
  <c r="H121" i="8"/>
  <c r="G121" i="8"/>
  <c r="F121" i="8"/>
  <c r="E121" i="8"/>
  <c r="D121" i="8"/>
  <c r="A121" i="8"/>
  <c r="I120" i="8"/>
  <c r="H120" i="8"/>
  <c r="G120" i="8"/>
  <c r="F120" i="8"/>
  <c r="E120" i="8"/>
  <c r="D120" i="8"/>
  <c r="A120" i="8"/>
  <c r="I119" i="8"/>
  <c r="H119" i="8"/>
  <c r="G119" i="8"/>
  <c r="F119" i="8"/>
  <c r="E119" i="8"/>
  <c r="D119" i="8"/>
  <c r="A119" i="8"/>
  <c r="I118" i="8"/>
  <c r="H118" i="8"/>
  <c r="G118" i="8"/>
  <c r="F118" i="8"/>
  <c r="E118" i="8"/>
  <c r="D118" i="8"/>
  <c r="I117" i="8"/>
  <c r="H117" i="8"/>
  <c r="G117" i="8"/>
  <c r="F117" i="8"/>
  <c r="E117" i="8"/>
  <c r="D117" i="8"/>
  <c r="A117" i="8"/>
  <c r="I116" i="8"/>
  <c r="H116" i="8"/>
  <c r="G116" i="8"/>
  <c r="F116" i="8"/>
  <c r="E116" i="8"/>
  <c r="D116" i="8"/>
  <c r="I115" i="8"/>
  <c r="H115" i="8"/>
  <c r="G115" i="8"/>
  <c r="F115" i="8"/>
  <c r="E115" i="8"/>
  <c r="D115" i="8"/>
  <c r="B93" i="8"/>
  <c r="I71" i="8"/>
  <c r="H71" i="8"/>
  <c r="G71" i="8"/>
  <c r="F71" i="8"/>
  <c r="E71" i="8"/>
  <c r="D71" i="8"/>
  <c r="A71" i="8"/>
  <c r="I70" i="8"/>
  <c r="H70" i="8"/>
  <c r="G70" i="8"/>
  <c r="F70" i="8"/>
  <c r="E70" i="8"/>
  <c r="D70" i="8"/>
  <c r="A70" i="8"/>
  <c r="I69" i="8"/>
  <c r="H69" i="8"/>
  <c r="G69" i="8"/>
  <c r="F69" i="8"/>
  <c r="E69" i="8"/>
  <c r="D69" i="8"/>
  <c r="A69" i="8"/>
  <c r="I68" i="8"/>
  <c r="H68" i="8"/>
  <c r="G68" i="8"/>
  <c r="F68" i="8"/>
  <c r="E68" i="8"/>
  <c r="D68" i="8"/>
  <c r="A68" i="8"/>
  <c r="I67" i="8"/>
  <c r="H67" i="8"/>
  <c r="G67" i="8"/>
  <c r="F67" i="8"/>
  <c r="E67" i="8"/>
  <c r="D67" i="8"/>
  <c r="A67" i="8"/>
  <c r="I66" i="8"/>
  <c r="H66" i="8"/>
  <c r="G66" i="8"/>
  <c r="F66" i="8"/>
  <c r="E66" i="8"/>
  <c r="D66" i="8"/>
  <c r="I65" i="8"/>
  <c r="H65" i="8"/>
  <c r="G65" i="8"/>
  <c r="F65" i="8"/>
  <c r="E65" i="8"/>
  <c r="D65" i="8"/>
  <c r="A65" i="8"/>
  <c r="I64" i="8"/>
  <c r="H64" i="8"/>
  <c r="G64" i="8"/>
  <c r="F64" i="8"/>
  <c r="E64" i="8"/>
  <c r="D64" i="8"/>
  <c r="A64" i="8"/>
  <c r="I63" i="8"/>
  <c r="H63" i="8"/>
  <c r="G63" i="8"/>
  <c r="F63" i="8"/>
  <c r="E63" i="8"/>
  <c r="D63" i="8"/>
  <c r="A63" i="8"/>
  <c r="I62" i="8"/>
  <c r="H62" i="8"/>
  <c r="G62" i="8"/>
  <c r="F62" i="8"/>
  <c r="E62" i="8"/>
  <c r="D62" i="8"/>
  <c r="A62" i="8"/>
  <c r="I61" i="8"/>
  <c r="H61" i="8"/>
  <c r="G61" i="8"/>
  <c r="F61" i="8"/>
  <c r="E61" i="8"/>
  <c r="D61" i="8"/>
  <c r="A61" i="8"/>
  <c r="I60" i="8"/>
  <c r="H60" i="8"/>
  <c r="G60" i="8"/>
  <c r="F60" i="8"/>
  <c r="E60" i="8"/>
  <c r="D60" i="8"/>
  <c r="I59" i="8"/>
  <c r="H59" i="8"/>
  <c r="G59" i="8"/>
  <c r="F59" i="8"/>
  <c r="E59" i="8"/>
  <c r="D59" i="8"/>
  <c r="B38" i="8"/>
  <c r="B17" i="8"/>
  <c r="I9" i="8"/>
  <c r="H9" i="8"/>
  <c r="G9" i="8"/>
  <c r="F9" i="8"/>
  <c r="E9" i="8"/>
  <c r="D9" i="8"/>
  <c r="A9" i="8"/>
  <c r="I8" i="8"/>
  <c r="H8" i="8"/>
  <c r="G8" i="8"/>
  <c r="F8" i="8"/>
  <c r="E8" i="8"/>
  <c r="D8" i="8"/>
  <c r="A8" i="8"/>
  <c r="I7" i="8"/>
  <c r="H7" i="8"/>
  <c r="G7" i="8"/>
  <c r="F7" i="8"/>
  <c r="E7" i="8"/>
  <c r="D7" i="8"/>
  <c r="A7" i="8"/>
  <c r="I6" i="8"/>
  <c r="H6" i="8"/>
  <c r="G6" i="8"/>
  <c r="F6" i="8"/>
  <c r="E6" i="8"/>
  <c r="D6" i="8"/>
  <c r="A6" i="8"/>
  <c r="I5" i="8"/>
  <c r="C58" i="12" s="1"/>
  <c r="B61" i="12" s="1"/>
  <c r="H5" i="8"/>
  <c r="G5" i="8"/>
  <c r="F5" i="8"/>
  <c r="E5" i="8"/>
  <c r="D5" i="8"/>
  <c r="A5" i="8"/>
  <c r="I4" i="8"/>
  <c r="H4" i="8"/>
  <c r="G4" i="8"/>
  <c r="F4" i="8"/>
  <c r="E4" i="8"/>
  <c r="D4" i="8"/>
  <c r="I3" i="8"/>
  <c r="H3" i="8"/>
  <c r="G3" i="8"/>
  <c r="F3" i="8"/>
  <c r="E3" i="8"/>
  <c r="D3" i="8"/>
  <c r="I1" i="8"/>
  <c r="H1" i="8"/>
  <c r="G1" i="8"/>
  <c r="F1" i="8"/>
  <c r="E1" i="8"/>
  <c r="D1" i="8"/>
  <c r="P62" i="2"/>
  <c r="O62" i="2"/>
  <c r="N62" i="2"/>
  <c r="M62" i="2"/>
  <c r="L62" i="2"/>
  <c r="K62" i="2"/>
  <c r="P61" i="2"/>
  <c r="O61" i="2"/>
  <c r="N61" i="2"/>
  <c r="M61" i="2"/>
  <c r="L61" i="2"/>
  <c r="K61" i="2"/>
  <c r="P60" i="2"/>
  <c r="O60" i="2"/>
  <c r="N60" i="2"/>
  <c r="M60" i="2"/>
  <c r="L60" i="2"/>
  <c r="K60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35" i="2"/>
  <c r="Q35" i="2"/>
  <c r="P35" i="2"/>
  <c r="O35" i="2"/>
  <c r="N35" i="2"/>
  <c r="M35" i="2"/>
  <c r="L35" i="2"/>
  <c r="K35" i="2"/>
  <c r="R34" i="2"/>
  <c r="Q34" i="2"/>
  <c r="P34" i="2"/>
  <c r="O34" i="2"/>
  <c r="N34" i="2"/>
  <c r="M34" i="2"/>
  <c r="L34" i="2"/>
  <c r="K34" i="2"/>
  <c r="R33" i="2"/>
  <c r="Q33" i="2"/>
  <c r="P33" i="2"/>
  <c r="O33" i="2"/>
  <c r="N33" i="2"/>
  <c r="M33" i="2"/>
  <c r="L33" i="2"/>
  <c r="K33" i="2"/>
  <c r="Q1" i="2"/>
  <c r="P1" i="2"/>
  <c r="I322" i="7"/>
  <c r="H322" i="7"/>
  <c r="G322" i="7"/>
  <c r="F322" i="7"/>
  <c r="E322" i="7"/>
  <c r="D322" i="7"/>
  <c r="A322" i="7"/>
  <c r="I321" i="7"/>
  <c r="H321" i="7"/>
  <c r="G321" i="7"/>
  <c r="F321" i="7"/>
  <c r="E321" i="7"/>
  <c r="D321" i="7"/>
  <c r="A321" i="7"/>
  <c r="I320" i="7"/>
  <c r="H320" i="7"/>
  <c r="G320" i="7"/>
  <c r="F320" i="7"/>
  <c r="E320" i="7"/>
  <c r="D320" i="7"/>
  <c r="A320" i="7"/>
  <c r="I319" i="7"/>
  <c r="H319" i="7"/>
  <c r="G319" i="7"/>
  <c r="F319" i="7"/>
  <c r="E319" i="7"/>
  <c r="D319" i="7"/>
  <c r="A319" i="7"/>
  <c r="I318" i="7"/>
  <c r="H318" i="7"/>
  <c r="G318" i="7"/>
  <c r="F318" i="7"/>
  <c r="E318" i="7"/>
  <c r="D318" i="7"/>
  <c r="A318" i="7"/>
  <c r="I317" i="7"/>
  <c r="H317" i="7"/>
  <c r="G317" i="7"/>
  <c r="F317" i="7"/>
  <c r="E317" i="7"/>
  <c r="D317" i="7"/>
  <c r="A317" i="7"/>
  <c r="I316" i="7"/>
  <c r="H316" i="7"/>
  <c r="G316" i="7"/>
  <c r="F316" i="7"/>
  <c r="E316" i="7"/>
  <c r="D316" i="7"/>
  <c r="A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A314" i="7"/>
  <c r="I313" i="7"/>
  <c r="H313" i="7"/>
  <c r="G313" i="7"/>
  <c r="F313" i="7"/>
  <c r="E313" i="7"/>
  <c r="D313" i="7"/>
  <c r="A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268" i="7"/>
  <c r="H268" i="7"/>
  <c r="G268" i="7"/>
  <c r="F268" i="7"/>
  <c r="E268" i="7"/>
  <c r="D268" i="7"/>
  <c r="A268" i="7"/>
  <c r="I267" i="7"/>
  <c r="H267" i="7"/>
  <c r="G267" i="7"/>
  <c r="F267" i="7"/>
  <c r="E267" i="7"/>
  <c r="D267" i="7"/>
  <c r="A267" i="7"/>
  <c r="I266" i="7"/>
  <c r="H266" i="7"/>
  <c r="G266" i="7"/>
  <c r="F266" i="7"/>
  <c r="E266" i="7"/>
  <c r="D266" i="7"/>
  <c r="A266" i="7"/>
  <c r="I265" i="7"/>
  <c r="H265" i="7"/>
  <c r="G265" i="7"/>
  <c r="F265" i="7"/>
  <c r="E265" i="7"/>
  <c r="D265" i="7"/>
  <c r="A265" i="7"/>
  <c r="I264" i="7"/>
  <c r="H264" i="7"/>
  <c r="G264" i="7"/>
  <c r="F264" i="7"/>
  <c r="E264" i="7"/>
  <c r="D264" i="7"/>
  <c r="A264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13" i="7"/>
  <c r="H213" i="7"/>
  <c r="G213" i="7"/>
  <c r="F213" i="7"/>
  <c r="E213" i="7"/>
  <c r="D213" i="7"/>
  <c r="A213" i="7"/>
  <c r="I212" i="7"/>
  <c r="H212" i="7"/>
  <c r="G212" i="7"/>
  <c r="F212" i="7"/>
  <c r="E212" i="7"/>
  <c r="D212" i="7"/>
  <c r="A212" i="7"/>
  <c r="I211" i="7"/>
  <c r="H211" i="7"/>
  <c r="G211" i="7"/>
  <c r="F211" i="7"/>
  <c r="E211" i="7"/>
  <c r="D211" i="7"/>
  <c r="A211" i="7"/>
  <c r="I210" i="7"/>
  <c r="H210" i="7"/>
  <c r="G210" i="7"/>
  <c r="F210" i="7"/>
  <c r="E210" i="7"/>
  <c r="D210" i="7"/>
  <c r="A210" i="7"/>
  <c r="I209" i="7"/>
  <c r="H209" i="7"/>
  <c r="G209" i="7"/>
  <c r="F209" i="7"/>
  <c r="E209" i="7"/>
  <c r="D209" i="7"/>
  <c r="A209" i="7"/>
  <c r="I208" i="7"/>
  <c r="H208" i="7"/>
  <c r="G208" i="7"/>
  <c r="F208" i="7"/>
  <c r="E208" i="7"/>
  <c r="D208" i="7"/>
  <c r="A208" i="7"/>
  <c r="I207" i="7"/>
  <c r="H207" i="7"/>
  <c r="G207" i="7"/>
  <c r="F207" i="7"/>
  <c r="E207" i="7"/>
  <c r="D207" i="7"/>
  <c r="A207" i="7"/>
  <c r="I206" i="7"/>
  <c r="H206" i="7"/>
  <c r="G206" i="7"/>
  <c r="F206" i="7"/>
  <c r="E206" i="7"/>
  <c r="D206" i="7"/>
  <c r="I205" i="7"/>
  <c r="H205" i="7"/>
  <c r="G205" i="7"/>
  <c r="F205" i="7"/>
  <c r="E205" i="7"/>
  <c r="D205" i="7"/>
  <c r="I176" i="7"/>
  <c r="H176" i="7"/>
  <c r="G176" i="7"/>
  <c r="F176" i="7"/>
  <c r="E176" i="7"/>
  <c r="D176" i="7"/>
  <c r="A176" i="7"/>
  <c r="I175" i="7"/>
  <c r="H175" i="7"/>
  <c r="G175" i="7"/>
  <c r="F175" i="7"/>
  <c r="E175" i="7"/>
  <c r="D175" i="7"/>
  <c r="A175" i="7"/>
  <c r="I174" i="7"/>
  <c r="H174" i="7"/>
  <c r="G174" i="7"/>
  <c r="F174" i="7"/>
  <c r="E174" i="7"/>
  <c r="D174" i="7"/>
  <c r="A174" i="7"/>
  <c r="I173" i="7"/>
  <c r="H173" i="7"/>
  <c r="G173" i="7"/>
  <c r="F173" i="7"/>
  <c r="E173" i="7"/>
  <c r="D173" i="7"/>
  <c r="A173" i="7"/>
  <c r="I172" i="7"/>
  <c r="H172" i="7"/>
  <c r="G172" i="7"/>
  <c r="F172" i="7"/>
  <c r="E172" i="7"/>
  <c r="D172" i="7"/>
  <c r="A172" i="7"/>
  <c r="I171" i="7"/>
  <c r="H171" i="7"/>
  <c r="G171" i="7"/>
  <c r="F171" i="7"/>
  <c r="E171" i="7"/>
  <c r="D171" i="7"/>
  <c r="A171" i="7"/>
  <c r="I170" i="7"/>
  <c r="H170" i="7"/>
  <c r="G170" i="7"/>
  <c r="F170" i="7"/>
  <c r="E170" i="7"/>
  <c r="D170" i="7"/>
  <c r="A170" i="7"/>
  <c r="I169" i="7"/>
  <c r="H169" i="7"/>
  <c r="G169" i="7"/>
  <c r="F169" i="7"/>
  <c r="E169" i="7"/>
  <c r="D169" i="7"/>
  <c r="A169" i="7"/>
  <c r="I168" i="7"/>
  <c r="H168" i="7"/>
  <c r="G168" i="7"/>
  <c r="F168" i="7"/>
  <c r="E168" i="7"/>
  <c r="D168" i="7"/>
  <c r="I167" i="7"/>
  <c r="H167" i="7"/>
  <c r="G167" i="7"/>
  <c r="F167" i="7"/>
  <c r="E167" i="7"/>
  <c r="D167" i="7"/>
  <c r="I166" i="7"/>
  <c r="H166" i="7"/>
  <c r="G166" i="7"/>
  <c r="F166" i="7"/>
  <c r="E166" i="7"/>
  <c r="D166" i="7"/>
  <c r="I165" i="7"/>
  <c r="H165" i="7"/>
  <c r="G165" i="7"/>
  <c r="F165" i="7"/>
  <c r="E165" i="7"/>
  <c r="D165" i="7"/>
  <c r="I164" i="7"/>
  <c r="H164" i="7"/>
  <c r="G164" i="7"/>
  <c r="F164" i="7"/>
  <c r="E164" i="7"/>
  <c r="D164" i="7"/>
  <c r="I163" i="7"/>
  <c r="B186" i="7" s="1"/>
  <c r="H163" i="7"/>
  <c r="G163" i="7"/>
  <c r="F163" i="7"/>
  <c r="E163" i="7"/>
  <c r="D163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56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A55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54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53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51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A48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A47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A46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A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A44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A43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A4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41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A40" i="7"/>
  <c r="A39" i="7"/>
  <c r="A38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A37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A36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35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29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26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20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19" i="7"/>
  <c r="P18" i="7"/>
  <c r="B123" i="7" s="1"/>
  <c r="O18" i="7"/>
  <c r="N18" i="7"/>
  <c r="M18" i="7"/>
  <c r="L18" i="7"/>
  <c r="K18" i="7"/>
  <c r="J18" i="7"/>
  <c r="I18" i="7"/>
  <c r="H18" i="7"/>
  <c r="G18" i="7"/>
  <c r="F18" i="7"/>
  <c r="E18" i="7"/>
  <c r="D18" i="7"/>
  <c r="A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17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A15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P8" i="7"/>
  <c r="O8" i="7"/>
  <c r="N8" i="7"/>
  <c r="M8" i="7"/>
  <c r="L8" i="7"/>
  <c r="K8" i="7"/>
  <c r="J8" i="7"/>
  <c r="I8" i="7"/>
  <c r="H8" i="7"/>
  <c r="G8" i="7"/>
  <c r="F8" i="7"/>
  <c r="E8" i="7"/>
  <c r="D8" i="7"/>
  <c r="P7" i="7"/>
  <c r="O7" i="7"/>
  <c r="N7" i="7"/>
  <c r="M7" i="7"/>
  <c r="L7" i="7"/>
  <c r="K7" i="7"/>
  <c r="J7" i="7"/>
  <c r="I7" i="7"/>
  <c r="H7" i="7"/>
  <c r="G7" i="7"/>
  <c r="F7" i="7"/>
  <c r="E7" i="7"/>
  <c r="D7" i="7"/>
  <c r="P6" i="7"/>
  <c r="O6" i="7"/>
  <c r="N6" i="7"/>
  <c r="M6" i="7"/>
  <c r="L6" i="7"/>
  <c r="K6" i="7"/>
  <c r="J6" i="7"/>
  <c r="I6" i="7"/>
  <c r="H6" i="7"/>
  <c r="G6" i="7"/>
  <c r="F6" i="7"/>
  <c r="E6" i="7"/>
  <c r="D6" i="7"/>
  <c r="P5" i="7"/>
  <c r="O5" i="7"/>
  <c r="N5" i="7"/>
  <c r="M5" i="7"/>
  <c r="L5" i="7"/>
  <c r="K5" i="7"/>
  <c r="J5" i="7"/>
  <c r="I5" i="7"/>
  <c r="H5" i="7"/>
  <c r="G5" i="7"/>
  <c r="F5" i="7"/>
  <c r="E5" i="7"/>
  <c r="D5" i="7"/>
  <c r="P4" i="7"/>
  <c r="O4" i="7"/>
  <c r="N4" i="7"/>
  <c r="M4" i="7"/>
  <c r="L4" i="7"/>
  <c r="K4" i="7"/>
  <c r="J4" i="7"/>
  <c r="I4" i="7"/>
  <c r="H4" i="7"/>
  <c r="G4" i="7"/>
  <c r="F4" i="7"/>
  <c r="E4" i="7"/>
  <c r="D4" i="7"/>
  <c r="P3" i="7"/>
  <c r="O3" i="7"/>
  <c r="N3" i="7"/>
  <c r="M3" i="7"/>
  <c r="L3" i="7"/>
  <c r="K3" i="7"/>
  <c r="J3" i="7"/>
  <c r="I3" i="7"/>
  <c r="H3" i="7"/>
  <c r="G3" i="7"/>
  <c r="F3" i="7"/>
  <c r="E3" i="7"/>
  <c r="D3" i="7"/>
  <c r="P1" i="7"/>
  <c r="O1" i="7"/>
  <c r="N1" i="7"/>
  <c r="M1" i="7"/>
  <c r="L1" i="7"/>
  <c r="K1" i="7"/>
  <c r="J1" i="7"/>
  <c r="I1" i="7"/>
  <c r="H1" i="7"/>
  <c r="G1" i="7"/>
  <c r="F1" i="7"/>
  <c r="E1" i="7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0" i="1"/>
  <c r="Q110" i="1"/>
  <c r="P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R105" i="1"/>
  <c r="Q100" i="1"/>
  <c r="P100" i="1"/>
  <c r="O100" i="1"/>
  <c r="N100" i="1"/>
  <c r="M100" i="1"/>
  <c r="L100" i="1"/>
  <c r="K100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J4" i="1"/>
  <c r="I4" i="1"/>
  <c r="H4" i="1"/>
  <c r="G4" i="1"/>
  <c r="F4" i="1"/>
  <c r="E4" i="1"/>
  <c r="Q1" i="1"/>
  <c r="P1" i="1"/>
  <c r="F28" i="7" l="1"/>
  <c r="J232" i="10"/>
  <c r="J80" i="10"/>
  <c r="J84" i="10"/>
  <c r="J88" i="10"/>
  <c r="J96" i="10"/>
  <c r="E10" i="8"/>
  <c r="Q25" i="7"/>
  <c r="Q31" i="7"/>
  <c r="Q33" i="7"/>
  <c r="Q35" i="7"/>
  <c r="Q40" i="7"/>
  <c r="Q42" i="7"/>
  <c r="Q46" i="7"/>
  <c r="Q48" i="7"/>
  <c r="Q52" i="7"/>
  <c r="H206" i="10"/>
  <c r="J6" i="10"/>
  <c r="H2" i="10"/>
  <c r="J10" i="10"/>
  <c r="J14" i="10"/>
  <c r="J18" i="10"/>
  <c r="J22" i="10"/>
  <c r="J28" i="10"/>
  <c r="J92" i="10"/>
  <c r="Q23" i="7"/>
  <c r="J71" i="8"/>
  <c r="J117" i="8"/>
  <c r="Q12" i="7"/>
  <c r="Q16" i="7"/>
  <c r="Q32" i="7"/>
  <c r="Q34" i="7"/>
  <c r="Q41" i="7"/>
  <c r="Q57" i="7"/>
  <c r="J314" i="7"/>
  <c r="B348" i="7" s="1"/>
  <c r="E58" i="12"/>
  <c r="K2" i="10"/>
  <c r="J76" i="10"/>
  <c r="B189" i="10"/>
  <c r="J223" i="10"/>
  <c r="J227" i="10"/>
  <c r="J284" i="10"/>
  <c r="J210" i="7"/>
  <c r="J318" i="7"/>
  <c r="J322" i="7"/>
  <c r="J116" i="8"/>
  <c r="J126" i="8"/>
  <c r="J315" i="8"/>
  <c r="J263" i="7"/>
  <c r="J267" i="7"/>
  <c r="B272" i="7" s="1"/>
  <c r="J65" i="8"/>
  <c r="B76" i="8" s="1"/>
  <c r="J308" i="8"/>
  <c r="J97" i="10"/>
  <c r="J312" i="7"/>
  <c r="J210" i="10"/>
  <c r="J214" i="10"/>
  <c r="G234" i="10"/>
  <c r="H276" i="10"/>
  <c r="J26" i="10"/>
  <c r="G206" i="10"/>
  <c r="H234" i="10"/>
  <c r="J313" i="7"/>
  <c r="B347" i="7" s="1"/>
  <c r="G51" i="12"/>
  <c r="G55" i="12"/>
  <c r="Q11" i="7"/>
  <c r="Q53" i="7"/>
  <c r="J169" i="7"/>
  <c r="J173" i="7"/>
  <c r="J317" i="7"/>
  <c r="J321" i="7"/>
  <c r="F11" i="8"/>
  <c r="G12" i="8"/>
  <c r="G13" i="8" s="1"/>
  <c r="J9" i="8"/>
  <c r="B40" i="8" s="1"/>
  <c r="K30" i="10"/>
  <c r="J75" i="10"/>
  <c r="J79" i="10"/>
  <c r="J83" i="10"/>
  <c r="J87" i="10"/>
  <c r="H98" i="10"/>
  <c r="J91" i="10"/>
  <c r="J95" i="10"/>
  <c r="J146" i="10"/>
  <c r="J158" i="10"/>
  <c r="J162" i="10"/>
  <c r="J208" i="10"/>
  <c r="B237" i="10" s="1"/>
  <c r="I276" i="10"/>
  <c r="J84" i="12"/>
  <c r="J88" i="12"/>
  <c r="B94" i="12" s="1"/>
  <c r="J136" i="12"/>
  <c r="B163" i="12" s="1"/>
  <c r="J201" i="12"/>
  <c r="B203" i="12" s="1"/>
  <c r="J68" i="8"/>
  <c r="J312" i="8"/>
  <c r="B339" i="8" s="1"/>
  <c r="J314" i="8"/>
  <c r="H30" i="10"/>
  <c r="J301" i="10"/>
  <c r="Q21" i="7"/>
  <c r="J212" i="7"/>
  <c r="J60" i="8"/>
  <c r="J67" i="8"/>
  <c r="J127" i="8"/>
  <c r="G254" i="8"/>
  <c r="G258" i="8"/>
  <c r="G262" i="8"/>
  <c r="E278" i="8" s="1"/>
  <c r="G266" i="8"/>
  <c r="G270" i="8"/>
  <c r="G274" i="8"/>
  <c r="F279" i="8" s="1"/>
  <c r="J309" i="8"/>
  <c r="B321" i="8" s="1"/>
  <c r="J313" i="8"/>
  <c r="B340" i="8" s="1"/>
  <c r="I2" i="10"/>
  <c r="J13" i="10"/>
  <c r="I30" i="10"/>
  <c r="J25" i="10"/>
  <c r="J29" i="10"/>
  <c r="J233" i="10"/>
  <c r="G50" i="12"/>
  <c r="G54" i="12"/>
  <c r="J118" i="8"/>
  <c r="J8" i="10"/>
  <c r="J12" i="10"/>
  <c r="J16" i="10"/>
  <c r="J20" i="10"/>
  <c r="J24" i="10"/>
  <c r="J73" i="10"/>
  <c r="J94" i="10"/>
  <c r="J141" i="10"/>
  <c r="B169" i="10" s="1"/>
  <c r="J145" i="10"/>
  <c r="J149" i="10"/>
  <c r="J153" i="10"/>
  <c r="J157" i="10"/>
  <c r="J161" i="10"/>
  <c r="J165" i="10"/>
  <c r="J211" i="10"/>
  <c r="J231" i="10"/>
  <c r="E39" i="7"/>
  <c r="I39" i="7"/>
  <c r="M39" i="7"/>
  <c r="E50" i="7"/>
  <c r="I50" i="7"/>
  <c r="M50" i="7"/>
  <c r="E60" i="7"/>
  <c r="I60" i="7"/>
  <c r="M60" i="7"/>
  <c r="J165" i="7"/>
  <c r="J167" i="7"/>
  <c r="J170" i="7"/>
  <c r="G214" i="7"/>
  <c r="D215" i="7"/>
  <c r="H215" i="7"/>
  <c r="J66" i="8"/>
  <c r="J70" i="8"/>
  <c r="J7" i="10"/>
  <c r="J11" i="10"/>
  <c r="J15" i="10"/>
  <c r="J19" i="10"/>
  <c r="J23" i="10"/>
  <c r="J93" i="10"/>
  <c r="H304" i="10"/>
  <c r="J300" i="10"/>
  <c r="J349" i="10"/>
  <c r="J353" i="10"/>
  <c r="J357" i="10"/>
  <c r="J86" i="12"/>
  <c r="J90" i="12"/>
  <c r="B96" i="12" s="1"/>
  <c r="J134" i="12"/>
  <c r="B143" i="12" s="1"/>
  <c r="Q5" i="7"/>
  <c r="D38" i="7"/>
  <c r="H38" i="7"/>
  <c r="L38" i="7"/>
  <c r="D49" i="7"/>
  <c r="H49" i="7"/>
  <c r="L49" i="7"/>
  <c r="P49" i="7"/>
  <c r="Q47" i="7"/>
  <c r="Q55" i="7"/>
  <c r="J69" i="8"/>
  <c r="J213" i="10"/>
  <c r="I304" i="10"/>
  <c r="J299" i="10"/>
  <c r="J303" i="10"/>
  <c r="J348" i="10"/>
  <c r="J360" i="10"/>
  <c r="Q17" i="7"/>
  <c r="D27" i="7"/>
  <c r="H27" i="7"/>
  <c r="L27" i="7"/>
  <c r="P27" i="7"/>
  <c r="G60" i="7"/>
  <c r="K60" i="7"/>
  <c r="O60" i="7"/>
  <c r="E61" i="7"/>
  <c r="I61" i="7"/>
  <c r="M61" i="7"/>
  <c r="Q59" i="7"/>
  <c r="J166" i="7"/>
  <c r="B180" i="7" s="1"/>
  <c r="J206" i="7"/>
  <c r="E14" i="8"/>
  <c r="J311" i="8"/>
  <c r="J9" i="10"/>
  <c r="J17" i="10"/>
  <c r="B52" i="10" s="1"/>
  <c r="J212" i="10"/>
  <c r="J286" i="10"/>
  <c r="J298" i="10"/>
  <c r="J302" i="10"/>
  <c r="G52" i="12"/>
  <c r="G56" i="12"/>
  <c r="F13" i="7"/>
  <c r="J13" i="7"/>
  <c r="N13" i="7"/>
  <c r="E14" i="7"/>
  <c r="I14" i="7"/>
  <c r="M14" i="7"/>
  <c r="Q9" i="7"/>
  <c r="Q20" i="7"/>
  <c r="F27" i="7"/>
  <c r="J27" i="7"/>
  <c r="N27" i="7"/>
  <c r="G28" i="7"/>
  <c r="K28" i="7"/>
  <c r="O28" i="7"/>
  <c r="Q29" i="7"/>
  <c r="B143" i="7" s="1"/>
  <c r="E38" i="7"/>
  <c r="I38" i="7"/>
  <c r="M38" i="7"/>
  <c r="G39" i="7"/>
  <c r="K39" i="7"/>
  <c r="O39" i="7"/>
  <c r="Q36" i="7"/>
  <c r="E49" i="7"/>
  <c r="I49" i="7"/>
  <c r="M49" i="7"/>
  <c r="Q43" i="7"/>
  <c r="F50" i="7"/>
  <c r="J50" i="7"/>
  <c r="N50" i="7"/>
  <c r="Q45" i="7"/>
  <c r="D60" i="7"/>
  <c r="H60" i="7"/>
  <c r="L60" i="7"/>
  <c r="P60" i="7"/>
  <c r="F61" i="7"/>
  <c r="J61" i="7"/>
  <c r="N61" i="7"/>
  <c r="Q56" i="7"/>
  <c r="J168" i="7"/>
  <c r="J172" i="7"/>
  <c r="E214" i="7"/>
  <c r="I214" i="7"/>
  <c r="E215" i="7"/>
  <c r="I215" i="7"/>
  <c r="E216" i="7"/>
  <c r="E217" i="7"/>
  <c r="J213" i="7"/>
  <c r="I216" i="7"/>
  <c r="Q6" i="7"/>
  <c r="G13" i="7"/>
  <c r="K13" i="7"/>
  <c r="O13" i="7"/>
  <c r="F14" i="7"/>
  <c r="J14" i="7"/>
  <c r="N14" i="7"/>
  <c r="Q15" i="7"/>
  <c r="G27" i="7"/>
  <c r="K27" i="7"/>
  <c r="O27" i="7"/>
  <c r="D28" i="7"/>
  <c r="H28" i="7"/>
  <c r="L28" i="7"/>
  <c r="P28" i="7"/>
  <c r="Q24" i="7"/>
  <c r="F38" i="7"/>
  <c r="J38" i="7"/>
  <c r="N38" i="7"/>
  <c r="D39" i="7"/>
  <c r="H39" i="7"/>
  <c r="L39" i="7"/>
  <c r="F49" i="7"/>
  <c r="J49" i="7"/>
  <c r="N49" i="7"/>
  <c r="G50" i="7"/>
  <c r="K50" i="7"/>
  <c r="O50" i="7"/>
  <c r="Q51" i="7"/>
  <c r="G61" i="7"/>
  <c r="K61" i="7"/>
  <c r="O61" i="7"/>
  <c r="Q58" i="7"/>
  <c r="J171" i="7"/>
  <c r="J175" i="7"/>
  <c r="J207" i="7"/>
  <c r="B223" i="7" s="1"/>
  <c r="J208" i="7"/>
  <c r="B224" i="7" s="1"/>
  <c r="J209" i="7"/>
  <c r="B225" i="7" s="1"/>
  <c r="F214" i="7"/>
  <c r="F215" i="7"/>
  <c r="J211" i="7"/>
  <c r="B243" i="7" s="1"/>
  <c r="F216" i="7"/>
  <c r="D13" i="7"/>
  <c r="H13" i="7"/>
  <c r="L13" i="7"/>
  <c r="P13" i="7"/>
  <c r="G14" i="7"/>
  <c r="K14" i="7"/>
  <c r="O14" i="7"/>
  <c r="Q19" i="7"/>
  <c r="E28" i="7"/>
  <c r="I28" i="7"/>
  <c r="M28" i="7"/>
  <c r="Q26" i="7"/>
  <c r="Q30" i="7"/>
  <c r="G38" i="7"/>
  <c r="K38" i="7"/>
  <c r="O38" i="7"/>
  <c r="Q37" i="7"/>
  <c r="G49" i="7"/>
  <c r="K49" i="7"/>
  <c r="O49" i="7"/>
  <c r="D50" i="7"/>
  <c r="H50" i="7"/>
  <c r="L50" i="7"/>
  <c r="P50" i="7"/>
  <c r="F60" i="7"/>
  <c r="J60" i="7"/>
  <c r="N60" i="7"/>
  <c r="D61" i="7"/>
  <c r="H61" i="7"/>
  <c r="L61" i="7"/>
  <c r="B184" i="7"/>
  <c r="G215" i="7"/>
  <c r="G216" i="7"/>
  <c r="G217" i="7"/>
  <c r="E13" i="7"/>
  <c r="I13" i="7"/>
  <c r="M13" i="7"/>
  <c r="D14" i="7"/>
  <c r="H14" i="7"/>
  <c r="L14" i="7"/>
  <c r="P14" i="7"/>
  <c r="E27" i="7"/>
  <c r="I27" i="7"/>
  <c r="M27" i="7"/>
  <c r="J28" i="7"/>
  <c r="N28" i="7"/>
  <c r="F39" i="7"/>
  <c r="J39" i="7"/>
  <c r="N39" i="7"/>
  <c r="P38" i="7"/>
  <c r="D214" i="7"/>
  <c r="H214" i="7"/>
  <c r="D216" i="7"/>
  <c r="H216" i="7"/>
  <c r="D217" i="7"/>
  <c r="H217" i="7"/>
  <c r="J266" i="7"/>
  <c r="B292" i="7" s="1"/>
  <c r="D10" i="8"/>
  <c r="H10" i="8"/>
  <c r="E11" i="8"/>
  <c r="J6" i="8"/>
  <c r="F12" i="8"/>
  <c r="F13" i="8" s="1"/>
  <c r="G14" i="8"/>
  <c r="J121" i="8"/>
  <c r="G255" i="8"/>
  <c r="D278" i="8" s="1"/>
  <c r="G259" i="8"/>
  <c r="G263" i="8"/>
  <c r="G267" i="8"/>
  <c r="E279" i="8" s="1"/>
  <c r="G271" i="8"/>
  <c r="J142" i="10"/>
  <c r="B170" i="10" s="1"/>
  <c r="J150" i="10"/>
  <c r="J216" i="10"/>
  <c r="J220" i="10"/>
  <c r="J224" i="10"/>
  <c r="J228" i="10"/>
  <c r="J290" i="10"/>
  <c r="J294" i="10"/>
  <c r="D14" i="8"/>
  <c r="H14" i="8"/>
  <c r="J215" i="10"/>
  <c r="B238" i="10" s="1"/>
  <c r="J219" i="10"/>
  <c r="J281" i="10"/>
  <c r="J285" i="10"/>
  <c r="J289" i="10"/>
  <c r="J293" i="10"/>
  <c r="J297" i="10"/>
  <c r="J352" i="10"/>
  <c r="J356" i="10"/>
  <c r="J85" i="12"/>
  <c r="J89" i="12"/>
  <c r="J133" i="12"/>
  <c r="B142" i="12" s="1"/>
  <c r="J137" i="12"/>
  <c r="B164" i="12" s="1"/>
  <c r="J202" i="12"/>
  <c r="B204" i="12" s="1"/>
  <c r="F217" i="7"/>
  <c r="J311" i="7"/>
  <c r="J316" i="7"/>
  <c r="J320" i="7"/>
  <c r="J4" i="8"/>
  <c r="F10" i="8"/>
  <c r="G11" i="8"/>
  <c r="D12" i="8"/>
  <c r="D13" i="8" s="1"/>
  <c r="H12" i="8"/>
  <c r="H13" i="8" s="1"/>
  <c r="J8" i="8"/>
  <c r="B39" i="8" s="1"/>
  <c r="J63" i="8"/>
  <c r="B96" i="8" s="1"/>
  <c r="J123" i="8"/>
  <c r="G257" i="8"/>
  <c r="G261" i="8"/>
  <c r="G265" i="8"/>
  <c r="G269" i="8"/>
  <c r="F278" i="8" s="1"/>
  <c r="G273" i="8"/>
  <c r="J316" i="8"/>
  <c r="J4" i="10"/>
  <c r="B33" i="10" s="1"/>
  <c r="J5" i="10"/>
  <c r="B34" i="10" s="1"/>
  <c r="J21" i="10"/>
  <c r="J27" i="10"/>
  <c r="J74" i="10"/>
  <c r="J78" i="10"/>
  <c r="J82" i="10"/>
  <c r="J86" i="10"/>
  <c r="B120" i="10" s="1"/>
  <c r="I98" i="10"/>
  <c r="K91" i="10"/>
  <c r="B121" i="10" s="1"/>
  <c r="J140" i="10"/>
  <c r="J144" i="10"/>
  <c r="J148" i="10"/>
  <c r="J152" i="10"/>
  <c r="J156" i="10"/>
  <c r="J160" i="10"/>
  <c r="J164" i="10"/>
  <c r="J209" i="10"/>
  <c r="J218" i="10"/>
  <c r="J222" i="10"/>
  <c r="J226" i="10"/>
  <c r="J230" i="10"/>
  <c r="J280" i="10"/>
  <c r="J288" i="10"/>
  <c r="J296" i="10"/>
  <c r="J351" i="10"/>
  <c r="J355" i="10"/>
  <c r="J359" i="10"/>
  <c r="J315" i="7"/>
  <c r="B326" i="7" s="1"/>
  <c r="G10" i="8"/>
  <c r="D11" i="8"/>
  <c r="H11" i="8"/>
  <c r="E12" i="8"/>
  <c r="E13" i="8" s="1"/>
  <c r="I12" i="8"/>
  <c r="I13" i="8" s="1"/>
  <c r="F14" i="8"/>
  <c r="I10" i="8"/>
  <c r="I14" i="8"/>
  <c r="J122" i="8"/>
  <c r="G256" i="8"/>
  <c r="G260" i="8"/>
  <c r="D279" i="8" s="1"/>
  <c r="G264" i="8"/>
  <c r="G268" i="8"/>
  <c r="G272" i="8"/>
  <c r="J72" i="10"/>
  <c r="B101" i="10" s="1"/>
  <c r="N73" i="10"/>
  <c r="J81" i="10"/>
  <c r="J89" i="10"/>
  <c r="J143" i="10"/>
  <c r="J147" i="10"/>
  <c r="J151" i="10"/>
  <c r="J155" i="10"/>
  <c r="B188" i="10" s="1"/>
  <c r="J159" i="10"/>
  <c r="J163" i="10"/>
  <c r="J217" i="10"/>
  <c r="J221" i="10"/>
  <c r="B257" i="10" s="1"/>
  <c r="J229" i="10"/>
  <c r="J287" i="10"/>
  <c r="J350" i="10"/>
  <c r="J354" i="10"/>
  <c r="J358" i="10"/>
  <c r="Q4" i="7"/>
  <c r="B63" i="7" s="1"/>
  <c r="Q8" i="7"/>
  <c r="Q10" i="7"/>
  <c r="B65" i="7" s="1"/>
  <c r="Q18" i="7"/>
  <c r="B120" i="7" s="1"/>
  <c r="Q22" i="7"/>
  <c r="P39" i="7"/>
  <c r="Q44" i="7"/>
  <c r="Q54" i="7"/>
  <c r="I217" i="7"/>
  <c r="J264" i="7"/>
  <c r="B290" i="7" s="1"/>
  <c r="J265" i="7"/>
  <c r="B291" i="7" s="1"/>
  <c r="J268" i="7"/>
  <c r="B273" i="7" s="1"/>
  <c r="J319" i="7"/>
  <c r="B327" i="7" s="1"/>
  <c r="I11" i="8"/>
  <c r="J119" i="8"/>
  <c r="J120" i="8"/>
  <c r="J124" i="8"/>
  <c r="J125" i="8"/>
  <c r="K73" i="10"/>
  <c r="M73" i="10" s="1"/>
  <c r="K78" i="10"/>
  <c r="B103" i="10" s="1"/>
  <c r="J85" i="10"/>
  <c r="B119" i="10" s="1"/>
  <c r="J90" i="10"/>
  <c r="K233" i="10"/>
  <c r="J283" i="10"/>
  <c r="B183" i="7"/>
  <c r="J282" i="10"/>
  <c r="Q7" i="7"/>
  <c r="B64" i="7" s="1"/>
  <c r="P61" i="7"/>
  <c r="J164" i="7"/>
  <c r="B179" i="7" s="1"/>
  <c r="J174" i="7"/>
  <c r="J176" i="7"/>
  <c r="B185" i="7" s="1"/>
  <c r="J61" i="8"/>
  <c r="B94" i="8" s="1"/>
  <c r="J62" i="8"/>
  <c r="B95" i="8" s="1"/>
  <c r="J64" i="8"/>
  <c r="B74" i="8" s="1"/>
  <c r="J310" i="8"/>
  <c r="B322" i="8" s="1"/>
  <c r="B171" i="10"/>
  <c r="K214" i="10"/>
  <c r="J225" i="10"/>
  <c r="J278" i="10"/>
  <c r="B308" i="10" s="1"/>
  <c r="J279" i="10"/>
  <c r="B309" i="10" s="1"/>
  <c r="J5" i="8"/>
  <c r="J7" i="8"/>
  <c r="J77" i="10"/>
  <c r="J154" i="10"/>
  <c r="B187" i="10" s="1"/>
  <c r="K227" i="10"/>
  <c r="J291" i="10"/>
  <c r="B326" i="10" s="1"/>
  <c r="J292" i="10"/>
  <c r="J295" i="10"/>
  <c r="C12" i="12"/>
  <c r="D19" i="12" s="1"/>
  <c r="C49" i="12"/>
  <c r="F50" i="12" s="1"/>
  <c r="G53" i="12"/>
  <c r="G57" i="12"/>
  <c r="B95" i="12"/>
  <c r="J132" i="12"/>
  <c r="B141" i="12" s="1"/>
  <c r="J135" i="12"/>
  <c r="B144" i="12" s="1"/>
  <c r="J138" i="12"/>
  <c r="B165" i="12" s="1"/>
  <c r="J87" i="12"/>
  <c r="F280" i="8" l="1"/>
  <c r="F281" i="8" s="1"/>
  <c r="B285" i="8" s="1"/>
  <c r="B327" i="10"/>
  <c r="E280" i="8"/>
  <c r="E281" i="8" s="1"/>
  <c r="B284" i="8" s="1"/>
  <c r="J30" i="10"/>
  <c r="B53" i="10" s="1"/>
  <c r="B102" i="10"/>
  <c r="J216" i="7"/>
  <c r="J2" i="10"/>
  <c r="B35" i="10" s="1"/>
  <c r="I234" i="10"/>
  <c r="B151" i="8"/>
  <c r="Q49" i="7"/>
  <c r="J276" i="10"/>
  <c r="B310" i="10" s="1"/>
  <c r="B152" i="8"/>
  <c r="Q14" i="7"/>
  <c r="B66" i="7" s="1"/>
  <c r="I206" i="10"/>
  <c r="Q61" i="7"/>
  <c r="Q50" i="7"/>
  <c r="Q13" i="7"/>
  <c r="Q28" i="7"/>
  <c r="B122" i="7" s="1"/>
  <c r="B20" i="8"/>
  <c r="B153" i="8"/>
  <c r="J217" i="7"/>
  <c r="B244" i="7"/>
  <c r="J304" i="10"/>
  <c r="B328" i="10" s="1"/>
  <c r="J11" i="8"/>
  <c r="J215" i="7"/>
  <c r="B132" i="8"/>
  <c r="B239" i="10"/>
  <c r="B131" i="8"/>
  <c r="B18" i="8"/>
  <c r="J98" i="10"/>
  <c r="J14" i="8"/>
  <c r="B258" i="10"/>
  <c r="D4" i="12"/>
  <c r="B20" i="12" s="1"/>
  <c r="Q27" i="7"/>
  <c r="J13" i="8"/>
  <c r="G49" i="12"/>
  <c r="D49" i="12" s="1"/>
  <c r="Q38" i="7"/>
  <c r="J214" i="7"/>
  <c r="J12" i="8"/>
  <c r="L233" i="10"/>
  <c r="B259" i="10" s="1"/>
  <c r="B121" i="7"/>
  <c r="Q60" i="7"/>
  <c r="J10" i="8"/>
  <c r="F47" i="12"/>
  <c r="D14" i="12"/>
  <c r="D280" i="8"/>
  <c r="D281" i="8" s="1"/>
  <c r="B286" i="8" s="1"/>
  <c r="F52" i="12"/>
  <c r="F55" i="12"/>
  <c r="F54" i="12"/>
  <c r="D6" i="12"/>
  <c r="B22" i="12" s="1"/>
  <c r="F53" i="12"/>
  <c r="D7" i="12"/>
  <c r="F56" i="12"/>
  <c r="B245" i="7"/>
  <c r="F51" i="12"/>
  <c r="C11" i="12"/>
  <c r="D11" i="12" s="1"/>
  <c r="D16" i="12"/>
  <c r="D12" i="12"/>
  <c r="D10" i="12"/>
  <c r="D17" i="12"/>
  <c r="D13" i="12"/>
  <c r="F44" i="12"/>
  <c r="D8" i="12"/>
  <c r="D15" i="12"/>
  <c r="Q39" i="7"/>
  <c r="B144" i="7" s="1"/>
  <c r="F48" i="12"/>
  <c r="B92" i="12"/>
  <c r="D18" i="12"/>
  <c r="D9" i="12"/>
  <c r="B75" i="8"/>
  <c r="B19" i="8"/>
  <c r="F49" i="12"/>
  <c r="E49" i="12"/>
  <c r="F46" i="12"/>
  <c r="F45" i="12"/>
  <c r="F43" i="12"/>
  <c r="B62" i="12" s="1"/>
  <c r="F57" i="12"/>
  <c r="D5" i="12"/>
  <c r="B21" i="12" s="1"/>
</calcChain>
</file>

<file path=xl/sharedStrings.xml><?xml version="1.0" encoding="utf-8"?>
<sst xmlns="http://schemas.openxmlformats.org/spreadsheetml/2006/main" count="1207" uniqueCount="567">
  <si>
    <t>视频语音用户数</t>
    <phoneticPr fontId="6" type="noConversion"/>
  </si>
  <si>
    <t>整体</t>
    <phoneticPr fontId="6" type="noConversion"/>
  </si>
  <si>
    <t>PC</t>
  </si>
  <si>
    <t>手机</t>
  </si>
  <si>
    <t>Web</t>
  </si>
  <si>
    <t>游戏</t>
  </si>
  <si>
    <t>娱乐</t>
  </si>
  <si>
    <t>登录视频语音用户数</t>
    <phoneticPr fontId="6" type="noConversion"/>
  </si>
  <si>
    <t>整体</t>
    <phoneticPr fontId="6" type="noConversion"/>
  </si>
  <si>
    <t>匿名视频语音用户数</t>
    <phoneticPr fontId="6" type="noConversion"/>
  </si>
  <si>
    <t>整体</t>
    <phoneticPr fontId="6" type="noConversion"/>
  </si>
  <si>
    <t>整体</t>
    <phoneticPr fontId="6" type="noConversion"/>
  </si>
  <si>
    <t>视频语音用户次日留存率</t>
    <phoneticPr fontId="6" type="noConversion"/>
  </si>
  <si>
    <t>视频语音用户七日留存率</t>
    <phoneticPr fontId="6" type="noConversion"/>
  </si>
  <si>
    <t>新用户次日留存率</t>
    <phoneticPr fontId="6" type="noConversion"/>
  </si>
  <si>
    <t>新用户七日留存率</t>
    <phoneticPr fontId="6" type="noConversion"/>
  </si>
  <si>
    <t>新用户月观看时长</t>
    <phoneticPr fontId="6" type="noConversion"/>
  </si>
  <si>
    <t>有观看记录的新用户数</t>
    <phoneticPr fontId="6" type="noConversion"/>
  </si>
  <si>
    <t>新用户人均观看时长</t>
    <phoneticPr fontId="6" type="noConversion"/>
  </si>
  <si>
    <t>登录视频语音用户月观看时长</t>
    <phoneticPr fontId="6" type="noConversion"/>
  </si>
  <si>
    <t>有观看记录的登录视频语音用户数</t>
    <phoneticPr fontId="6" type="noConversion"/>
  </si>
  <si>
    <t>登录视频语音用户人均观看时长</t>
    <phoneticPr fontId="6" type="noConversion"/>
  </si>
  <si>
    <t>视频语音用户数(除内置)</t>
    <phoneticPr fontId="6" type="noConversion"/>
  </si>
  <si>
    <t>登录视频语音用户数(除内置)</t>
    <phoneticPr fontId="6" type="noConversion"/>
  </si>
  <si>
    <t>匿名视频语音用户数(除内置)</t>
    <phoneticPr fontId="6" type="noConversion"/>
  </si>
  <si>
    <t>视频语音用户数(内置)</t>
    <phoneticPr fontId="6" type="noConversion"/>
  </si>
  <si>
    <t>登录视频语音用户数(内置)</t>
    <phoneticPr fontId="6" type="noConversion"/>
  </si>
  <si>
    <t>匿名视频语音用户数(内置)</t>
    <phoneticPr fontId="6" type="noConversion"/>
  </si>
  <si>
    <t xml:space="preserve">新用户数
</t>
    <phoneticPr fontId="6" type="noConversion"/>
  </si>
  <si>
    <t>匿名</t>
    <phoneticPr fontId="6" type="noConversion"/>
  </si>
  <si>
    <t>登录</t>
    <phoneticPr fontId="6" type="noConversion"/>
  </si>
  <si>
    <t>登录率</t>
    <phoneticPr fontId="6" type="noConversion"/>
  </si>
  <si>
    <t>新用户数</t>
    <phoneticPr fontId="6" type="noConversion"/>
  </si>
  <si>
    <t>PC端整体</t>
    <phoneticPr fontId="6" type="noConversion"/>
  </si>
  <si>
    <t>Web端整体</t>
    <phoneticPr fontId="6" type="noConversion"/>
  </si>
  <si>
    <t>手机端整体</t>
    <phoneticPr fontId="6" type="noConversion"/>
  </si>
  <si>
    <t>PC端匿名</t>
  </si>
  <si>
    <t>Web端匿名</t>
  </si>
  <si>
    <t>手机端匿名</t>
  </si>
  <si>
    <t>PC端登录</t>
  </si>
  <si>
    <t>Web端登录</t>
  </si>
  <si>
    <t>手机端登录</t>
  </si>
  <si>
    <t>视频语音用户数</t>
    <phoneticPr fontId="6" type="noConversion"/>
  </si>
  <si>
    <t>匿名</t>
    <phoneticPr fontId="6" type="noConversion"/>
  </si>
  <si>
    <t>登录</t>
    <phoneticPr fontId="6" type="noConversion"/>
  </si>
  <si>
    <t>登录率</t>
    <phoneticPr fontId="6" type="noConversion"/>
  </si>
  <si>
    <t>新用户数</t>
    <phoneticPr fontId="6" type="noConversion"/>
  </si>
  <si>
    <t>PC端整体</t>
    <phoneticPr fontId="6" type="noConversion"/>
  </si>
  <si>
    <t>手机端整体</t>
    <phoneticPr fontId="6" type="noConversion"/>
  </si>
  <si>
    <t>游戏登录</t>
    <phoneticPr fontId="6" type="noConversion"/>
  </si>
  <si>
    <t>娱乐登录</t>
    <phoneticPr fontId="6" type="noConversion"/>
  </si>
  <si>
    <t>交叉用户</t>
    <phoneticPr fontId="6" type="noConversion"/>
  </si>
  <si>
    <t>纯游戏用户数</t>
    <phoneticPr fontId="6" type="noConversion"/>
  </si>
  <si>
    <t>纯娱乐用户数</t>
  </si>
  <si>
    <t>游戏交叉占比</t>
    <phoneticPr fontId="6" type="noConversion"/>
  </si>
  <si>
    <t>娱乐交叉占比</t>
    <phoneticPr fontId="6" type="noConversion"/>
  </si>
  <si>
    <t>纯游戏占比</t>
    <phoneticPr fontId="6" type="noConversion"/>
  </si>
  <si>
    <t>纯娱乐占比</t>
    <phoneticPr fontId="6" type="noConversion"/>
  </si>
  <si>
    <t>游戏模板</t>
    <phoneticPr fontId="5" type="noConversion"/>
  </si>
  <si>
    <t>娱乐模板</t>
    <phoneticPr fontId="5" type="noConversion"/>
  </si>
  <si>
    <t>两模板交叉</t>
    <phoneticPr fontId="6" type="noConversion"/>
  </si>
  <si>
    <t>活跃天数分布</t>
    <phoneticPr fontId="6" type="noConversion"/>
  </si>
  <si>
    <t>模块</t>
    <phoneticPr fontId="6" type="noConversion"/>
  </si>
  <si>
    <t>全平台登录视频语音用户</t>
  </si>
  <si>
    <t>总计</t>
    <phoneticPr fontId="6" type="noConversion"/>
  </si>
  <si>
    <t>1天</t>
  </si>
  <si>
    <t>注：除去1068712登录手游内置用户</t>
    <phoneticPr fontId="6" type="noConversion"/>
  </si>
  <si>
    <t>2天-3天</t>
  </si>
  <si>
    <t>4天-7天</t>
  </si>
  <si>
    <t>8天-15天</t>
  </si>
  <si>
    <t>16天-21天</t>
  </si>
  <si>
    <t>22天以上</t>
  </si>
  <si>
    <t>1天</t>
    <phoneticPr fontId="6" type="noConversion"/>
  </si>
  <si>
    <t>2-3天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</si>
  <si>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</si>
  <si>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</si>
  <si>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</si>
  <si>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</si>
  <si>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全平台匿名视频语音用户</t>
  </si>
  <si>
    <t>总计</t>
    <phoneticPr fontId="6" type="noConversion"/>
  </si>
  <si>
    <t>1天</t>
    <phoneticPr fontId="6" type="noConversion"/>
  </si>
  <si>
    <t>注：除去744509匿名手游内置用户</t>
    <phoneticPr fontId="6" type="noConversion"/>
  </si>
  <si>
    <t>2天-3天</t>
    <phoneticPr fontId="6" type="noConversion"/>
  </si>
  <si>
    <t>4天-7天</t>
    <phoneticPr fontId="6" type="noConversion"/>
  </si>
  <si>
    <t>8天-15天</t>
    <phoneticPr fontId="6" type="noConversion"/>
  </si>
  <si>
    <t>16天-21天</t>
    <phoneticPr fontId="6" type="noConversion"/>
  </si>
  <si>
    <t>2-3天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</si>
  <si>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</si>
  <si>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</si>
  <si>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</si>
  <si>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</si>
  <si>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PC登录视频语音用户</t>
  </si>
  <si>
    <t>1天</t>
    <phoneticPr fontId="6" type="noConversion"/>
  </si>
  <si>
    <t>2-3天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</si>
  <si>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</si>
  <si>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</si>
  <si>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</si>
  <si>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</si>
  <si>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手机登录视频语音用户</t>
  </si>
  <si>
    <t>总计</t>
    <phoneticPr fontId="6" type="noConversion"/>
  </si>
  <si>
    <t>注：17/8起手机端包含（ios,android,ipad）17/8以前仅含(ios,android)</t>
    <phoneticPr fontId="6" type="noConversion"/>
  </si>
  <si>
    <t>1天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</si>
  <si>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</si>
  <si>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</si>
  <si>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</si>
  <si>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</si>
  <si>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Web登录视频语音用户</t>
  </si>
  <si>
    <t>总计</t>
    <phoneticPr fontId="6" type="noConversion"/>
  </si>
  <si>
    <t>2-3天</t>
    <phoneticPr fontId="6" type="noConversion"/>
  </si>
  <si>
    <t>游戏登录视频语音用户</t>
  </si>
  <si>
    <t>娱乐登录视频语音用户</t>
  </si>
  <si>
    <t>游戏匿名视频语音用户</t>
    <phoneticPr fontId="6" type="noConversion"/>
  </si>
  <si>
    <t>1天</t>
    <phoneticPr fontId="6" type="noConversion"/>
  </si>
  <si>
    <t>娱乐匿名视频语音用户</t>
    <phoneticPr fontId="6" type="noConversion"/>
  </si>
  <si>
    <t>游戏付费C券用户</t>
    <phoneticPr fontId="6" type="noConversion"/>
  </si>
  <si>
    <t>2-3天</t>
    <phoneticPr fontId="6" type="noConversion"/>
  </si>
  <si>
    <t>娱乐付费C券用户</t>
    <phoneticPr fontId="6" type="noConversion"/>
  </si>
  <si>
    <t>2天-3天</t>
    <phoneticPr fontId="6" type="noConversion"/>
  </si>
  <si>
    <t>4天-7天</t>
    <phoneticPr fontId="6" type="noConversion"/>
  </si>
  <si>
    <t>8天-15天</t>
    <phoneticPr fontId="6" type="noConversion"/>
  </si>
  <si>
    <t>16天-21天</t>
    <phoneticPr fontId="6" type="noConversion"/>
  </si>
  <si>
    <t>游戏手游内置用户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</si>
  <si>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</si>
  <si>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</si>
  <si>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</si>
  <si>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</si>
  <si>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指标类型</t>
    <phoneticPr fontId="6" type="noConversion"/>
  </si>
  <si>
    <t>模块</t>
    <phoneticPr fontId="6" type="noConversion"/>
  </si>
  <si>
    <t>活跃终端数</t>
    <phoneticPr fontId="6" type="noConversion"/>
  </si>
  <si>
    <t>安卓</t>
    <phoneticPr fontId="5" type="noConversion"/>
  </si>
  <si>
    <t>iphone</t>
    <phoneticPr fontId="5" type="noConversion"/>
  </si>
  <si>
    <t>ipad</t>
    <phoneticPr fontId="5" type="noConversion"/>
  </si>
  <si>
    <t>iphone</t>
    <phoneticPr fontId="5" type="noConversion"/>
  </si>
  <si>
    <t>ipad</t>
    <phoneticPr fontId="5" type="noConversion"/>
  </si>
  <si>
    <t>新增终端数</t>
    <phoneticPr fontId="6" type="noConversion"/>
  </si>
  <si>
    <t>安卓</t>
    <phoneticPr fontId="5" type="noConversion"/>
  </si>
  <si>
    <t>iphone</t>
    <phoneticPr fontId="5" type="noConversion"/>
  </si>
  <si>
    <t>ipad</t>
    <phoneticPr fontId="5" type="noConversion"/>
  </si>
  <si>
    <t>PV</t>
    <phoneticPr fontId="6" type="noConversion"/>
  </si>
  <si>
    <t>PV</t>
    <phoneticPr fontId="6" type="noConversion"/>
  </si>
  <si>
    <t>UV</t>
    <phoneticPr fontId="6" type="noConversion"/>
  </si>
  <si>
    <t>观看用户top10渠道</t>
    <phoneticPr fontId="6" type="noConversion"/>
  </si>
  <si>
    <t>梦幻手游内置CC</t>
  </si>
  <si>
    <t>梦幻电脑版内置直播</t>
  </si>
  <si>
    <t>梦幻手游网页版</t>
  </si>
  <si>
    <t>大话手游内置CC</t>
  </si>
  <si>
    <t>炉石传说16163论坛</t>
  </si>
  <si>
    <t>阴阳师16163论坛</t>
  </si>
  <si>
    <t>大话手游网页版</t>
  </si>
  <si>
    <t>大话2经典比武大会直播页</t>
  </si>
  <si>
    <t>大唐无双手游16163论坛</t>
  </si>
  <si>
    <t>天下3游戏内置天下TV</t>
  </si>
  <si>
    <t>引流用户top10渠道</t>
    <phoneticPr fontId="6" type="noConversion"/>
  </si>
  <si>
    <t>WebCC渠道mail.163.com</t>
  </si>
  <si>
    <t>梦幻手游网页版/桌面版嵌入直播</t>
  </si>
  <si>
    <t>炉石页面</t>
  </si>
  <si>
    <t>天下3论坛</t>
  </si>
  <si>
    <t>乱斗西游超级联赛</t>
  </si>
  <si>
    <t>梦幻专区合作位</t>
  </si>
  <si>
    <t>炉石盒子</t>
  </si>
  <si>
    <t>倩女幽魂论坛</t>
  </si>
  <si>
    <t>活跃用户</t>
    <phoneticPr fontId="6" type="noConversion"/>
  </si>
  <si>
    <t>普通PC</t>
    <phoneticPr fontId="6" type="noConversion"/>
  </si>
  <si>
    <t>梦幻</t>
    <phoneticPr fontId="6" type="noConversion"/>
  </si>
  <si>
    <t>大话2</t>
    <phoneticPr fontId="6" type="noConversion"/>
  </si>
  <si>
    <t>倩女</t>
    <phoneticPr fontId="6" type="noConversion"/>
  </si>
  <si>
    <t>天下3</t>
    <phoneticPr fontId="6" type="noConversion"/>
  </si>
  <si>
    <t>大话2免费版</t>
    <phoneticPr fontId="6" type="noConversion"/>
  </si>
  <si>
    <t>镇魔曲</t>
    <phoneticPr fontId="6" type="noConversion"/>
  </si>
  <si>
    <t>武魂</t>
    <phoneticPr fontId="6" type="noConversion"/>
  </si>
  <si>
    <t>西楚霸王</t>
    <phoneticPr fontId="6" type="noConversion"/>
  </si>
  <si>
    <t>大话3</t>
    <phoneticPr fontId="6" type="noConversion"/>
  </si>
  <si>
    <t>大唐无双</t>
    <phoneticPr fontId="6" type="noConversion"/>
  </si>
  <si>
    <t>其他内置</t>
    <phoneticPr fontId="6" type="noConversion"/>
  </si>
  <si>
    <t>天谕</t>
    <phoneticPr fontId="6" type="noConversion"/>
  </si>
  <si>
    <t>新增用户</t>
    <phoneticPr fontId="6" type="noConversion"/>
  </si>
  <si>
    <t>普通PC</t>
  </si>
  <si>
    <t>梦幻</t>
  </si>
  <si>
    <t>大话2</t>
  </si>
  <si>
    <t>倩女</t>
  </si>
  <si>
    <t>大话2免费版</t>
  </si>
  <si>
    <t>镇魔曲</t>
  </si>
  <si>
    <t>天下3</t>
  </si>
  <si>
    <t>武魂</t>
  </si>
  <si>
    <t>西楚霸王</t>
  </si>
  <si>
    <t>大话3</t>
  </si>
  <si>
    <t>大唐无双</t>
  </si>
  <si>
    <t>天谕</t>
  </si>
  <si>
    <t>活跃用户次日留存率</t>
    <phoneticPr fontId="6" type="noConversion"/>
  </si>
  <si>
    <t>活跃用户七日留存率</t>
    <phoneticPr fontId="6" type="noConversion"/>
  </si>
  <si>
    <t>新用户次日留存率</t>
    <phoneticPr fontId="6" type="noConversion"/>
  </si>
  <si>
    <t>新用户七日留存率</t>
    <phoneticPr fontId="6" type="noConversion"/>
  </si>
  <si>
    <t>梦幻手游</t>
    <phoneticPr fontId="6" type="noConversion"/>
  </si>
  <si>
    <t>大话手游</t>
    <phoneticPr fontId="6" type="noConversion"/>
  </si>
  <si>
    <t>阴阳师</t>
    <phoneticPr fontId="6" type="noConversion"/>
  </si>
  <si>
    <t>次日留存率</t>
    <phoneticPr fontId="6" type="noConversion"/>
  </si>
  <si>
    <t>七日留存率</t>
    <phoneticPr fontId="6" type="noConversion"/>
  </si>
  <si>
    <t>当天内来到CC用户数</t>
    <phoneticPr fontId="6" type="noConversion"/>
  </si>
  <si>
    <t>当天内来到CC新用户数</t>
    <phoneticPr fontId="6" type="noConversion"/>
  </si>
  <si>
    <t>1天内来到CC用户数</t>
    <phoneticPr fontId="6" type="noConversion"/>
  </si>
  <si>
    <t>1天内来到CC新用户数</t>
    <phoneticPr fontId="6" type="noConversion"/>
  </si>
  <si>
    <t>3天内来到CC用户数</t>
    <phoneticPr fontId="6" type="noConversion"/>
  </si>
  <si>
    <t>3天内来到CC新用户数</t>
    <phoneticPr fontId="6" type="noConversion"/>
  </si>
  <si>
    <t>7天内来到CC用户数</t>
    <phoneticPr fontId="6" type="noConversion"/>
  </si>
  <si>
    <t>7天内来到CC新用户数</t>
    <phoneticPr fontId="6" type="noConversion"/>
  </si>
  <si>
    <t>非网易通行证帐号数</t>
    <phoneticPr fontId="6" type="noConversion"/>
  </si>
  <si>
    <t>灰色：公式计算</t>
    <phoneticPr fontId="5" type="noConversion"/>
  </si>
  <si>
    <t>登录率(除内置)</t>
    <phoneticPr fontId="6" type="noConversion"/>
  </si>
  <si>
    <t>游戏模板 
(除内置)</t>
    <phoneticPr fontId="5" type="noConversion"/>
  </si>
  <si>
    <t>游戏模板 
(内置)</t>
    <phoneticPr fontId="5" type="noConversion"/>
  </si>
  <si>
    <t>灰色：公式计算；17/8起手机端包含（ios,android,ipad）17/8以前仅含(ios,android)；（xyq,dhxy,zmqhd,yys)登录内置1068712，（我的世界启动器）匿名内置744509算入web</t>
    <phoneticPr fontId="5" type="noConversion"/>
  </si>
  <si>
    <t>视频语音用户数</t>
    <phoneticPr fontId="6" type="noConversion"/>
  </si>
  <si>
    <t>标签</t>
    <phoneticPr fontId="6" type="noConversion"/>
  </si>
  <si>
    <t>指标</t>
    <phoneticPr fontId="6" type="noConversion"/>
  </si>
  <si>
    <t>环比上月</t>
    <phoneticPr fontId="5" type="noConversion"/>
  </si>
  <si>
    <t>整体</t>
    <phoneticPr fontId="6" type="noConversion"/>
  </si>
  <si>
    <t>总用户数(万)</t>
    <phoneticPr fontId="6" type="noConversion"/>
  </si>
  <si>
    <t>登录用户数(万)</t>
    <phoneticPr fontId="6" type="noConversion"/>
  </si>
  <si>
    <t>匿名用户数(万)</t>
    <phoneticPr fontId="6" type="noConversion"/>
  </si>
  <si>
    <t>PC</t>
    <phoneticPr fontId="6" type="noConversion"/>
  </si>
  <si>
    <t>登录用户数(万)</t>
  </si>
  <si>
    <t>手机</t>
    <phoneticPr fontId="6" type="noConversion"/>
  </si>
  <si>
    <t>总用户数(万)</t>
  </si>
  <si>
    <t>匿名用户数(万)</t>
  </si>
  <si>
    <t>登录率</t>
    <phoneticPr fontId="6" type="noConversion"/>
  </si>
  <si>
    <t>游戏</t>
    <phoneticPr fontId="6" type="noConversion"/>
  </si>
  <si>
    <t>娱乐</t>
    <phoneticPr fontId="6" type="noConversion"/>
  </si>
  <si>
    <t>娱乐用户数(万)</t>
    <phoneticPr fontId="6" type="noConversion"/>
  </si>
  <si>
    <t>娱乐登录率</t>
    <phoneticPr fontId="6" type="noConversion"/>
  </si>
  <si>
    <t>整体-视频语音用户数&amp;登录率</t>
    <phoneticPr fontId="6" type="noConversion"/>
  </si>
  <si>
    <t>*注：图中登录用户、匿名用户均指视频语音用户</t>
    <phoneticPr fontId="6" type="noConversion"/>
  </si>
  <si>
    <t>游戏-视频语音用户数&amp;登录率</t>
    <phoneticPr fontId="6" type="noConversion"/>
  </si>
  <si>
    <t>娱乐-视频语音用户数&amp;登录率</t>
    <phoneticPr fontId="6" type="noConversion"/>
  </si>
  <si>
    <t>手机-视频语音用户数&amp;登录率</t>
    <phoneticPr fontId="6" type="noConversion"/>
  </si>
  <si>
    <t>匿名转登录，导致一个终端对应多个账号</t>
    <phoneticPr fontId="6" type="noConversion"/>
  </si>
  <si>
    <t>Web-视频语音用户数&amp;登录率</t>
    <phoneticPr fontId="6" type="noConversion"/>
  </si>
  <si>
    <t>标签</t>
    <phoneticPr fontId="5" type="noConversion"/>
  </si>
  <si>
    <t>指标</t>
    <phoneticPr fontId="5" type="noConversion"/>
  </si>
  <si>
    <t>环比上月</t>
    <phoneticPr fontId="5" type="noConversion"/>
  </si>
  <si>
    <t>游戏用户数(万)</t>
    <phoneticPr fontId="6" type="noConversion"/>
  </si>
  <si>
    <t>游戏登录率</t>
    <phoneticPr fontId="6" type="noConversion"/>
  </si>
  <si>
    <t>游戏用户数</t>
    <phoneticPr fontId="6" type="noConversion"/>
  </si>
  <si>
    <t>娱乐用户数</t>
    <phoneticPr fontId="6" type="noConversion"/>
  </si>
  <si>
    <t>交叉用户</t>
    <phoneticPr fontId="6" type="noConversion"/>
  </si>
  <si>
    <t>纯游戏用户数</t>
    <phoneticPr fontId="6" type="noConversion"/>
  </si>
  <si>
    <t>纯娱乐用户数</t>
    <phoneticPr fontId="6" type="noConversion"/>
  </si>
  <si>
    <t>游戏交叉占比</t>
    <phoneticPr fontId="6" type="noConversion"/>
  </si>
  <si>
    <t>娱乐交叉占比</t>
    <phoneticPr fontId="6" type="noConversion"/>
  </si>
  <si>
    <t>纯游戏占比</t>
    <phoneticPr fontId="6" type="noConversion"/>
  </si>
  <si>
    <t>纯娱乐占比</t>
    <phoneticPr fontId="6" type="noConversion"/>
  </si>
  <si>
    <t>模板-视频语音用户数&amp;登录率</t>
    <phoneticPr fontId="6" type="noConversion"/>
  </si>
  <si>
    <t>*注：登录率＝登录用户数/(登录+匿名用户数)</t>
  </si>
  <si>
    <t>终端对比－(登录)视频语音用户数</t>
    <phoneticPr fontId="6" type="noConversion"/>
  </si>
  <si>
    <t>视频语音用户数</t>
    <phoneticPr fontId="6" type="noConversion"/>
  </si>
  <si>
    <t>登录视频语音用户数</t>
    <phoneticPr fontId="6" type="noConversion"/>
  </si>
  <si>
    <t>终端－视频语音用户数</t>
    <phoneticPr fontId="6" type="noConversion"/>
  </si>
  <si>
    <t>终端－登录视频语音用户数</t>
    <phoneticPr fontId="6" type="noConversion"/>
  </si>
  <si>
    <t>人均观看时长</t>
    <phoneticPr fontId="6" type="noConversion"/>
  </si>
  <si>
    <t>整体登录视频语音用户人均观看时长</t>
    <phoneticPr fontId="6" type="noConversion"/>
  </si>
  <si>
    <t>整体(h)</t>
    <phoneticPr fontId="6" type="noConversion"/>
  </si>
  <si>
    <t>PC(h)</t>
    <phoneticPr fontId="6" type="noConversion"/>
  </si>
  <si>
    <t>手机(h)</t>
    <phoneticPr fontId="6" type="noConversion"/>
  </si>
  <si>
    <t>Web(h)</t>
    <phoneticPr fontId="6" type="noConversion"/>
  </si>
  <si>
    <t>游戏(h)</t>
    <phoneticPr fontId="6" type="noConversion"/>
  </si>
  <si>
    <t>娱乐(h)</t>
    <phoneticPr fontId="6" type="noConversion"/>
  </si>
  <si>
    <t>模板－人均观看时长</t>
    <phoneticPr fontId="6" type="noConversion"/>
  </si>
  <si>
    <t>模板</t>
    <phoneticPr fontId="6" type="noConversion"/>
  </si>
  <si>
    <t>终端－人均观看时长</t>
    <phoneticPr fontId="6" type="noConversion"/>
  </si>
  <si>
    <t>终端</t>
    <phoneticPr fontId="6" type="noConversion"/>
  </si>
  <si>
    <t>视频语音用户留存率</t>
    <phoneticPr fontId="6" type="noConversion"/>
  </si>
  <si>
    <t>次日留存率</t>
    <phoneticPr fontId="6" type="noConversion"/>
  </si>
  <si>
    <t>七日留存率</t>
    <phoneticPr fontId="6" type="noConversion"/>
  </si>
  <si>
    <t>游戏－视频语音用户次日&amp;七日留存率</t>
    <phoneticPr fontId="6" type="noConversion"/>
  </si>
  <si>
    <t>*注：7日留存率为第7天的留存率</t>
  </si>
  <si>
    <t>娱乐－视频语音用户次日&amp;七日留存率</t>
    <phoneticPr fontId="6" type="noConversion"/>
  </si>
  <si>
    <t>终端－视频语音用户次日留存率</t>
    <phoneticPr fontId="6" type="noConversion"/>
  </si>
  <si>
    <r>
      <t>p</t>
    </r>
    <r>
      <rPr>
        <sz val="10"/>
        <color theme="1"/>
        <rFont val="微软雅黑"/>
        <family val="2"/>
        <charset val="134"/>
      </rPr>
      <t>pt无展示</t>
    </r>
    <phoneticPr fontId="6" type="noConversion"/>
  </si>
  <si>
    <t>终端－视频语音用户七日留存率</t>
    <phoneticPr fontId="6" type="noConversion"/>
  </si>
  <si>
    <t>登录用户数-非内置(万)</t>
    <phoneticPr fontId="6" type="noConversion"/>
  </si>
  <si>
    <t>登录用户数-内置(万)</t>
    <phoneticPr fontId="6" type="noConversion"/>
  </si>
  <si>
    <t>匿名用户数-非内置(万)</t>
    <phoneticPr fontId="6" type="noConversion"/>
  </si>
  <si>
    <t>匿名用户数-内置(万)</t>
    <phoneticPr fontId="6" type="noConversion"/>
  </si>
  <si>
    <t>总用户数-非内置(万)</t>
    <phoneticPr fontId="6" type="noConversion"/>
  </si>
  <si>
    <t>总用户数-内置(万)</t>
    <phoneticPr fontId="6" type="noConversion"/>
  </si>
  <si>
    <r>
      <t>登录率(除内置</t>
    </r>
    <r>
      <rPr>
        <sz val="10"/>
        <color theme="1"/>
        <rFont val="微软雅黑"/>
        <family val="2"/>
        <charset val="134"/>
      </rPr>
      <t>)</t>
    </r>
    <phoneticPr fontId="6" type="noConversion"/>
  </si>
  <si>
    <t>整体</t>
    <phoneticPr fontId="6" type="noConversion"/>
  </si>
  <si>
    <t>总用户数-内置(万)</t>
    <phoneticPr fontId="6" type="noConversion"/>
  </si>
  <si>
    <t>匿名用户数-内置(万)</t>
    <phoneticPr fontId="6" type="noConversion"/>
  </si>
  <si>
    <t>登录率</t>
    <phoneticPr fontId="6" type="noConversion"/>
  </si>
  <si>
    <r>
      <t>登录率(除内置</t>
    </r>
    <r>
      <rPr>
        <sz val="10"/>
        <color theme="1"/>
        <rFont val="微软雅黑"/>
        <family val="2"/>
        <charset val="134"/>
      </rPr>
      <t>)</t>
    </r>
    <phoneticPr fontId="6" type="noConversion"/>
  </si>
  <si>
    <t>Web</t>
    <phoneticPr fontId="6" type="noConversion"/>
  </si>
  <si>
    <t>总用户数(万)</t>
    <phoneticPr fontId="6" type="noConversion"/>
  </si>
  <si>
    <t>总用户数-内置(万)</t>
    <phoneticPr fontId="6" type="noConversion"/>
  </si>
  <si>
    <t>总用户数-非内置(万)</t>
    <phoneticPr fontId="6" type="noConversion"/>
  </si>
  <si>
    <t>登录用户数(万)</t>
    <phoneticPr fontId="6" type="noConversion"/>
  </si>
  <si>
    <t>登录用户数-内置(万)</t>
    <phoneticPr fontId="6" type="noConversion"/>
  </si>
  <si>
    <t>登录用户数-非内置(万)</t>
    <phoneticPr fontId="6" type="noConversion"/>
  </si>
  <si>
    <t>匿名用户数(万)</t>
    <phoneticPr fontId="6" type="noConversion"/>
  </si>
  <si>
    <t>匿名用户数-内置(万)</t>
    <phoneticPr fontId="6" type="noConversion"/>
  </si>
  <si>
    <t>匿名用户数-非内置(万)</t>
    <phoneticPr fontId="6" type="noConversion"/>
  </si>
  <si>
    <t>登录率</t>
    <phoneticPr fontId="6" type="noConversion"/>
  </si>
  <si>
    <t>登录率(除内置)</t>
    <phoneticPr fontId="6" type="noConversion"/>
  </si>
  <si>
    <t>游戏</t>
    <phoneticPr fontId="6" type="noConversion"/>
  </si>
  <si>
    <t>游戏用户数(万)</t>
    <phoneticPr fontId="6" type="noConversion"/>
  </si>
  <si>
    <t>总用户数-内置(万)</t>
    <phoneticPr fontId="6" type="noConversion"/>
  </si>
  <si>
    <t>总用户数-非内置(万)</t>
    <phoneticPr fontId="6" type="noConversion"/>
  </si>
  <si>
    <t>登录用户数(万)</t>
    <phoneticPr fontId="6" type="noConversion"/>
  </si>
  <si>
    <t>登录用户数-内置(万)</t>
    <phoneticPr fontId="6" type="noConversion"/>
  </si>
  <si>
    <t>登录用户数-非内置(万)</t>
    <phoneticPr fontId="6" type="noConversion"/>
  </si>
  <si>
    <t>匿名用户数(万)</t>
    <phoneticPr fontId="6" type="noConversion"/>
  </si>
  <si>
    <t>匿名用户数-内置(万)</t>
    <phoneticPr fontId="6" type="noConversion"/>
  </si>
  <si>
    <t>匿名用户数-非内置(万)</t>
    <phoneticPr fontId="6" type="noConversion"/>
  </si>
  <si>
    <t>登录率</t>
    <phoneticPr fontId="6" type="noConversion"/>
  </si>
  <si>
    <t>登录率(除内置)</t>
    <phoneticPr fontId="6" type="noConversion"/>
  </si>
  <si>
    <t>娱乐</t>
    <phoneticPr fontId="6" type="noConversion"/>
  </si>
  <si>
    <t>娱乐用户数(万)</t>
    <phoneticPr fontId="6" type="noConversion"/>
  </si>
  <si>
    <t>总用户数-内置(万)</t>
    <phoneticPr fontId="6" type="noConversion"/>
  </si>
  <si>
    <t>总用户数-非内置(万)</t>
    <phoneticPr fontId="6" type="noConversion"/>
  </si>
  <si>
    <t>登录用户数(万)</t>
    <phoneticPr fontId="6" type="noConversion"/>
  </si>
  <si>
    <t>登录用户数-内置(万)</t>
    <phoneticPr fontId="6" type="noConversion"/>
  </si>
  <si>
    <t>登录用户数-非内置(万)</t>
    <phoneticPr fontId="6" type="noConversion"/>
  </si>
  <si>
    <t>匿名用户数(万)</t>
    <phoneticPr fontId="6" type="noConversion"/>
  </si>
  <si>
    <t>匿名用户数-内置(万)</t>
    <phoneticPr fontId="6" type="noConversion"/>
  </si>
  <si>
    <t>匿名用户数-非内置(万)</t>
    <phoneticPr fontId="6" type="noConversion"/>
  </si>
  <si>
    <t>登录率</t>
    <phoneticPr fontId="6" type="noConversion"/>
  </si>
  <si>
    <t>登录率(除内置)</t>
    <phoneticPr fontId="6" type="noConversion"/>
  </si>
  <si>
    <t>整体视频语音用户(除内置)</t>
    <phoneticPr fontId="5" type="noConversion"/>
  </si>
  <si>
    <t>登录视频语音用户(除内置)</t>
    <phoneticPr fontId="5" type="noConversion"/>
  </si>
  <si>
    <t>平台新增用户数</t>
    <phoneticPr fontId="6" type="noConversion"/>
  </si>
  <si>
    <t>标签</t>
    <phoneticPr fontId="6" type="noConversion"/>
  </si>
  <si>
    <t>环比上月</t>
    <phoneticPr fontId="5" type="noConversion"/>
  </si>
  <si>
    <t>平台新用户</t>
    <phoneticPr fontId="6" type="noConversion"/>
  </si>
  <si>
    <t>整体</t>
    <phoneticPr fontId="6" type="noConversion"/>
  </si>
  <si>
    <t>PC</t>
    <phoneticPr fontId="6" type="noConversion"/>
  </si>
  <si>
    <t>终端－新增用户数</t>
    <phoneticPr fontId="6" type="noConversion"/>
  </si>
  <si>
    <t>*注：若平台新增用户当天登录该终端，则算作当天该终端的新增</t>
    <phoneticPr fontId="6" type="noConversion"/>
  </si>
  <si>
    <t>模板－新增用户数</t>
    <phoneticPr fontId="6" type="noConversion"/>
  </si>
  <si>
    <t>新用户人均观看时长</t>
    <phoneticPr fontId="6" type="noConversion"/>
  </si>
  <si>
    <t>模块</t>
    <phoneticPr fontId="6" type="noConversion"/>
  </si>
  <si>
    <t>环比上月</t>
    <phoneticPr fontId="5" type="noConversion"/>
  </si>
  <si>
    <t>新用户</t>
    <phoneticPr fontId="6" type="noConversion"/>
  </si>
  <si>
    <r>
      <t>PC</t>
    </r>
    <r>
      <rPr>
        <sz val="10"/>
        <color theme="1"/>
        <rFont val="微软雅黑"/>
        <family val="2"/>
        <charset val="134"/>
      </rPr>
      <t>(h)</t>
    </r>
    <phoneticPr fontId="6" type="noConversion"/>
  </si>
  <si>
    <t>手机(h)</t>
    <phoneticPr fontId="6" type="noConversion"/>
  </si>
  <si>
    <r>
      <t>Web</t>
    </r>
    <r>
      <rPr>
        <sz val="10"/>
        <color theme="1"/>
        <rFont val="微软雅黑"/>
        <family val="2"/>
        <charset val="134"/>
      </rPr>
      <t>(h)</t>
    </r>
    <phoneticPr fontId="6" type="noConversion"/>
  </si>
  <si>
    <t>游戏(h)</t>
    <phoneticPr fontId="6" type="noConversion"/>
  </si>
  <si>
    <t>娱乐(h)</t>
    <phoneticPr fontId="6" type="noConversion"/>
  </si>
  <si>
    <t>模板－新用户人均观看时长</t>
    <phoneticPr fontId="6" type="noConversion"/>
  </si>
  <si>
    <t>终端－新用户人均观看时长</t>
    <phoneticPr fontId="6" type="noConversion"/>
  </si>
  <si>
    <t>*注：括号中为对应终端整体用户的人月均观看时长</t>
    <phoneticPr fontId="6" type="noConversion"/>
  </si>
  <si>
    <t>视频语音用户留存</t>
    <phoneticPr fontId="6" type="noConversion"/>
  </si>
  <si>
    <t>整体次日</t>
    <phoneticPr fontId="6" type="noConversion"/>
  </si>
  <si>
    <t>整体七日</t>
    <phoneticPr fontId="6" type="noConversion"/>
  </si>
  <si>
    <t>终端</t>
    <phoneticPr fontId="6" type="noConversion"/>
  </si>
  <si>
    <t>PC次日</t>
    <phoneticPr fontId="6" type="noConversion"/>
  </si>
  <si>
    <t>手机次日</t>
    <phoneticPr fontId="6" type="noConversion"/>
  </si>
  <si>
    <t>Web次日</t>
    <phoneticPr fontId="6" type="noConversion"/>
  </si>
  <si>
    <t>PC七日</t>
    <phoneticPr fontId="6" type="noConversion"/>
  </si>
  <si>
    <t>手机七日</t>
    <phoneticPr fontId="6" type="noConversion"/>
  </si>
  <si>
    <t>Web七日</t>
    <phoneticPr fontId="6" type="noConversion"/>
  </si>
  <si>
    <t>模板</t>
    <phoneticPr fontId="6" type="noConversion"/>
  </si>
  <si>
    <t>游戏次日</t>
    <phoneticPr fontId="6" type="noConversion"/>
  </si>
  <si>
    <t>娱乐次日</t>
    <phoneticPr fontId="6" type="noConversion"/>
  </si>
  <si>
    <t>游戏七日</t>
    <phoneticPr fontId="6" type="noConversion"/>
  </si>
  <si>
    <t>娱乐七日</t>
    <phoneticPr fontId="6" type="noConversion"/>
  </si>
  <si>
    <t>模板－新用户次日&amp;七日留存率</t>
    <phoneticPr fontId="6" type="noConversion"/>
  </si>
  <si>
    <t>*注：留存率-每月日均留存率</t>
    <phoneticPr fontId="6" type="noConversion"/>
  </si>
  <si>
    <t>终端－新用户次日&amp;七日留存率</t>
    <phoneticPr fontId="6" type="noConversion"/>
  </si>
  <si>
    <t>新用户来源－终端流转</t>
    <phoneticPr fontId="6" type="noConversion"/>
  </si>
  <si>
    <t>终端</t>
    <phoneticPr fontId="6" type="noConversion"/>
  </si>
  <si>
    <t>指标类型</t>
    <phoneticPr fontId="6" type="noConversion"/>
  </si>
  <si>
    <t>平均</t>
    <phoneticPr fontId="6" type="noConversion"/>
  </si>
  <si>
    <t>PC登录视频语音用户</t>
    <phoneticPr fontId="6" type="noConversion"/>
  </si>
  <si>
    <t>PC纯新增</t>
    <phoneticPr fontId="6" type="noConversion"/>
  </si>
  <si>
    <t>前三月PC有登录</t>
  </si>
  <si>
    <t>无登录中Web登录</t>
    <phoneticPr fontId="6" type="noConversion"/>
  </si>
  <si>
    <t>无登录中手机登录</t>
    <phoneticPr fontId="6" type="noConversion"/>
  </si>
  <si>
    <t>三端无登录</t>
    <phoneticPr fontId="6" type="noConversion"/>
  </si>
  <si>
    <t>前三月PC无登录</t>
  </si>
  <si>
    <t>手机</t>
    <phoneticPr fontId="6" type="noConversion"/>
  </si>
  <si>
    <t>手机登录视频语音用户</t>
    <phoneticPr fontId="6" type="noConversion"/>
  </si>
  <si>
    <t>手机纯新增</t>
    <phoneticPr fontId="6" type="noConversion"/>
  </si>
  <si>
    <t>前三月手机有登录</t>
  </si>
  <si>
    <t>前三月Web登录</t>
  </si>
  <si>
    <t>前三月PC登录</t>
  </si>
  <si>
    <t>三端无登录</t>
    <phoneticPr fontId="6" type="noConversion"/>
  </si>
  <si>
    <t>前三月手机无登录</t>
  </si>
  <si>
    <t>Web</t>
    <phoneticPr fontId="6" type="noConversion"/>
  </si>
  <si>
    <t>Web登录视频语音用户</t>
    <phoneticPr fontId="6" type="noConversion"/>
  </si>
  <si>
    <t>Web纯新增</t>
    <phoneticPr fontId="6" type="noConversion"/>
  </si>
  <si>
    <t>前三月Web有登录</t>
  </si>
  <si>
    <t>无登录中PC登录</t>
    <phoneticPr fontId="6" type="noConversion"/>
  </si>
  <si>
    <t>无登录中mobile登录</t>
    <phoneticPr fontId="6" type="noConversion"/>
  </si>
  <si>
    <t>前三月Web无登录</t>
  </si>
  <si>
    <t>终端－新用户流转</t>
    <phoneticPr fontId="6" type="noConversion"/>
  </si>
  <si>
    <t>标签</t>
    <phoneticPr fontId="6" type="noConversion"/>
  </si>
  <si>
    <t>PC</t>
    <phoneticPr fontId="6" type="noConversion"/>
  </si>
  <si>
    <t>手机</t>
    <phoneticPr fontId="6" type="noConversion"/>
  </si>
  <si>
    <t>终端转化平台新增</t>
    <phoneticPr fontId="6" type="noConversion"/>
  </si>
  <si>
    <t>其他终端转移</t>
    <phoneticPr fontId="6" type="noConversion"/>
  </si>
  <si>
    <t>总计</t>
    <phoneticPr fontId="6" type="noConversion"/>
  </si>
  <si>
    <t>*注：新增用户为终端新增，非平台纯新增</t>
    <phoneticPr fontId="6" type="noConversion"/>
  </si>
  <si>
    <t>若用户在该终端连续3个月未登录，则算作该终端新用户</t>
  </si>
  <si>
    <t>新用户转化</t>
    <phoneticPr fontId="6" type="noConversion"/>
  </si>
  <si>
    <t>付费新用户定义：新用户首次登录后七天内有过消费C券行为的用户</t>
    <phoneticPr fontId="6" type="noConversion"/>
  </si>
  <si>
    <r>
      <t>互动(聊天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送糖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点评</t>
    </r>
    <r>
      <rPr>
        <sz val="10"/>
        <color theme="1"/>
        <rFont val="微软雅黑"/>
        <family val="2"/>
        <charset val="134"/>
      </rPr>
      <t>)</t>
    </r>
    <r>
      <rPr>
        <sz val="10"/>
        <color theme="1"/>
        <rFont val="微软雅黑"/>
        <family val="2"/>
        <charset val="134"/>
      </rPr>
      <t>转化率</t>
    </r>
    <phoneticPr fontId="6" type="noConversion"/>
  </si>
  <si>
    <t>付费转化率</t>
    <phoneticPr fontId="6" type="noConversion"/>
  </si>
  <si>
    <t>Web</t>
    <phoneticPr fontId="6" type="noConversion"/>
  </si>
  <si>
    <t>注：2017年6月前三端付费转化率数据口径为：coin_cost,两模板与全平台付费转化率数据口径为item_gain，7月后三端与模板口径均换为coin_cost</t>
  </si>
  <si>
    <t>模板－互动(聊天/送糖/点评)转化率</t>
    <phoneticPr fontId="6" type="noConversion"/>
  </si>
  <si>
    <t>模板－付费转化率</t>
    <phoneticPr fontId="6" type="noConversion"/>
  </si>
  <si>
    <t>新用户首日表现</t>
    <phoneticPr fontId="6" type="noConversion"/>
  </si>
  <si>
    <t>娱乐</t>
    <phoneticPr fontId="6" type="noConversion"/>
  </si>
  <si>
    <t>类型</t>
    <phoneticPr fontId="6" type="noConversion"/>
  </si>
  <si>
    <t>月份</t>
    <phoneticPr fontId="6" type="noConversion"/>
  </si>
  <si>
    <t>0-5分钟</t>
    <phoneticPr fontId="6" type="noConversion"/>
  </si>
  <si>
    <t>5-30分钟</t>
    <phoneticPr fontId="6" type="noConversion"/>
  </si>
  <si>
    <t>30-60分钟</t>
    <phoneticPr fontId="6" type="noConversion"/>
  </si>
  <si>
    <t>1-2小时</t>
    <phoneticPr fontId="6" type="noConversion"/>
  </si>
  <si>
    <t>2小时以上</t>
    <phoneticPr fontId="6" type="noConversion"/>
  </si>
  <si>
    <t>总计</t>
  </si>
  <si>
    <t>人数分布</t>
    <phoneticPr fontId="6" type="noConversion"/>
  </si>
  <si>
    <t>人数占比分布</t>
    <phoneticPr fontId="6" type="noConversion"/>
  </si>
  <si>
    <t>次日留存率</t>
    <phoneticPr fontId="6" type="noConversion"/>
  </si>
  <si>
    <t>首登天观看主播数</t>
    <phoneticPr fontId="6" type="noConversion"/>
  </si>
  <si>
    <t>月份</t>
    <phoneticPr fontId="6" type="noConversion"/>
  </si>
  <si>
    <t>1个</t>
    <phoneticPr fontId="6" type="noConversion"/>
  </si>
  <si>
    <t>2-3个</t>
    <phoneticPr fontId="6" type="noConversion"/>
  </si>
  <si>
    <t>4-10个</t>
    <phoneticPr fontId="6" type="noConversion"/>
  </si>
  <si>
    <t>10个以上</t>
    <phoneticPr fontId="6" type="noConversion"/>
  </si>
  <si>
    <t>总计</t>
    <phoneticPr fontId="6" type="noConversion"/>
  </si>
  <si>
    <t>若提升用户首日观看时长至1小时以上，</t>
    <phoneticPr fontId="6" type="noConversion"/>
  </si>
  <si>
    <t>游戏</t>
    <phoneticPr fontId="6" type="noConversion"/>
  </si>
  <si>
    <t>类型</t>
    <phoneticPr fontId="6" type="noConversion"/>
  </si>
  <si>
    <t>月份</t>
    <phoneticPr fontId="6" type="noConversion"/>
  </si>
  <si>
    <t>0-5分钟</t>
    <phoneticPr fontId="6" type="noConversion"/>
  </si>
  <si>
    <t>5-30分钟</t>
    <phoneticPr fontId="6" type="noConversion"/>
  </si>
  <si>
    <t>30-60分钟</t>
    <phoneticPr fontId="6" type="noConversion"/>
  </si>
  <si>
    <t>1-2小时</t>
    <phoneticPr fontId="6" type="noConversion"/>
  </si>
  <si>
    <t>2小时以上</t>
    <phoneticPr fontId="6" type="noConversion"/>
  </si>
  <si>
    <t>人数分布</t>
    <phoneticPr fontId="6" type="noConversion"/>
  </si>
  <si>
    <t>人数占比分布</t>
    <phoneticPr fontId="6" type="noConversion"/>
  </si>
  <si>
    <t>次日留存率</t>
    <phoneticPr fontId="6" type="noConversion"/>
  </si>
  <si>
    <t>首登天观看主播数</t>
    <phoneticPr fontId="6" type="noConversion"/>
  </si>
  <si>
    <t>a1个</t>
    <phoneticPr fontId="6" type="noConversion"/>
  </si>
  <si>
    <t>b2-3个</t>
    <phoneticPr fontId="6" type="noConversion"/>
  </si>
  <si>
    <t>b4-10个</t>
    <phoneticPr fontId="6" type="noConversion"/>
  </si>
  <si>
    <t>d10个以上</t>
    <phoneticPr fontId="6" type="noConversion"/>
  </si>
  <si>
    <t>平台新用户占比</t>
    <phoneticPr fontId="5" type="noConversion"/>
  </si>
  <si>
    <t>登录用户</t>
    <phoneticPr fontId="6" type="noConversion"/>
  </si>
  <si>
    <t>新用户数(23天)</t>
    <phoneticPr fontId="6" type="noConversion"/>
  </si>
  <si>
    <t>整体</t>
    <phoneticPr fontId="6" type="noConversion"/>
  </si>
  <si>
    <t>新用户转互动用户数(23天)</t>
    <phoneticPr fontId="6" type="noConversion"/>
  </si>
  <si>
    <t>新用户转付费用户数(23天)</t>
  </si>
  <si>
    <t>整体</t>
  </si>
  <si>
    <t>新用户数互动转化率</t>
    <phoneticPr fontId="6" type="noConversion"/>
  </si>
  <si>
    <t>新用户数付费转化率</t>
    <phoneticPr fontId="6" type="noConversion"/>
  </si>
  <si>
    <t>PC</t>
    <phoneticPr fontId="6" type="noConversion"/>
  </si>
  <si>
    <t>手机</t>
    <phoneticPr fontId="6" type="noConversion"/>
  </si>
  <si>
    <t>Web</t>
    <phoneticPr fontId="6" type="noConversion"/>
  </si>
  <si>
    <t>新用户转付费用户数(23天)</t>
    <phoneticPr fontId="6" type="noConversion"/>
  </si>
  <si>
    <t>PC转化新增</t>
    <phoneticPr fontId="6" type="noConversion"/>
  </si>
  <si>
    <t>无登录中Web登录</t>
    <phoneticPr fontId="6" type="noConversion"/>
  </si>
  <si>
    <t>无登录中手机登录</t>
    <phoneticPr fontId="6" type="noConversion"/>
  </si>
  <si>
    <t>三端无登录</t>
    <phoneticPr fontId="6" type="noConversion"/>
  </si>
  <si>
    <t>手机转化新增</t>
    <phoneticPr fontId="6" type="noConversion"/>
  </si>
  <si>
    <t>Web转化新增</t>
    <phoneticPr fontId="6" type="noConversion"/>
  </si>
  <si>
    <t>无登录中PC登录</t>
    <phoneticPr fontId="6" type="noConversion"/>
  </si>
  <si>
    <t>无登录中mobile登录</t>
    <phoneticPr fontId="6" type="noConversion"/>
  </si>
  <si>
    <t>整体视频语音用户</t>
    <phoneticPr fontId="6" type="noConversion"/>
  </si>
  <si>
    <t>标签</t>
    <phoneticPr fontId="6" type="noConversion"/>
  </si>
  <si>
    <t>指标</t>
    <phoneticPr fontId="6" type="noConversion"/>
  </si>
  <si>
    <t>环比上月</t>
    <phoneticPr fontId="5" type="noConversion"/>
  </si>
  <si>
    <t>整体登录用户</t>
    <phoneticPr fontId="6" type="noConversion"/>
  </si>
  <si>
    <t>总计</t>
    <phoneticPr fontId="6" type="noConversion"/>
  </si>
  <si>
    <t>2-3天</t>
  </si>
  <si>
    <t>4-7天</t>
  </si>
  <si>
    <t>8-15天</t>
  </si>
  <si>
    <t>16-21天</t>
  </si>
  <si>
    <t>整体匿名用户</t>
    <phoneticPr fontId="6" type="noConversion"/>
  </si>
  <si>
    <t>整体－登录用户活跃天数分布</t>
    <phoneticPr fontId="6" type="noConversion"/>
  </si>
  <si>
    <t>整体－匿名用户活跃天数分布</t>
    <phoneticPr fontId="6" type="noConversion"/>
  </si>
  <si>
    <t>模板－登录视频语音用户</t>
    <phoneticPr fontId="6" type="noConversion"/>
  </si>
  <si>
    <t>环比上月</t>
    <phoneticPr fontId="5" type="noConversion"/>
  </si>
  <si>
    <t>游戏</t>
    <phoneticPr fontId="6" type="noConversion"/>
  </si>
  <si>
    <t>1天</t>
    <phoneticPr fontId="6" type="noConversion"/>
  </si>
  <si>
    <t>2-3天</t>
    <phoneticPr fontId="6" type="noConversion"/>
  </si>
  <si>
    <t>4-7天</t>
    <phoneticPr fontId="6" type="noConversion"/>
  </si>
  <si>
    <t>8-15天</t>
    <phoneticPr fontId="6" type="noConversion"/>
  </si>
  <si>
    <t>16-21天</t>
    <phoneticPr fontId="6" type="noConversion"/>
  </si>
  <si>
    <t>22天以上</t>
    <phoneticPr fontId="6" type="noConversion"/>
  </si>
  <si>
    <t>娱乐</t>
    <phoneticPr fontId="6" type="noConversion"/>
  </si>
  <si>
    <t>游戏－登录用户活跃天数分布</t>
    <phoneticPr fontId="6" type="noConversion"/>
  </si>
  <si>
    <t>娱乐－登录用户活跃天数分布</t>
    <phoneticPr fontId="6" type="noConversion"/>
  </si>
  <si>
    <t>模板－匿名视频语音用户</t>
    <phoneticPr fontId="6" type="noConversion"/>
  </si>
  <si>
    <r>
      <t>p</t>
    </r>
    <r>
      <rPr>
        <sz val="10"/>
        <color theme="1"/>
        <rFont val="微软雅黑"/>
        <family val="2"/>
        <charset val="134"/>
      </rPr>
      <t>pt无展示</t>
    </r>
    <phoneticPr fontId="6" type="noConversion"/>
  </si>
  <si>
    <t>游戏－匿名用户活跃天数分布</t>
    <phoneticPr fontId="6" type="noConversion"/>
  </si>
  <si>
    <t>娱乐－登录匿名活跃天数分布</t>
    <phoneticPr fontId="6" type="noConversion"/>
  </si>
  <si>
    <t>模板－付费用户</t>
    <phoneticPr fontId="6" type="noConversion"/>
  </si>
  <si>
    <t>终端－登录视频语音用户</t>
    <phoneticPr fontId="6" type="noConversion"/>
  </si>
  <si>
    <t>PC</t>
    <phoneticPr fontId="6" type="noConversion"/>
  </si>
  <si>
    <t>手机</t>
    <phoneticPr fontId="6" type="noConversion"/>
  </si>
  <si>
    <t>PC－登录用户活跃天数分布</t>
    <phoneticPr fontId="6" type="noConversion"/>
  </si>
  <si>
    <t>手机－登录用户活跃天数分布</t>
    <phoneticPr fontId="6" type="noConversion"/>
  </si>
  <si>
    <t>模板－手游内置</t>
    <phoneticPr fontId="6" type="noConversion"/>
  </si>
  <si>
    <t>手游内置</t>
    <phoneticPr fontId="6" type="noConversion"/>
  </si>
  <si>
    <t>游戏－付费用户活跃天数分布(数据口径：coin_cost(coin_type = pquan))</t>
    <phoneticPr fontId="6" type="noConversion"/>
  </si>
  <si>
    <t>娱乐－付费用户活跃天数分布(数据口径：coin_cost(coin_type = pquan))</t>
    <phoneticPr fontId="6" type="noConversion"/>
  </si>
  <si>
    <t>新用户来源终端类型</t>
  </si>
  <si>
    <t>新增用户数</t>
  </si>
  <si>
    <t>次日留存率</t>
  </si>
  <si>
    <t>七日留存率</t>
  </si>
  <si>
    <t>占比</t>
  </si>
  <si>
    <t>总新增用户数</t>
  </si>
  <si>
    <t>*注：新增用户为平台新增用户</t>
  </si>
  <si>
    <t>安卓</t>
  </si>
  <si>
    <t>iphone</t>
  </si>
  <si>
    <t>ipad</t>
  </si>
  <si>
    <t>客户端－活跃终端</t>
    <phoneticPr fontId="6" type="noConversion"/>
  </si>
  <si>
    <t>终端占比</t>
    <phoneticPr fontId="6" type="noConversion"/>
  </si>
  <si>
    <t>客户端－活跃终端占比</t>
    <phoneticPr fontId="6" type="noConversion"/>
  </si>
  <si>
    <t>新增活跃终端</t>
    <phoneticPr fontId="6" type="noConversion"/>
  </si>
  <si>
    <t>标签</t>
    <phoneticPr fontId="6" type="noConversion"/>
  </si>
  <si>
    <t>指标</t>
    <phoneticPr fontId="6" type="noConversion"/>
  </si>
  <si>
    <t>iphone</t>
    <phoneticPr fontId="6" type="noConversion"/>
  </si>
  <si>
    <t>ipad</t>
    <phoneticPr fontId="6" type="noConversion"/>
  </si>
  <si>
    <t>客户端－新活跃终端</t>
    <phoneticPr fontId="6" type="noConversion"/>
  </si>
  <si>
    <t>客户端－新活跃终端占比</t>
    <phoneticPr fontId="6" type="noConversion"/>
  </si>
  <si>
    <t>活跃用户</t>
  </si>
  <si>
    <t>PC活跃用户各终端用户</t>
    <phoneticPr fontId="6" type="noConversion"/>
  </si>
  <si>
    <t>终端类型</t>
    <phoneticPr fontId="6" type="noConversion"/>
  </si>
  <si>
    <t>月人数</t>
    <phoneticPr fontId="6" type="noConversion"/>
  </si>
  <si>
    <t>人数占比</t>
    <phoneticPr fontId="6" type="noConversion"/>
  </si>
  <si>
    <t>其他</t>
    <phoneticPr fontId="6" type="noConversion"/>
  </si>
  <si>
    <t>总数</t>
    <phoneticPr fontId="6" type="noConversion"/>
  </si>
  <si>
    <t>PC：新增用户&amp;留存</t>
    <phoneticPr fontId="6" type="noConversion"/>
  </si>
  <si>
    <t>其他</t>
    <phoneticPr fontId="6" type="noConversion"/>
  </si>
  <si>
    <t>活跃终端</t>
    <phoneticPr fontId="6" type="noConversion"/>
  </si>
  <si>
    <t>标签</t>
    <phoneticPr fontId="6" type="noConversion"/>
  </si>
  <si>
    <t>指标</t>
    <phoneticPr fontId="6" type="noConversion"/>
  </si>
  <si>
    <t>环比上月</t>
    <phoneticPr fontId="5" type="noConversion"/>
  </si>
  <si>
    <t>手机端活跃终端数</t>
    <phoneticPr fontId="6" type="noConversion"/>
  </si>
  <si>
    <t>整体</t>
    <phoneticPr fontId="6" type="noConversion"/>
  </si>
  <si>
    <t>指标</t>
    <phoneticPr fontId="6" type="noConversion"/>
  </si>
  <si>
    <t>环比上月</t>
    <phoneticPr fontId="5" type="noConversion"/>
  </si>
  <si>
    <r>
      <t>PV</t>
    </r>
    <r>
      <rPr>
        <sz val="10"/>
        <color theme="1"/>
        <rFont val="微软雅黑"/>
        <family val="2"/>
        <charset val="134"/>
      </rPr>
      <t>(万)</t>
    </r>
    <phoneticPr fontId="6" type="noConversion"/>
  </si>
  <si>
    <r>
      <t>UV</t>
    </r>
    <r>
      <rPr>
        <sz val="10"/>
        <color theme="1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万</t>
    </r>
    <r>
      <rPr>
        <sz val="10"/>
        <color theme="1"/>
        <rFont val="微软雅黑"/>
        <family val="2"/>
        <charset val="134"/>
      </rPr>
      <t>)</t>
    </r>
    <phoneticPr fontId="6" type="noConversion"/>
  </si>
  <si>
    <t>Web用户来源</t>
    <phoneticPr fontId="6" type="noConversion"/>
  </si>
  <si>
    <t>观看用户top10渠道</t>
  </si>
  <si>
    <t>引流用户top10渠道</t>
  </si>
  <si>
    <t>梦幻手游</t>
    <phoneticPr fontId="5" type="noConversion"/>
  </si>
  <si>
    <t>大话手游</t>
    <phoneticPr fontId="5" type="noConversion"/>
  </si>
  <si>
    <t>阴阴师</t>
    <phoneticPr fontId="5" type="noConversion"/>
  </si>
  <si>
    <t>镇魔曲</t>
    <phoneticPr fontId="5" type="noConversion"/>
  </si>
  <si>
    <t>当天内来到CC用户数</t>
    <phoneticPr fontId="6" type="noConversion"/>
  </si>
  <si>
    <t>当天内来到CC新用户数</t>
    <phoneticPr fontId="6" type="noConversion"/>
  </si>
  <si>
    <t>1天内来到CC用户数</t>
    <phoneticPr fontId="6" type="noConversion"/>
  </si>
  <si>
    <t>7天内来到CC新用户数</t>
    <phoneticPr fontId="6" type="noConversion"/>
  </si>
  <si>
    <t>次日留存率</t>
    <phoneticPr fontId="6" type="noConversion"/>
  </si>
  <si>
    <t>七日留存率</t>
    <phoneticPr fontId="6" type="noConversion"/>
  </si>
  <si>
    <t>3天内来到CC新用户数</t>
    <phoneticPr fontId="6" type="noConversion"/>
  </si>
  <si>
    <t>WEB:PV/UV</t>
    <phoneticPr fontId="6" type="noConversion"/>
  </si>
  <si>
    <t>登录-非内置(万)</t>
    <phoneticPr fontId="6" type="noConversion"/>
  </si>
  <si>
    <t>登录-内置(万)</t>
    <phoneticPr fontId="6" type="noConversion"/>
  </si>
  <si>
    <t>匿名-非内置(万)</t>
    <phoneticPr fontId="6" type="noConversion"/>
  </si>
  <si>
    <r>
      <t>整体视频语音用户(除内置</t>
    </r>
    <r>
      <rPr>
        <sz val="10"/>
        <color theme="1"/>
        <rFont val="微软雅黑"/>
        <family val="2"/>
        <charset val="134"/>
      </rPr>
      <t>)</t>
    </r>
    <phoneticPr fontId="6" type="noConversion"/>
  </si>
  <si>
    <t>登录视频语音用户(除内置)</t>
    <phoneticPr fontId="6" type="noConversion"/>
  </si>
  <si>
    <t>模板对比－视频语音用户数&amp;交叉用户(除内置)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</si>
</sst>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#,##0_);[Red]\(#,##0\)"/>
    <numFmt numFmtId="177" formatCode="yyyy/m"/>
    <numFmt numFmtId="178" formatCode="0.0%"/>
    <numFmt numFmtId="179" formatCode="0.00_);[Red]\(0.00\)"/>
    <numFmt numFmtId="180" formatCode="#,##0_);\(#,##0\)"/>
    <numFmt numFmtId="181" formatCode="yy/m"/>
    <numFmt numFmtId="182" formatCode="#,##0.0_ "/>
    <numFmt numFmtId="183" formatCode="#,##0_ "/>
    <numFmt numFmtId="184" formatCode="#,##0.00_ "/>
    <numFmt numFmtId="185" formatCode="_ * #,##0_ ;_ * \-#,##0_ ;_ * &quot;-&quot;??_ ;_ @_ "/>
    <numFmt numFmtId="186" formatCode="yyyy/mm"/>
    <numFmt numFmtId="187" formatCode="0.00_ "/>
  </numFmts>
  <fonts count="35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rgb="FFC00000"/>
      <name val="微软雅黑"/>
      <family val="2"/>
      <charset val="134"/>
    </font>
    <font>
      <sz val="10"/>
      <color rgb="FF333333"/>
      <name val="Microsoft YaHei"/>
      <family val="2"/>
      <charset val="134"/>
    </font>
    <font>
      <sz val="11"/>
      <color theme="1"/>
      <name val="微软雅黑"/>
      <family val="2"/>
      <charset val="134"/>
    </font>
    <font>
      <sz val="10"/>
      <color rgb="FF404040"/>
      <name val="微软雅黑"/>
      <family val="2"/>
      <charset val="134"/>
    </font>
    <font>
      <sz val="10"/>
      <color rgb="FF444444"/>
      <name val="Arial"/>
      <family val="2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rgb="FF404040"/>
      <name val="微软雅黑"/>
      <family val="2"/>
      <charset val="134"/>
    </font>
    <font>
      <sz val="1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楷体"/>
      <family val="3"/>
      <charset val="134"/>
    </font>
    <font>
      <sz val="14"/>
      <color theme="1"/>
      <name val="Wingdings"/>
      <charset val="2"/>
    </font>
    <font>
      <sz val="14"/>
      <color rgb="FF404040"/>
      <name val="微软雅黑"/>
      <family val="2"/>
      <charset val="134"/>
    </font>
    <font>
      <sz val="11"/>
      <color rgb="FF404040"/>
      <name val="宋体"/>
      <family val="2"/>
      <scheme val="minor"/>
    </font>
    <font>
      <sz val="12"/>
      <color rgb="FF404040"/>
      <name val="楷体"/>
      <family val="3"/>
      <charset val="134"/>
    </font>
    <font>
      <sz val="12"/>
      <color theme="1"/>
      <name val="楷体"/>
      <family val="3"/>
      <charset val="134"/>
    </font>
    <font>
      <b/>
      <sz val="14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楷体"/>
      <family val="3"/>
      <charset val="134"/>
    </font>
    <font>
      <sz val="12"/>
      <color rgb="FF7F7F7F"/>
      <name val="楷体"/>
      <family val="3"/>
      <charset val="134"/>
    </font>
    <font>
      <sz val="14"/>
      <color rgb="FF7F7F7F"/>
      <name val="楷体"/>
      <family val="3"/>
      <charset val="134"/>
    </font>
    <font>
      <b/>
      <sz val="12"/>
      <color theme="1"/>
      <name val="微软雅黑"/>
      <family val="2"/>
      <charset val="134"/>
    </font>
    <font>
      <b/>
      <sz val="14"/>
      <color rgb="FF404040"/>
      <name val="微软雅黑"/>
      <family val="2"/>
      <charset val="134"/>
    </font>
    <font>
      <sz val="14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99CC"/>
        <bgColor theme="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5E5E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</cellStyleXfs>
  <cellXfs count="567">
    <xf numFmtId="0" fontId="0" fillId="0" borderId="0" xfId="0">
      <alignment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Fill="1" applyAlignment="1"/>
    <xf numFmtId="177" fontId="1" fillId="0" borderId="0" xfId="0" applyNumberFormat="1" applyFont="1" applyFill="1" applyAlignment="1"/>
    <xf numFmtId="0" fontId="7" fillId="2" borderId="1" xfId="0" applyNumberFormat="1" applyFont="1" applyFill="1" applyBorder="1" applyAlignment="1">
      <alignment horizontal="left" vertical="center"/>
    </xf>
    <xf numFmtId="176" fontId="7" fillId="2" borderId="1" xfId="1" applyNumberFormat="1" applyFont="1" applyFill="1" applyBorder="1" applyAlignment="1"/>
    <xf numFmtId="176" fontId="9" fillId="0" borderId="0" xfId="0" applyNumberFormat="1" applyFont="1" applyFill="1" applyAlignment="1"/>
    <xf numFmtId="0" fontId="9" fillId="0" borderId="0" xfId="0" applyFont="1" applyFill="1" applyAlignment="1"/>
    <xf numFmtId="0" fontId="9" fillId="3" borderId="1" xfId="0" applyNumberFormat="1" applyFont="1" applyFill="1" applyBorder="1" applyAlignment="1">
      <alignment horizontal="left" vertical="center"/>
    </xf>
    <xf numFmtId="176" fontId="9" fillId="3" borderId="1" xfId="1" applyNumberFormat="1" applyFont="1" applyFill="1" applyBorder="1" applyAlignment="1"/>
    <xf numFmtId="0" fontId="1" fillId="4" borderId="1" xfId="0" applyNumberFormat="1" applyFont="1" applyFill="1" applyBorder="1" applyAlignment="1">
      <alignment horizontal="left" vertical="center"/>
    </xf>
    <xf numFmtId="176" fontId="1" fillId="4" borderId="1" xfId="1" applyNumberFormat="1" applyFont="1" applyFill="1" applyBorder="1" applyAlignment="1"/>
    <xf numFmtId="176" fontId="1" fillId="0" borderId="0" xfId="0" applyNumberFormat="1" applyFont="1" applyFill="1" applyAlignment="1"/>
    <xf numFmtId="0" fontId="1" fillId="5" borderId="1" xfId="0" applyNumberFormat="1" applyFont="1" applyFill="1" applyBorder="1" applyAlignment="1">
      <alignment horizontal="left" vertical="center"/>
    </xf>
    <xf numFmtId="176" fontId="1" fillId="5" borderId="1" xfId="1" applyNumberFormat="1" applyFont="1" applyFill="1" applyBorder="1" applyAlignment="1"/>
    <xf numFmtId="0" fontId="7" fillId="3" borderId="1" xfId="0" applyNumberFormat="1" applyFont="1" applyFill="1" applyBorder="1" applyAlignment="1">
      <alignment horizontal="left" vertical="center"/>
    </xf>
    <xf numFmtId="176" fontId="7" fillId="3" borderId="1" xfId="1" applyNumberFormat="1" applyFont="1" applyFill="1" applyBorder="1" applyAlignment="1"/>
    <xf numFmtId="0" fontId="1" fillId="3" borderId="1" xfId="0" applyNumberFormat="1" applyFont="1" applyFill="1" applyBorder="1" applyAlignment="1">
      <alignment horizontal="left" vertical="center"/>
    </xf>
    <xf numFmtId="176" fontId="1" fillId="3" borderId="1" xfId="1" applyNumberFormat="1" applyFont="1" applyFill="1" applyBorder="1" applyAlignment="1"/>
    <xf numFmtId="0" fontId="10" fillId="0" borderId="0" xfId="0" applyFont="1" applyAlignment="1"/>
    <xf numFmtId="178" fontId="1" fillId="0" borderId="0" xfId="0" applyNumberFormat="1" applyFont="1" applyFill="1" applyAlignment="1"/>
    <xf numFmtId="0" fontId="1" fillId="0" borderId="0" xfId="0" applyFont="1" applyAlignment="1">
      <alignment horizontal="left"/>
    </xf>
    <xf numFmtId="178" fontId="7" fillId="3" borderId="1" xfId="0" applyNumberFormat="1" applyFont="1" applyFill="1" applyBorder="1" applyAlignment="1">
      <alignment horizontal="left" vertical="center"/>
    </xf>
    <xf numFmtId="178" fontId="7" fillId="3" borderId="1" xfId="2" applyNumberFormat="1" applyFont="1" applyFill="1" applyBorder="1" applyAlignment="1"/>
    <xf numFmtId="178" fontId="9" fillId="0" borderId="0" xfId="0" applyNumberFormat="1" applyFont="1" applyFill="1" applyAlignment="1"/>
    <xf numFmtId="178" fontId="1" fillId="3" borderId="1" xfId="0" applyNumberFormat="1" applyFont="1" applyFill="1" applyBorder="1" applyAlignment="1">
      <alignment horizontal="left" vertical="center"/>
    </xf>
    <xf numFmtId="178" fontId="1" fillId="3" borderId="1" xfId="2" applyNumberFormat="1" applyFont="1" applyFill="1" applyBorder="1" applyAlignment="1"/>
    <xf numFmtId="179" fontId="1" fillId="0" borderId="0" xfId="0" applyNumberFormat="1" applyFont="1" applyFill="1" applyAlignment="1"/>
    <xf numFmtId="0" fontId="1" fillId="0" borderId="0" xfId="0" applyNumberFormat="1" applyFont="1" applyFill="1" applyAlignment="1"/>
    <xf numFmtId="178" fontId="3" fillId="6" borderId="1" xfId="2" applyNumberFormat="1" applyFont="1" applyFill="1" applyBorder="1" applyAlignment="1">
      <alignment horizontal="left" vertical="center"/>
    </xf>
    <xf numFmtId="178" fontId="3" fillId="6" borderId="1" xfId="2" applyNumberFormat="1" applyFont="1" applyFill="1" applyBorder="1" applyAlignment="1"/>
    <xf numFmtId="178" fontId="1" fillId="0" borderId="0" xfId="2" applyNumberFormat="1" applyFont="1" applyFill="1" applyAlignment="1"/>
    <xf numFmtId="0" fontId="1" fillId="0" borderId="0" xfId="2" applyNumberFormat="1" applyFont="1" applyFill="1" applyAlignment="1"/>
    <xf numFmtId="178" fontId="1" fillId="6" borderId="1" xfId="2" applyNumberFormat="1" applyFont="1" applyFill="1" applyBorder="1" applyAlignment="1">
      <alignment horizontal="left" vertical="center"/>
    </xf>
    <xf numFmtId="178" fontId="1" fillId="6" borderId="1" xfId="2" applyNumberFormat="1" applyFont="1" applyFill="1" applyBorder="1" applyAlignment="1"/>
    <xf numFmtId="176" fontId="7" fillId="2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/>
    </xf>
    <xf numFmtId="176" fontId="9" fillId="4" borderId="1" xfId="0" applyNumberFormat="1" applyFont="1" applyFill="1" applyBorder="1" applyAlignment="1">
      <alignment horizontal="left" vertical="center"/>
    </xf>
    <xf numFmtId="176" fontId="9" fillId="4" borderId="1" xfId="1" applyNumberFormat="1" applyFont="1" applyFill="1" applyBorder="1" applyAlignment="1"/>
    <xf numFmtId="0" fontId="9" fillId="5" borderId="1" xfId="0" applyNumberFormat="1" applyFont="1" applyFill="1" applyBorder="1" applyAlignment="1">
      <alignment horizontal="left" vertical="center"/>
    </xf>
    <xf numFmtId="176" fontId="9" fillId="5" borderId="1" xfId="0" applyNumberFormat="1" applyFont="1" applyFill="1" applyBorder="1" applyAlignment="1">
      <alignment horizontal="left" vertical="center"/>
    </xf>
    <xf numFmtId="176" fontId="9" fillId="5" borderId="1" xfId="1" applyNumberFormat="1" applyFont="1" applyFill="1" applyBorder="1" applyAlignment="1"/>
    <xf numFmtId="178" fontId="3" fillId="0" borderId="0" xfId="2" applyNumberFormat="1" applyFont="1" applyFill="1" applyAlignment="1"/>
    <xf numFmtId="0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1" xfId="1" applyNumberFormat="1" applyFont="1" applyFill="1" applyBorder="1" applyAlignment="1"/>
    <xf numFmtId="0" fontId="3" fillId="0" borderId="0" xfId="0" applyFont="1" applyFill="1" applyAlignment="1"/>
    <xf numFmtId="176" fontId="1" fillId="4" borderId="1" xfId="0" applyNumberFormat="1" applyFont="1" applyFill="1" applyBorder="1" applyAlignment="1">
      <alignment horizontal="left" vertical="center"/>
    </xf>
    <xf numFmtId="176" fontId="1" fillId="5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3" borderId="1" xfId="1" applyNumberFormat="1" applyFont="1" applyFill="1" applyBorder="1" applyAlignment="1"/>
    <xf numFmtId="176" fontId="1" fillId="3" borderId="1" xfId="0" applyNumberFormat="1" applyFont="1" applyFill="1" applyBorder="1" applyAlignment="1">
      <alignment horizontal="left" vertical="center"/>
    </xf>
    <xf numFmtId="0" fontId="1" fillId="5" borderId="2" xfId="0" applyNumberFormat="1" applyFont="1" applyFill="1" applyBorder="1" applyAlignment="1">
      <alignment horizontal="left" vertical="center"/>
    </xf>
    <xf numFmtId="176" fontId="1" fillId="5" borderId="2" xfId="0" applyNumberFormat="1" applyFont="1" applyFill="1" applyBorder="1" applyAlignment="1">
      <alignment horizontal="left" vertical="center"/>
    </xf>
    <xf numFmtId="176" fontId="1" fillId="5" borderId="2" xfId="1" applyNumberFormat="1" applyFont="1" applyFill="1" applyBorder="1" applyAlignment="1"/>
    <xf numFmtId="0" fontId="1" fillId="0" borderId="0" xfId="0" applyFont="1" applyFill="1" applyBorder="1" applyAlignment="1"/>
    <xf numFmtId="0" fontId="1" fillId="3" borderId="4" xfId="0" applyNumberFormat="1" applyFont="1" applyFill="1" applyBorder="1" applyAlignment="1">
      <alignment horizontal="left" vertical="center"/>
    </xf>
    <xf numFmtId="176" fontId="1" fillId="3" borderId="4" xfId="0" applyNumberFormat="1" applyFont="1" applyFill="1" applyBorder="1" applyAlignment="1">
      <alignment horizontal="left" vertical="center"/>
    </xf>
    <xf numFmtId="176" fontId="1" fillId="3" borderId="4" xfId="1" applyNumberFormat="1" applyFont="1" applyFill="1" applyBorder="1" applyAlignment="1"/>
    <xf numFmtId="0" fontId="1" fillId="0" borderId="0" xfId="0" applyFont="1" applyFill="1" applyAlignment="1">
      <alignment wrapText="1"/>
    </xf>
    <xf numFmtId="176" fontId="1" fillId="0" borderId="0" xfId="0" applyNumberFormat="1" applyFont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left" vertical="center"/>
    </xf>
    <xf numFmtId="0" fontId="7" fillId="0" borderId="0" xfId="0" applyFont="1" applyFill="1" applyAlignment="1"/>
    <xf numFmtId="0" fontId="1" fillId="5" borderId="1" xfId="0" applyFont="1" applyFill="1" applyBorder="1" applyAlignment="1">
      <alignment horizontal="left" vertical="center"/>
    </xf>
    <xf numFmtId="178" fontId="7" fillId="3" borderId="1" xfId="2" applyNumberFormat="1" applyFont="1" applyFill="1" applyBorder="1" applyAlignment="1">
      <alignment horizontal="left" vertical="center"/>
    </xf>
    <xf numFmtId="178" fontId="9" fillId="3" borderId="1" xfId="2" applyNumberFormat="1" applyFont="1" applyFill="1" applyBorder="1" applyAlignment="1">
      <alignment horizontal="left" vertical="center"/>
    </xf>
    <xf numFmtId="178" fontId="9" fillId="3" borderId="1" xfId="2" applyNumberFormat="1" applyFont="1" applyFill="1" applyBorder="1" applyAlignment="1"/>
    <xf numFmtId="178" fontId="9" fillId="0" borderId="0" xfId="2" applyNumberFormat="1" applyFont="1" applyFill="1" applyAlignment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76" fontId="3" fillId="5" borderId="1" xfId="1" applyNumberFormat="1" applyFont="1" applyFill="1" applyBorder="1" applyAlignment="1"/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6" fontId="3" fillId="4" borderId="1" xfId="1" applyNumberFormat="1" applyFont="1" applyFill="1" applyBorder="1" applyAlignment="1"/>
    <xf numFmtId="0" fontId="1" fillId="3" borderId="1" xfId="0" applyNumberFormat="1" applyFont="1" applyFill="1" applyBorder="1" applyAlignment="1">
      <alignment horizontal="left"/>
    </xf>
    <xf numFmtId="178" fontId="3" fillId="3" borderId="1" xfId="2" applyNumberFormat="1" applyFont="1" applyFill="1" applyBorder="1" applyAlignment="1">
      <alignment horizontal="left" vertical="center"/>
    </xf>
    <xf numFmtId="178" fontId="1" fillId="3" borderId="1" xfId="2" applyNumberFormat="1" applyFont="1" applyFill="1" applyBorder="1" applyAlignment="1">
      <alignment horizontal="left" vertical="center"/>
    </xf>
    <xf numFmtId="178" fontId="3" fillId="3" borderId="1" xfId="2" applyNumberFormat="1" applyFont="1" applyFill="1" applyBorder="1" applyAlignment="1"/>
    <xf numFmtId="0" fontId="11" fillId="0" borderId="0" xfId="0" applyFont="1" applyAlignment="1"/>
    <xf numFmtId="177" fontId="1" fillId="0" borderId="0" xfId="0" applyNumberFormat="1" applyFont="1" applyAlignment="1"/>
    <xf numFmtId="0" fontId="3" fillId="3" borderId="0" xfId="0" applyFont="1" applyFill="1" applyAlignment="1"/>
    <xf numFmtId="0" fontId="1" fillId="7" borderId="1" xfId="0" applyNumberFormat="1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176" fontId="1" fillId="7" borderId="1" xfId="1" applyNumberFormat="1" applyFont="1" applyFill="1" applyBorder="1" applyAlignment="1"/>
    <xf numFmtId="176" fontId="12" fillId="0" borderId="0" xfId="0" applyNumberFormat="1" applyFont="1" applyAlignment="1">
      <alignment vertical="center"/>
    </xf>
    <xf numFmtId="178" fontId="1" fillId="3" borderId="0" xfId="2" applyNumberFormat="1" applyFont="1" applyFill="1" applyAlignment="1"/>
    <xf numFmtId="0" fontId="1" fillId="3" borderId="0" xfId="2" applyNumberFormat="1" applyFont="1" applyFill="1" applyAlignment="1"/>
    <xf numFmtId="176" fontId="3" fillId="7" borderId="1" xfId="0" applyNumberFormat="1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left" vertical="top"/>
    </xf>
    <xf numFmtId="0" fontId="1" fillId="7" borderId="1" xfId="1" applyNumberFormat="1" applyFont="1" applyFill="1" applyBorder="1" applyAlignment="1"/>
    <xf numFmtId="176" fontId="0" fillId="7" borderId="0" xfId="0" applyNumberFormat="1" applyFill="1" applyAlignment="1"/>
    <xf numFmtId="176" fontId="1" fillId="7" borderId="0" xfId="0" applyNumberFormat="1" applyFont="1" applyFill="1" applyAlignment="1"/>
    <xf numFmtId="176" fontId="3" fillId="4" borderId="1" xfId="0" applyNumberFormat="1" applyFont="1" applyFill="1" applyBorder="1" applyAlignment="1">
      <alignment horizontal="left" vertical="center"/>
    </xf>
    <xf numFmtId="0" fontId="3" fillId="4" borderId="0" xfId="0" applyFont="1" applyFill="1" applyAlignment="1"/>
    <xf numFmtId="0" fontId="1" fillId="4" borderId="0" xfId="0" applyFont="1" applyFill="1" applyAlignment="1"/>
    <xf numFmtId="176" fontId="0" fillId="4" borderId="0" xfId="0" applyNumberFormat="1" applyFill="1" applyAlignment="1"/>
    <xf numFmtId="176" fontId="1" fillId="4" borderId="0" xfId="0" applyNumberFormat="1" applyFont="1" applyFill="1" applyAlignment="1"/>
    <xf numFmtId="176" fontId="1" fillId="3" borderId="1" xfId="1" applyNumberFormat="1" applyFont="1" applyFill="1" applyBorder="1" applyAlignment="1">
      <alignment vertical="center"/>
    </xf>
    <xf numFmtId="176" fontId="3" fillId="3" borderId="1" xfId="1" applyNumberFormat="1" applyFont="1" applyFill="1" applyBorder="1" applyAlignment="1">
      <alignment vertical="center"/>
    </xf>
    <xf numFmtId="0" fontId="1" fillId="3" borderId="0" xfId="0" applyFont="1" applyFill="1" applyAlignment="1"/>
    <xf numFmtId="176" fontId="1" fillId="5" borderId="1" xfId="1" applyNumberFormat="1" applyFont="1" applyFill="1" applyBorder="1" applyAlignment="1">
      <alignment vertical="center"/>
    </xf>
    <xf numFmtId="178" fontId="1" fillId="3" borderId="1" xfId="2" applyNumberFormat="1" applyFont="1" applyFill="1" applyBorder="1" applyAlignment="1">
      <alignment vertical="center"/>
    </xf>
    <xf numFmtId="176" fontId="1" fillId="4" borderId="1" xfId="1" applyNumberFormat="1" applyFont="1" applyFill="1" applyBorder="1" applyAlignment="1">
      <alignment vertical="center"/>
    </xf>
    <xf numFmtId="180" fontId="1" fillId="5" borderId="1" xfId="1" applyNumberFormat="1" applyFont="1" applyFill="1" applyBorder="1" applyAlignment="1">
      <alignment vertical="center"/>
    </xf>
    <xf numFmtId="0" fontId="0" fillId="0" borderId="0" xfId="0" applyAlignment="1"/>
    <xf numFmtId="0" fontId="0" fillId="0" borderId="0" xfId="0" applyFont="1" applyAlignment="1"/>
    <xf numFmtId="176" fontId="0" fillId="0" borderId="0" xfId="0" applyNumberFormat="1" applyAlignment="1"/>
    <xf numFmtId="178" fontId="3" fillId="10" borderId="1" xfId="2" applyNumberFormat="1" applyFont="1" applyFill="1" applyBorder="1" applyAlignment="1">
      <alignment horizontal="left" vertical="center"/>
    </xf>
    <xf numFmtId="178" fontId="3" fillId="10" borderId="1" xfId="2" applyNumberFormat="1" applyFont="1" applyFill="1" applyBorder="1" applyAlignment="1"/>
    <xf numFmtId="178" fontId="1" fillId="10" borderId="1" xfId="2" applyNumberFormat="1" applyFont="1" applyFill="1" applyBorder="1" applyAlignment="1">
      <alignment horizontal="left" vertical="center"/>
    </xf>
    <xf numFmtId="178" fontId="1" fillId="10" borderId="1" xfId="2" applyNumberFormat="1" applyFont="1" applyFill="1" applyBorder="1" applyAlignment="1"/>
    <xf numFmtId="177" fontId="2" fillId="12" borderId="1" xfId="0" applyNumberFormat="1" applyFont="1" applyFill="1" applyBorder="1" applyAlignment="1">
      <alignment horizontal="left" vertical="center"/>
    </xf>
    <xf numFmtId="177" fontId="2" fillId="1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wrapText="1"/>
    </xf>
    <xf numFmtId="176" fontId="3" fillId="2" borderId="1" xfId="3" applyNumberFormat="1" applyFont="1" applyFill="1" applyBorder="1" applyAlignment="1">
      <alignment horizontal="left" vertical="center"/>
    </xf>
    <xf numFmtId="176" fontId="3" fillId="2" borderId="1" xfId="1" applyNumberFormat="1" applyFont="1" applyFill="1" applyBorder="1" applyAlignment="1">
      <alignment horizontal="right"/>
    </xf>
    <xf numFmtId="176" fontId="3" fillId="2" borderId="0" xfId="0" applyNumberFormat="1" applyFont="1" applyFill="1" applyAlignment="1"/>
    <xf numFmtId="176" fontId="1" fillId="2" borderId="1" xfId="3" applyNumberFormat="1" applyFont="1" applyFill="1" applyBorder="1" applyAlignment="1">
      <alignment horizontal="left" vertical="center"/>
    </xf>
    <xf numFmtId="176" fontId="1" fillId="2" borderId="1" xfId="1" applyNumberFormat="1" applyFont="1" applyFill="1" applyBorder="1" applyAlignment="1">
      <alignment horizontal="right"/>
    </xf>
    <xf numFmtId="176" fontId="1" fillId="2" borderId="0" xfId="0" applyNumberFormat="1" applyFont="1" applyFill="1" applyAlignment="1"/>
    <xf numFmtId="176" fontId="1" fillId="5" borderId="1" xfId="4" applyNumberFormat="1" applyFill="1" applyBorder="1" applyAlignment="1">
      <alignment vertical="center"/>
    </xf>
    <xf numFmtId="176" fontId="1" fillId="5" borderId="1" xfId="0" applyNumberFormat="1" applyFont="1" applyFill="1" applyBorder="1" applyAlignment="1">
      <alignment horizontal="right"/>
    </xf>
    <xf numFmtId="176" fontId="1" fillId="5" borderId="0" xfId="0" applyNumberFormat="1" applyFont="1" applyFill="1" applyAlignment="1"/>
    <xf numFmtId="178" fontId="1" fillId="4" borderId="1" xfId="2" applyNumberFormat="1" applyFont="1" applyFill="1" applyBorder="1" applyAlignment="1">
      <alignment vertical="center"/>
    </xf>
    <xf numFmtId="178" fontId="1" fillId="4" borderId="1" xfId="2" applyNumberFormat="1" applyFont="1" applyFill="1" applyBorder="1" applyAlignment="1">
      <alignment horizontal="right" vertical="center"/>
    </xf>
    <xf numFmtId="178" fontId="1" fillId="4" borderId="0" xfId="2" applyNumberFormat="1" applyFont="1" applyFill="1" applyAlignment="1"/>
    <xf numFmtId="178" fontId="1" fillId="5" borderId="1" xfId="2" applyNumberFormat="1" applyFont="1" applyFill="1" applyBorder="1" applyAlignment="1">
      <alignment vertical="center"/>
    </xf>
    <xf numFmtId="178" fontId="1" fillId="5" borderId="1" xfId="2" applyNumberFormat="1" applyFont="1" applyFill="1" applyBorder="1" applyAlignment="1">
      <alignment horizontal="right" vertical="center"/>
    </xf>
    <xf numFmtId="178" fontId="1" fillId="5" borderId="0" xfId="2" applyNumberFormat="1" applyFont="1" applyFill="1" applyAlignment="1"/>
    <xf numFmtId="176" fontId="1" fillId="11" borderId="1" xfId="0" applyNumberFormat="1" applyFont="1" applyFill="1" applyBorder="1" applyAlignment="1">
      <alignment horizontal="left"/>
    </xf>
    <xf numFmtId="176" fontId="1" fillId="11" borderId="1" xfId="0" applyNumberFormat="1" applyFont="1" applyFill="1" applyBorder="1" applyAlignment="1">
      <alignment horizontal="right"/>
    </xf>
    <xf numFmtId="176" fontId="1" fillId="11" borderId="0" xfId="0" applyNumberFormat="1" applyFont="1" applyFill="1" applyAlignment="1"/>
    <xf numFmtId="178" fontId="1" fillId="13" borderId="1" xfId="2" applyNumberFormat="1" applyFont="1" applyFill="1" applyBorder="1" applyAlignment="1">
      <alignment horizontal="left"/>
    </xf>
    <xf numFmtId="178" fontId="1" fillId="13" borderId="1" xfId="2" applyNumberFormat="1" applyFont="1" applyFill="1" applyBorder="1" applyAlignment="1">
      <alignment horizontal="right" vertical="center"/>
    </xf>
    <xf numFmtId="178" fontId="1" fillId="13" borderId="0" xfId="2" applyNumberFormat="1" applyFont="1" applyFill="1" applyAlignment="1"/>
    <xf numFmtId="176" fontId="9" fillId="3" borderId="1" xfId="0" applyNumberFormat="1" applyFont="1" applyFill="1" applyBorder="1" applyAlignment="1">
      <alignment horizontal="left" vertical="center"/>
    </xf>
    <xf numFmtId="178" fontId="0" fillId="0" borderId="0" xfId="0" applyNumberFormat="1" applyFont="1" applyFill="1" applyAlignment="1"/>
    <xf numFmtId="0" fontId="3" fillId="5" borderId="1" xfId="0" applyNumberFormat="1" applyFont="1" applyFill="1" applyBorder="1" applyAlignment="1">
      <alignment horizontal="left"/>
    </xf>
    <xf numFmtId="176" fontId="3" fillId="5" borderId="1" xfId="0" applyNumberFormat="1" applyFont="1" applyFill="1" applyBorder="1" applyAlignment="1">
      <alignment horizontal="left" vertical="center"/>
    </xf>
    <xf numFmtId="0" fontId="1" fillId="15" borderId="0" xfId="5" applyNumberFormat="1" applyFont="1" applyFill="1" applyAlignment="1">
      <alignment horizontal="center" vertical="center"/>
    </xf>
    <xf numFmtId="0" fontId="1" fillId="15" borderId="0" xfId="5" applyFont="1" applyFill="1" applyAlignment="1">
      <alignment vertical="center"/>
    </xf>
    <xf numFmtId="0" fontId="1" fillId="15" borderId="0" xfId="5" applyFont="1" applyFill="1" applyAlignment="1">
      <alignment vertical="center" wrapText="1"/>
    </xf>
    <xf numFmtId="0" fontId="1" fillId="0" borderId="0" xfId="5" applyFont="1" applyFill="1" applyAlignment="1">
      <alignment vertical="center"/>
    </xf>
    <xf numFmtId="0" fontId="16" fillId="0" borderId="0" xfId="5" applyFont="1" applyAlignment="1">
      <alignment horizontal="left" vertical="center"/>
    </xf>
    <xf numFmtId="0" fontId="1" fillId="0" borderId="0" xfId="5" applyFont="1" applyAlignment="1">
      <alignment vertical="center" wrapText="1"/>
    </xf>
    <xf numFmtId="0" fontId="1" fillId="0" borderId="0" xfId="5" applyFont="1" applyAlignment="1">
      <alignment vertical="center"/>
    </xf>
    <xf numFmtId="181" fontId="4" fillId="15" borderId="1" xfId="5" applyNumberFormat="1" applyFont="1" applyFill="1" applyBorder="1" applyAlignment="1">
      <alignment horizontal="center" vertical="center"/>
    </xf>
    <xf numFmtId="178" fontId="17" fillId="15" borderId="1" xfId="6" applyNumberFormat="1" applyFont="1" applyFill="1" applyBorder="1" applyAlignment="1">
      <alignment horizontal="center" vertical="center"/>
    </xf>
    <xf numFmtId="176" fontId="3" fillId="16" borderId="1" xfId="3" applyNumberFormat="1" applyFont="1" applyFill="1" applyBorder="1" applyAlignment="1">
      <alignment vertical="center" wrapText="1"/>
    </xf>
    <xf numFmtId="178" fontId="18" fillId="16" borderId="1" xfId="6" applyNumberFormat="1" applyFont="1" applyFill="1" applyBorder="1" applyAlignment="1">
      <alignment vertical="center"/>
    </xf>
    <xf numFmtId="0" fontId="3" fillId="0" borderId="0" xfId="5" applyFont="1" applyFill="1" applyAlignment="1">
      <alignment vertical="center"/>
    </xf>
    <xf numFmtId="176" fontId="1" fillId="2" borderId="1" xfId="3" applyNumberFormat="1" applyFont="1" applyFill="1" applyBorder="1" applyAlignment="1">
      <alignment vertical="center" wrapText="1"/>
    </xf>
    <xf numFmtId="176" fontId="1" fillId="16" borderId="1" xfId="3" applyNumberFormat="1" applyFont="1" applyFill="1" applyBorder="1" applyAlignment="1">
      <alignment vertical="center" wrapText="1"/>
    </xf>
    <xf numFmtId="178" fontId="1" fillId="16" borderId="1" xfId="6" applyNumberFormat="1" applyFont="1" applyFill="1" applyBorder="1" applyAlignment="1">
      <alignment vertical="center"/>
    </xf>
    <xf numFmtId="178" fontId="1" fillId="0" borderId="0" xfId="5" applyNumberFormat="1" applyFont="1" applyFill="1" applyAlignment="1">
      <alignment vertical="center"/>
    </xf>
    <xf numFmtId="0" fontId="3" fillId="4" borderId="1" xfId="5" applyFont="1" applyFill="1" applyBorder="1" applyAlignment="1">
      <alignment vertical="center" wrapText="1"/>
    </xf>
    <xf numFmtId="176" fontId="3" fillId="4" borderId="1" xfId="3" applyNumberFormat="1" applyFont="1" applyFill="1" applyBorder="1" applyAlignment="1">
      <alignment vertical="center" wrapText="1"/>
    </xf>
    <xf numFmtId="178" fontId="1" fillId="17" borderId="1" xfId="6" applyNumberFormat="1" applyFont="1" applyFill="1" applyBorder="1" applyAlignment="1">
      <alignment vertical="center"/>
    </xf>
    <xf numFmtId="176" fontId="1" fillId="4" borderId="1" xfId="3" applyNumberFormat="1" applyFont="1" applyFill="1" applyBorder="1" applyAlignment="1">
      <alignment vertical="center"/>
    </xf>
    <xf numFmtId="176" fontId="1" fillId="16" borderId="1" xfId="3" applyNumberFormat="1" applyFont="1" applyFill="1" applyBorder="1" applyAlignment="1">
      <alignment vertical="center"/>
    </xf>
    <xf numFmtId="178" fontId="1" fillId="4" borderId="1" xfId="5" applyNumberFormat="1" applyFont="1" applyFill="1" applyBorder="1" applyAlignment="1">
      <alignment vertical="center" wrapText="1"/>
    </xf>
    <xf numFmtId="178" fontId="1" fillId="4" borderId="1" xfId="6" applyNumberFormat="1" applyFont="1" applyFill="1" applyBorder="1" applyAlignment="1">
      <alignment vertical="center"/>
    </xf>
    <xf numFmtId="0" fontId="3" fillId="17" borderId="1" xfId="5" applyFont="1" applyFill="1" applyBorder="1" applyAlignment="1">
      <alignment vertical="center" wrapText="1"/>
    </xf>
    <xf numFmtId="176" fontId="3" fillId="17" borderId="1" xfId="3" applyNumberFormat="1" applyFont="1" applyFill="1" applyBorder="1" applyAlignment="1">
      <alignment vertical="center" wrapText="1"/>
    </xf>
    <xf numFmtId="178" fontId="18" fillId="0" borderId="1" xfId="6" applyNumberFormat="1" applyFont="1" applyFill="1" applyBorder="1" applyAlignment="1">
      <alignment vertical="center"/>
    </xf>
    <xf numFmtId="178" fontId="1" fillId="17" borderId="1" xfId="5" applyNumberFormat="1" applyFont="1" applyFill="1" applyBorder="1" applyAlignment="1">
      <alignment vertical="center" wrapText="1"/>
    </xf>
    <xf numFmtId="176" fontId="1" fillId="4" borderId="1" xfId="3" applyNumberFormat="1" applyFont="1" applyFill="1" applyBorder="1" applyAlignment="1">
      <alignment vertical="center" wrapText="1"/>
    </xf>
    <xf numFmtId="0" fontId="1" fillId="2" borderId="1" xfId="5" applyFont="1" applyFill="1" applyBorder="1" applyAlignment="1">
      <alignment horizontal="left" vertical="center"/>
    </xf>
    <xf numFmtId="0" fontId="3" fillId="16" borderId="0" xfId="5" applyFont="1" applyFill="1" applyAlignment="1">
      <alignment vertical="center"/>
    </xf>
    <xf numFmtId="0" fontId="1" fillId="16" borderId="0" xfId="5" applyFont="1" applyFill="1" applyAlignment="1">
      <alignment vertical="center" wrapText="1"/>
    </xf>
    <xf numFmtId="0" fontId="1" fillId="16" borderId="0" xfId="5" applyFont="1" applyFill="1" applyAlignment="1">
      <alignment vertical="center"/>
    </xf>
    <xf numFmtId="0" fontId="19" fillId="18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9" fillId="0" borderId="0" xfId="5" applyFont="1" applyFill="1" applyAlignment="1">
      <alignment vertical="center"/>
    </xf>
    <xf numFmtId="0" fontId="19" fillId="18" borderId="0" xfId="5" applyFont="1" applyFill="1" applyAlignment="1">
      <alignment horizontal="left" vertical="center"/>
    </xf>
    <xf numFmtId="0" fontId="19" fillId="18" borderId="0" xfId="5" applyFont="1" applyFill="1" applyAlignment="1">
      <alignment vertical="center" wrapText="1"/>
    </xf>
    <xf numFmtId="0" fontId="20" fillId="18" borderId="0" xfId="5" applyFont="1" applyFill="1" applyAlignment="1">
      <alignment vertical="center"/>
    </xf>
    <xf numFmtId="0" fontId="1" fillId="18" borderId="0" xfId="5" applyFont="1" applyFill="1" applyAlignment="1">
      <alignment vertical="center"/>
    </xf>
    <xf numFmtId="0" fontId="3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0" fontId="8" fillId="0" borderId="0" xfId="5" applyAlignment="1">
      <alignment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horizontal="left" vertical="center"/>
    </xf>
    <xf numFmtId="0" fontId="23" fillId="0" borderId="0" xfId="5" applyFont="1" applyAlignment="1">
      <alignment vertical="center"/>
    </xf>
    <xf numFmtId="0" fontId="24" fillId="0" borderId="0" xfId="5" applyFont="1" applyAlignment="1">
      <alignment vertical="center"/>
    </xf>
    <xf numFmtId="0" fontId="3" fillId="18" borderId="0" xfId="5" applyFont="1" applyFill="1" applyAlignment="1">
      <alignment vertical="center"/>
    </xf>
    <xf numFmtId="0" fontId="1" fillId="18" borderId="0" xfId="5" applyFont="1" applyFill="1" applyAlignment="1">
      <alignment vertical="center" wrapText="1"/>
    </xf>
    <xf numFmtId="0" fontId="16" fillId="0" borderId="0" xfId="5" applyFont="1" applyAlignment="1">
      <alignment vertical="center"/>
    </xf>
    <xf numFmtId="178" fontId="1" fillId="0" borderId="0" xfId="6" applyNumberFormat="1" applyFont="1" applyAlignment="1">
      <alignment vertical="center"/>
    </xf>
    <xf numFmtId="0" fontId="1" fillId="5" borderId="1" xfId="5" applyNumberFormat="1" applyFont="1" applyFill="1" applyBorder="1" applyAlignment="1">
      <alignment horizontal="left" vertical="center"/>
    </xf>
    <xf numFmtId="176" fontId="1" fillId="5" borderId="1" xfId="3" applyNumberFormat="1" applyFont="1" applyFill="1" applyBorder="1" applyAlignment="1">
      <alignment vertical="center" wrapText="1"/>
    </xf>
    <xf numFmtId="9" fontId="1" fillId="0" borderId="0" xfId="6" applyFont="1" applyAlignment="1">
      <alignment vertical="center"/>
    </xf>
    <xf numFmtId="0" fontId="3" fillId="4" borderId="1" xfId="5" applyNumberFormat="1" applyFont="1" applyFill="1" applyBorder="1" applyAlignment="1">
      <alignment horizontal="left" vertical="center"/>
    </xf>
    <xf numFmtId="178" fontId="3" fillId="4" borderId="1" xfId="6" applyNumberFormat="1" applyFont="1" applyFill="1" applyBorder="1" applyAlignment="1">
      <alignment vertical="center"/>
    </xf>
    <xf numFmtId="178" fontId="3" fillId="16" borderId="1" xfId="6" applyNumberFormat="1" applyFont="1" applyFill="1" applyBorder="1" applyAlignment="1">
      <alignment vertical="center"/>
    </xf>
    <xf numFmtId="0" fontId="1" fillId="18" borderId="0" xfId="5" applyFont="1" applyFill="1" applyBorder="1" applyAlignment="1">
      <alignment vertical="center" wrapText="1"/>
    </xf>
    <xf numFmtId="0" fontId="12" fillId="16" borderId="0" xfId="5" applyFont="1" applyFill="1" applyAlignment="1">
      <alignment vertical="center" wrapText="1"/>
    </xf>
    <xf numFmtId="0" fontId="12" fillId="16" borderId="0" xfId="5" applyFont="1" applyFill="1" applyAlignment="1">
      <alignment vertical="center"/>
    </xf>
    <xf numFmtId="0" fontId="25" fillId="0" borderId="0" xfId="5" applyFont="1" applyAlignment="1">
      <alignment vertical="center"/>
    </xf>
    <xf numFmtId="0" fontId="1" fillId="18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vertical="center"/>
    </xf>
    <xf numFmtId="0" fontId="3" fillId="2" borderId="1" xfId="5" applyNumberFormat="1" applyFont="1" applyFill="1" applyBorder="1" applyAlignment="1">
      <alignment horizontal="left" vertical="center"/>
    </xf>
    <xf numFmtId="176" fontId="3" fillId="2" borderId="1" xfId="3" applyNumberFormat="1" applyFont="1" applyFill="1" applyBorder="1" applyAlignment="1">
      <alignment vertical="center"/>
    </xf>
    <xf numFmtId="178" fontId="1" fillId="0" borderId="0" xfId="6" applyNumberFormat="1" applyFont="1" applyAlignment="1">
      <alignment horizontal="left" vertical="center"/>
    </xf>
    <xf numFmtId="0" fontId="1" fillId="4" borderId="1" xfId="5" applyNumberFormat="1" applyFont="1" applyFill="1" applyBorder="1" applyAlignment="1">
      <alignment horizontal="left" vertical="center"/>
    </xf>
    <xf numFmtId="178" fontId="3" fillId="2" borderId="1" xfId="6" applyNumberFormat="1" applyFont="1" applyFill="1" applyBorder="1" applyAlignment="1">
      <alignment vertical="center"/>
    </xf>
    <xf numFmtId="0" fontId="12" fillId="0" borderId="0" xfId="5" applyFont="1" applyAlignment="1">
      <alignment vertical="center"/>
    </xf>
    <xf numFmtId="0" fontId="26" fillId="0" borderId="0" xfId="5" applyFont="1" applyAlignment="1">
      <alignment horizontal="left" vertical="center"/>
    </xf>
    <xf numFmtId="0" fontId="11" fillId="0" borderId="0" xfId="5" applyFont="1" applyFill="1" applyAlignment="1">
      <alignment vertical="center"/>
    </xf>
    <xf numFmtId="0" fontId="11" fillId="0" borderId="0" xfId="5" applyFont="1" applyAlignment="1">
      <alignment vertical="center"/>
    </xf>
    <xf numFmtId="182" fontId="3" fillId="2" borderId="1" xfId="3" applyNumberFormat="1" applyFont="1" applyFill="1" applyBorder="1" applyAlignment="1">
      <alignment vertical="center"/>
    </xf>
    <xf numFmtId="178" fontId="1" fillId="0" borderId="0" xfId="6" applyNumberFormat="1" applyFont="1" applyFill="1" applyAlignment="1">
      <alignment vertical="center"/>
    </xf>
    <xf numFmtId="0" fontId="1" fillId="4" borderId="4" xfId="5" applyNumberFormat="1" applyFont="1" applyFill="1" applyBorder="1" applyAlignment="1">
      <alignment horizontal="left" vertical="center"/>
    </xf>
    <xf numFmtId="182" fontId="1" fillId="4" borderId="4" xfId="3" applyNumberFormat="1" applyFont="1" applyFill="1" applyBorder="1" applyAlignment="1">
      <alignment vertical="center"/>
    </xf>
    <xf numFmtId="182" fontId="1" fillId="16" borderId="4" xfId="3" applyNumberFormat="1" applyFont="1" applyFill="1" applyBorder="1" applyAlignment="1">
      <alignment vertical="center"/>
    </xf>
    <xf numFmtId="182" fontId="1" fillId="16" borderId="1" xfId="3" applyNumberFormat="1" applyFont="1" applyFill="1" applyBorder="1" applyAlignment="1">
      <alignment vertical="center"/>
    </xf>
    <xf numFmtId="182" fontId="1" fillId="4" borderId="1" xfId="3" applyNumberFormat="1" applyFont="1" applyFill="1" applyBorder="1" applyAlignment="1">
      <alignment vertical="center"/>
    </xf>
    <xf numFmtId="182" fontId="1" fillId="5" borderId="1" xfId="3" applyNumberFormat="1" applyFont="1" applyFill="1" applyBorder="1" applyAlignment="1">
      <alignment vertical="center"/>
    </xf>
    <xf numFmtId="0" fontId="11" fillId="18" borderId="0" xfId="5" applyFont="1" applyFill="1" applyAlignment="1">
      <alignment vertical="center"/>
    </xf>
    <xf numFmtId="182" fontId="1" fillId="18" borderId="0" xfId="3" applyNumberFormat="1" applyFont="1" applyFill="1" applyBorder="1" applyAlignment="1">
      <alignment vertical="center"/>
    </xf>
    <xf numFmtId="178" fontId="1" fillId="18" borderId="0" xfId="6" applyNumberFormat="1" applyFont="1" applyFill="1" applyAlignment="1">
      <alignment vertical="center"/>
    </xf>
    <xf numFmtId="0" fontId="16" fillId="18" borderId="0" xfId="5" applyFont="1" applyFill="1" applyAlignment="1">
      <alignment vertical="center"/>
    </xf>
    <xf numFmtId="0" fontId="28" fillId="18" borderId="0" xfId="5" applyFont="1" applyFill="1" applyAlignment="1">
      <alignment vertical="center"/>
    </xf>
    <xf numFmtId="0" fontId="27" fillId="0" borderId="0" xfId="5" applyFont="1" applyAlignment="1">
      <alignment vertical="center"/>
    </xf>
    <xf numFmtId="0" fontId="27" fillId="0" borderId="0" xfId="5" applyFont="1" applyFill="1" applyAlignment="1">
      <alignment vertical="center"/>
    </xf>
    <xf numFmtId="0" fontId="27" fillId="0" borderId="0" xfId="5" applyFont="1" applyAlignment="1">
      <alignment vertical="center" wrapText="1"/>
    </xf>
    <xf numFmtId="0" fontId="15" fillId="0" borderId="0" xfId="5" applyFont="1" applyAlignment="1">
      <alignment horizontal="left" vertical="center" wrapText="1"/>
    </xf>
    <xf numFmtId="181" fontId="4" fillId="19" borderId="1" xfId="5" applyNumberFormat="1" applyFont="1" applyFill="1" applyBorder="1" applyAlignment="1">
      <alignment horizontal="center" vertical="center"/>
    </xf>
    <xf numFmtId="0" fontId="1" fillId="2" borderId="2" xfId="5" applyFont="1" applyFill="1" applyBorder="1" applyAlignment="1">
      <alignment vertical="center" wrapText="1"/>
    </xf>
    <xf numFmtId="178" fontId="1" fillId="5" borderId="1" xfId="3" applyNumberFormat="1" applyFont="1" applyFill="1" applyBorder="1" applyAlignment="1">
      <alignment vertical="center"/>
    </xf>
    <xf numFmtId="178" fontId="1" fillId="16" borderId="1" xfId="3" applyNumberFormat="1" applyFont="1" applyFill="1" applyBorder="1" applyAlignment="1">
      <alignment vertical="center"/>
    </xf>
    <xf numFmtId="178" fontId="3" fillId="2" borderId="1" xfId="3" applyNumberFormat="1" applyFont="1" applyFill="1" applyBorder="1" applyAlignment="1">
      <alignment vertical="center"/>
    </xf>
    <xf numFmtId="178" fontId="3" fillId="16" borderId="1" xfId="3" applyNumberFormat="1" applyFont="1" applyFill="1" applyBorder="1" applyAlignment="1">
      <alignment vertical="center"/>
    </xf>
    <xf numFmtId="178" fontId="1" fillId="4" borderId="1" xfId="3" applyNumberFormat="1" applyFont="1" applyFill="1" applyBorder="1" applyAlignment="1">
      <alignment vertical="center"/>
    </xf>
    <xf numFmtId="178" fontId="1" fillId="0" borderId="0" xfId="5" applyNumberFormat="1" applyFont="1" applyAlignment="1">
      <alignment vertical="center"/>
    </xf>
    <xf numFmtId="0" fontId="1" fillId="18" borderId="0" xfId="5" applyFont="1" applyFill="1" applyBorder="1" applyAlignment="1">
      <alignment horizontal="center" vertical="center" wrapText="1"/>
    </xf>
    <xf numFmtId="0" fontId="1" fillId="18" borderId="0" xfId="5" applyNumberFormat="1" applyFont="1" applyFill="1" applyBorder="1" applyAlignment="1">
      <alignment horizontal="left" vertical="center"/>
    </xf>
    <xf numFmtId="178" fontId="1" fillId="18" borderId="0" xfId="3" applyNumberFormat="1" applyFont="1" applyFill="1" applyBorder="1" applyAlignment="1">
      <alignment vertical="center"/>
    </xf>
    <xf numFmtId="178" fontId="1" fillId="18" borderId="0" xfId="5" applyNumberFormat="1" applyFont="1" applyFill="1" applyAlignment="1">
      <alignment vertical="center"/>
    </xf>
    <xf numFmtId="0" fontId="29" fillId="0" borderId="0" xfId="5" applyFont="1" applyAlignment="1">
      <alignment vertical="center"/>
    </xf>
    <xf numFmtId="0" fontId="4" fillId="15" borderId="1" xfId="5" applyFont="1" applyFill="1" applyBorder="1" applyAlignment="1">
      <alignment horizontal="center" vertical="center"/>
    </xf>
    <xf numFmtId="0" fontId="4" fillId="15" borderId="1" xfId="5" applyFont="1" applyFill="1" applyBorder="1" applyAlignment="1">
      <alignment horizontal="center" vertical="center" wrapText="1"/>
    </xf>
    <xf numFmtId="178" fontId="1" fillId="3" borderId="1" xfId="6" applyNumberFormat="1" applyFont="1" applyFill="1" applyBorder="1" applyAlignment="1">
      <alignment vertical="center"/>
    </xf>
    <xf numFmtId="178" fontId="18" fillId="3" borderId="1" xfId="6" applyNumberFormat="1" applyFont="1" applyFill="1" applyBorder="1" applyAlignment="1">
      <alignment vertical="center"/>
    </xf>
    <xf numFmtId="178" fontId="1" fillId="3" borderId="0" xfId="5" applyNumberFormat="1" applyFont="1" applyFill="1" applyAlignment="1">
      <alignment vertical="center"/>
    </xf>
    <xf numFmtId="0" fontId="1" fillId="3" borderId="0" xfId="5" applyFont="1" applyFill="1" applyAlignment="1">
      <alignment vertical="center"/>
    </xf>
    <xf numFmtId="178" fontId="4" fillId="16" borderId="1" xfId="6" applyNumberFormat="1" applyFont="1" applyFill="1" applyBorder="1" applyAlignment="1">
      <alignment vertical="center"/>
    </xf>
    <xf numFmtId="0" fontId="1" fillId="20" borderId="0" xfId="5" applyNumberFormat="1" applyFont="1" applyFill="1" applyAlignment="1">
      <alignment horizontal="center" vertical="center"/>
    </xf>
    <xf numFmtId="0" fontId="19" fillId="20" borderId="0" xfId="5" applyNumberFormat="1" applyFont="1" applyFill="1" applyAlignment="1">
      <alignment horizontal="center" vertical="center"/>
    </xf>
    <xf numFmtId="0" fontId="1" fillId="20" borderId="0" xfId="5" applyNumberFormat="1" applyFont="1" applyFill="1" applyBorder="1" applyAlignment="1">
      <alignment horizontal="center" vertical="center"/>
    </xf>
    <xf numFmtId="0" fontId="11" fillId="20" borderId="0" xfId="5" applyNumberFormat="1" applyFont="1" applyFill="1" applyAlignment="1">
      <alignment horizontal="center" vertical="center"/>
    </xf>
    <xf numFmtId="0" fontId="27" fillId="20" borderId="0" xfId="5" applyNumberFormat="1" applyFont="1" applyFill="1" applyAlignment="1">
      <alignment horizontal="center" vertical="center"/>
    </xf>
    <xf numFmtId="0" fontId="0" fillId="2" borderId="1" xfId="5" applyFont="1" applyFill="1" applyBorder="1" applyAlignment="1">
      <alignment horizontal="left" vertical="center"/>
    </xf>
    <xf numFmtId="0" fontId="3" fillId="20" borderId="0" xfId="5" applyNumberFormat="1" applyFont="1" applyFill="1" applyAlignment="1">
      <alignment horizontal="center" vertical="center"/>
    </xf>
    <xf numFmtId="176" fontId="4" fillId="16" borderId="1" xfId="3" applyNumberFormat="1" applyFont="1" applyFill="1" applyBorder="1" applyAlignment="1">
      <alignment vertical="center" wrapText="1"/>
    </xf>
    <xf numFmtId="178" fontId="0" fillId="3" borderId="1" xfId="5" applyNumberFormat="1" applyFont="1" applyFill="1" applyBorder="1" applyAlignment="1">
      <alignment vertical="center" wrapText="1"/>
    </xf>
    <xf numFmtId="176" fontId="3" fillId="16" borderId="1" xfId="3" applyNumberFormat="1" applyFont="1" applyFill="1" applyBorder="1" applyAlignment="1">
      <alignment vertical="center"/>
    </xf>
    <xf numFmtId="0" fontId="3" fillId="3" borderId="1" xfId="5" applyFont="1" applyFill="1" applyBorder="1" applyAlignment="1">
      <alignment vertical="center" wrapText="1"/>
    </xf>
    <xf numFmtId="178" fontId="4" fillId="3" borderId="1" xfId="6" applyNumberFormat="1" applyFont="1" applyFill="1" applyBorder="1" applyAlignment="1">
      <alignment vertical="center"/>
    </xf>
    <xf numFmtId="0" fontId="3" fillId="3" borderId="0" xfId="5" applyFont="1" applyFill="1" applyAlignment="1">
      <alignment vertical="center"/>
    </xf>
    <xf numFmtId="0" fontId="3" fillId="2" borderId="1" xfId="5" applyFont="1" applyFill="1" applyBorder="1" applyAlignment="1">
      <alignment horizontal="left" vertical="center"/>
    </xf>
    <xf numFmtId="178" fontId="3" fillId="3" borderId="1" xfId="2" applyNumberFormat="1" applyFont="1" applyFill="1" applyBorder="1" applyAlignment="1">
      <alignment vertical="center" wrapText="1"/>
    </xf>
    <xf numFmtId="178" fontId="3" fillId="3" borderId="0" xfId="5" applyNumberFormat="1" applyFont="1" applyFill="1" applyAlignment="1">
      <alignment vertical="center"/>
    </xf>
    <xf numFmtId="178" fontId="18" fillId="4" borderId="1" xfId="6" applyNumberFormat="1" applyFont="1" applyFill="1" applyBorder="1" applyAlignment="1">
      <alignment vertical="center"/>
    </xf>
    <xf numFmtId="0" fontId="1" fillId="4" borderId="0" xfId="5" applyFont="1" applyFill="1" applyAlignment="1">
      <alignment vertical="center"/>
    </xf>
    <xf numFmtId="0" fontId="3" fillId="21" borderId="1" xfId="5" applyFont="1" applyFill="1" applyBorder="1" applyAlignment="1">
      <alignment vertical="center" wrapText="1"/>
    </xf>
    <xf numFmtId="176" fontId="3" fillId="21" borderId="1" xfId="3" applyNumberFormat="1" applyFont="1" applyFill="1" applyBorder="1" applyAlignment="1">
      <alignment vertical="center" wrapText="1"/>
    </xf>
    <xf numFmtId="178" fontId="18" fillId="21" borderId="1" xfId="6" applyNumberFormat="1" applyFont="1" applyFill="1" applyBorder="1" applyAlignment="1">
      <alignment vertical="center"/>
    </xf>
    <xf numFmtId="0" fontId="3" fillId="21" borderId="0" xfId="5" applyFont="1" applyFill="1" applyAlignment="1">
      <alignment vertical="center"/>
    </xf>
    <xf numFmtId="0" fontId="3" fillId="3" borderId="1" xfId="5" applyNumberFormat="1" applyFont="1" applyFill="1" applyBorder="1" applyAlignment="1">
      <alignment horizontal="left" vertical="center"/>
    </xf>
    <xf numFmtId="178" fontId="3" fillId="3" borderId="1" xfId="6" applyNumberFormat="1" applyFont="1" applyFill="1" applyBorder="1" applyAlignment="1">
      <alignment vertical="center"/>
    </xf>
    <xf numFmtId="0" fontId="1" fillId="3" borderId="1" xfId="5" applyNumberFormat="1" applyFont="1" applyFill="1" applyBorder="1" applyAlignment="1">
      <alignment horizontal="left" vertical="center"/>
    </xf>
    <xf numFmtId="183" fontId="1" fillId="5" borderId="1" xfId="3" applyNumberFormat="1" applyFont="1" applyFill="1" applyBorder="1" applyAlignment="1">
      <alignment vertical="center"/>
    </xf>
    <xf numFmtId="183" fontId="1" fillId="16" borderId="1" xfId="3" applyNumberFormat="1" applyFont="1" applyFill="1" applyBorder="1" applyAlignment="1">
      <alignment vertical="center"/>
    </xf>
    <xf numFmtId="183" fontId="1" fillId="4" borderId="1" xfId="3" applyNumberFormat="1" applyFont="1" applyFill="1" applyBorder="1" applyAlignment="1">
      <alignment vertical="center"/>
    </xf>
    <xf numFmtId="0" fontId="1" fillId="0" borderId="1" xfId="5" applyNumberFormat="1" applyFont="1" applyFill="1" applyBorder="1" applyAlignment="1">
      <alignment horizontal="left" vertical="center"/>
    </xf>
    <xf numFmtId="178" fontId="1" fillId="0" borderId="1" xfId="3" applyNumberFormat="1" applyFont="1" applyFill="1" applyBorder="1" applyAlignment="1">
      <alignment vertical="center"/>
    </xf>
    <xf numFmtId="0" fontId="19" fillId="15" borderId="0" xfId="5" applyFont="1" applyFill="1" applyAlignment="1">
      <alignment vertical="center"/>
    </xf>
    <xf numFmtId="0" fontId="30" fillId="0" borderId="0" xfId="5" applyFont="1" applyAlignment="1">
      <alignment horizontal="left" vertical="center" readingOrder="1"/>
    </xf>
    <xf numFmtId="0" fontId="3" fillId="0" borderId="0" xfId="5" applyFont="1"/>
    <xf numFmtId="0" fontId="1" fillId="0" borderId="0" xfId="5" applyFont="1" applyFill="1" applyBorder="1" applyAlignment="1">
      <alignment horizontal="center" vertical="center" wrapText="1"/>
    </xf>
    <xf numFmtId="0" fontId="1" fillId="0" borderId="0" xfId="5" applyNumberFormat="1" applyFont="1" applyFill="1" applyBorder="1" applyAlignment="1">
      <alignment horizontal="left" vertical="center"/>
    </xf>
    <xf numFmtId="184" fontId="1" fillId="0" borderId="0" xfId="3" applyNumberFormat="1" applyFont="1" applyFill="1" applyBorder="1" applyAlignment="1">
      <alignment vertical="center"/>
    </xf>
    <xf numFmtId="178" fontId="1" fillId="0" borderId="0" xfId="6" applyNumberFormat="1" applyFont="1" applyFill="1">
      <alignment vertical="center"/>
    </xf>
    <xf numFmtId="0" fontId="3" fillId="20" borderId="0" xfId="5" applyFont="1" applyFill="1" applyAlignment="1">
      <alignment vertical="center"/>
    </xf>
    <xf numFmtId="0" fontId="1" fillId="20" borderId="0" xfId="5" applyFont="1" applyFill="1" applyAlignment="1">
      <alignment vertical="center"/>
    </xf>
    <xf numFmtId="0" fontId="16" fillId="15" borderId="0" xfId="5" applyFont="1" applyFill="1" applyAlignment="1">
      <alignment vertical="center"/>
    </xf>
    <xf numFmtId="0" fontId="1" fillId="15" borderId="0" xfId="5" applyFont="1" applyFill="1"/>
    <xf numFmtId="0" fontId="1" fillId="0" borderId="0" xfId="5" applyFont="1"/>
    <xf numFmtId="178" fontId="3" fillId="2" borderId="1" xfId="3" applyNumberFormat="1" applyFont="1" applyFill="1" applyBorder="1" applyAlignment="1"/>
    <xf numFmtId="178" fontId="3" fillId="16" borderId="1" xfId="3" applyNumberFormat="1" applyFont="1" applyFill="1" applyBorder="1" applyAlignment="1"/>
    <xf numFmtId="178" fontId="1" fillId="16" borderId="1" xfId="3" applyNumberFormat="1" applyFont="1" applyFill="1" applyBorder="1" applyAlignment="1"/>
    <xf numFmtId="178" fontId="1" fillId="4" borderId="1" xfId="3" applyNumberFormat="1" applyFont="1" applyFill="1" applyBorder="1" applyAlignment="1"/>
    <xf numFmtId="178" fontId="14" fillId="16" borderId="1" xfId="3" applyNumberFormat="1" applyFont="1" applyFill="1" applyBorder="1" applyAlignment="1"/>
    <xf numFmtId="178" fontId="1" fillId="5" borderId="1" xfId="3" applyNumberFormat="1" applyFont="1" applyFill="1" applyBorder="1" applyAlignment="1"/>
    <xf numFmtId="178" fontId="1" fillId="0" borderId="0" xfId="3" applyNumberFormat="1" applyFont="1" applyFill="1" applyBorder="1" applyAlignment="1">
      <alignment vertical="center"/>
    </xf>
    <xf numFmtId="0" fontId="31" fillId="0" borderId="0" xfId="5" applyFont="1" applyAlignment="1">
      <alignment horizontal="left" vertical="center" readingOrder="1"/>
    </xf>
    <xf numFmtId="0" fontId="16" fillId="0" borderId="0" xfId="5" applyFont="1"/>
    <xf numFmtId="0" fontId="3" fillId="0" borderId="0" xfId="5" applyFont="1" applyFill="1" applyBorder="1" applyAlignment="1">
      <alignment horizontal="center" vertical="center" wrapText="1"/>
    </xf>
    <xf numFmtId="185" fontId="1" fillId="0" borderId="0" xfId="3" applyNumberFormat="1" applyFont="1" applyFill="1" applyBorder="1" applyAlignment="1"/>
    <xf numFmtId="9" fontId="1" fillId="0" borderId="0" xfId="3" applyNumberFormat="1" applyFont="1" applyFill="1" applyBorder="1" applyAlignment="1"/>
    <xf numFmtId="0" fontId="1" fillId="0" borderId="0" xfId="5" applyFont="1" applyFill="1"/>
    <xf numFmtId="0" fontId="3" fillId="15" borderId="1" xfId="5" applyFont="1" applyFill="1" applyBorder="1"/>
    <xf numFmtId="0" fontId="3" fillId="15" borderId="1" xfId="5" applyFont="1" applyFill="1" applyBorder="1" applyAlignment="1">
      <alignment horizontal="center"/>
    </xf>
    <xf numFmtId="0" fontId="1" fillId="0" borderId="1" xfId="5" applyFont="1" applyBorder="1"/>
    <xf numFmtId="185" fontId="1" fillId="16" borderId="1" xfId="3" applyNumberFormat="1" applyFont="1" applyFill="1" applyBorder="1" applyAlignment="1"/>
    <xf numFmtId="185" fontId="1" fillId="0" borderId="1" xfId="5" applyNumberFormat="1" applyFont="1" applyBorder="1"/>
    <xf numFmtId="178" fontId="1" fillId="16" borderId="0" xfId="6" applyNumberFormat="1" applyFont="1" applyFill="1" applyAlignment="1"/>
    <xf numFmtId="178" fontId="1" fillId="0" borderId="0" xfId="6" applyNumberFormat="1" applyFont="1" applyAlignment="1"/>
    <xf numFmtId="178" fontId="1" fillId="5" borderId="1" xfId="6" applyNumberFormat="1" applyFont="1" applyFill="1" applyBorder="1" applyAlignment="1">
      <alignment vertical="center"/>
    </xf>
    <xf numFmtId="180" fontId="1" fillId="5" borderId="1" xfId="3" applyNumberFormat="1" applyFont="1" applyFill="1" applyBorder="1" applyAlignment="1"/>
    <xf numFmtId="178" fontId="1" fillId="5" borderId="1" xfId="6" applyNumberFormat="1" applyFont="1" applyFill="1" applyBorder="1" applyAlignment="1"/>
    <xf numFmtId="0" fontId="1" fillId="0" borderId="0" xfId="5" applyFont="1" applyFill="1" applyBorder="1" applyAlignment="1">
      <alignment horizontal="center" vertical="center"/>
    </xf>
    <xf numFmtId="178" fontId="1" fillId="0" borderId="0" xfId="6" applyNumberFormat="1" applyFont="1" applyFill="1" applyBorder="1" applyAlignment="1">
      <alignment vertical="center"/>
    </xf>
    <xf numFmtId="0" fontId="32" fillId="0" borderId="0" xfId="5" applyFont="1"/>
    <xf numFmtId="0" fontId="3" fillId="22" borderId="1" xfId="5" applyFont="1" applyFill="1" applyBorder="1" applyAlignment="1">
      <alignment horizontal="center"/>
    </xf>
    <xf numFmtId="186" fontId="1" fillId="0" borderId="1" xfId="5" applyNumberFormat="1" applyFont="1" applyBorder="1" applyAlignment="1">
      <alignment horizontal="center" vertical="center"/>
    </xf>
    <xf numFmtId="185" fontId="1" fillId="0" borderId="1" xfId="3" applyNumberFormat="1" applyFont="1" applyBorder="1" applyAlignment="1"/>
    <xf numFmtId="185" fontId="3" fillId="0" borderId="1" xfId="3" applyNumberFormat="1" applyFont="1" applyBorder="1" applyAlignment="1"/>
    <xf numFmtId="186" fontId="1" fillId="4" borderId="1" xfId="5" applyNumberFormat="1" applyFont="1" applyFill="1" applyBorder="1" applyAlignment="1">
      <alignment horizontal="center" vertical="center"/>
    </xf>
    <xf numFmtId="178" fontId="1" fillId="4" borderId="1" xfId="6" applyNumberFormat="1" applyFont="1" applyFill="1" applyBorder="1" applyAlignment="1"/>
    <xf numFmtId="178" fontId="1" fillId="0" borderId="1" xfId="6" applyNumberFormat="1" applyFont="1" applyBorder="1" applyAlignment="1"/>
    <xf numFmtId="9" fontId="1" fillId="0" borderId="1" xfId="6" applyFont="1" applyBorder="1" applyAlignment="1"/>
    <xf numFmtId="178" fontId="1" fillId="0" borderId="0" xfId="5" applyNumberFormat="1" applyFont="1"/>
    <xf numFmtId="0" fontId="4" fillId="22" borderId="1" xfId="5" applyFont="1" applyFill="1" applyBorder="1" applyAlignment="1">
      <alignment horizontal="center"/>
    </xf>
    <xf numFmtId="185" fontId="3" fillId="0" borderId="0" xfId="3" applyNumberFormat="1" applyFont="1" applyBorder="1" applyAlignment="1"/>
    <xf numFmtId="0" fontId="1" fillId="0" borderId="0" xfId="5" applyFont="1" applyBorder="1"/>
    <xf numFmtId="0" fontId="19" fillId="15" borderId="0" xfId="5" applyFont="1" applyFill="1"/>
    <xf numFmtId="0" fontId="19" fillId="0" borderId="0" xfId="5" applyFont="1"/>
    <xf numFmtId="0" fontId="25" fillId="0" borderId="0" xfId="5" applyFont="1"/>
    <xf numFmtId="0" fontId="4" fillId="23" borderId="1" xfId="5" applyFont="1" applyFill="1" applyBorder="1" applyAlignment="1">
      <alignment horizontal="center"/>
    </xf>
    <xf numFmtId="185" fontId="1" fillId="0" borderId="1" xfId="6" applyNumberFormat="1" applyFont="1" applyBorder="1" applyAlignment="1"/>
    <xf numFmtId="178" fontId="1" fillId="3" borderId="1" xfId="3" applyNumberFormat="1" applyFont="1" applyFill="1" applyBorder="1" applyAlignment="1">
      <alignment vertical="center"/>
    </xf>
    <xf numFmtId="187" fontId="3" fillId="2" borderId="1" xfId="5" applyNumberFormat="1" applyFont="1" applyFill="1" applyBorder="1" applyAlignment="1">
      <alignment horizontal="right" vertical="center"/>
    </xf>
    <xf numFmtId="187" fontId="1" fillId="4" borderId="1" xfId="5" applyNumberFormat="1" applyFont="1" applyFill="1" applyBorder="1" applyAlignment="1">
      <alignment horizontal="right" vertical="center"/>
    </xf>
    <xf numFmtId="187" fontId="1" fillId="5" borderId="1" xfId="5" applyNumberFormat="1" applyFont="1" applyFill="1" applyBorder="1" applyAlignment="1">
      <alignment horizontal="right" vertical="center"/>
    </xf>
    <xf numFmtId="187" fontId="1" fillId="4" borderId="4" xfId="5" applyNumberFormat="1" applyFont="1" applyFill="1" applyBorder="1" applyAlignment="1">
      <alignment horizontal="right" vertical="center"/>
    </xf>
    <xf numFmtId="0" fontId="1" fillId="20" borderId="0" xfId="5" applyNumberFormat="1" applyFont="1" applyFill="1" applyAlignment="1">
      <alignment horizontal="right" vertical="center"/>
    </xf>
    <xf numFmtId="176" fontId="3" fillId="2" borderId="1" xfId="3" applyNumberFormat="1" applyFont="1" applyFill="1" applyBorder="1" applyAlignment="1"/>
    <xf numFmtId="176" fontId="1" fillId="4" borderId="1" xfId="3" applyNumberFormat="1" applyFont="1" applyFill="1" applyBorder="1" applyAlignment="1"/>
    <xf numFmtId="176" fontId="1" fillId="5" borderId="1" xfId="3" applyNumberFormat="1" applyFont="1" applyFill="1" applyBorder="1" applyAlignment="1"/>
    <xf numFmtId="0" fontId="1" fillId="0" borderId="0" xfId="5" applyFont="1" applyFill="1" applyAlignment="1"/>
    <xf numFmtId="176" fontId="3" fillId="2" borderId="1" xfId="5" applyNumberFormat="1" applyFont="1" applyFill="1" applyBorder="1" applyAlignment="1">
      <alignment horizontal="left" vertical="center"/>
    </xf>
    <xf numFmtId="176" fontId="1" fillId="5" borderId="1" xfId="5" applyNumberFormat="1" applyFont="1" applyFill="1" applyBorder="1" applyAlignment="1">
      <alignment horizontal="left" vertical="center"/>
    </xf>
    <xf numFmtId="0" fontId="1" fillId="5" borderId="1" xfId="5" applyFont="1" applyFill="1" applyBorder="1" applyAlignment="1">
      <alignment horizontal="left" vertical="center"/>
    </xf>
    <xf numFmtId="178" fontId="3" fillId="3" borderId="1" xfId="6" applyNumberFormat="1" applyFont="1" applyFill="1" applyBorder="1" applyAlignment="1">
      <alignment horizontal="left" vertical="center"/>
    </xf>
    <xf numFmtId="178" fontId="3" fillId="3" borderId="1" xfId="6" applyNumberFormat="1" applyFont="1" applyFill="1" applyBorder="1" applyAlignment="1"/>
    <xf numFmtId="178" fontId="1" fillId="0" borderId="0" xfId="6" applyNumberFormat="1" applyFont="1" applyFill="1" applyAlignment="1"/>
    <xf numFmtId="178" fontId="1" fillId="3" borderId="1" xfId="6" applyNumberFormat="1" applyFont="1" applyFill="1" applyBorder="1" applyAlignment="1">
      <alignment horizontal="left" vertical="center"/>
    </xf>
    <xf numFmtId="178" fontId="1" fillId="3" borderId="1" xfId="6" applyNumberFormat="1" applyFont="1" applyFill="1" applyBorder="1" applyAlignment="1"/>
    <xf numFmtId="176" fontId="1" fillId="4" borderId="1" xfId="5" applyNumberFormat="1" applyFont="1" applyFill="1" applyBorder="1" applyAlignment="1">
      <alignment horizontal="left" vertical="center"/>
    </xf>
    <xf numFmtId="176" fontId="1" fillId="4" borderId="1" xfId="5" applyNumberFormat="1" applyFont="1" applyFill="1" applyBorder="1" applyAlignment="1">
      <alignment horizontal="right" vertical="center"/>
    </xf>
    <xf numFmtId="176" fontId="1" fillId="5" borderId="1" xfId="5" applyNumberFormat="1" applyFont="1" applyFill="1" applyBorder="1" applyAlignment="1">
      <alignment horizontal="right" vertical="center"/>
    </xf>
    <xf numFmtId="178" fontId="1" fillId="15" borderId="0" xfId="6" applyNumberFormat="1" applyFont="1" applyFill="1">
      <alignment vertical="center"/>
    </xf>
    <xf numFmtId="180" fontId="1" fillId="0" borderId="0" xfId="5" applyNumberFormat="1" applyFont="1" applyAlignment="1">
      <alignment vertical="center"/>
    </xf>
    <xf numFmtId="180" fontId="1" fillId="16" borderId="0" xfId="5" applyNumberFormat="1" applyFont="1" applyFill="1" applyAlignment="1">
      <alignment vertical="center"/>
    </xf>
    <xf numFmtId="178" fontId="1" fillId="16" borderId="0" xfId="6" applyNumberFormat="1" applyFont="1" applyFill="1">
      <alignment vertical="center"/>
    </xf>
    <xf numFmtId="178" fontId="1" fillId="16" borderId="0" xfId="5" applyNumberFormat="1" applyFont="1" applyFill="1" applyAlignment="1">
      <alignment vertical="center"/>
    </xf>
    <xf numFmtId="178" fontId="17" fillId="19" borderId="1" xfId="6" applyNumberFormat="1" applyFont="1" applyFill="1" applyBorder="1" applyAlignment="1">
      <alignment horizontal="center" vertical="center"/>
    </xf>
    <xf numFmtId="0" fontId="3" fillId="0" borderId="1" xfId="5" applyNumberFormat="1" applyFont="1" applyFill="1" applyBorder="1" applyAlignment="1">
      <alignment horizontal="left" vertical="center"/>
    </xf>
    <xf numFmtId="180" fontId="3" fillId="0" borderId="1" xfId="3" applyNumberFormat="1" applyFont="1" applyFill="1" applyBorder="1" applyAlignment="1">
      <alignment vertical="center"/>
    </xf>
    <xf numFmtId="180" fontId="3" fillId="16" borderId="1" xfId="3" applyNumberFormat="1" applyFont="1" applyFill="1" applyBorder="1" applyAlignment="1">
      <alignment vertical="center"/>
    </xf>
    <xf numFmtId="0" fontId="3" fillId="5" borderId="1" xfId="5" applyNumberFormat="1" applyFont="1" applyFill="1" applyBorder="1" applyAlignment="1">
      <alignment horizontal="left" vertical="center"/>
    </xf>
    <xf numFmtId="180" fontId="1" fillId="16" borderId="1" xfId="3" applyNumberFormat="1" applyFont="1" applyFill="1" applyBorder="1" applyAlignment="1">
      <alignment vertical="center"/>
    </xf>
    <xf numFmtId="180" fontId="1" fillId="5" borderId="1" xfId="3" applyNumberFormat="1" applyFont="1" applyFill="1" applyBorder="1" applyAlignment="1">
      <alignment vertical="center"/>
    </xf>
    <xf numFmtId="178" fontId="1" fillId="0" borderId="1" xfId="6" applyNumberFormat="1" applyFont="1" applyFill="1" applyBorder="1" applyAlignment="1">
      <alignment vertical="center"/>
    </xf>
    <xf numFmtId="180" fontId="19" fillId="18" borderId="0" xfId="5" applyNumberFormat="1" applyFont="1" applyFill="1" applyAlignment="1">
      <alignment vertical="center"/>
    </xf>
    <xf numFmtId="178" fontId="19" fillId="18" borderId="0" xfId="6" applyNumberFormat="1" applyFont="1" applyFill="1">
      <alignment vertical="center"/>
    </xf>
    <xf numFmtId="178" fontId="19" fillId="18" borderId="0" xfId="5" applyNumberFormat="1" applyFont="1" applyFill="1" applyAlignment="1">
      <alignment vertical="center"/>
    </xf>
    <xf numFmtId="185" fontId="1" fillId="0" borderId="0" xfId="5" applyNumberFormat="1" applyFont="1" applyAlignment="1">
      <alignment vertical="center"/>
    </xf>
    <xf numFmtId="178" fontId="1" fillId="0" borderId="0" xfId="6" applyNumberFormat="1" applyFont="1">
      <alignment vertical="center"/>
    </xf>
    <xf numFmtId="0" fontId="22" fillId="0" borderId="0" xfId="5" applyFont="1"/>
    <xf numFmtId="0" fontId="23" fillId="0" borderId="0" xfId="5" applyFont="1"/>
    <xf numFmtId="0" fontId="3" fillId="0" borderId="1" xfId="5" applyNumberFormat="1" applyFont="1" applyFill="1" applyBorder="1" applyAlignment="1">
      <alignment vertical="center"/>
    </xf>
    <xf numFmtId="0" fontId="3" fillId="5" borderId="1" xfId="5" applyNumberFormat="1" applyFont="1" applyFill="1" applyBorder="1" applyAlignment="1">
      <alignment vertical="center"/>
    </xf>
    <xf numFmtId="185" fontId="1" fillId="16" borderId="1" xfId="3" applyNumberFormat="1" applyFont="1" applyFill="1" applyBorder="1" applyAlignment="1">
      <alignment vertical="center"/>
    </xf>
    <xf numFmtId="185" fontId="1" fillId="5" borderId="1" xfId="3" applyNumberFormat="1" applyFont="1" applyFill="1" applyBorder="1" applyAlignment="1">
      <alignment vertical="center"/>
    </xf>
    <xf numFmtId="185" fontId="1" fillId="16" borderId="0" xfId="5" applyNumberFormat="1" applyFont="1" applyFill="1" applyAlignment="1">
      <alignment vertical="center"/>
    </xf>
    <xf numFmtId="176" fontId="1" fillId="16" borderId="0" xfId="5" applyNumberFormat="1" applyFont="1" applyFill="1" applyAlignment="1">
      <alignment vertical="center"/>
    </xf>
    <xf numFmtId="178" fontId="1" fillId="16" borderId="0" xfId="6" applyNumberFormat="1" applyFont="1" applyFill="1" applyAlignment="1">
      <alignment vertical="center"/>
    </xf>
    <xf numFmtId="0" fontId="1" fillId="0" borderId="1" xfId="5" applyNumberFormat="1" applyFont="1" applyFill="1" applyBorder="1" applyAlignment="1">
      <alignment vertical="center"/>
    </xf>
    <xf numFmtId="180" fontId="1" fillId="4" borderId="1" xfId="3" applyNumberFormat="1" applyFont="1" applyFill="1" applyBorder="1" applyAlignment="1">
      <alignment vertical="center"/>
    </xf>
    <xf numFmtId="180" fontId="1" fillId="4" borderId="0" xfId="5" applyNumberFormat="1" applyFont="1" applyFill="1" applyAlignment="1">
      <alignment vertical="center"/>
    </xf>
    <xf numFmtId="180" fontId="14" fillId="16" borderId="1" xfId="3" applyNumberFormat="1" applyFont="1" applyFill="1" applyBorder="1" applyAlignment="1">
      <alignment vertical="center"/>
    </xf>
    <xf numFmtId="178" fontId="14" fillId="16" borderId="0" xfId="6" applyNumberFormat="1" applyFont="1" applyFill="1">
      <alignment vertical="center"/>
    </xf>
    <xf numFmtId="0" fontId="16" fillId="6" borderId="0" xfId="5" applyFont="1" applyFill="1" applyAlignment="1">
      <alignment vertical="center"/>
    </xf>
    <xf numFmtId="0" fontId="1" fillId="6" borderId="0" xfId="5" applyFont="1" applyFill="1" applyAlignment="1">
      <alignment vertical="center"/>
    </xf>
    <xf numFmtId="0" fontId="3" fillId="6" borderId="1" xfId="5" applyNumberFormat="1" applyFont="1" applyFill="1" applyBorder="1" applyAlignment="1">
      <alignment horizontal="left" vertical="center"/>
    </xf>
    <xf numFmtId="180" fontId="3" fillId="6" borderId="1" xfId="3" applyNumberFormat="1" applyFont="1" applyFill="1" applyBorder="1" applyAlignment="1">
      <alignment vertical="center"/>
    </xf>
    <xf numFmtId="185" fontId="1" fillId="6" borderId="1" xfId="3" applyNumberFormat="1" applyFont="1" applyFill="1" applyBorder="1" applyAlignment="1">
      <alignment vertical="center"/>
    </xf>
    <xf numFmtId="180" fontId="1" fillId="6" borderId="1" xfId="3" applyNumberFormat="1" applyFont="1" applyFill="1" applyBorder="1" applyAlignment="1">
      <alignment vertical="center"/>
    </xf>
    <xf numFmtId="0" fontId="1" fillId="6" borderId="1" xfId="5" applyNumberFormat="1" applyFont="1" applyFill="1" applyBorder="1" applyAlignment="1">
      <alignment horizontal="left" vertical="center"/>
    </xf>
    <xf numFmtId="178" fontId="1" fillId="6" borderId="1" xfId="3" applyNumberFormat="1" applyFont="1" applyFill="1" applyBorder="1" applyAlignment="1">
      <alignment vertical="center"/>
    </xf>
    <xf numFmtId="180" fontId="1" fillId="6" borderId="0" xfId="5" applyNumberFormat="1" applyFont="1" applyFill="1" applyAlignment="1">
      <alignment vertical="center"/>
    </xf>
    <xf numFmtId="178" fontId="1" fillId="6" borderId="1" xfId="6" applyNumberFormat="1" applyFont="1" applyFill="1" applyBorder="1" applyAlignment="1">
      <alignment vertical="center"/>
    </xf>
    <xf numFmtId="178" fontId="1" fillId="6" borderId="0" xfId="6" applyNumberFormat="1" applyFont="1" applyFill="1">
      <alignment vertical="center"/>
    </xf>
    <xf numFmtId="0" fontId="3" fillId="6" borderId="0" xfId="5" applyFont="1" applyFill="1" applyAlignment="1">
      <alignment vertical="center"/>
    </xf>
    <xf numFmtId="0" fontId="22" fillId="6" borderId="0" xfId="5" applyFont="1" applyFill="1" applyAlignment="1">
      <alignment vertical="center"/>
    </xf>
    <xf numFmtId="0" fontId="16" fillId="0" borderId="0" xfId="5" applyFont="1" applyFill="1" applyBorder="1" applyAlignment="1">
      <alignment horizontal="left" vertical="center"/>
    </xf>
    <xf numFmtId="0" fontId="3" fillId="0" borderId="0" xfId="5" applyNumberFormat="1" applyFont="1" applyFill="1" applyBorder="1" applyAlignment="1">
      <alignment horizontal="center" vertical="center"/>
    </xf>
    <xf numFmtId="183" fontId="1" fillId="0" borderId="0" xfId="3" applyNumberFormat="1" applyFont="1" applyFill="1" applyBorder="1" applyAlignment="1">
      <alignment vertical="center"/>
    </xf>
    <xf numFmtId="180" fontId="3" fillId="5" borderId="1" xfId="3" applyNumberFormat="1" applyFont="1" applyFill="1" applyBorder="1" applyAlignment="1">
      <alignment vertical="center"/>
    </xf>
    <xf numFmtId="178" fontId="18" fillId="16" borderId="0" xfId="6" applyNumberFormat="1" applyFont="1" applyFill="1">
      <alignment vertical="center"/>
    </xf>
    <xf numFmtId="185" fontId="1" fillId="4" borderId="1" xfId="3" applyNumberFormat="1" applyFont="1" applyFill="1" applyBorder="1" applyAlignment="1">
      <alignment vertical="center"/>
    </xf>
    <xf numFmtId="185" fontId="1" fillId="0" borderId="0" xfId="3" applyNumberFormat="1" applyFont="1" applyFill="1" applyBorder="1" applyAlignment="1">
      <alignment vertical="center"/>
    </xf>
    <xf numFmtId="0" fontId="3" fillId="0" borderId="0" xfId="5" applyNumberFormat="1" applyFont="1" applyFill="1" applyBorder="1" applyAlignment="1">
      <alignment horizontal="left" vertical="center"/>
    </xf>
    <xf numFmtId="178" fontId="3" fillId="0" borderId="0" xfId="6" applyNumberFormat="1" applyFont="1" applyFill="1" applyBorder="1" applyAlignment="1">
      <alignment vertical="center"/>
    </xf>
    <xf numFmtId="176" fontId="3" fillId="5" borderId="1" xfId="3" applyNumberFormat="1" applyFont="1" applyFill="1" applyBorder="1" applyAlignment="1">
      <alignment vertical="center"/>
    </xf>
    <xf numFmtId="176" fontId="1" fillId="5" borderId="1" xfId="3" applyNumberFormat="1" applyFont="1" applyFill="1" applyBorder="1" applyAlignment="1">
      <alignment vertical="center"/>
    </xf>
    <xf numFmtId="178" fontId="3" fillId="0" borderId="1" xfId="6" applyNumberFormat="1" applyFont="1" applyBorder="1" applyAlignment="1"/>
    <xf numFmtId="183" fontId="17" fillId="16" borderId="1" xfId="3" applyNumberFormat="1" applyFont="1" applyFill="1" applyBorder="1" applyAlignment="1"/>
    <xf numFmtId="183" fontId="17" fillId="2" borderId="1" xfId="3" applyNumberFormat="1" applyFont="1" applyFill="1" applyBorder="1" applyAlignment="1"/>
    <xf numFmtId="183" fontId="12" fillId="16" borderId="1" xfId="3" applyNumberFormat="1" applyFont="1" applyFill="1" applyBorder="1" applyAlignment="1"/>
    <xf numFmtId="183" fontId="12" fillId="4" borderId="1" xfId="3" applyNumberFormat="1" applyFont="1" applyFill="1" applyBorder="1" applyAlignment="1"/>
    <xf numFmtId="178" fontId="12" fillId="5" borderId="1" xfId="3" applyNumberFormat="1" applyFont="1" applyFill="1" applyBorder="1" applyAlignment="1"/>
    <xf numFmtId="178" fontId="12" fillId="16" borderId="1" xfId="3" applyNumberFormat="1" applyFont="1" applyFill="1" applyBorder="1" applyAlignment="1"/>
    <xf numFmtId="178" fontId="1" fillId="0" borderId="1" xfId="6" applyNumberFormat="1" applyFont="1" applyBorder="1" applyAlignment="1">
      <alignment horizontal="right"/>
    </xf>
    <xf numFmtId="178" fontId="1" fillId="0" borderId="1" xfId="6" applyNumberFormat="1" applyFont="1" applyBorder="1" applyAlignment="1">
      <alignment horizontal="right" vertical="center"/>
    </xf>
    <xf numFmtId="183" fontId="1" fillId="0" borderId="1" xfId="4" applyNumberFormat="1" applyFont="1" applyBorder="1" applyAlignment="1">
      <alignment horizontal="right" vertical="center"/>
    </xf>
    <xf numFmtId="0" fontId="3" fillId="15" borderId="0" xfId="5" applyFont="1" applyFill="1" applyAlignment="1">
      <alignment horizontal="center"/>
    </xf>
    <xf numFmtId="176" fontId="1" fillId="0" borderId="1" xfId="5" applyNumberFormat="1" applyFont="1" applyBorder="1"/>
    <xf numFmtId="176" fontId="3" fillId="0" borderId="1" xfId="5" applyNumberFormat="1" applyFont="1" applyBorder="1"/>
    <xf numFmtId="0" fontId="19" fillId="0" borderId="0" xfId="5" applyFont="1" applyBorder="1"/>
    <xf numFmtId="176" fontId="19" fillId="0" borderId="0" xfId="5" applyNumberFormat="1" applyFont="1" applyBorder="1"/>
    <xf numFmtId="176" fontId="1" fillId="0" borderId="0" xfId="5" applyNumberFormat="1" applyFont="1" applyBorder="1"/>
    <xf numFmtId="0" fontId="3" fillId="15" borderId="1" xfId="5" applyFont="1" applyFill="1" applyBorder="1" applyAlignment="1">
      <alignment horizontal="center" vertical="center"/>
    </xf>
    <xf numFmtId="183" fontId="1" fillId="0" borderId="1" xfId="5" applyNumberFormat="1" applyFont="1" applyBorder="1"/>
    <xf numFmtId="178" fontId="1" fillId="0" borderId="1" xfId="5" applyNumberFormat="1" applyFont="1" applyBorder="1"/>
    <xf numFmtId="178" fontId="3" fillId="0" borderId="1" xfId="5" applyNumberFormat="1" applyFont="1" applyBorder="1"/>
    <xf numFmtId="1" fontId="1" fillId="15" borderId="0" xfId="5" applyNumberFormat="1" applyFont="1" applyFill="1"/>
    <xf numFmtId="178" fontId="3" fillId="0" borderId="0" xfId="5" applyNumberFormat="1" applyFont="1" applyBorder="1"/>
    <xf numFmtId="176" fontId="3" fillId="0" borderId="0" xfId="5" applyNumberFormat="1" applyFont="1" applyBorder="1"/>
    <xf numFmtId="0" fontId="12" fillId="15" borderId="0" xfId="5" applyFont="1" applyFill="1"/>
    <xf numFmtId="0" fontId="12" fillId="15" borderId="0" xfId="5" applyFont="1" applyFill="1" applyAlignment="1">
      <alignment vertical="center"/>
    </xf>
    <xf numFmtId="0" fontId="33" fillId="0" borderId="0" xfId="5" applyFont="1"/>
    <xf numFmtId="0" fontId="12" fillId="0" borderId="0" xfId="5" applyFont="1"/>
    <xf numFmtId="181" fontId="17" fillId="15" borderId="1" xfId="5" applyNumberFormat="1" applyFont="1" applyFill="1" applyBorder="1" applyAlignment="1">
      <alignment horizontal="center" vertical="center"/>
    </xf>
    <xf numFmtId="0" fontId="17" fillId="2" borderId="1" xfId="5" applyNumberFormat="1" applyFont="1" applyFill="1" applyBorder="1" applyAlignment="1">
      <alignment horizontal="left" vertical="center"/>
    </xf>
    <xf numFmtId="0" fontId="12" fillId="4" borderId="1" xfId="5" applyNumberFormat="1" applyFont="1" applyFill="1" applyBorder="1" applyAlignment="1">
      <alignment horizontal="left" vertical="center"/>
    </xf>
    <xf numFmtId="0" fontId="12" fillId="5" borderId="1" xfId="5" applyNumberFormat="1" applyFont="1" applyFill="1" applyBorder="1" applyAlignment="1">
      <alignment horizontal="left" vertical="center"/>
    </xf>
    <xf numFmtId="0" fontId="17" fillId="16" borderId="0" xfId="5" applyFont="1" applyFill="1" applyAlignment="1">
      <alignment vertical="center"/>
    </xf>
    <xf numFmtId="0" fontId="34" fillId="0" borderId="0" xfId="5" applyFont="1"/>
    <xf numFmtId="0" fontId="26" fillId="0" borderId="0" xfId="5" applyFont="1"/>
    <xf numFmtId="0" fontId="1" fillId="15" borderId="0" xfId="5" applyFont="1" applyFill="1" applyAlignment="1">
      <alignment wrapText="1"/>
    </xf>
    <xf numFmtId="0" fontId="1" fillId="0" borderId="1" xfId="5" applyFont="1" applyBorder="1" applyAlignment="1">
      <alignment vertical="center"/>
    </xf>
    <xf numFmtId="183" fontId="1" fillId="0" borderId="1" xfId="5" applyNumberFormat="1" applyFont="1" applyBorder="1" applyAlignment="1">
      <alignment horizontal="right"/>
    </xf>
    <xf numFmtId="178" fontId="4" fillId="15" borderId="1" xfId="6" applyNumberFormat="1" applyFont="1" applyFill="1" applyBorder="1" applyAlignment="1">
      <alignment horizontal="center" vertical="center"/>
    </xf>
    <xf numFmtId="0" fontId="3" fillId="15" borderId="0" xfId="5" applyFont="1" applyFill="1" applyAlignment="1">
      <alignment vertical="center"/>
    </xf>
    <xf numFmtId="185" fontId="1" fillId="5" borderId="1" xfId="3" applyNumberFormat="1" applyFont="1" applyFill="1" applyBorder="1" applyAlignment="1">
      <alignment horizontal="left" vertical="center"/>
    </xf>
    <xf numFmtId="176" fontId="1" fillId="4" borderId="1" xfId="3" applyNumberFormat="1" applyFont="1" applyFill="1" applyBorder="1" applyAlignment="1">
      <alignment horizontal="left" vertical="center"/>
    </xf>
    <xf numFmtId="0" fontId="3" fillId="3" borderId="1" xfId="5" applyFont="1" applyFill="1" applyBorder="1"/>
    <xf numFmtId="176" fontId="3" fillId="3" borderId="1" xfId="5" applyNumberFormat="1" applyFont="1" applyFill="1" applyBorder="1"/>
    <xf numFmtId="176" fontId="3" fillId="3" borderId="0" xfId="5" applyNumberFormat="1" applyFont="1" applyFill="1"/>
    <xf numFmtId="178" fontId="3" fillId="3" borderId="1" xfId="5" applyNumberFormat="1" applyFont="1" applyFill="1" applyBorder="1"/>
    <xf numFmtId="176" fontId="1" fillId="11" borderId="1" xfId="0" applyNumberFormat="1" applyFont="1" applyFill="1" applyBorder="1" applyAlignment="1">
      <alignment vertical="center" wrapText="1"/>
    </xf>
    <xf numFmtId="178" fontId="1" fillId="13" borderId="1" xfId="2" applyNumberFormat="1" applyFont="1" applyFill="1" applyBorder="1" applyAlignment="1">
      <alignment vertical="center" wrapText="1"/>
    </xf>
    <xf numFmtId="0" fontId="19" fillId="0" borderId="0" xfId="5" applyFont="1" applyFill="1"/>
    <xf numFmtId="0" fontId="12" fillId="0" borderId="0" xfId="5" applyFont="1" applyFill="1"/>
    <xf numFmtId="0" fontId="12" fillId="0" borderId="0" xfId="5" applyFont="1" applyFill="1" applyAlignment="1">
      <alignment vertical="center"/>
    </xf>
    <xf numFmtId="0" fontId="3" fillId="13" borderId="5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178" fontId="3" fillId="3" borderId="3" xfId="0" applyNumberFormat="1" applyFont="1" applyFill="1" applyBorder="1" applyAlignment="1">
      <alignment horizontal="center" vertical="center" wrapText="1"/>
    </xf>
    <xf numFmtId="178" fontId="3" fillId="3" borderId="4" xfId="0" applyNumberFormat="1" applyFont="1" applyFill="1" applyBorder="1" applyAlignment="1">
      <alignment horizontal="center" vertical="center" wrapText="1"/>
    </xf>
    <xf numFmtId="178" fontId="3" fillId="11" borderId="2" xfId="2" applyNumberFormat="1" applyFont="1" applyFill="1" applyBorder="1" applyAlignment="1">
      <alignment horizontal="center" vertical="center" wrapText="1"/>
    </xf>
    <xf numFmtId="178" fontId="3" fillId="11" borderId="3" xfId="2" applyNumberFormat="1" applyFont="1" applyFill="1" applyBorder="1" applyAlignment="1">
      <alignment horizontal="center" vertical="center" wrapText="1"/>
    </xf>
    <xf numFmtId="178" fontId="3" fillId="11" borderId="4" xfId="2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5" xfId="5" applyFont="1" applyFill="1" applyBorder="1" applyAlignment="1">
      <alignment horizontal="center" vertical="center" wrapText="1"/>
    </xf>
    <xf numFmtId="0" fontId="3" fillId="4" borderId="6" xfId="5" applyFont="1" applyFill="1" applyBorder="1" applyAlignment="1">
      <alignment horizontal="center" vertical="center" wrapText="1"/>
    </xf>
    <xf numFmtId="0" fontId="3" fillId="4" borderId="7" xfId="5" applyFont="1" applyFill="1" applyBorder="1" applyAlignment="1">
      <alignment horizontal="center" vertical="center" wrapText="1"/>
    </xf>
    <xf numFmtId="0" fontId="3" fillId="17" borderId="5" xfId="5" applyFont="1" applyFill="1" applyBorder="1" applyAlignment="1">
      <alignment horizontal="center" vertical="center" wrapText="1"/>
    </xf>
    <xf numFmtId="0" fontId="3" fillId="17" borderId="6" xfId="5" applyFont="1" applyFill="1" applyBorder="1" applyAlignment="1">
      <alignment horizontal="center" vertical="center" wrapText="1"/>
    </xf>
    <xf numFmtId="0" fontId="3" fillId="17" borderId="7" xfId="5" applyFont="1" applyFill="1" applyBorder="1" applyAlignment="1">
      <alignment horizontal="center" vertical="center" wrapText="1"/>
    </xf>
    <xf numFmtId="0" fontId="1" fillId="2" borderId="2" xfId="5" applyFont="1" applyFill="1" applyBorder="1" applyAlignment="1">
      <alignment horizontal="center" vertical="center" wrapText="1"/>
    </xf>
    <xf numFmtId="0" fontId="1" fillId="2" borderId="4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" fillId="3" borderId="1" xfId="5" applyFont="1" applyFill="1" applyBorder="1" applyAlignment="1">
      <alignment horizontal="center" vertical="center" wrapText="1"/>
    </xf>
    <xf numFmtId="0" fontId="1" fillId="0" borderId="2" xfId="5" applyFont="1" applyBorder="1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1" fillId="0" borderId="4" xfId="5" applyFont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 wrapText="1"/>
    </xf>
    <xf numFmtId="0" fontId="3" fillId="0" borderId="3" xfId="5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178" fontId="3" fillId="3" borderId="2" xfId="6" applyNumberFormat="1" applyFont="1" applyFill="1" applyBorder="1" applyAlignment="1">
      <alignment horizontal="center" vertical="center" wrapText="1"/>
    </xf>
    <xf numFmtId="178" fontId="3" fillId="3" borderId="3" xfId="6" applyNumberFormat="1" applyFont="1" applyFill="1" applyBorder="1" applyAlignment="1">
      <alignment horizontal="center" vertical="center" wrapText="1"/>
    </xf>
    <xf numFmtId="178" fontId="3" fillId="3" borderId="4" xfId="6" applyNumberFormat="1" applyFont="1" applyFill="1" applyBorder="1" applyAlignment="1">
      <alignment horizontal="center" vertical="center" wrapText="1"/>
    </xf>
    <xf numFmtId="178" fontId="3" fillId="6" borderId="2" xfId="2" applyNumberFormat="1" applyFont="1" applyFill="1" applyBorder="1" applyAlignment="1">
      <alignment horizontal="center" vertical="center" wrapText="1"/>
    </xf>
    <xf numFmtId="178" fontId="3" fillId="6" borderId="3" xfId="2" applyNumberFormat="1" applyFont="1" applyFill="1" applyBorder="1" applyAlignment="1">
      <alignment horizontal="center" vertical="center" wrapText="1"/>
    </xf>
    <xf numFmtId="178" fontId="3" fillId="6" borderId="4" xfId="2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 wrapText="1"/>
    </xf>
    <xf numFmtId="0" fontId="3" fillId="19" borderId="1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1" fillId="0" borderId="4" xfId="5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2" xfId="5" applyFont="1" applyFill="1" applyBorder="1" applyAlignment="1">
      <alignment horizontal="center" vertical="center" wrapText="1"/>
    </xf>
    <xf numFmtId="0" fontId="3" fillId="6" borderId="3" xfId="5" applyFont="1" applyFill="1" applyBorder="1" applyAlignment="1">
      <alignment horizontal="center" vertical="center" wrapText="1"/>
    </xf>
    <xf numFmtId="0" fontId="3" fillId="6" borderId="4" xfId="5" applyFont="1" applyFill="1" applyBorder="1" applyAlignment="1">
      <alignment horizontal="center" vertical="center" wrapText="1"/>
    </xf>
    <xf numFmtId="0" fontId="3" fillId="6" borderId="1" xfId="5" applyFont="1" applyFill="1" applyBorder="1" applyAlignment="1">
      <alignment horizontal="center" vertical="center" wrapText="1"/>
    </xf>
    <xf numFmtId="176" fontId="1" fillId="11" borderId="1" xfId="0" applyNumberFormat="1" applyFont="1" applyFill="1" applyBorder="1" applyAlignment="1">
      <alignment horizontal="center" vertical="center" wrapText="1"/>
    </xf>
    <xf numFmtId="176" fontId="1" fillId="11" borderId="2" xfId="0" applyNumberFormat="1" applyFont="1" applyFill="1" applyBorder="1" applyAlignment="1">
      <alignment horizontal="center" vertical="center" wrapText="1"/>
    </xf>
    <xf numFmtId="176" fontId="1" fillId="11" borderId="4" xfId="0" applyNumberFormat="1" applyFont="1" applyFill="1" applyBorder="1" applyAlignment="1">
      <alignment horizontal="center" vertical="center" wrapText="1"/>
    </xf>
    <xf numFmtId="178" fontId="1" fillId="13" borderId="1" xfId="2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2" borderId="7" xfId="0" applyNumberFormat="1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176" fontId="1" fillId="5" borderId="3" xfId="0" applyNumberFormat="1" applyFont="1" applyFill="1" applyBorder="1" applyAlignment="1">
      <alignment horizontal="center" vertical="center" wrapText="1"/>
    </xf>
    <xf numFmtId="176" fontId="1" fillId="5" borderId="4" xfId="0" applyNumberFormat="1" applyFont="1" applyFill="1" applyBorder="1" applyAlignment="1">
      <alignment horizontal="center" vertical="center" wrapText="1"/>
    </xf>
    <xf numFmtId="178" fontId="1" fillId="4" borderId="2" xfId="2" applyNumberFormat="1" applyFont="1" applyFill="1" applyBorder="1" applyAlignment="1">
      <alignment horizontal="center" vertical="center" wrapText="1"/>
    </xf>
    <xf numFmtId="178" fontId="1" fillId="4" borderId="3" xfId="2" applyNumberFormat="1" applyFont="1" applyFill="1" applyBorder="1" applyAlignment="1">
      <alignment horizontal="center" vertical="center" wrapText="1"/>
    </xf>
    <xf numFmtId="178" fontId="1" fillId="4" borderId="4" xfId="2" applyNumberFormat="1" applyFont="1" applyFill="1" applyBorder="1" applyAlignment="1">
      <alignment horizontal="center" vertical="center" wrapText="1"/>
    </xf>
    <xf numFmtId="178" fontId="1" fillId="5" borderId="2" xfId="2" applyNumberFormat="1" applyFont="1" applyFill="1" applyBorder="1" applyAlignment="1">
      <alignment horizontal="center" vertical="center" wrapText="1"/>
    </xf>
    <xf numFmtId="178" fontId="1" fillId="5" borderId="3" xfId="2" applyNumberFormat="1" applyFont="1" applyFill="1" applyBorder="1" applyAlignment="1">
      <alignment horizontal="center" vertical="center" wrapText="1"/>
    </xf>
    <xf numFmtId="178" fontId="1" fillId="5" borderId="4" xfId="2" applyNumberFormat="1" applyFont="1" applyFill="1" applyBorder="1" applyAlignment="1">
      <alignment horizontal="center" vertical="center" wrapText="1"/>
    </xf>
    <xf numFmtId="176" fontId="1" fillId="11" borderId="3" xfId="0" applyNumberFormat="1" applyFont="1" applyFill="1" applyBorder="1" applyAlignment="1">
      <alignment horizontal="center" vertical="center" wrapText="1"/>
    </xf>
    <xf numFmtId="0" fontId="3" fillId="5" borderId="9" xfId="5" applyFont="1" applyFill="1" applyBorder="1" applyAlignment="1">
      <alignment horizontal="center" vertical="center"/>
    </xf>
    <xf numFmtId="0" fontId="3" fillId="5" borderId="10" xfId="5" applyFont="1" applyFill="1" applyBorder="1" applyAlignment="1">
      <alignment horizontal="center" vertical="center"/>
    </xf>
    <xf numFmtId="0" fontId="17" fillId="2" borderId="2" xfId="5" applyNumberFormat="1" applyFont="1" applyFill="1" applyBorder="1" applyAlignment="1">
      <alignment horizontal="center" vertical="center"/>
    </xf>
    <xf numFmtId="0" fontId="17" fillId="2" borderId="3" xfId="5" applyNumberFormat="1" applyFont="1" applyFill="1" applyBorder="1" applyAlignment="1">
      <alignment horizontal="center" vertical="center"/>
    </xf>
    <xf numFmtId="0" fontId="17" fillId="2" borderId="4" xfId="5" applyNumberFormat="1" applyFont="1" applyFill="1" applyBorder="1" applyAlignment="1">
      <alignment horizontal="center" vertical="center"/>
    </xf>
    <xf numFmtId="0" fontId="17" fillId="2" borderId="2" xfId="5" applyNumberFormat="1" applyFont="1" applyFill="1" applyBorder="1" applyAlignment="1">
      <alignment horizontal="center" vertical="center" wrapText="1"/>
    </xf>
    <xf numFmtId="0" fontId="17" fillId="2" borderId="3" xfId="5" applyNumberFormat="1" applyFont="1" applyFill="1" applyBorder="1" applyAlignment="1">
      <alignment horizontal="center" vertical="center" wrapText="1"/>
    </xf>
    <xf numFmtId="0" fontId="17" fillId="2" borderId="4" xfId="5" applyNumberFormat="1" applyFont="1" applyFill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/>
    </xf>
    <xf numFmtId="0" fontId="0" fillId="0" borderId="2" xfId="5" applyFont="1" applyBorder="1" applyAlignment="1">
      <alignment horizontal="center" vertical="center" wrapText="1"/>
    </xf>
    <xf numFmtId="0" fontId="0" fillId="2" borderId="1" xfId="5" applyFont="1" applyFill="1" applyBorder="1" applyAlignment="1">
      <alignment horizontal="center" vertical="center" wrapText="1"/>
    </xf>
  </cellXfs>
  <cellStyles count="7">
    <cellStyle name="百分比" xfId="2" builtinId="5"/>
    <cellStyle name="百分比 2" xfId="6"/>
    <cellStyle name="常规" xfId="0" builtinId="0"/>
    <cellStyle name="常规 2" xfId="5"/>
    <cellStyle name="常规 7" xfId="4"/>
    <cellStyle name="千位分隔" xfId="1" builtinId="3"/>
    <cellStyle name="千位分隔 2" xfId="3"/>
  </cellStyles>
  <dxfs count="0"/>
  <tableStyles count="0" defaultTableStyle="TableStyleMedium2" defaultPivotStyle="PivotStyleLight16"/>
  <colors>
    <mruColors>
      <color rgb="FFECF0F1"/>
      <color rgb="FFBDC3C7"/>
      <color rgb="FF7F8C8D"/>
      <color rgb="FF34495E"/>
      <color rgb="FFD35400"/>
      <color rgb="FFE67E22"/>
      <color rgb="FFFFCC99"/>
      <color rgb="FF3498DB"/>
      <color rgb="FF99CC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478306878306878E-2"/>
          <c:y val="9.9701388888888909E-2"/>
          <c:w val="0.97341058201058184"/>
          <c:h val="0.81782187500000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'图-用户-公式'!$C$267</c:f>
              <c:strCache>
                <c:ptCount val="1"/>
                <c:pt idx="0">
                  <c:v>游戏(h)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4495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'图-用户-公式'!$D$262:$I$262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'图-用户-公式'!$D$267:$I$267</c:f>
              <c:numCache>
                <c:formatCode>#,##0.0_ </c:formatCode>
                <c:ptCount val="6"/>
                <c:pt idx="0">
                  <c:v>14.770944053941671</c:v>
                </c:pt>
                <c:pt idx="1">
                  <c:v>13.135395236328993</c:v>
                </c:pt>
                <c:pt idx="2">
                  <c:v>14.095916723331364</c:v>
                </c:pt>
                <c:pt idx="3">
                  <c:v>14.17450798207391</c:v>
                </c:pt>
                <c:pt idx="4">
                  <c:v>12.933703639328863</c:v>
                </c:pt>
                <c:pt idx="5">
                  <c:v>11.00820639494003</c:v>
                </c:pt>
              </c:numCache>
            </c:numRef>
          </c:val>
        </c:ser>
        <c:ser>
          <c:idx val="2"/>
          <c:order val="1"/>
          <c:tx>
            <c:strRef>
              <c:f>'图-用户-公式'!$C$268</c:f>
              <c:strCache>
                <c:ptCount val="1"/>
                <c:pt idx="0">
                  <c:v>娱乐(h)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'图-用户-公式'!$D$262:$I$262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'图-用户-公式'!$D$268:$I$268</c:f>
              <c:numCache>
                <c:formatCode>#,##0.0_ </c:formatCode>
                <c:ptCount val="6"/>
                <c:pt idx="0">
                  <c:v>2.7485878394049235</c:v>
                </c:pt>
                <c:pt idx="1">
                  <c:v>2.3078062873240794</c:v>
                </c:pt>
                <c:pt idx="2">
                  <c:v>2.2763899734791688</c:v>
                </c:pt>
                <c:pt idx="3">
                  <c:v>1.9813541016693244</c:v>
                </c:pt>
                <c:pt idx="4">
                  <c:v>1.7966658825088941</c:v>
                </c:pt>
                <c:pt idx="5">
                  <c:v>1.1131962398198825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2455472"/>
        <c:axId val="262456032"/>
      </c:barChart>
      <c:dateAx>
        <c:axId val="262455472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56032"/>
        <c:crosses val="autoZero"/>
        <c:auto val="1"/>
        <c:lblOffset val="100"/>
        <c:baseTimeUnit val="months"/>
      </c:dateAx>
      <c:valAx>
        <c:axId val="26245603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150169072926407E-2"/>
          <c:y val="0.10671527777777778"/>
          <c:w val="0.97726644277487329"/>
          <c:h val="0.80639826388888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'图-用户-公式'!$C$211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fld id="{F1AC103B-3C40-4280-A840-38861B302AD2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'图-用户-公式'!$D$211:$I$211</c:f>
              <c:numCache>
                <c:formatCode>#,##0_);[Red]\(#,##0\)</c:formatCode>
                <c:ptCount val="6"/>
                <c:pt idx="0">
                  <c:v>787830</c:v>
                </c:pt>
                <c:pt idx="1">
                  <c:v>764158</c:v>
                </c:pt>
                <c:pt idx="2">
                  <c:v>805794</c:v>
                </c:pt>
                <c:pt idx="3">
                  <c:v>767759</c:v>
                </c:pt>
                <c:pt idx="4">
                  <c:v>805148</c:v>
                </c:pt>
                <c:pt idx="5">
                  <c:v>885576</c:v>
                </c:pt>
              </c:numCache>
            </c:numRef>
          </c:val>
        </c:ser>
        <c:ser>
          <c:idx val="1"/>
          <c:order val="1"/>
          <c:tx>
            <c:strRef>
              <c:f>'图-用户-公式'!$C$212</c:f>
              <c:strCache>
                <c:ptCount val="1"/>
                <c:pt idx="0">
                  <c:v>手机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'图-用户-公式'!$D$212:$I$212</c:f>
              <c:numCache>
                <c:formatCode>#,##0_);[Red]\(#,##0\)</c:formatCode>
                <c:ptCount val="6"/>
                <c:pt idx="0">
                  <c:v>349443</c:v>
                </c:pt>
                <c:pt idx="1">
                  <c:v>350516</c:v>
                </c:pt>
                <c:pt idx="2">
                  <c:v>368980</c:v>
                </c:pt>
                <c:pt idx="3">
                  <c:v>353501</c:v>
                </c:pt>
                <c:pt idx="4">
                  <c:v>375859</c:v>
                </c:pt>
                <c:pt idx="5">
                  <c:v>440578</c:v>
                </c:pt>
              </c:numCache>
            </c:numRef>
          </c:val>
        </c:ser>
        <c:ser>
          <c:idx val="2"/>
          <c:order val="2"/>
          <c:tx>
            <c:strRef>
              <c:f>'图-用户-公式'!$C$213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'图-用户-公式'!$D$213:$I$213</c:f>
              <c:numCache>
                <c:formatCode>#,##0_);[Red]\(#,##0\)</c:formatCode>
                <c:ptCount val="6"/>
                <c:pt idx="0">
                  <c:v>1461014</c:v>
                </c:pt>
                <c:pt idx="1">
                  <c:v>1408589</c:v>
                </c:pt>
                <c:pt idx="2">
                  <c:v>1458645</c:v>
                </c:pt>
                <c:pt idx="3">
                  <c:v>1371988</c:v>
                </c:pt>
                <c:pt idx="4">
                  <c:v>1462618</c:v>
                </c:pt>
                <c:pt idx="5">
                  <c:v>1528286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2459952"/>
        <c:axId val="262460512"/>
      </c:barChart>
      <c:dateAx>
        <c:axId val="26245995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60512"/>
        <c:crosses val="autoZero"/>
        <c:auto val="1"/>
        <c:lblOffset val="100"/>
        <c:baseTimeUnit val="months"/>
      </c:dateAx>
      <c:valAx>
        <c:axId val="262460512"/>
        <c:scaling>
          <c:orientation val="minMax"/>
          <c:min val="0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59952"/>
        <c:crosses val="autoZero"/>
        <c:crossBetween val="between"/>
        <c:majorUnit val="250000"/>
        <c:dispUnits>
          <c:builtInUnit val="tenThousands"/>
          <c:dispUnitsLbl>
            <c:layout>
              <c:manualLayout>
                <c:xMode val="edge"/>
                <c:yMode val="edge"/>
                <c:x val="0.74453227513227516"/>
                <c:y val="2.7340277777777779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 altLang="en-US" baseline="0"/>
                    <a:t>万人</a:t>
                  </a:r>
                  <a:r>
                    <a:rPr lang="en-US" altLang="zh-CN" baseline="0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03994708994705"/>
          <c:y val="3.9687500000000001E-2"/>
          <c:w val="0.46384047619047619"/>
          <c:h val="7.2559374999999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71153846153847E-2"/>
          <c:y val="5.2500347222222223E-2"/>
          <c:w val="0.97422799145299144"/>
          <c:h val="0.869432638888888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'图-用户-公式'!$C$164</c:f>
              <c:strCache>
                <c:ptCount val="1"/>
                <c:pt idx="0">
                  <c:v>游戏用户数(万)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277777777778102E-3"/>
                  <c:y val="2.2048611111111113E-2"/>
                </c:manualLayout>
              </c:layout>
              <c:numFmt formatCode="#,##0_);[Red]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6699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935035758548312E-16"/>
                  <c:y val="2.2048611111111113E-2"/>
                </c:manualLayout>
              </c:layout>
              <c:numFmt formatCode="#,##0_);[Red]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006699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&quot;万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'图-用户-公式'!$K$3:$P$3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'图-用户-公式'!$D$164:$I$164</c:f>
              <c:numCache>
                <c:formatCode>#,##0_);[Red]\(#,##0\)</c:formatCode>
                <c:ptCount val="6"/>
                <c:pt idx="0">
                  <c:v>1461014</c:v>
                </c:pt>
                <c:pt idx="1">
                  <c:v>1408589</c:v>
                </c:pt>
                <c:pt idx="2">
                  <c:v>1458645</c:v>
                </c:pt>
                <c:pt idx="3">
                  <c:v>1371988</c:v>
                </c:pt>
                <c:pt idx="4">
                  <c:v>1462618</c:v>
                </c:pt>
                <c:pt idx="5">
                  <c:v>1528286</c:v>
                </c:pt>
              </c:numCache>
            </c:numRef>
          </c:val>
        </c:ser>
        <c:ser>
          <c:idx val="0"/>
          <c:order val="1"/>
          <c:tx>
            <c:strRef>
              <c:f>'图-用户-公式'!$C$166</c:f>
              <c:strCache>
                <c:ptCount val="1"/>
                <c:pt idx="0">
                  <c:v>娱乐用户数(万)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numFmt formatCode="#,##0_);[Red]\(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E67E22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'图-用户-公式'!$K$3:$P$3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'图-用户-公式'!$D$166:$I$166</c:f>
              <c:numCache>
                <c:formatCode>#,##0_);[Red]\(#,##0\)</c:formatCode>
                <c:ptCount val="6"/>
                <c:pt idx="0">
                  <c:v>740143</c:v>
                </c:pt>
                <c:pt idx="1">
                  <c:v>630690</c:v>
                </c:pt>
                <c:pt idx="2">
                  <c:v>652775</c:v>
                </c:pt>
                <c:pt idx="3">
                  <c:v>617800</c:v>
                </c:pt>
                <c:pt idx="4">
                  <c:v>601325</c:v>
                </c:pt>
                <c:pt idx="5">
                  <c:v>609080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2464992"/>
        <c:axId val="262465552"/>
      </c:barChart>
      <c:lineChart>
        <c:grouping val="standard"/>
        <c:varyColors val="0"/>
        <c:ser>
          <c:idx val="3"/>
          <c:order val="2"/>
          <c:tx>
            <c:strRef>
              <c:f>'图-用户-公式'!$C$165</c:f>
              <c:strCache>
                <c:ptCount val="1"/>
                <c:pt idx="0">
                  <c:v>游戏登录率</c:v>
                </c:pt>
              </c:strCache>
            </c:strRef>
          </c:tx>
          <c:spPr>
            <a:ln w="38100" cap="rnd">
              <a:solidFill>
                <a:srgbClr val="99CCFF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818803418803419E-2"/>
                  <c:y val="-4.3501736111111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34495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'图-用户-公式'!$K$3:$P$3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'图-用户-公式'!$D$165:$I$165</c:f>
              <c:numCache>
                <c:formatCode>0.0%</c:formatCode>
                <c:ptCount val="6"/>
                <c:pt idx="0">
                  <c:v>0.34824196697382059</c:v>
                </c:pt>
                <c:pt idx="1">
                  <c:v>0.37791733885734785</c:v>
                </c:pt>
                <c:pt idx="2">
                  <c:v>0.34051387855893256</c:v>
                </c:pt>
                <c:pt idx="3">
                  <c:v>0.36462917260877448</c:v>
                </c:pt>
                <c:pt idx="4">
                  <c:v>0.33650787077299688</c:v>
                </c:pt>
                <c:pt idx="5">
                  <c:v>0.33104877333424598</c:v>
                </c:pt>
              </c:numCache>
            </c:numRef>
          </c:val>
          <c:smooth val="1"/>
        </c:ser>
        <c:ser>
          <c:idx val="2"/>
          <c:order val="3"/>
          <c:tx>
            <c:strRef>
              <c:f>'图-用户-公式'!$C$167</c:f>
              <c:strCache>
                <c:ptCount val="1"/>
                <c:pt idx="0">
                  <c:v>娱乐登录率</c:v>
                </c:pt>
              </c:strCache>
            </c:strRef>
          </c:tx>
          <c:spPr>
            <a:ln w="38100" cap="rnd">
              <a:solidFill>
                <a:srgbClr val="FFCC99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627939814814799E-2"/>
                  <c:y val="-3.4682291666666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8634259259259"/>
                      <c:h val="7.3774652777777783E-2"/>
                    </c:manualLayout>
                  </c15:layout>
                </c:ext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E67E22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'图-用户-公式'!$K$3:$P$3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'图-用户-公式'!$D$167:$I$167</c:f>
              <c:numCache>
                <c:formatCode>0.0%</c:formatCode>
                <c:ptCount val="6"/>
                <c:pt idx="0">
                  <c:v>0.56837453252547587</c:v>
                </c:pt>
                <c:pt idx="1">
                  <c:v>0.55609193517242472</c:v>
                </c:pt>
                <c:pt idx="2">
                  <c:v>0.5574513727167999</c:v>
                </c:pt>
                <c:pt idx="3">
                  <c:v>0.54936162720593862</c:v>
                </c:pt>
                <c:pt idx="4">
                  <c:v>0.55173859706589667</c:v>
                </c:pt>
                <c:pt idx="5">
                  <c:v>0.56094011898841434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6672"/>
        <c:axId val="262466112"/>
      </c:lineChart>
      <c:dateAx>
        <c:axId val="26246499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65552"/>
        <c:crosses val="autoZero"/>
        <c:auto val="1"/>
        <c:lblOffset val="100"/>
        <c:baseTimeUnit val="months"/>
      </c:dateAx>
      <c:valAx>
        <c:axId val="26246555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64992"/>
        <c:crosses val="autoZero"/>
        <c:crossBetween val="between"/>
        <c:dispUnits>
          <c:builtInUnit val="tenThousands"/>
        </c:dispUnits>
      </c:valAx>
      <c:valAx>
        <c:axId val="26246611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66672"/>
        <c:crosses val="max"/>
        <c:crossBetween val="between"/>
        <c:majorUnit val="0.2"/>
      </c:valAx>
      <c:dateAx>
        <c:axId val="262466672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24661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31495726495728"/>
          <c:y val="2.6458333333333334E-2"/>
          <c:w val="0.79879743589743601"/>
          <c:h val="0.14387152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0435694444444444E-2"/>
          <c:y val="0.11677345679012344"/>
          <c:w val="0.98041690821256033"/>
          <c:h val="0.7979787037037037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'图-用户-公式'!$C$32</c:f>
              <c:strCache>
                <c:ptCount val="1"/>
                <c:pt idx="0">
                  <c:v>登录用户数(万)</c:v>
                </c:pt>
              </c:strCache>
            </c:strRef>
          </c:tx>
          <c:spPr>
            <a:solidFill>
              <a:srgbClr val="34495E"/>
            </a:solidFill>
            <a:ln w="28575" cap="rnd">
              <a:noFill/>
              <a:round/>
            </a:ln>
            <a:effectLst/>
          </c:spPr>
          <c:invertIfNegative val="0"/>
          <c:dLbls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'图-用户-公式'!$D$32:$P$32</c:f>
              <c:numCache>
                <c:formatCode>#,##0_);[Red]\(#,##0\)</c:formatCode>
                <c:ptCount val="13"/>
                <c:pt idx="0">
                  <c:v>182318</c:v>
                </c:pt>
                <c:pt idx="1">
                  <c:v>171888</c:v>
                </c:pt>
                <c:pt idx="2">
                  <c:v>203599</c:v>
                </c:pt>
                <c:pt idx="3">
                  <c:v>217222</c:v>
                </c:pt>
                <c:pt idx="4">
                  <c:v>248587</c:v>
                </c:pt>
                <c:pt idx="5">
                  <c:v>220977</c:v>
                </c:pt>
                <c:pt idx="6">
                  <c:v>267567</c:v>
                </c:pt>
                <c:pt idx="7">
                  <c:v>349443</c:v>
                </c:pt>
                <c:pt idx="8">
                  <c:v>350516</c:v>
                </c:pt>
                <c:pt idx="9">
                  <c:v>368980</c:v>
                </c:pt>
                <c:pt idx="10">
                  <c:v>353501</c:v>
                </c:pt>
                <c:pt idx="11">
                  <c:v>375859</c:v>
                </c:pt>
                <c:pt idx="12">
                  <c:v>440578</c:v>
                </c:pt>
              </c:numCache>
            </c:numRef>
          </c:val>
        </c:ser>
        <c:ser>
          <c:idx val="0"/>
          <c:order val="1"/>
          <c:tx>
            <c:strRef>
              <c:f>'图-用户-公式'!$C$37</c:f>
              <c:strCache>
                <c:ptCount val="1"/>
                <c:pt idx="0">
                  <c:v>匿名用户数-内置(万)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'图-用户-公式'!$D$37:$P$37</c:f>
              <c:numCache>
                <c:formatCode>#,##0_);[Red]\(#,##0\)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744509</c:v>
                </c:pt>
              </c:numCache>
            </c:numRef>
          </c:val>
        </c:ser>
        <c:ser>
          <c:idx val="4"/>
          <c:order val="2"/>
          <c:tx>
            <c:strRef>
              <c:f>'图-用户-公式'!$C$36</c:f>
              <c:strCache>
                <c:ptCount val="1"/>
                <c:pt idx="0">
                  <c:v>匿名用户数-非内置(万)</c:v>
                </c:pt>
              </c:strCache>
            </c:strRef>
          </c:tx>
          <c:spPr>
            <a:solidFill>
              <a:srgbClr val="ECF0F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'图-用户-公式'!$D$36:$P$36</c:f>
              <c:numCache>
                <c:formatCode>#,##0_);[Red]\(#,##0\)</c:formatCode>
                <c:ptCount val="13"/>
                <c:pt idx="0">
                  <c:v>1880751</c:v>
                </c:pt>
                <c:pt idx="1">
                  <c:v>2014642</c:v>
                </c:pt>
                <c:pt idx="2">
                  <c:v>2088789</c:v>
                </c:pt>
                <c:pt idx="3">
                  <c:v>2149458</c:v>
                </c:pt>
                <c:pt idx="4">
                  <c:v>2379323</c:v>
                </c:pt>
                <c:pt idx="5">
                  <c:v>2486347</c:v>
                </c:pt>
                <c:pt idx="6">
                  <c:v>1771223</c:v>
                </c:pt>
                <c:pt idx="7">
                  <c:v>2221676</c:v>
                </c:pt>
                <c:pt idx="8">
                  <c:v>1840459</c:v>
                </c:pt>
                <c:pt idx="9">
                  <c:v>2260098</c:v>
                </c:pt>
                <c:pt idx="10">
                  <c:v>1848624</c:v>
                </c:pt>
                <c:pt idx="11">
                  <c:v>2284674</c:v>
                </c:pt>
                <c:pt idx="12">
                  <c:v>2771481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43886512"/>
        <c:axId val="943885952"/>
      </c:barChart>
      <c:lineChart>
        <c:grouping val="standard"/>
        <c:varyColors val="0"/>
        <c:ser>
          <c:idx val="5"/>
          <c:order val="3"/>
          <c:tx>
            <c:strRef>
              <c:f>'图-用户-公式'!$C$29</c:f>
              <c:strCache>
                <c:ptCount val="1"/>
                <c:pt idx="0">
                  <c:v>总用户数(万)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'图-用户-公式'!$D$29:$P$29</c:f>
              <c:numCache>
                <c:formatCode>#,##0_);[Red]\(#,##0\)</c:formatCode>
                <c:ptCount val="13"/>
                <c:pt idx="0">
                  <c:v>2063069</c:v>
                </c:pt>
                <c:pt idx="1">
                  <c:v>2186530</c:v>
                </c:pt>
                <c:pt idx="2">
                  <c:v>2292388</c:v>
                </c:pt>
                <c:pt idx="3">
                  <c:v>2366680</c:v>
                </c:pt>
                <c:pt idx="4">
                  <c:v>2627910</c:v>
                </c:pt>
                <c:pt idx="5">
                  <c:v>2707324</c:v>
                </c:pt>
                <c:pt idx="6">
                  <c:v>2038790</c:v>
                </c:pt>
                <c:pt idx="7">
                  <c:v>2571119</c:v>
                </c:pt>
                <c:pt idx="8">
                  <c:v>2190975</c:v>
                </c:pt>
                <c:pt idx="9">
                  <c:v>2629078</c:v>
                </c:pt>
                <c:pt idx="10">
                  <c:v>2202125</c:v>
                </c:pt>
                <c:pt idx="11">
                  <c:v>2660533</c:v>
                </c:pt>
                <c:pt idx="12">
                  <c:v>3956568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86512"/>
        <c:axId val="943885952"/>
      </c:lineChart>
      <c:lineChart>
        <c:grouping val="standard"/>
        <c:varyColors val="0"/>
        <c:ser>
          <c:idx val="1"/>
          <c:order val="4"/>
          <c:tx>
            <c:strRef>
              <c:f>'图-用户-公式'!$C$39</c:f>
              <c:strCache>
                <c:ptCount val="1"/>
                <c:pt idx="0">
                  <c:v>登录率(除内置)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'图-用户-公式'!$D$39:$P$39</c:f>
              <c:numCache>
                <c:formatCode>0.0%</c:formatCode>
                <c:ptCount val="13"/>
                <c:pt idx="0">
                  <c:v>8.8372226038004542E-2</c:v>
                </c:pt>
                <c:pt idx="1">
                  <c:v>7.8612230337566827E-2</c:v>
                </c:pt>
                <c:pt idx="2">
                  <c:v>8.8815244190773981E-2</c:v>
                </c:pt>
                <c:pt idx="3">
                  <c:v>9.178342657224467E-2</c:v>
                </c:pt>
                <c:pt idx="4">
                  <c:v>9.459494427130305E-2</c:v>
                </c:pt>
                <c:pt idx="5">
                  <c:v>8.1621926300657038E-2</c:v>
                </c:pt>
                <c:pt idx="6">
                  <c:v>0.13123813634557752</c:v>
                </c:pt>
                <c:pt idx="7">
                  <c:v>0.13591086215768308</c:v>
                </c:pt>
                <c:pt idx="8">
                  <c:v>0.15998174328780565</c:v>
                </c:pt>
                <c:pt idx="9">
                  <c:v>0.14034577901454426</c:v>
                </c:pt>
                <c:pt idx="10">
                  <c:v>0.1605272180280411</c:v>
                </c:pt>
                <c:pt idx="11">
                  <c:v>0.14127206841636619</c:v>
                </c:pt>
                <c:pt idx="12">
                  <c:v>0.13716373204850846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41040"/>
        <c:axId val="885849440"/>
      </c:lineChart>
      <c:catAx>
        <c:axId val="94388651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43885952"/>
        <c:crosses val="autoZero"/>
        <c:auto val="1"/>
        <c:lblAlgn val="ctr"/>
        <c:lblOffset val="100"/>
        <c:tickLblSkip val="2"/>
        <c:noMultiLvlLbl val="1"/>
      </c:catAx>
      <c:valAx>
        <c:axId val="94388595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43886512"/>
        <c:crosses val="autoZero"/>
        <c:crossBetween val="between"/>
        <c:dispUnits>
          <c:builtInUnit val="tenThousands"/>
        </c:dispUnits>
      </c:valAx>
      <c:valAx>
        <c:axId val="885849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85841040"/>
        <c:crosses val="max"/>
        <c:crossBetween val="between"/>
        <c:majorUnit val="5.000000000000001E-2"/>
      </c:valAx>
      <c:dateAx>
        <c:axId val="885841040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88584944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1.3148888888888887E-2"/>
          <c:y val="2.6458333333333334E-2"/>
          <c:w val="0.97017444444444445"/>
          <c:h val="0.1615104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0435694444444444E-2"/>
          <c:y val="0.11677345679012344"/>
          <c:w val="0.98041690821256033"/>
          <c:h val="0.79797870370370372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'图-用户-公式'!$C$21</c:f>
              <c:strCache>
                <c:ptCount val="1"/>
                <c:pt idx="0">
                  <c:v>登录用户数(万)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'图-用户-公式'!$D$21:$P$21</c:f>
              <c:numCache>
                <c:formatCode>#,##0_);[Red]\(#,##0\)</c:formatCode>
                <c:ptCount val="13"/>
                <c:pt idx="0">
                  <c:v>736706</c:v>
                </c:pt>
                <c:pt idx="1">
                  <c:v>723020</c:v>
                </c:pt>
                <c:pt idx="2">
                  <c:v>742017</c:v>
                </c:pt>
                <c:pt idx="3">
                  <c:v>747272</c:v>
                </c:pt>
                <c:pt idx="4">
                  <c:v>819279</c:v>
                </c:pt>
                <c:pt idx="5">
                  <c:v>779479</c:v>
                </c:pt>
                <c:pt idx="6">
                  <c:v>758611</c:v>
                </c:pt>
                <c:pt idx="7">
                  <c:v>787830</c:v>
                </c:pt>
                <c:pt idx="8">
                  <c:v>764158</c:v>
                </c:pt>
                <c:pt idx="9">
                  <c:v>805794</c:v>
                </c:pt>
                <c:pt idx="10">
                  <c:v>767759</c:v>
                </c:pt>
                <c:pt idx="11">
                  <c:v>805148</c:v>
                </c:pt>
                <c:pt idx="12">
                  <c:v>885576</c:v>
                </c:pt>
              </c:numCache>
            </c:numRef>
          </c:val>
        </c:ser>
        <c:ser>
          <c:idx val="1"/>
          <c:order val="2"/>
          <c:tx>
            <c:strRef>
              <c:f>'图-用户-公式'!$C$24</c:f>
              <c:strCache>
                <c:ptCount val="1"/>
                <c:pt idx="0">
                  <c:v>匿名用户数(万)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'图-用户-公式'!$D$24:$P$24</c:f>
              <c:numCache>
                <c:formatCode>#,##0_);[Red]\(#,##0\)</c:formatCode>
                <c:ptCount val="13"/>
                <c:pt idx="0">
                  <c:v>564351</c:v>
                </c:pt>
                <c:pt idx="1">
                  <c:v>868219</c:v>
                </c:pt>
                <c:pt idx="2">
                  <c:v>982793</c:v>
                </c:pt>
                <c:pt idx="3">
                  <c:v>765073</c:v>
                </c:pt>
                <c:pt idx="4">
                  <c:v>643225</c:v>
                </c:pt>
                <c:pt idx="5">
                  <c:v>635056</c:v>
                </c:pt>
                <c:pt idx="6">
                  <c:v>603446</c:v>
                </c:pt>
                <c:pt idx="7">
                  <c:v>655861</c:v>
                </c:pt>
                <c:pt idx="8">
                  <c:v>612696</c:v>
                </c:pt>
                <c:pt idx="9">
                  <c:v>664871</c:v>
                </c:pt>
                <c:pt idx="10">
                  <c:v>658210</c:v>
                </c:pt>
                <c:pt idx="11">
                  <c:v>711258</c:v>
                </c:pt>
                <c:pt idx="12">
                  <c:v>717026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2477872"/>
        <c:axId val="262478432"/>
      </c:barChart>
      <c:lineChart>
        <c:grouping val="standard"/>
        <c:varyColors val="0"/>
        <c:ser>
          <c:idx val="2"/>
          <c:order val="0"/>
          <c:tx>
            <c:strRef>
              <c:f>'图-用户-公式'!$C$18</c:f>
              <c:strCache>
                <c:ptCount val="1"/>
                <c:pt idx="0">
                  <c:v>总用户数(万)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'图-用户-公式'!$D$18:$P$18</c:f>
              <c:numCache>
                <c:formatCode>#,##0_);[Red]\(#,##0\)</c:formatCode>
                <c:ptCount val="13"/>
                <c:pt idx="0">
                  <c:v>1301057</c:v>
                </c:pt>
                <c:pt idx="1">
                  <c:v>1591239</c:v>
                </c:pt>
                <c:pt idx="2">
                  <c:v>1724810</c:v>
                </c:pt>
                <c:pt idx="3">
                  <c:v>1512345</c:v>
                </c:pt>
                <c:pt idx="4">
                  <c:v>1462504</c:v>
                </c:pt>
                <c:pt idx="5">
                  <c:v>1414535</c:v>
                </c:pt>
                <c:pt idx="6">
                  <c:v>1362057</c:v>
                </c:pt>
                <c:pt idx="7">
                  <c:v>1443691</c:v>
                </c:pt>
                <c:pt idx="8">
                  <c:v>1376854</c:v>
                </c:pt>
                <c:pt idx="9">
                  <c:v>1470665</c:v>
                </c:pt>
                <c:pt idx="10">
                  <c:v>1425969</c:v>
                </c:pt>
                <c:pt idx="11">
                  <c:v>1516406</c:v>
                </c:pt>
                <c:pt idx="12">
                  <c:v>1602602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77872"/>
        <c:axId val="262478432"/>
      </c:lineChart>
      <c:lineChart>
        <c:grouping val="standard"/>
        <c:varyColors val="0"/>
        <c:ser>
          <c:idx val="3"/>
          <c:order val="3"/>
          <c:tx>
            <c:strRef>
              <c:f>'图-用户-公式'!$C$27</c:f>
              <c:strCache>
                <c:ptCount val="1"/>
                <c:pt idx="0">
                  <c:v>登录率</c:v>
                </c:pt>
              </c:strCache>
            </c:strRef>
          </c:tx>
          <c:spPr>
            <a:ln w="28575" cap="rnd">
              <a:solidFill>
                <a:srgbClr val="D354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0197499999999996E-2"/>
                  <c:y val="-4.6643750000000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-2.900486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'图-用户-公式'!$D$27:$P$27</c:f>
              <c:numCache>
                <c:formatCode>0.0%</c:formatCode>
                <c:ptCount val="13"/>
                <c:pt idx="0">
                  <c:v>0.56623652922200951</c:v>
                </c:pt>
                <c:pt idx="1">
                  <c:v>0.45437548979128844</c:v>
                </c:pt>
                <c:pt idx="2">
                  <c:v>0.4302021671952273</c:v>
                </c:pt>
                <c:pt idx="3">
                  <c:v>0.49411476878622274</c:v>
                </c:pt>
                <c:pt idx="4">
                  <c:v>0.56018923708926605</c:v>
                </c:pt>
                <c:pt idx="5">
                  <c:v>0.55104963822033393</c:v>
                </c:pt>
                <c:pt idx="6">
                  <c:v>0.55695980417853286</c:v>
                </c:pt>
                <c:pt idx="7">
                  <c:v>0.54570541757204272</c:v>
                </c:pt>
                <c:pt idx="8">
                  <c:v>0.5550029269624811</c:v>
                </c:pt>
                <c:pt idx="9">
                  <c:v>0.54791131902914669</c:v>
                </c:pt>
                <c:pt idx="10">
                  <c:v>0.53841212536878436</c:v>
                </c:pt>
                <c:pt idx="11">
                  <c:v>0.53095806795805345</c:v>
                </c:pt>
                <c:pt idx="12">
                  <c:v>0.55258635643784293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79552"/>
        <c:axId val="262478992"/>
      </c:lineChart>
      <c:catAx>
        <c:axId val="26247787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78432"/>
        <c:crosses val="autoZero"/>
        <c:auto val="1"/>
        <c:lblAlgn val="ctr"/>
        <c:lblOffset val="100"/>
        <c:tickLblSkip val="2"/>
        <c:noMultiLvlLbl val="1"/>
      </c:catAx>
      <c:valAx>
        <c:axId val="26247843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77872"/>
        <c:crosses val="autoZero"/>
        <c:crossBetween val="between"/>
        <c:dispUnits>
          <c:builtInUnit val="tenThousands"/>
        </c:dispUnits>
      </c:valAx>
      <c:valAx>
        <c:axId val="262478992"/>
        <c:scaling>
          <c:orientation val="minMax"/>
          <c:max val="0.60000000000000009"/>
          <c:min val="0.4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79552"/>
        <c:crosses val="max"/>
        <c:crossBetween val="between"/>
      </c:valAx>
      <c:dateAx>
        <c:axId val="262479552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24789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0435694444444444E-2"/>
          <c:y val="0.11677345679012344"/>
          <c:w val="0.98041690821256033"/>
          <c:h val="0.79797870370370372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'图-用户-公式'!$C$54</c:f>
              <c:strCache>
                <c:ptCount val="1"/>
                <c:pt idx="0">
                  <c:v>登录用户数(万)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'图-用户-公式'!$D$54:$P$54</c:f>
              <c:numCache>
                <c:formatCode>#,##0_);[Red]\(#,##0\)</c:formatCode>
                <c:ptCount val="13"/>
                <c:pt idx="0">
                  <c:v>689705</c:v>
                </c:pt>
                <c:pt idx="1">
                  <c:v>644802</c:v>
                </c:pt>
                <c:pt idx="2">
                  <c:v>684925</c:v>
                </c:pt>
                <c:pt idx="3">
                  <c:v>678872</c:v>
                </c:pt>
                <c:pt idx="4">
                  <c:v>731364</c:v>
                </c:pt>
                <c:pt idx="5">
                  <c:v>727318</c:v>
                </c:pt>
                <c:pt idx="6">
                  <c:v>662285</c:v>
                </c:pt>
                <c:pt idx="7">
                  <c:v>740143</c:v>
                </c:pt>
                <c:pt idx="8">
                  <c:v>630690</c:v>
                </c:pt>
                <c:pt idx="9">
                  <c:v>652775</c:v>
                </c:pt>
                <c:pt idx="10">
                  <c:v>617800</c:v>
                </c:pt>
                <c:pt idx="11">
                  <c:v>601325</c:v>
                </c:pt>
                <c:pt idx="12">
                  <c:v>609080</c:v>
                </c:pt>
              </c:numCache>
            </c:numRef>
          </c:val>
        </c:ser>
        <c:ser>
          <c:idx val="1"/>
          <c:order val="2"/>
          <c:tx>
            <c:strRef>
              <c:f>'图-用户-公式'!$C$57</c:f>
              <c:strCache>
                <c:ptCount val="1"/>
                <c:pt idx="0">
                  <c:v>匿名用户数(万)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'图-用户-公式'!$D$57:$P$57</c:f>
              <c:numCache>
                <c:formatCode>#,##0_);[Red]\(#,##0\)</c:formatCode>
                <c:ptCount val="13"/>
                <c:pt idx="0">
                  <c:v>542625</c:v>
                </c:pt>
                <c:pt idx="1">
                  <c:v>532378</c:v>
                </c:pt>
                <c:pt idx="2">
                  <c:v>590113</c:v>
                </c:pt>
                <c:pt idx="3">
                  <c:v>571895</c:v>
                </c:pt>
                <c:pt idx="4">
                  <c:v>494167</c:v>
                </c:pt>
                <c:pt idx="5">
                  <c:v>528762</c:v>
                </c:pt>
                <c:pt idx="6">
                  <c:v>492558</c:v>
                </c:pt>
                <c:pt idx="7">
                  <c:v>562067</c:v>
                </c:pt>
                <c:pt idx="8">
                  <c:v>503457</c:v>
                </c:pt>
                <c:pt idx="9">
                  <c:v>518224</c:v>
                </c:pt>
                <c:pt idx="10">
                  <c:v>506778</c:v>
                </c:pt>
                <c:pt idx="11">
                  <c:v>488548</c:v>
                </c:pt>
                <c:pt idx="12">
                  <c:v>476740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2484032"/>
        <c:axId val="262484592"/>
      </c:barChart>
      <c:lineChart>
        <c:grouping val="standard"/>
        <c:varyColors val="0"/>
        <c:ser>
          <c:idx val="2"/>
          <c:order val="0"/>
          <c:tx>
            <c:strRef>
              <c:f>'图-用户-公式'!$C$51</c:f>
              <c:strCache>
                <c:ptCount val="1"/>
                <c:pt idx="0">
                  <c:v>娱乐用户数(万)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'图-用户-公式'!$D$51:$P$51</c:f>
              <c:numCache>
                <c:formatCode>#,##0_);[Red]\(#,##0\)</c:formatCode>
                <c:ptCount val="13"/>
                <c:pt idx="0">
                  <c:v>1232330</c:v>
                </c:pt>
                <c:pt idx="1">
                  <c:v>1177180</c:v>
                </c:pt>
                <c:pt idx="2">
                  <c:v>1275038</c:v>
                </c:pt>
                <c:pt idx="3">
                  <c:v>1250767</c:v>
                </c:pt>
                <c:pt idx="4">
                  <c:v>1225531</c:v>
                </c:pt>
                <c:pt idx="5">
                  <c:v>1256080</c:v>
                </c:pt>
                <c:pt idx="6">
                  <c:v>1154843</c:v>
                </c:pt>
                <c:pt idx="7">
                  <c:v>1302210</c:v>
                </c:pt>
                <c:pt idx="8">
                  <c:v>1134147</c:v>
                </c:pt>
                <c:pt idx="9">
                  <c:v>1170999</c:v>
                </c:pt>
                <c:pt idx="10">
                  <c:v>1124578</c:v>
                </c:pt>
                <c:pt idx="11">
                  <c:v>1089873</c:v>
                </c:pt>
                <c:pt idx="12">
                  <c:v>1085820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84032"/>
        <c:axId val="262484592"/>
      </c:lineChart>
      <c:lineChart>
        <c:grouping val="standard"/>
        <c:varyColors val="0"/>
        <c:ser>
          <c:idx val="3"/>
          <c:order val="3"/>
          <c:tx>
            <c:strRef>
              <c:f>'图-用户-公式'!$C$60</c:f>
              <c:strCache>
                <c:ptCount val="1"/>
                <c:pt idx="0">
                  <c:v>登录率</c:v>
                </c:pt>
              </c:strCache>
            </c:strRef>
          </c:tx>
          <c:spPr>
            <a:ln w="38100" cap="rnd">
              <a:solidFill>
                <a:srgbClr val="D354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'图-用户-公式'!$D$60:$P$60</c:f>
              <c:numCache>
                <c:formatCode>0.0%</c:formatCode>
                <c:ptCount val="13"/>
                <c:pt idx="0">
                  <c:v>0.55967557391283174</c:v>
                </c:pt>
                <c:pt idx="1">
                  <c:v>0.54775140590224092</c:v>
                </c:pt>
                <c:pt idx="2">
                  <c:v>0.53718006835874699</c:v>
                </c:pt>
                <c:pt idx="3">
                  <c:v>0.54276455966618886</c:v>
                </c:pt>
                <c:pt idx="4">
                  <c:v>0.59677315384106966</c:v>
                </c:pt>
                <c:pt idx="5">
                  <c:v>0.5790379593656455</c:v>
                </c:pt>
                <c:pt idx="6">
                  <c:v>0.57348488062879543</c:v>
                </c:pt>
                <c:pt idx="7">
                  <c:v>0.56837453252547587</c:v>
                </c:pt>
                <c:pt idx="8">
                  <c:v>0.55609193517242472</c:v>
                </c:pt>
                <c:pt idx="9">
                  <c:v>0.5574513727167999</c:v>
                </c:pt>
                <c:pt idx="10">
                  <c:v>0.54936162720593862</c:v>
                </c:pt>
                <c:pt idx="11">
                  <c:v>0.55173859706589667</c:v>
                </c:pt>
                <c:pt idx="12">
                  <c:v>0.56094011898841434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85712"/>
        <c:axId val="262485152"/>
      </c:lineChart>
      <c:catAx>
        <c:axId val="26248403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84592"/>
        <c:crosses val="autoZero"/>
        <c:auto val="1"/>
        <c:lblAlgn val="ctr"/>
        <c:lblOffset val="100"/>
        <c:tickLblSkip val="2"/>
        <c:noMultiLvlLbl val="1"/>
      </c:catAx>
      <c:valAx>
        <c:axId val="26248459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84032"/>
        <c:crosses val="autoZero"/>
        <c:crossBetween val="between"/>
        <c:dispUnits>
          <c:builtInUnit val="tenThousands"/>
        </c:dispUnits>
      </c:valAx>
      <c:valAx>
        <c:axId val="262485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2485712"/>
        <c:crosses val="max"/>
        <c:crossBetween val="between"/>
      </c:valAx>
      <c:dateAx>
        <c:axId val="262485712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248515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0435694444444444E-2"/>
          <c:y val="0.11677345679012344"/>
          <c:w val="0.97581545893719812"/>
          <c:h val="0.79797870370370372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'图-用户-公式'!$C$44</c:f>
              <c:strCache>
                <c:ptCount val="1"/>
                <c:pt idx="0">
                  <c:v>登录用户数-非内置(万)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'图-用户-公式'!$D$44:$P$44</c:f>
              <c:numCache>
                <c:formatCode>#,##0_);[Red]\(#,##0\)</c:formatCode>
                <c:ptCount val="13"/>
                <c:pt idx="0">
                  <c:v>1348103</c:v>
                </c:pt>
                <c:pt idx="1">
                  <c:v>1362077</c:v>
                </c:pt>
                <c:pt idx="2">
                  <c:v>1394299</c:v>
                </c:pt>
                <c:pt idx="3">
                  <c:v>1385186</c:v>
                </c:pt>
                <c:pt idx="4">
                  <c:v>1558259</c:v>
                </c:pt>
                <c:pt idx="5">
                  <c:v>1441922</c:v>
                </c:pt>
                <c:pt idx="6">
                  <c:v>1358635</c:v>
                </c:pt>
                <c:pt idx="7">
                  <c:v>1461014</c:v>
                </c:pt>
                <c:pt idx="8">
                  <c:v>1408589</c:v>
                </c:pt>
                <c:pt idx="9">
                  <c:v>1458645</c:v>
                </c:pt>
                <c:pt idx="10">
                  <c:v>1371988</c:v>
                </c:pt>
                <c:pt idx="11">
                  <c:v>1462618</c:v>
                </c:pt>
                <c:pt idx="12">
                  <c:v>1528286</c:v>
                </c:pt>
              </c:numCache>
            </c:numRef>
          </c:val>
        </c:ser>
        <c:ser>
          <c:idx val="4"/>
          <c:order val="2"/>
          <c:tx>
            <c:strRef>
              <c:f>'图-用户-公式'!$C$45</c:f>
              <c:strCache>
                <c:ptCount val="1"/>
                <c:pt idx="0">
                  <c:v>登录用户数-内置(万)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'图-用户-公式'!$D$45:$P$45</c:f>
              <c:numCache>
                <c:formatCode>#,##0_);[Red]\(#,##0\)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76943</c:v>
                </c:pt>
                <c:pt idx="11">
                  <c:v>374624</c:v>
                </c:pt>
                <c:pt idx="12">
                  <c:v>1068712</c:v>
                </c:pt>
              </c:numCache>
            </c:numRef>
          </c:val>
        </c:ser>
        <c:ser>
          <c:idx val="5"/>
          <c:order val="3"/>
          <c:tx>
            <c:strRef>
              <c:f>'图-用户-公式'!$C$47</c:f>
              <c:strCache>
                <c:ptCount val="1"/>
                <c:pt idx="0">
                  <c:v>匿名用户数-非内置(万)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'图-用户-公式'!$D$47:$P$47</c:f>
              <c:numCache>
                <c:formatCode>#,##0_);[Red]\(#,##0\)</c:formatCode>
                <c:ptCount val="13"/>
                <c:pt idx="0">
                  <c:v>2318151</c:v>
                </c:pt>
                <c:pt idx="1">
                  <c:v>2776854</c:v>
                </c:pt>
                <c:pt idx="2">
                  <c:v>2954520</c:v>
                </c:pt>
                <c:pt idx="3">
                  <c:v>2809021</c:v>
                </c:pt>
                <c:pt idx="4">
                  <c:v>2920756</c:v>
                </c:pt>
                <c:pt idx="5">
                  <c:v>2996835</c:v>
                </c:pt>
                <c:pt idx="6">
                  <c:v>2253028</c:v>
                </c:pt>
                <c:pt idx="7">
                  <c:v>2734385</c:v>
                </c:pt>
                <c:pt idx="8">
                  <c:v>2318652</c:v>
                </c:pt>
                <c:pt idx="9">
                  <c:v>2825013</c:v>
                </c:pt>
                <c:pt idx="10">
                  <c:v>2390706</c:v>
                </c:pt>
                <c:pt idx="11">
                  <c:v>2883842</c:v>
                </c:pt>
                <c:pt idx="12">
                  <c:v>3088212</c:v>
                </c:pt>
              </c:numCache>
            </c:numRef>
          </c:val>
        </c:ser>
        <c:ser>
          <c:idx val="1"/>
          <c:order val="4"/>
          <c:tx>
            <c:strRef>
              <c:f>'图-用户-公式'!$C$48</c:f>
              <c:strCache>
                <c:ptCount val="1"/>
                <c:pt idx="0">
                  <c:v>匿名用户数-内置(万)</c:v>
                </c:pt>
              </c:strCache>
            </c:strRef>
          </c:tx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'图-用户-公式'!$D$48:$P$48</c:f>
              <c:numCache>
                <c:formatCode>#,##0_);[Red]\(#,##0\)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744509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3078752"/>
        <c:axId val="263079312"/>
      </c:barChart>
      <c:lineChart>
        <c:grouping val="standard"/>
        <c:varyColors val="0"/>
        <c:ser>
          <c:idx val="2"/>
          <c:order val="0"/>
          <c:tx>
            <c:strRef>
              <c:f>'图-用户-公式'!$C$40</c:f>
              <c:strCache>
                <c:ptCount val="1"/>
                <c:pt idx="0">
                  <c:v>游戏用户数(万)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'图-用户-公式'!$D$40:$P$40</c:f>
              <c:numCache>
                <c:formatCode>#,##0_);[Red]\(#,##0\)</c:formatCode>
                <c:ptCount val="13"/>
                <c:pt idx="0">
                  <c:v>3666254</c:v>
                </c:pt>
                <c:pt idx="1">
                  <c:v>4138931</c:v>
                </c:pt>
                <c:pt idx="2">
                  <c:v>4348819</c:v>
                </c:pt>
                <c:pt idx="3">
                  <c:v>4194207</c:v>
                </c:pt>
                <c:pt idx="4">
                  <c:v>4479015</c:v>
                </c:pt>
                <c:pt idx="5">
                  <c:v>4438757</c:v>
                </c:pt>
                <c:pt idx="6">
                  <c:v>3611663</c:v>
                </c:pt>
                <c:pt idx="7">
                  <c:v>4195399</c:v>
                </c:pt>
                <c:pt idx="8">
                  <c:v>3727241</c:v>
                </c:pt>
                <c:pt idx="9">
                  <c:v>4283658</c:v>
                </c:pt>
                <c:pt idx="10">
                  <c:v>3839637</c:v>
                </c:pt>
                <c:pt idx="11">
                  <c:v>4721084</c:v>
                </c:pt>
                <c:pt idx="12">
                  <c:v>6429719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78752"/>
        <c:axId val="263079312"/>
      </c:lineChart>
      <c:lineChart>
        <c:grouping val="standard"/>
        <c:varyColors val="0"/>
        <c:ser>
          <c:idx val="3"/>
          <c:order val="5"/>
          <c:tx>
            <c:strRef>
              <c:f>'图-用户-公式'!$C$50</c:f>
              <c:strCache>
                <c:ptCount val="1"/>
                <c:pt idx="0">
                  <c:v>登录率(除内置)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'图-用户-公式'!$D$50:$P$50</c:f>
              <c:numCache>
                <c:formatCode>0.0%</c:formatCode>
                <c:ptCount val="13"/>
                <c:pt idx="0">
                  <c:v>0.36770583816614999</c:v>
                </c:pt>
                <c:pt idx="1">
                  <c:v>0.32908908121444885</c:v>
                </c:pt>
                <c:pt idx="2">
                  <c:v>0.32061555102661204</c:v>
                </c:pt>
                <c:pt idx="3">
                  <c:v>0.33026171574268987</c:v>
                </c:pt>
                <c:pt idx="4">
                  <c:v>0.34790216152435299</c:v>
                </c:pt>
                <c:pt idx="5">
                  <c:v>0.32484815005642348</c:v>
                </c:pt>
                <c:pt idx="6">
                  <c:v>0.37617989275300601</c:v>
                </c:pt>
                <c:pt idx="7">
                  <c:v>0.34824196697382059</c:v>
                </c:pt>
                <c:pt idx="8">
                  <c:v>0.37791733885734785</c:v>
                </c:pt>
                <c:pt idx="9">
                  <c:v>0.34051387855893256</c:v>
                </c:pt>
                <c:pt idx="10">
                  <c:v>0.36462917260877448</c:v>
                </c:pt>
                <c:pt idx="11">
                  <c:v>0.33650787077299688</c:v>
                </c:pt>
                <c:pt idx="12">
                  <c:v>0.33104877333424598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80432"/>
        <c:axId val="263079872"/>
      </c:lineChart>
      <c:catAx>
        <c:axId val="26307875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79312"/>
        <c:crosses val="autoZero"/>
        <c:auto val="1"/>
        <c:lblAlgn val="ctr"/>
        <c:lblOffset val="100"/>
        <c:tickLblSkip val="2"/>
        <c:noMultiLvlLbl val="1"/>
      </c:catAx>
      <c:valAx>
        <c:axId val="26307931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78752"/>
        <c:crosses val="autoZero"/>
        <c:crossBetween val="between"/>
        <c:dispUnits>
          <c:builtInUnit val="tenThousands"/>
        </c:dispUnits>
      </c:valAx>
      <c:valAx>
        <c:axId val="26307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80432"/>
        <c:crosses val="max"/>
        <c:crossBetween val="between"/>
      </c:valAx>
      <c:dateAx>
        <c:axId val="263080432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307987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9.6211111111111098E-3"/>
          <c:y val="2.6458333333333334E-2"/>
          <c:w val="0.98428555555555564"/>
          <c:h val="0.24557291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29894179894181E-2"/>
          <c:y val="3.7299573777146336E-2"/>
          <c:w val="0.86102566137566139"/>
          <c:h val="0.8664065354170894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'图-新用户-公式'!$C$5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'图-新用户-公式'!$D$5:$I$5</c:f>
              <c:numCache>
                <c:formatCode>#,##0_ </c:formatCode>
                <c:ptCount val="6"/>
                <c:pt idx="0">
                  <c:v>104233</c:v>
                </c:pt>
                <c:pt idx="1">
                  <c:v>88702</c:v>
                </c:pt>
                <c:pt idx="2">
                  <c:v>88112</c:v>
                </c:pt>
                <c:pt idx="3">
                  <c:v>75969</c:v>
                </c:pt>
                <c:pt idx="4">
                  <c:v>82098</c:v>
                </c:pt>
                <c:pt idx="5">
                  <c:v>85271</c:v>
                </c:pt>
              </c:numCache>
            </c:numRef>
          </c:val>
        </c:ser>
        <c:ser>
          <c:idx val="2"/>
          <c:order val="2"/>
          <c:tx>
            <c:strRef>
              <c:f>'图-新用户-公式'!$C$6</c:f>
              <c:strCache>
                <c:ptCount val="1"/>
                <c:pt idx="0">
                  <c:v>手机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'图-新用户-公式'!$D$6:$I$6</c:f>
              <c:numCache>
                <c:formatCode>#,##0_ </c:formatCode>
                <c:ptCount val="6"/>
                <c:pt idx="0">
                  <c:v>113327</c:v>
                </c:pt>
                <c:pt idx="1">
                  <c:v>96157</c:v>
                </c:pt>
                <c:pt idx="2">
                  <c:v>113828</c:v>
                </c:pt>
                <c:pt idx="3">
                  <c:v>106935</c:v>
                </c:pt>
                <c:pt idx="4">
                  <c:v>122762</c:v>
                </c:pt>
                <c:pt idx="5">
                  <c:v>135931</c:v>
                </c:pt>
              </c:numCache>
            </c:numRef>
          </c:val>
        </c:ser>
        <c:ser>
          <c:idx val="3"/>
          <c:order val="3"/>
          <c:tx>
            <c:strRef>
              <c:f>'图-新用户-公式'!$C$7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'图-新用户-公式'!$D$7:$I$7</c:f>
              <c:numCache>
                <c:formatCode>#,##0_ </c:formatCode>
                <c:ptCount val="6"/>
                <c:pt idx="0">
                  <c:v>114745</c:v>
                </c:pt>
                <c:pt idx="1">
                  <c:v>105393</c:v>
                </c:pt>
                <c:pt idx="2">
                  <c:v>110759</c:v>
                </c:pt>
                <c:pt idx="3">
                  <c:v>96378</c:v>
                </c:pt>
                <c:pt idx="4">
                  <c:v>105599</c:v>
                </c:pt>
                <c:pt idx="5">
                  <c:v>120162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3085472"/>
        <c:axId val="263086032"/>
      </c:barChart>
      <c:lineChart>
        <c:grouping val="standard"/>
        <c:varyColors val="0"/>
        <c:ser>
          <c:idx val="0"/>
          <c:order val="0"/>
          <c:tx>
            <c:strRef>
              <c:f>'图-新用户-公式'!$C$4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'图-新用户-公式'!$D$4:$I$4</c:f>
              <c:numCache>
                <c:formatCode>#,##0_ </c:formatCode>
                <c:ptCount val="6"/>
                <c:pt idx="0">
                  <c:v>330306</c:v>
                </c:pt>
                <c:pt idx="1">
                  <c:v>289124</c:v>
                </c:pt>
                <c:pt idx="2">
                  <c:v>312572</c:v>
                </c:pt>
                <c:pt idx="3">
                  <c:v>279149</c:v>
                </c:pt>
                <c:pt idx="4">
                  <c:v>311232</c:v>
                </c:pt>
                <c:pt idx="5">
                  <c:v>347502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85472"/>
        <c:axId val="263086032"/>
      </c:lineChart>
      <c:dateAx>
        <c:axId val="263085472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86032"/>
        <c:crosses val="autoZero"/>
        <c:auto val="1"/>
        <c:lblOffset val="100"/>
        <c:baseTimeUnit val="months"/>
      </c:dateAx>
      <c:valAx>
        <c:axId val="263086032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85472"/>
        <c:crosses val="autoZero"/>
        <c:crossBetween val="between"/>
        <c:majorUnit val="50000"/>
        <c:dispUnits>
          <c:builtInUnit val="tenThousands"/>
          <c:dispUnitsLbl>
            <c:layout>
              <c:manualLayout>
                <c:xMode val="edge"/>
                <c:yMode val="edge"/>
                <c:x val="0.86853544973544972"/>
                <c:y val="0.12990381944444446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sz="1000"/>
                    <a:t>(</a:t>
                  </a:r>
                  <a:r>
                    <a:rPr lang="zh-CN" altLang="en-US" sz="1000"/>
                    <a:t>万人</a:t>
                  </a:r>
                  <a:r>
                    <a:rPr lang="en-US" sz="1000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523677248677244"/>
          <c:y val="0.21722222222222223"/>
          <c:w val="0.1347632275132275"/>
          <c:h val="0.6846180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67195767196E-2"/>
          <c:y val="9.1374999999999998E-2"/>
          <c:w val="0.92608465608465607"/>
          <c:h val="0.78618194444444445"/>
        </c:manualLayout>
      </c:layout>
      <c:lineChart>
        <c:grouping val="standard"/>
        <c:varyColors val="0"/>
        <c:ser>
          <c:idx val="1"/>
          <c:order val="0"/>
          <c:tx>
            <c:strRef>
              <c:f>'图-新用户-公式'!$C$310</c:f>
              <c:strCache>
                <c:ptCount val="1"/>
                <c:pt idx="0">
                  <c:v>娱乐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092777777777777E-2"/>
                  <c:y val="-6.0729910570674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'图-新用户-公式'!$D$307:$I$307</c:f>
              <c:numCache>
                <c:formatCode>yy/m</c:formatCode>
                <c:ptCount val="6"/>
                <c:pt idx="0">
                  <c:v>88702</c:v>
                </c:pt>
                <c:pt idx="1">
                  <c:v>88112</c:v>
                </c:pt>
                <c:pt idx="2">
                  <c:v>75969</c:v>
                </c:pt>
                <c:pt idx="3">
                  <c:v>82098</c:v>
                </c:pt>
                <c:pt idx="4">
                  <c:v>85271</c:v>
                </c:pt>
                <c:pt idx="5">
                  <c:v>0</c:v>
                </c:pt>
              </c:numCache>
            </c:numRef>
          </c:cat>
          <c:val>
            <c:numRef>
              <c:f>'图-新用户-公式'!$D$310:$I$310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'图-新用户-公式'!$C$309</c:f>
              <c:strCache>
                <c:ptCount val="1"/>
                <c:pt idx="0">
                  <c:v>游戏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092777777777777E-2"/>
                  <c:y val="-6.0729910570674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'图-新用户-公式'!$D$307:$I$307</c:f>
              <c:numCache>
                <c:formatCode>yy/m</c:formatCode>
                <c:ptCount val="6"/>
                <c:pt idx="0">
                  <c:v>88702</c:v>
                </c:pt>
                <c:pt idx="1">
                  <c:v>88112</c:v>
                </c:pt>
                <c:pt idx="2">
                  <c:v>75969</c:v>
                </c:pt>
                <c:pt idx="3">
                  <c:v>82098</c:v>
                </c:pt>
                <c:pt idx="4">
                  <c:v>85271</c:v>
                </c:pt>
                <c:pt idx="5">
                  <c:v>0</c:v>
                </c:pt>
              </c:numCache>
            </c:numRef>
          </c:cat>
          <c:val>
            <c:numRef>
              <c:f>'图-新用户-公式'!$D$309:$I$309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89392"/>
        <c:axId val="263089952"/>
      </c:lineChart>
      <c:dateAx>
        <c:axId val="263089392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89952"/>
        <c:crosses val="autoZero"/>
        <c:auto val="1"/>
        <c:lblOffset val="100"/>
        <c:baseTimeUnit val="months"/>
      </c:dateAx>
      <c:valAx>
        <c:axId val="263089952"/>
        <c:scaling>
          <c:orientation val="minMax"/>
          <c:min val="0.4"/>
        </c:scaling>
        <c:delete val="0"/>
        <c:axPos val="l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893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22222222222221E-2"/>
          <c:y val="8.8878124999999988E-2"/>
          <c:w val="0.95413888888888898"/>
          <c:h val="0.81100625000000004"/>
        </c:manualLayout>
      </c:layout>
      <c:lineChart>
        <c:grouping val="standard"/>
        <c:varyColors val="0"/>
        <c:ser>
          <c:idx val="1"/>
          <c:order val="0"/>
          <c:tx>
            <c:strRef>
              <c:f>'图-新用户-公式'!$C$313</c:f>
              <c:strCache>
                <c:ptCount val="1"/>
                <c:pt idx="0">
                  <c:v>娱乐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92089947089947"/>
                  <c:y val="3.154999999999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'图-新用户-公式'!$D$307:$I$307</c:f>
              <c:numCache>
                <c:formatCode>yy/m</c:formatCode>
                <c:ptCount val="6"/>
                <c:pt idx="0">
                  <c:v>88702</c:v>
                </c:pt>
                <c:pt idx="1">
                  <c:v>88112</c:v>
                </c:pt>
                <c:pt idx="2">
                  <c:v>75969</c:v>
                </c:pt>
                <c:pt idx="3">
                  <c:v>82098</c:v>
                </c:pt>
                <c:pt idx="4">
                  <c:v>85271</c:v>
                </c:pt>
                <c:pt idx="5">
                  <c:v>0</c:v>
                </c:pt>
              </c:numCache>
            </c:numRef>
          </c:cat>
          <c:val>
            <c:numRef>
              <c:f>'图-新用户-公式'!$D$313:$I$313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'图-新用户-公式'!$C$312</c:f>
              <c:strCache>
                <c:ptCount val="1"/>
                <c:pt idx="0">
                  <c:v>游戏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332222222222351E-2"/>
                  <c:y val="-4.4388149005983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'图-新用户-公式'!$D$307:$I$307</c:f>
              <c:numCache>
                <c:formatCode>yy/m</c:formatCode>
                <c:ptCount val="6"/>
                <c:pt idx="0">
                  <c:v>88702</c:v>
                </c:pt>
                <c:pt idx="1">
                  <c:v>88112</c:v>
                </c:pt>
                <c:pt idx="2">
                  <c:v>75969</c:v>
                </c:pt>
                <c:pt idx="3">
                  <c:v>82098</c:v>
                </c:pt>
                <c:pt idx="4">
                  <c:v>85271</c:v>
                </c:pt>
                <c:pt idx="5">
                  <c:v>0</c:v>
                </c:pt>
              </c:numCache>
            </c:numRef>
          </c:cat>
          <c:val>
            <c:numRef>
              <c:f>'图-新用户-公式'!$D$312:$I$312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93312"/>
        <c:axId val="263093872"/>
      </c:lineChart>
      <c:dateAx>
        <c:axId val="263093312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93872"/>
        <c:crosses val="autoZero"/>
        <c:auto val="1"/>
        <c:lblOffset val="100"/>
        <c:baseTimeUnit val="months"/>
      </c:dateAx>
      <c:valAx>
        <c:axId val="263093872"/>
        <c:scaling>
          <c:orientation val="minMax"/>
          <c:min val="1.0000000000000002E-2"/>
        </c:scaling>
        <c:delete val="0"/>
        <c:axPos val="l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6798941798941799E-2"/>
          <c:y val="0.18079861111111112"/>
          <c:w val="0.96304232804232814"/>
          <c:h val="0.7190857638888889"/>
        </c:manualLayout>
      </c:layout>
      <c:lineChart>
        <c:grouping val="standard"/>
        <c:varyColors val="0"/>
        <c:ser>
          <c:idx val="2"/>
          <c:order val="0"/>
          <c:tx>
            <c:strRef>
              <c:f>'图-新用户-公式'!$C$125</c:f>
              <c:strCache>
                <c:ptCount val="1"/>
                <c:pt idx="0">
                  <c:v>娱乐次日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'图-新用户-公式'!$D$125:$I$125</c:f>
              <c:numCache>
                <c:formatCode>0.0%</c:formatCode>
                <c:ptCount val="6"/>
                <c:pt idx="0">
                  <c:v>0.16580645161290322</c:v>
                </c:pt>
                <c:pt idx="1">
                  <c:v>0.15400000000000003</c:v>
                </c:pt>
                <c:pt idx="2">
                  <c:v>0.14709677419354839</c:v>
                </c:pt>
                <c:pt idx="3">
                  <c:v>0.13800000000000001</c:v>
                </c:pt>
                <c:pt idx="4">
                  <c:v>0.13200000000000001</c:v>
                </c:pt>
                <c:pt idx="5">
                  <c:v>0.14899999999999999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'图-新用户-公式'!$C$124</c:f>
              <c:strCache>
                <c:ptCount val="1"/>
                <c:pt idx="0">
                  <c:v>游戏次日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'图-新用户-公式'!$D$124:$I$124</c:f>
              <c:numCache>
                <c:formatCode>0.0%</c:formatCode>
                <c:ptCount val="6"/>
                <c:pt idx="0">
                  <c:v>0.32870967741935481</c:v>
                </c:pt>
                <c:pt idx="1">
                  <c:v>0.30166666666666669</c:v>
                </c:pt>
                <c:pt idx="2">
                  <c:v>0.31290322580645158</c:v>
                </c:pt>
                <c:pt idx="3">
                  <c:v>0.32900000000000001</c:v>
                </c:pt>
                <c:pt idx="4">
                  <c:v>0.317</c:v>
                </c:pt>
                <c:pt idx="5">
                  <c:v>0.36399999999999999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'图-新用户-公式'!$C$127</c:f>
              <c:strCache>
                <c:ptCount val="1"/>
                <c:pt idx="0">
                  <c:v>娱乐七日</c:v>
                </c:pt>
              </c:strCache>
            </c:strRef>
          </c:tx>
          <c:spPr>
            <a:ln w="38100" cap="rnd">
              <a:solidFill>
                <a:srgbClr val="E67E2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'图-新用户-公式'!$D$127:$I$127</c:f>
              <c:numCache>
                <c:formatCode>0.0%</c:formatCode>
                <c:ptCount val="6"/>
                <c:pt idx="0">
                  <c:v>6.3870967741935514E-2</c:v>
                </c:pt>
                <c:pt idx="1">
                  <c:v>5.1666666666666687E-2</c:v>
                </c:pt>
                <c:pt idx="2">
                  <c:v>5.4516129032258082E-2</c:v>
                </c:pt>
                <c:pt idx="3">
                  <c:v>4.8000000000000001E-2</c:v>
                </c:pt>
                <c:pt idx="4">
                  <c:v>4.3999999999999997E-2</c:v>
                </c:pt>
                <c:pt idx="5">
                  <c:v>4.8000000000000001E-2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'图-新用户-公式'!$C$126</c:f>
              <c:strCache>
                <c:ptCount val="1"/>
                <c:pt idx="0">
                  <c:v>游戏七日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4100264550264555E-2"/>
                  <c:y val="-5.4526041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23968253968255"/>
                      <c:h val="0.11974618055555555"/>
                    </c:manualLayout>
                  </c15:layout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'图-新用户-公式'!$D$126:$I$126</c:f>
              <c:numCache>
                <c:formatCode>0.0%</c:formatCode>
                <c:ptCount val="6"/>
                <c:pt idx="0">
                  <c:v>0.17612903225806459</c:v>
                </c:pt>
                <c:pt idx="1">
                  <c:v>0.1556666666666667</c:v>
                </c:pt>
                <c:pt idx="2">
                  <c:v>0.15935483870967745</c:v>
                </c:pt>
                <c:pt idx="3">
                  <c:v>0.16900000000000001</c:v>
                </c:pt>
                <c:pt idx="4">
                  <c:v>0.154</c:v>
                </c:pt>
                <c:pt idx="5">
                  <c:v>0.17799999999999999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98352"/>
        <c:axId val="263098912"/>
      </c:lineChart>
      <c:catAx>
        <c:axId val="263098352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098912"/>
        <c:crosses val="autoZero"/>
        <c:auto val="1"/>
        <c:lblAlgn val="ctr"/>
        <c:lblOffset val="100"/>
        <c:noMultiLvlLbl val="1"/>
      </c:catAx>
      <c:valAx>
        <c:axId val="26309891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63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4748677248677246E-2"/>
          <c:y val="2.6458333333333334E-2"/>
          <c:w val="0.89370370370370367"/>
          <c:h val="0.16151041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46825396825398E-2"/>
          <c:y val="0.20325208333333333"/>
          <c:w val="0.96942592592592602"/>
          <c:h val="0.69635347222222221"/>
        </c:manualLayout>
      </c:layout>
      <c:lineChart>
        <c:grouping val="standard"/>
        <c:varyColors val="0"/>
        <c:ser>
          <c:idx val="0"/>
          <c:order val="0"/>
          <c:tx>
            <c:strRef>
              <c:f>'图-新用户-公式'!$C$118</c:f>
              <c:strCache>
                <c:ptCount val="1"/>
                <c:pt idx="0">
                  <c:v>PC次日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3142592592592592E-2"/>
                  <c:y val="3.4682638888888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011415343915344E-2"/>
                  <c:y val="2.7472743055555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1563492063492"/>
                      <c:h val="9.46326388888888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'图-新用户-公式'!$D$118:$I$118</c:f>
              <c:numCache>
                <c:formatCode>0.0%</c:formatCode>
                <c:ptCount val="6"/>
                <c:pt idx="0">
                  <c:v>0.16700000000000001</c:v>
                </c:pt>
                <c:pt idx="1">
                  <c:v>0.16900000000000001</c:v>
                </c:pt>
                <c:pt idx="2">
                  <c:v>0.183</c:v>
                </c:pt>
                <c:pt idx="3">
                  <c:v>0.187</c:v>
                </c:pt>
                <c:pt idx="4">
                  <c:v>0.17299999999999999</c:v>
                </c:pt>
                <c:pt idx="5">
                  <c:v>0.20899999999999999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'图-新用户-公式'!$C$119</c:f>
              <c:strCache>
                <c:ptCount val="1"/>
                <c:pt idx="0">
                  <c:v>手机次日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'图-新用户-公式'!$D$119:$I$119</c:f>
              <c:numCache>
                <c:formatCode>0.0%</c:formatCode>
                <c:ptCount val="6"/>
                <c:pt idx="0">
                  <c:v>0.52903225799999998</c:v>
                </c:pt>
                <c:pt idx="1">
                  <c:v>0.49233333299999998</c:v>
                </c:pt>
                <c:pt idx="2">
                  <c:v>0.49032258099999998</c:v>
                </c:pt>
                <c:pt idx="3">
                  <c:v>0.499</c:v>
                </c:pt>
                <c:pt idx="4">
                  <c:v>0.46300000000000002</c:v>
                </c:pt>
                <c:pt idx="5">
                  <c:v>0.48799999999999999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'图-新用户-公式'!$C$120</c:f>
              <c:strCache>
                <c:ptCount val="1"/>
                <c:pt idx="0">
                  <c:v>Web次日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6502380952380947E-2"/>
                  <c:y val="3.1463541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678835978836102E-2"/>
                  <c:y val="-4.9520659722222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78730158730158"/>
                      <c:h val="9.46326388888888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C3E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'图-新用户-公式'!$D$120:$I$120</c:f>
              <c:numCache>
                <c:formatCode>0.0%</c:formatCode>
                <c:ptCount val="6"/>
                <c:pt idx="0">
                  <c:v>0.21483870999999999</c:v>
                </c:pt>
                <c:pt idx="1">
                  <c:v>0.19566666699999999</c:v>
                </c:pt>
                <c:pt idx="2">
                  <c:v>0.190967742</c:v>
                </c:pt>
                <c:pt idx="3">
                  <c:v>0.19900000000000001</c:v>
                </c:pt>
                <c:pt idx="4">
                  <c:v>0.218</c:v>
                </c:pt>
                <c:pt idx="5">
                  <c:v>0.245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'图-新用户-公式'!$C$121</c:f>
              <c:strCache>
                <c:ptCount val="1"/>
                <c:pt idx="0">
                  <c:v>PC七日</c:v>
                </c:pt>
              </c:strCache>
            </c:strRef>
          </c:tx>
          <c:spPr>
            <a:ln w="38100" cap="rnd">
              <a:solidFill>
                <a:srgbClr val="006699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61640211640216E-2"/>
                  <c:y val="3.468263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'图-新用户-公式'!$D$121:$I$121</c:f>
              <c:numCache>
                <c:formatCode>0.0%</c:formatCode>
                <c:ptCount val="6"/>
                <c:pt idx="0">
                  <c:v>6.5000000000000002E-2</c:v>
                </c:pt>
                <c:pt idx="1">
                  <c:v>0.06</c:v>
                </c:pt>
                <c:pt idx="2">
                  <c:v>6.9000000000000006E-2</c:v>
                </c:pt>
                <c:pt idx="3">
                  <c:v>7.4999999999999997E-2</c:v>
                </c:pt>
                <c:pt idx="4">
                  <c:v>6.2E-2</c:v>
                </c:pt>
                <c:pt idx="5">
                  <c:v>7.2999999999999995E-2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'图-新用户-公式'!$C$122</c:f>
              <c:strCache>
                <c:ptCount val="1"/>
                <c:pt idx="0">
                  <c:v>手机七日</c:v>
                </c:pt>
              </c:strCache>
            </c:strRef>
          </c:tx>
          <c:spPr>
            <a:ln w="38100" cap="rnd">
              <a:solidFill>
                <a:srgbClr val="E67E2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460052910052909E-2"/>
                  <c:y val="-6.114062500000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'图-新用户-公式'!$D$122:$I$122</c:f>
              <c:numCache>
                <c:formatCode>0.0%</c:formatCode>
                <c:ptCount val="6"/>
                <c:pt idx="0">
                  <c:v>0.29548387100000001</c:v>
                </c:pt>
                <c:pt idx="1">
                  <c:v>0.262333333</c:v>
                </c:pt>
                <c:pt idx="2">
                  <c:v>0.26645161299999998</c:v>
                </c:pt>
                <c:pt idx="3">
                  <c:v>0.27100000000000002</c:v>
                </c:pt>
                <c:pt idx="4">
                  <c:v>0.23499999999999999</c:v>
                </c:pt>
                <c:pt idx="5">
                  <c:v>0.20200000000000001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'图-新用户-公式'!$C$123</c:f>
              <c:strCache>
                <c:ptCount val="1"/>
                <c:pt idx="0">
                  <c:v>Web七日</c:v>
                </c:pt>
              </c:strCache>
            </c:strRef>
          </c:tx>
          <c:spPr>
            <a:ln w="38100" cap="rnd">
              <a:solidFill>
                <a:srgbClr val="34495E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6557142857142982E-2"/>
                  <c:y val="-4.7316319444444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03095238095238"/>
                      <c:h val="9.904236111111111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2C3E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'图-新用户-公式'!$D$115:$I$115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'图-新用户-公式'!$D$123:$I$123</c:f>
              <c:numCache>
                <c:formatCode>0.0%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7.9032257999999994E-2</c:v>
                </c:pt>
                <c:pt idx="3">
                  <c:v>7.9000000000000001E-2</c:v>
                </c:pt>
                <c:pt idx="4">
                  <c:v>8.6999999999999994E-2</c:v>
                </c:pt>
                <c:pt idx="5">
                  <c:v>9.9000000000000005E-2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104512"/>
        <c:axId val="263105072"/>
      </c:lineChart>
      <c:dateAx>
        <c:axId val="263104512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105072"/>
        <c:crosses val="autoZero"/>
        <c:auto val="1"/>
        <c:lblOffset val="100"/>
        <c:baseTimeUnit val="months"/>
      </c:dateAx>
      <c:valAx>
        <c:axId val="2631050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63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90396825396826E-2"/>
          <c:y val="2.6458333333333334E-2"/>
          <c:w val="0.90227116402116403"/>
          <c:h val="0.16731597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197883597883599E-2"/>
          <c:y val="0.10391319444444444"/>
          <c:w val="0.96669100529100527"/>
          <c:h val="0.800182986111111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'图-新用户-公式'!$C$64</c:f>
              <c:strCache>
                <c:ptCount val="1"/>
                <c:pt idx="0">
                  <c:v>游戏(h)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'图-新用户-公式'!$D$59:$I$59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'图-新用户-公式'!$D$64:$I$64</c:f>
              <c:numCache>
                <c:formatCode>0.00_ </c:formatCode>
                <c:ptCount val="6"/>
                <c:pt idx="0">
                  <c:v>1.1366392142052826</c:v>
                </c:pt>
                <c:pt idx="1">
                  <c:v>1.0204266631806622</c:v>
                </c:pt>
                <c:pt idx="2">
                  <c:v>1.0418315301836589</c:v>
                </c:pt>
                <c:pt idx="3">
                  <c:v>0.98814544353104772</c:v>
                </c:pt>
                <c:pt idx="4">
                  <c:v>0.93617979249790984</c:v>
                </c:pt>
                <c:pt idx="5">
                  <c:v>0.81030651520441443</c:v>
                </c:pt>
              </c:numCache>
            </c:numRef>
          </c:val>
        </c:ser>
        <c:ser>
          <c:idx val="2"/>
          <c:order val="1"/>
          <c:tx>
            <c:strRef>
              <c:f>'图-新用户-公式'!$C$65</c:f>
              <c:strCache>
                <c:ptCount val="1"/>
                <c:pt idx="0">
                  <c:v>娱乐(h)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'图-新用户-公式'!$D$59:$I$59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'图-新用户-公式'!$D$65:$I$65</c:f>
              <c:numCache>
                <c:formatCode>0.00_ </c:formatCode>
                <c:ptCount val="6"/>
                <c:pt idx="0">
                  <c:v>0.43861347424906749</c:v>
                </c:pt>
                <c:pt idx="1">
                  <c:v>0.34030628362702997</c:v>
                </c:pt>
                <c:pt idx="2">
                  <c:v>0.31194060230645598</c:v>
                </c:pt>
                <c:pt idx="3">
                  <c:v>0.27106798679867983</c:v>
                </c:pt>
                <c:pt idx="4">
                  <c:v>0.23228539710563625</c:v>
                </c:pt>
                <c:pt idx="5">
                  <c:v>0.14470814395563558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4074720"/>
        <c:axId val="264075280"/>
      </c:barChart>
      <c:dateAx>
        <c:axId val="264074720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75280"/>
        <c:crosses val="autoZero"/>
        <c:auto val="1"/>
        <c:lblOffset val="100"/>
        <c:baseTimeUnit val="months"/>
      </c:dateAx>
      <c:valAx>
        <c:axId val="264075280"/>
        <c:scaling>
          <c:orientation val="minMax"/>
          <c:min val="0"/>
        </c:scaling>
        <c:delete val="0"/>
        <c:axPos val="l"/>
        <c:numFmt formatCode="0.0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74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4173015873015874E-2"/>
          <c:y val="0.15008576388888889"/>
          <c:w val="0.97341058201058184"/>
          <c:h val="0.74538888888888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'图-新用户-公式'!$C$61</c:f>
              <c:strCache>
                <c:ptCount val="1"/>
                <c:pt idx="0">
                  <c:v>PC(h)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C3E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'图-新用户-公式'!$D$59:$I$59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'图-新用户-公式'!$D$61:$I$61</c:f>
              <c:numCache>
                <c:formatCode>0.00_ </c:formatCode>
                <c:ptCount val="6"/>
                <c:pt idx="0">
                  <c:v>1.2134317316953784</c:v>
                </c:pt>
                <c:pt idx="1">
                  <c:v>1.1576277372262773</c:v>
                </c:pt>
                <c:pt idx="2">
                  <c:v>1.2029232383402153</c:v>
                </c:pt>
                <c:pt idx="3">
                  <c:v>1.143246830879004</c:v>
                </c:pt>
                <c:pt idx="4">
                  <c:v>1.1077263179811265</c:v>
                </c:pt>
                <c:pt idx="5">
                  <c:v>0.9915044223270375</c:v>
                </c:pt>
              </c:numCache>
            </c:numRef>
          </c:val>
        </c:ser>
        <c:ser>
          <c:idx val="1"/>
          <c:order val="1"/>
          <c:tx>
            <c:strRef>
              <c:f>'图-新用户-公式'!$C$62</c:f>
              <c:strCache>
                <c:ptCount val="1"/>
                <c:pt idx="0">
                  <c:v>手机(h)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'图-新用户-公式'!$D$59:$I$59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'图-新用户-公式'!$D$62:$I$62</c:f>
              <c:numCache>
                <c:formatCode>0.00_ </c:formatCode>
                <c:ptCount val="6"/>
                <c:pt idx="0">
                  <c:v>0.95750923417877365</c:v>
                </c:pt>
                <c:pt idx="1">
                  <c:v>0.82767086568269466</c:v>
                </c:pt>
                <c:pt idx="2">
                  <c:v>0.8387831332521023</c:v>
                </c:pt>
                <c:pt idx="3">
                  <c:v>0.83361352129282851</c:v>
                </c:pt>
                <c:pt idx="4">
                  <c:v>0.79459007636608237</c:v>
                </c:pt>
                <c:pt idx="5">
                  <c:v>0.68766994069901488</c:v>
                </c:pt>
              </c:numCache>
            </c:numRef>
          </c:val>
        </c:ser>
        <c:ser>
          <c:idx val="2"/>
          <c:order val="2"/>
          <c:tx>
            <c:strRef>
              <c:f>'图-新用户-公式'!$C$63</c:f>
              <c:strCache>
                <c:ptCount val="1"/>
                <c:pt idx="0">
                  <c:v>Web(h)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'图-新用户-公式'!$D$59:$I$59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'图-新用户-公式'!$D$63:$I$63</c:f>
              <c:numCache>
                <c:formatCode>0.00_ </c:formatCode>
                <c:ptCount val="6"/>
                <c:pt idx="0">
                  <c:v>1.1225213332818502</c:v>
                </c:pt>
                <c:pt idx="1">
                  <c:v>0.98159195638414831</c:v>
                </c:pt>
                <c:pt idx="2">
                  <c:v>1.0067734425607604</c:v>
                </c:pt>
                <c:pt idx="3">
                  <c:v>0.90579237422920234</c:v>
                </c:pt>
                <c:pt idx="4">
                  <c:v>0.89741477373715839</c:v>
                </c:pt>
                <c:pt idx="5">
                  <c:v>0.76204407471332136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4079200"/>
        <c:axId val="264079760"/>
      </c:barChart>
      <c:dateAx>
        <c:axId val="264079200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79760"/>
        <c:crosses val="autoZero"/>
        <c:auto val="1"/>
        <c:lblOffset val="100"/>
        <c:baseTimeUnit val="months"/>
      </c:dateAx>
      <c:valAx>
        <c:axId val="264079760"/>
        <c:scaling>
          <c:orientation val="minMax"/>
          <c:min val="0"/>
        </c:scaling>
        <c:delete val="0"/>
        <c:axPos val="l"/>
        <c:numFmt formatCode="0.0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79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26719576719576E-2"/>
          <c:y val="4.0984027777777786E-2"/>
          <c:w val="0.77782910052910037"/>
          <c:h val="0.839232291666666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'图-新用户-公式'!$C$278</c:f>
              <c:strCache>
                <c:ptCount val="1"/>
                <c:pt idx="0">
                  <c:v>终端转化平台新增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'图-新用户-公式'!$D$277:$F$277</c:f>
              <c:strCache>
                <c:ptCount val="3"/>
                <c:pt idx="0">
                  <c:v>PC</c:v>
                </c:pt>
                <c:pt idx="1">
                  <c:v>手机</c:v>
                </c:pt>
                <c:pt idx="2">
                  <c:v>Web</c:v>
                </c:pt>
              </c:strCache>
            </c:strRef>
          </c:cat>
          <c:val>
            <c:numRef>
              <c:f>'图-新用户-公式'!$D$278:$F$278</c:f>
              <c:numCache>
                <c:formatCode>_ * #,##0_ ;_ * \-#,##0_ ;_ * "-"??_ ;_ @_ </c:formatCode>
                <c:ptCount val="3"/>
                <c:pt idx="0">
                  <c:v>23181.333333333332</c:v>
                </c:pt>
                <c:pt idx="1">
                  <c:v>5613</c:v>
                </c:pt>
                <c:pt idx="2">
                  <c:v>4832</c:v>
                </c:pt>
              </c:numCache>
            </c:numRef>
          </c:val>
        </c:ser>
        <c:ser>
          <c:idx val="1"/>
          <c:order val="1"/>
          <c:tx>
            <c:strRef>
              <c:f>'图-新用户-公式'!$C$279</c:f>
              <c:strCache>
                <c:ptCount val="1"/>
                <c:pt idx="0">
                  <c:v>其他终端转移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'图-新用户-公式'!$D$277:$F$277</c:f>
              <c:strCache>
                <c:ptCount val="3"/>
                <c:pt idx="0">
                  <c:v>PC</c:v>
                </c:pt>
                <c:pt idx="1">
                  <c:v>手机</c:v>
                </c:pt>
                <c:pt idx="2">
                  <c:v>Web</c:v>
                </c:pt>
              </c:strCache>
            </c:strRef>
          </c:cat>
          <c:val>
            <c:numRef>
              <c:f>'图-新用户-公式'!$D$279:$F$279</c:f>
              <c:numCache>
                <c:formatCode>_ * #,##0_ ;_ * \-#,##0_ ;_ * "-"??_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4083120"/>
        <c:axId val="264083680"/>
      </c:barChart>
      <c:catAx>
        <c:axId val="26408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83680"/>
        <c:crosses val="autoZero"/>
        <c:auto val="1"/>
        <c:lblAlgn val="ctr"/>
        <c:lblOffset val="100"/>
        <c:noMultiLvlLbl val="0"/>
      </c:catAx>
      <c:valAx>
        <c:axId val="264083680"/>
        <c:scaling>
          <c:orientation val="minMax"/>
          <c:max val="270000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5502645502645"/>
          <c:y val="0.33157673611111116"/>
          <c:w val="0.20327830687830689"/>
          <c:h val="0.548941319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175E-2"/>
          <c:y val="3.7299573777146336E-2"/>
          <c:w val="0.86472138888888894"/>
          <c:h val="0.866406535417089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'图-新用户-公式'!$C$9</c:f>
              <c:strCache>
                <c:ptCount val="1"/>
                <c:pt idx="0">
                  <c:v>娱乐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'图-新用户-公式'!$D$9:$I$9</c:f>
              <c:numCache>
                <c:formatCode>#,##0_ </c:formatCode>
                <c:ptCount val="6"/>
                <c:pt idx="0">
                  <c:v>76642</c:v>
                </c:pt>
                <c:pt idx="1">
                  <c:v>57750</c:v>
                </c:pt>
                <c:pt idx="2">
                  <c:v>61826</c:v>
                </c:pt>
                <c:pt idx="3">
                  <c:v>54280</c:v>
                </c:pt>
                <c:pt idx="4">
                  <c:v>57945</c:v>
                </c:pt>
                <c:pt idx="5">
                  <c:v>59456</c:v>
                </c:pt>
              </c:numCache>
            </c:numRef>
          </c:val>
        </c:ser>
        <c:ser>
          <c:idx val="1"/>
          <c:order val="1"/>
          <c:tx>
            <c:strRef>
              <c:f>'图-新用户-公式'!$C$8</c:f>
              <c:strCache>
                <c:ptCount val="1"/>
                <c:pt idx="0">
                  <c:v>游戏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'图-新用户-公式'!$D$3:$I$3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'图-新用户-公式'!$D$8:$I$8</c:f>
              <c:numCache>
                <c:formatCode>#,##0_ </c:formatCode>
                <c:ptCount val="6"/>
                <c:pt idx="0">
                  <c:v>286554</c:v>
                </c:pt>
                <c:pt idx="1">
                  <c:v>256896</c:v>
                </c:pt>
                <c:pt idx="2">
                  <c:v>280143</c:v>
                </c:pt>
                <c:pt idx="3">
                  <c:v>248110</c:v>
                </c:pt>
                <c:pt idx="4">
                  <c:v>273628</c:v>
                </c:pt>
                <c:pt idx="5">
                  <c:v>303056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4087040"/>
        <c:axId val="264087600"/>
      </c:barChart>
      <c:dateAx>
        <c:axId val="264087040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87600"/>
        <c:crosses val="autoZero"/>
        <c:auto val="1"/>
        <c:lblOffset val="100"/>
        <c:baseTimeUnit val="months"/>
      </c:dateAx>
      <c:valAx>
        <c:axId val="264087600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87040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88976587301587307"/>
                <c:y val="0.16596180555555556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/>
                    <a:t>万</a:t>
                  </a:r>
                  <a:r>
                    <a:rPr lang="zh-CN" altLang="en-US"/>
                    <a:t>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7462962962963"/>
          <c:y val="0.25277777777777777"/>
          <c:w val="0.1272537037037037"/>
          <c:h val="0.64878472222222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18518518518518E-2"/>
          <c:y val="8.7141319444444462E-2"/>
          <c:w val="0.9596825396825398"/>
          <c:h val="0.7881079861111111"/>
        </c:manualLayout>
      </c:layout>
      <c:barChart>
        <c:barDir val="col"/>
        <c:grouping val="clustered"/>
        <c:varyColors val="0"/>
        <c:ser>
          <c:idx val="0"/>
          <c:order val="0"/>
          <c:tx>
            <c:v>新增人数占比</c:v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'图-新用户-公式'!$D$189:$H$189</c:f>
              <c:strCache>
                <c:ptCount val="5"/>
                <c:pt idx="0">
                  <c:v>0-5分钟</c:v>
                </c:pt>
                <c:pt idx="1">
                  <c:v>5-30分钟</c:v>
                </c:pt>
                <c:pt idx="2">
                  <c:v>30-60分钟</c:v>
                </c:pt>
                <c:pt idx="3">
                  <c:v>1-2小时</c:v>
                </c:pt>
                <c:pt idx="4">
                  <c:v>2小时以上</c:v>
                </c:pt>
              </c:strCache>
            </c:strRef>
          </c:cat>
          <c:val>
            <c:numRef>
              <c:f>'图-新用户-公式'!$D$195:$H$195</c:f>
              <c:numCache>
                <c:formatCode>0.0%</c:formatCode>
                <c:ptCount val="5"/>
                <c:pt idx="0">
                  <c:v>0.86390542756061783</c:v>
                </c:pt>
                <c:pt idx="1">
                  <c:v>8.5995340409008539E-2</c:v>
                </c:pt>
                <c:pt idx="2">
                  <c:v>2.4264388644404177E-2</c:v>
                </c:pt>
                <c:pt idx="3">
                  <c:v>1.5290361549745448E-2</c:v>
                </c:pt>
                <c:pt idx="4">
                  <c:v>1.0544481836224006E-2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4090960"/>
        <c:axId val="264091520"/>
      </c:barChart>
      <c:lineChart>
        <c:grouping val="standard"/>
        <c:varyColors val="0"/>
        <c:ser>
          <c:idx val="1"/>
          <c:order val="1"/>
          <c:tx>
            <c:v>次日留存率</c:v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'图-新用户-公式'!$D$189:$H$189</c:f>
              <c:strCache>
                <c:ptCount val="5"/>
                <c:pt idx="0">
                  <c:v>0-5分钟</c:v>
                </c:pt>
                <c:pt idx="1">
                  <c:v>5-30分钟</c:v>
                </c:pt>
                <c:pt idx="2">
                  <c:v>30-60分钟</c:v>
                </c:pt>
                <c:pt idx="3">
                  <c:v>1-2小时</c:v>
                </c:pt>
                <c:pt idx="4">
                  <c:v>2小时以上</c:v>
                </c:pt>
              </c:strCache>
            </c:strRef>
          </c:cat>
          <c:val>
            <c:numRef>
              <c:f>'图-新用户-公式'!$D$198:$H$198</c:f>
              <c:numCache>
                <c:formatCode>0.0%</c:formatCode>
                <c:ptCount val="5"/>
                <c:pt idx="0">
                  <c:v>0.106</c:v>
                </c:pt>
                <c:pt idx="1">
                  <c:v>0.27400000000000002</c:v>
                </c:pt>
                <c:pt idx="2">
                  <c:v>0.35699999999999998</c:v>
                </c:pt>
                <c:pt idx="3">
                  <c:v>0.45300000000000001</c:v>
                </c:pt>
                <c:pt idx="4">
                  <c:v>0.501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92640"/>
        <c:axId val="264092080"/>
      </c:lineChart>
      <c:catAx>
        <c:axId val="2640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1520"/>
        <c:crosses val="autoZero"/>
        <c:auto val="1"/>
        <c:lblAlgn val="ctr"/>
        <c:lblOffset val="100"/>
        <c:noMultiLvlLbl val="0"/>
      </c:catAx>
      <c:valAx>
        <c:axId val="26409152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0960"/>
        <c:crosses val="autoZero"/>
        <c:crossBetween val="between"/>
        <c:majorUnit val="0.2"/>
      </c:valAx>
      <c:valAx>
        <c:axId val="2640920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2640"/>
        <c:crosses val="max"/>
        <c:crossBetween val="between"/>
      </c:valAx>
      <c:catAx>
        <c:axId val="2640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0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158730158730157E-2"/>
          <c:y val="8.7141319444444448E-2"/>
          <c:w val="0.9596825396825398"/>
          <c:h val="0.7881079861111111"/>
        </c:manualLayout>
      </c:layout>
      <c:barChart>
        <c:barDir val="col"/>
        <c:grouping val="clustered"/>
        <c:varyColors val="0"/>
        <c:ser>
          <c:idx val="0"/>
          <c:order val="0"/>
          <c:tx>
            <c:v>新增人数占比</c:v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'图-新用户-公式'!$D$171:$H$171</c:f>
              <c:strCache>
                <c:ptCount val="5"/>
                <c:pt idx="0">
                  <c:v>0-5分钟</c:v>
                </c:pt>
                <c:pt idx="1">
                  <c:v>5-30分钟</c:v>
                </c:pt>
                <c:pt idx="2">
                  <c:v>30-60分钟</c:v>
                </c:pt>
                <c:pt idx="3">
                  <c:v>1-2小时</c:v>
                </c:pt>
                <c:pt idx="4">
                  <c:v>2小时以上</c:v>
                </c:pt>
              </c:strCache>
            </c:strRef>
          </c:cat>
          <c:val>
            <c:numRef>
              <c:f>'图-新用户-公式'!$D$177:$H$177</c:f>
              <c:numCache>
                <c:formatCode>0.0%</c:formatCode>
                <c:ptCount val="5"/>
                <c:pt idx="0">
                  <c:v>0.36367623196456506</c:v>
                </c:pt>
                <c:pt idx="1">
                  <c:v>0.25164456853830747</c:v>
                </c:pt>
                <c:pt idx="2">
                  <c:v>0.13849825310275266</c:v>
                </c:pt>
                <c:pt idx="3">
                  <c:v>0.13531509933193972</c:v>
                </c:pt>
                <c:pt idx="4">
                  <c:v>0.11086584706243513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4095440"/>
        <c:axId val="264096000"/>
      </c:barChart>
      <c:lineChart>
        <c:grouping val="standard"/>
        <c:varyColors val="0"/>
        <c:ser>
          <c:idx val="1"/>
          <c:order val="1"/>
          <c:tx>
            <c:v>次日留存率</c:v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'图-新用户-公式'!$D$180:$H$180</c:f>
              <c:numCache>
                <c:formatCode>0.0%</c:formatCode>
                <c:ptCount val="5"/>
                <c:pt idx="0">
                  <c:v>0.16300000000000001</c:v>
                </c:pt>
                <c:pt idx="1">
                  <c:v>0.32</c:v>
                </c:pt>
                <c:pt idx="2">
                  <c:v>0.41099999999999998</c:v>
                </c:pt>
                <c:pt idx="3">
                  <c:v>0.45200000000000001</c:v>
                </c:pt>
                <c:pt idx="4">
                  <c:v>0.56200000000000006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97120"/>
        <c:axId val="264096560"/>
      </c:lineChart>
      <c:catAx>
        <c:axId val="2640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6000"/>
        <c:crosses val="autoZero"/>
        <c:auto val="1"/>
        <c:lblAlgn val="ctr"/>
        <c:lblOffset val="100"/>
        <c:noMultiLvlLbl val="0"/>
      </c:catAx>
      <c:valAx>
        <c:axId val="264096000"/>
        <c:scaling>
          <c:orientation val="minMax"/>
          <c:max val="0.4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5440"/>
        <c:crosses val="autoZero"/>
        <c:crossBetween val="between"/>
        <c:majorUnit val="0.1"/>
      </c:valAx>
      <c:valAx>
        <c:axId val="2640965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097120"/>
        <c:crosses val="max"/>
        <c:crossBetween val="between"/>
      </c:valAx>
      <c:catAx>
        <c:axId val="26409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6409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287037037037038E-2"/>
          <c:y val="4.1054513888888901E-2"/>
          <c:w val="0.7696521164021165"/>
          <c:h val="0.85882986111111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'图-活跃-公式'!$C$5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'图-活跃-公式'!$D$5:$I$5</c:f>
              <c:numCache>
                <c:formatCode>#,##0_);\(#,##0\)</c:formatCode>
                <c:ptCount val="6"/>
                <c:pt idx="0">
                  <c:v>507055</c:v>
                </c:pt>
                <c:pt idx="1">
                  <c:v>490743</c:v>
                </c:pt>
                <c:pt idx="2">
                  <c:v>493611</c:v>
                </c:pt>
                <c:pt idx="3">
                  <c:v>481934</c:v>
                </c:pt>
                <c:pt idx="4">
                  <c:v>488578</c:v>
                </c:pt>
                <c:pt idx="5">
                  <c:v>558771.92554340395</c:v>
                </c:pt>
              </c:numCache>
            </c:numRef>
          </c:val>
        </c:ser>
        <c:ser>
          <c:idx val="1"/>
          <c:order val="1"/>
          <c:tx>
            <c:strRef>
              <c:f>'图-活跃-公式'!$C$6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3D566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'图-活跃-公式'!$D$6:$I$6</c:f>
              <c:numCache>
                <c:formatCode>#,##0_);\(#,##0\)</c:formatCode>
                <c:ptCount val="6"/>
                <c:pt idx="0">
                  <c:v>302380</c:v>
                </c:pt>
                <c:pt idx="1">
                  <c:v>288661</c:v>
                </c:pt>
                <c:pt idx="2">
                  <c:v>297600</c:v>
                </c:pt>
                <c:pt idx="3">
                  <c:v>294875</c:v>
                </c:pt>
                <c:pt idx="4">
                  <c:v>298442</c:v>
                </c:pt>
                <c:pt idx="5">
                  <c:v>324821.84398550855</c:v>
                </c:pt>
              </c:numCache>
            </c:numRef>
          </c:val>
        </c:ser>
        <c:ser>
          <c:idx val="2"/>
          <c:order val="2"/>
          <c:tx>
            <c:strRef>
              <c:f>'图-活跃-公式'!$C$7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'图-活跃-公式'!$D$7:$I$7</c:f>
              <c:numCache>
                <c:formatCode>#,##0_);\(#,##0\)</c:formatCode>
                <c:ptCount val="6"/>
                <c:pt idx="0">
                  <c:v>235925</c:v>
                </c:pt>
                <c:pt idx="1">
                  <c:v>229828</c:v>
                </c:pt>
                <c:pt idx="2">
                  <c:v>236219</c:v>
                </c:pt>
                <c:pt idx="3">
                  <c:v>234789</c:v>
                </c:pt>
                <c:pt idx="4">
                  <c:v>239536</c:v>
                </c:pt>
                <c:pt idx="5">
                  <c:v>259959.26998478331</c:v>
                </c:pt>
              </c:numCache>
            </c:numRef>
          </c:val>
        </c:ser>
        <c:ser>
          <c:idx val="3"/>
          <c:order val="3"/>
          <c:tx>
            <c:strRef>
              <c:f>'图-活跃-公式'!$C$8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95A4A5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'图-活跃-公式'!$D$8:$I$8</c:f>
              <c:numCache>
                <c:formatCode>#,##0_);\(#,##0\)</c:formatCode>
                <c:ptCount val="6"/>
                <c:pt idx="0">
                  <c:v>227341</c:v>
                </c:pt>
                <c:pt idx="1">
                  <c:v>220232</c:v>
                </c:pt>
                <c:pt idx="2">
                  <c:v>224207</c:v>
                </c:pt>
                <c:pt idx="3">
                  <c:v>223747</c:v>
                </c:pt>
                <c:pt idx="4">
                  <c:v>224698</c:v>
                </c:pt>
                <c:pt idx="5">
                  <c:v>239003.34818139134</c:v>
                </c:pt>
              </c:numCache>
            </c:numRef>
          </c:val>
        </c:ser>
        <c:ser>
          <c:idx val="4"/>
          <c:order val="4"/>
          <c:tx>
            <c:strRef>
              <c:f>'图-活跃-公式'!$C$9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BDC3C7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'图-活跃-公式'!$D$9:$I$9</c:f>
              <c:numCache>
                <c:formatCode>#,##0_);\(#,##0\)</c:formatCode>
                <c:ptCount val="6"/>
                <c:pt idx="0">
                  <c:v>109878</c:v>
                </c:pt>
                <c:pt idx="1">
                  <c:v>108128</c:v>
                </c:pt>
                <c:pt idx="2">
                  <c:v>107965</c:v>
                </c:pt>
                <c:pt idx="3">
                  <c:v>110794</c:v>
                </c:pt>
                <c:pt idx="4">
                  <c:v>107474</c:v>
                </c:pt>
                <c:pt idx="5">
                  <c:v>122303.96620479073</c:v>
                </c:pt>
              </c:numCache>
            </c:numRef>
          </c:val>
        </c:ser>
        <c:ser>
          <c:idx val="5"/>
          <c:order val="5"/>
          <c:tx>
            <c:strRef>
              <c:f>'图-活跃-公式'!$C$10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DEE4E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'图-活跃-公式'!$D$10:$I$10</c:f>
              <c:numCache>
                <c:formatCode>#,##0_);\(#,##0\)</c:formatCode>
                <c:ptCount val="6"/>
                <c:pt idx="0">
                  <c:v>177023</c:v>
                </c:pt>
                <c:pt idx="1">
                  <c:v>150903</c:v>
                </c:pt>
                <c:pt idx="2">
                  <c:v>173301</c:v>
                </c:pt>
                <c:pt idx="3">
                  <c:v>174437</c:v>
                </c:pt>
                <c:pt idx="4">
                  <c:v>176080</c:v>
                </c:pt>
                <c:pt idx="5">
                  <c:v>170686.92116936907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4102720"/>
        <c:axId val="264103280"/>
      </c:barChart>
      <c:dateAx>
        <c:axId val="264102720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103280"/>
        <c:crosses val="autoZero"/>
        <c:auto val="1"/>
        <c:lblOffset val="100"/>
        <c:baseTimeUnit val="months"/>
        <c:majorUnit val="1"/>
        <c:majorTimeUnit val="months"/>
      </c:dateAx>
      <c:valAx>
        <c:axId val="264103280"/>
        <c:scaling>
          <c:orientation val="minMax"/>
          <c:max val="2000000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4102720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7886613756613743"/>
                <c:y val="1.900590277777777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/>
                    <a:t>万人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9.7881944444444424E-2"/>
          <c:w val="0.22060555555555555"/>
          <c:h val="0.79982638888888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3.2235069444444452E-2"/>
          <c:w val="0.77637169312169307"/>
          <c:h val="0.86764930555555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'图-活跃-公式'!$C$18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'图-活跃-公式'!$D$18:$I$18</c:f>
              <c:numCache>
                <c:formatCode>#,##0_);\(#,##0\)</c:formatCode>
                <c:ptCount val="6"/>
                <c:pt idx="0">
                  <c:v>1978661</c:v>
                </c:pt>
                <c:pt idx="1">
                  <c:v>1640883</c:v>
                </c:pt>
                <c:pt idx="2">
                  <c:v>2068639</c:v>
                </c:pt>
                <c:pt idx="3">
                  <c:v>1664085</c:v>
                </c:pt>
                <c:pt idx="4">
                  <c:v>2059244</c:v>
                </c:pt>
                <c:pt idx="5">
                  <c:v>2260986</c:v>
                </c:pt>
              </c:numCache>
            </c:numRef>
          </c:val>
        </c:ser>
        <c:ser>
          <c:idx val="1"/>
          <c:order val="1"/>
          <c:tx>
            <c:strRef>
              <c:f>'图-活跃-公式'!$C$19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3D566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'图-活跃-公式'!$D$19:$I$19</c:f>
              <c:numCache>
                <c:formatCode>#,##0_);\(#,##0\)</c:formatCode>
                <c:ptCount val="6"/>
                <c:pt idx="0">
                  <c:v>456882</c:v>
                </c:pt>
                <c:pt idx="1">
                  <c:v>412609</c:v>
                </c:pt>
                <c:pt idx="2">
                  <c:v>438034</c:v>
                </c:pt>
                <c:pt idx="3">
                  <c:v>421607</c:v>
                </c:pt>
                <c:pt idx="4">
                  <c:v>468655</c:v>
                </c:pt>
                <c:pt idx="5">
                  <c:v>461249</c:v>
                </c:pt>
              </c:numCache>
            </c:numRef>
          </c:val>
        </c:ser>
        <c:ser>
          <c:idx val="2"/>
          <c:order val="2"/>
          <c:tx>
            <c:strRef>
              <c:f>'图-活跃-公式'!$C$20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'图-活跃-公式'!$D$20:$I$20</c:f>
              <c:numCache>
                <c:formatCode>#,##0_);\(#,##0\)</c:formatCode>
                <c:ptCount val="6"/>
                <c:pt idx="0">
                  <c:v>226593</c:v>
                </c:pt>
                <c:pt idx="1">
                  <c:v>210061</c:v>
                </c:pt>
                <c:pt idx="2">
                  <c:v>228294</c:v>
                </c:pt>
                <c:pt idx="3">
                  <c:v>222746</c:v>
                </c:pt>
                <c:pt idx="4">
                  <c:v>245799</c:v>
                </c:pt>
                <c:pt idx="5">
                  <c:v>256149</c:v>
                </c:pt>
              </c:numCache>
            </c:numRef>
          </c:val>
        </c:ser>
        <c:ser>
          <c:idx val="3"/>
          <c:order val="3"/>
          <c:tx>
            <c:strRef>
              <c:f>'图-活跃-公式'!$C$21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95A4A5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'图-活跃-公式'!$D$21:$I$21</c:f>
              <c:numCache>
                <c:formatCode>#,##0_);\(#,##0\)</c:formatCode>
                <c:ptCount val="6"/>
                <c:pt idx="0">
                  <c:v>141435</c:v>
                </c:pt>
                <c:pt idx="1">
                  <c:v>127920</c:v>
                </c:pt>
                <c:pt idx="2">
                  <c:v>142667</c:v>
                </c:pt>
                <c:pt idx="3">
                  <c:v>140469</c:v>
                </c:pt>
                <c:pt idx="4">
                  <c:v>151627</c:v>
                </c:pt>
                <c:pt idx="5">
                  <c:v>162760</c:v>
                </c:pt>
              </c:numCache>
            </c:numRef>
          </c:val>
        </c:ser>
        <c:ser>
          <c:idx val="4"/>
          <c:order val="4"/>
          <c:tx>
            <c:strRef>
              <c:f>'图-活跃-公式'!$C$22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BDC3C7"/>
            </a:solidFill>
            <a:ln>
              <a:noFill/>
            </a:ln>
            <a:effectLst/>
          </c:spPr>
          <c:invertIfNegative val="0"/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'图-活跃-公式'!$D$22:$I$22</c:f>
              <c:numCache>
                <c:formatCode>#,##0_);\(#,##0\)</c:formatCode>
                <c:ptCount val="6"/>
                <c:pt idx="0">
                  <c:v>42313</c:v>
                </c:pt>
                <c:pt idx="1">
                  <c:v>36966</c:v>
                </c:pt>
                <c:pt idx="2">
                  <c:v>42418</c:v>
                </c:pt>
                <c:pt idx="3">
                  <c:v>41143</c:v>
                </c:pt>
                <c:pt idx="4">
                  <c:v>43413</c:v>
                </c:pt>
                <c:pt idx="5">
                  <c:v>50024</c:v>
                </c:pt>
              </c:numCache>
            </c:numRef>
          </c:val>
        </c:ser>
        <c:ser>
          <c:idx val="5"/>
          <c:order val="5"/>
          <c:tx>
            <c:strRef>
              <c:f>'图-活跃-公式'!$C$23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DEE4E6"/>
            </a:solidFill>
            <a:ln>
              <a:noFill/>
            </a:ln>
            <a:effectLst/>
          </c:spPr>
          <c:invertIfNegative val="0"/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'图-活跃-公式'!$D$23:$I$23</c:f>
              <c:numCache>
                <c:formatCode>#,##0_);\(#,##0\)</c:formatCode>
                <c:ptCount val="6"/>
                <c:pt idx="0">
                  <c:v>33907</c:v>
                </c:pt>
                <c:pt idx="1">
                  <c:v>26427</c:v>
                </c:pt>
                <c:pt idx="2">
                  <c:v>32302</c:v>
                </c:pt>
                <c:pt idx="3">
                  <c:v>30657</c:v>
                </c:pt>
                <c:pt idx="4">
                  <c:v>32914</c:v>
                </c:pt>
                <c:pt idx="5">
                  <c:v>37458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5148576"/>
        <c:axId val="265149136"/>
      </c:barChart>
      <c:dateAx>
        <c:axId val="265148576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49136"/>
        <c:crosses val="autoZero"/>
        <c:auto val="1"/>
        <c:lblOffset val="100"/>
        <c:baseTimeUnit val="months"/>
        <c:majorUnit val="1"/>
        <c:majorTimeUnit val="months"/>
      </c:dateAx>
      <c:valAx>
        <c:axId val="265149136"/>
        <c:scaling>
          <c:orientation val="minMax"/>
          <c:max val="3200000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48576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9230529100529101"/>
                <c:y val="0.13365868055555555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 altLang="en-US"/>
                    <a:t>万人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21694444444444444"/>
          <c:w val="0.22060555555555555"/>
          <c:h val="0.69399305555555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0435694444444444E-2"/>
          <c:y val="0.11677345679012344"/>
          <c:w val="0.98041690821256033"/>
          <c:h val="0.79797870370370372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'图-用户-公式'!$C$8</c:f>
              <c:strCache>
                <c:ptCount val="1"/>
                <c:pt idx="0">
                  <c:v>登录-非内置(万)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'图-用户-公式'!$D$8:$P$8</c:f>
              <c:numCache>
                <c:formatCode>#,##0_);[Red]\(#,##0\)</c:formatCode>
                <c:ptCount val="13"/>
                <c:pt idx="0">
                  <c:v>1444436</c:v>
                </c:pt>
                <c:pt idx="1">
                  <c:v>1457426</c:v>
                </c:pt>
                <c:pt idx="2">
                  <c:v>1494432</c:v>
                </c:pt>
                <c:pt idx="3">
                  <c:v>1483069</c:v>
                </c:pt>
                <c:pt idx="4">
                  <c:v>1659453</c:v>
                </c:pt>
                <c:pt idx="5">
                  <c:v>1539116</c:v>
                </c:pt>
                <c:pt idx="6">
                  <c:v>1450015</c:v>
                </c:pt>
                <c:pt idx="7">
                  <c:v>1559602</c:v>
                </c:pt>
                <c:pt idx="8">
                  <c:v>1488495</c:v>
                </c:pt>
                <c:pt idx="9">
                  <c:v>1532903</c:v>
                </c:pt>
                <c:pt idx="10">
                  <c:v>1443633</c:v>
                </c:pt>
                <c:pt idx="11">
                  <c:v>1534807</c:v>
                </c:pt>
                <c:pt idx="12">
                  <c:v>1683642</c:v>
                </c:pt>
              </c:numCache>
            </c:numRef>
          </c:val>
        </c:ser>
        <c:ser>
          <c:idx val="4"/>
          <c:order val="2"/>
          <c:tx>
            <c:strRef>
              <c:f>'图-用户-公式'!$C$9</c:f>
              <c:strCache>
                <c:ptCount val="1"/>
                <c:pt idx="0">
                  <c:v>登录-内置(万)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'图-用户-公式'!$D$9:$P$9</c:f>
              <c:numCache>
                <c:formatCode>#,##0_);[Red]\(#,##0\)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76943</c:v>
                </c:pt>
                <c:pt idx="11">
                  <c:v>374624</c:v>
                </c:pt>
                <c:pt idx="12">
                  <c:v>1068712</c:v>
                </c:pt>
              </c:numCache>
            </c:numRef>
          </c:val>
        </c:ser>
        <c:ser>
          <c:idx val="5"/>
          <c:order val="3"/>
          <c:tx>
            <c:strRef>
              <c:f>'图-用户-公式'!$C$11</c:f>
              <c:strCache>
                <c:ptCount val="1"/>
                <c:pt idx="0">
                  <c:v>匿名-非内置(万)</c:v>
                </c:pt>
              </c:strCache>
            </c:strRef>
          </c:tx>
          <c:spPr>
            <a:solidFill>
              <a:srgbClr val="BDC3C7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'图-用户-公式'!$D$11:$P$11</c:f>
              <c:numCache>
                <c:formatCode>#,##0_);[Red]\(#,##0\)</c:formatCode>
                <c:ptCount val="13"/>
                <c:pt idx="0">
                  <c:v>2580501</c:v>
                </c:pt>
                <c:pt idx="1">
                  <c:v>3003425</c:v>
                </c:pt>
                <c:pt idx="2">
                  <c:v>3151132</c:v>
                </c:pt>
                <c:pt idx="3">
                  <c:v>3004372</c:v>
                </c:pt>
                <c:pt idx="4">
                  <c:v>3074524</c:v>
                </c:pt>
                <c:pt idx="5">
                  <c:v>3128930</c:v>
                </c:pt>
                <c:pt idx="6">
                  <c:v>2380250</c:v>
                </c:pt>
                <c:pt idx="7">
                  <c:v>2879791</c:v>
                </c:pt>
                <c:pt idx="8">
                  <c:v>2454866</c:v>
                </c:pt>
                <c:pt idx="9">
                  <c:v>2952354</c:v>
                </c:pt>
                <c:pt idx="10">
                  <c:v>2520707</c:v>
                </c:pt>
                <c:pt idx="11">
                  <c:v>3001652</c:v>
                </c:pt>
                <c:pt idx="12">
                  <c:v>3228626</c:v>
                </c:pt>
              </c:numCache>
            </c:numRef>
          </c:val>
        </c:ser>
        <c:ser>
          <c:idx val="1"/>
          <c:order val="4"/>
          <c:tx>
            <c:strRef>
              <c:f>'图-用户-公式'!$C$12</c:f>
              <c:strCache>
                <c:ptCount val="1"/>
                <c:pt idx="0">
                  <c:v>匿名用户数-内置(万)</c:v>
                </c:pt>
              </c:strCache>
            </c:strRef>
          </c:tx>
          <c:spPr>
            <a:solidFill>
              <a:srgbClr val="ECF0F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'图-用户-公式'!$D$12:$P$12</c:f>
              <c:numCache>
                <c:formatCode>#,##0_);[Red]\(#,##0\)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744509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1825568"/>
        <c:axId val="261826128"/>
      </c:barChart>
      <c:lineChart>
        <c:grouping val="standard"/>
        <c:varyColors val="0"/>
        <c:ser>
          <c:idx val="2"/>
          <c:order val="0"/>
          <c:tx>
            <c:strRef>
              <c:f>'图-用户-公式'!$C$4</c:f>
              <c:strCache>
                <c:ptCount val="1"/>
                <c:pt idx="0">
                  <c:v>总用户数(万)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'图-用户-公式'!$D$4:$P$4</c:f>
              <c:numCache>
                <c:formatCode>#,##0_);[Red]\(#,##0\)</c:formatCode>
                <c:ptCount val="13"/>
                <c:pt idx="0">
                  <c:v>4024937</c:v>
                </c:pt>
                <c:pt idx="1">
                  <c:v>4460851</c:v>
                </c:pt>
                <c:pt idx="2">
                  <c:v>4645564</c:v>
                </c:pt>
                <c:pt idx="3">
                  <c:v>4487441</c:v>
                </c:pt>
                <c:pt idx="4">
                  <c:v>4733977</c:v>
                </c:pt>
                <c:pt idx="5">
                  <c:v>4668046</c:v>
                </c:pt>
                <c:pt idx="6">
                  <c:v>3830265</c:v>
                </c:pt>
                <c:pt idx="7">
                  <c:v>4439393</c:v>
                </c:pt>
                <c:pt idx="8">
                  <c:v>3943361</c:v>
                </c:pt>
                <c:pt idx="9">
                  <c:v>4485257</c:v>
                </c:pt>
                <c:pt idx="10">
                  <c:v>4041283</c:v>
                </c:pt>
                <c:pt idx="11">
                  <c:v>4911083</c:v>
                </c:pt>
                <c:pt idx="12">
                  <c:v>6725489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25568"/>
        <c:axId val="261826128"/>
      </c:lineChart>
      <c:lineChart>
        <c:grouping val="standard"/>
        <c:varyColors val="0"/>
        <c:ser>
          <c:idx val="3"/>
          <c:order val="5"/>
          <c:tx>
            <c:strRef>
              <c:f>'图-用户-公式'!$C$14</c:f>
              <c:strCache>
                <c:ptCount val="1"/>
                <c:pt idx="0">
                  <c:v>登录率(除内置)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4495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'图-用户-公式'!$D$3:$P$3</c:f>
              <c:numCache>
                <c:formatCode>yy/m</c:formatCode>
                <c:ptCount val="1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</c:numCache>
            </c:numRef>
          </c:cat>
          <c:val>
            <c:numRef>
              <c:f>'图-用户-公式'!$D$14:$P$14</c:f>
              <c:numCache>
                <c:formatCode>0.0%</c:formatCode>
                <c:ptCount val="13"/>
                <c:pt idx="0">
                  <c:v>0.35887170407884644</c:v>
                </c:pt>
                <c:pt idx="1">
                  <c:v>0.32671479051867008</c:v>
                </c:pt>
                <c:pt idx="2">
                  <c:v>0.32169011125452152</c:v>
                </c:pt>
                <c:pt idx="3">
                  <c:v>0.33049325885287406</c:v>
                </c:pt>
                <c:pt idx="4">
                  <c:v>0.35054099333393468</c:v>
                </c:pt>
                <c:pt idx="5">
                  <c:v>0.32971311765136846</c:v>
                </c:pt>
                <c:pt idx="6">
                  <c:v>0.37856780144454755</c:v>
                </c:pt>
                <c:pt idx="7">
                  <c:v>0.35130973986759001</c:v>
                </c:pt>
                <c:pt idx="8">
                  <c:v>0.3774686111669715</c:v>
                </c:pt>
                <c:pt idx="9">
                  <c:v>0.34176480857172731</c:v>
                </c:pt>
                <c:pt idx="10">
                  <c:v>0.36415468905290665</c:v>
                </c:pt>
                <c:pt idx="11">
                  <c:v>0.33832709608970346</c:v>
                </c:pt>
                <c:pt idx="12">
                  <c:v>0.34274229337650147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27248"/>
        <c:axId val="261826688"/>
      </c:lineChart>
      <c:catAx>
        <c:axId val="26182556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26128"/>
        <c:crosses val="autoZero"/>
        <c:auto val="1"/>
        <c:lblAlgn val="ctr"/>
        <c:lblOffset val="100"/>
        <c:tickLblSkip val="1"/>
        <c:noMultiLvlLbl val="1"/>
      </c:catAx>
      <c:valAx>
        <c:axId val="261826128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25568"/>
        <c:crosses val="autoZero"/>
        <c:crossBetween val="between"/>
        <c:dispUnits>
          <c:builtInUnit val="tenThousands"/>
        </c:dispUnits>
      </c:valAx>
      <c:valAx>
        <c:axId val="2618266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27248"/>
        <c:crosses val="max"/>
        <c:crossBetween val="between"/>
      </c:valAx>
      <c:dateAx>
        <c:axId val="261827248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18266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2.2732291666666665E-2"/>
          <c:w val="0.78110978835978839"/>
          <c:h val="0.88136388888888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'图-活跃-公式'!$C$86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'图-活跃-公式'!$D$86:$I$86</c:f>
              <c:numCache>
                <c:formatCode>#,##0_);\(#,##0\)</c:formatCode>
                <c:ptCount val="6"/>
                <c:pt idx="0">
                  <c:v>335227</c:v>
                </c:pt>
                <c:pt idx="1">
                  <c:v>306312</c:v>
                </c:pt>
                <c:pt idx="2">
                  <c:v>317660</c:v>
                </c:pt>
                <c:pt idx="3">
                  <c:v>300751</c:v>
                </c:pt>
                <c:pt idx="4">
                  <c:v>305714</c:v>
                </c:pt>
                <c:pt idx="5">
                  <c:v>312932</c:v>
                </c:pt>
              </c:numCache>
            </c:numRef>
          </c:val>
        </c:ser>
        <c:ser>
          <c:idx val="1"/>
          <c:order val="1"/>
          <c:tx>
            <c:strRef>
              <c:f>'图-活跃-公式'!$C$87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'图-活跃-公式'!$D$87:$I$87</c:f>
              <c:numCache>
                <c:formatCode>#,##0_);\(#,##0\)</c:formatCode>
                <c:ptCount val="6"/>
                <c:pt idx="0">
                  <c:v>196877</c:v>
                </c:pt>
                <c:pt idx="1">
                  <c:v>171797</c:v>
                </c:pt>
                <c:pt idx="2">
                  <c:v>177058</c:v>
                </c:pt>
                <c:pt idx="3">
                  <c:v>166117</c:v>
                </c:pt>
                <c:pt idx="4">
                  <c:v>160788</c:v>
                </c:pt>
                <c:pt idx="5">
                  <c:v>168727</c:v>
                </c:pt>
              </c:numCache>
            </c:numRef>
          </c:val>
        </c:ser>
        <c:ser>
          <c:idx val="2"/>
          <c:order val="2"/>
          <c:tx>
            <c:strRef>
              <c:f>'图-活跃-公式'!$C$88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'图-活跃-公式'!$D$88:$I$88</c:f>
              <c:numCache>
                <c:formatCode>#,##0_);\(#,##0\)</c:formatCode>
                <c:ptCount val="6"/>
                <c:pt idx="0">
                  <c:v>120680</c:v>
                </c:pt>
                <c:pt idx="1">
                  <c:v>93860</c:v>
                </c:pt>
                <c:pt idx="2">
                  <c:v>97026</c:v>
                </c:pt>
                <c:pt idx="3">
                  <c:v>91911</c:v>
                </c:pt>
                <c:pt idx="4">
                  <c:v>83447</c:v>
                </c:pt>
                <c:pt idx="5">
                  <c:v>80276</c:v>
                </c:pt>
              </c:numCache>
            </c:numRef>
          </c:val>
        </c:ser>
        <c:ser>
          <c:idx val="3"/>
          <c:order val="3"/>
          <c:tx>
            <c:strRef>
              <c:f>'图-活跃-公式'!$C$89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'图-活跃-公式'!$D$89:$I$89</c:f>
              <c:numCache>
                <c:formatCode>#,##0_);\(#,##0\)</c:formatCode>
                <c:ptCount val="6"/>
                <c:pt idx="0">
                  <c:v>62296</c:v>
                </c:pt>
                <c:pt idx="1">
                  <c:v>42287</c:v>
                </c:pt>
                <c:pt idx="2">
                  <c:v>43341</c:v>
                </c:pt>
                <c:pt idx="3">
                  <c:v>42387</c:v>
                </c:pt>
                <c:pt idx="4">
                  <c:v>36062</c:v>
                </c:pt>
                <c:pt idx="5">
                  <c:v>33060</c:v>
                </c:pt>
              </c:numCache>
            </c:numRef>
          </c:val>
        </c:ser>
        <c:ser>
          <c:idx val="4"/>
          <c:order val="4"/>
          <c:tx>
            <c:strRef>
              <c:f>'图-活跃-公式'!$C$90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'图-活跃-公式'!$D$90:$I$90</c:f>
              <c:numCache>
                <c:formatCode>#,##0_);\(#,##0\)</c:formatCode>
                <c:ptCount val="6"/>
                <c:pt idx="0">
                  <c:v>13944</c:v>
                </c:pt>
                <c:pt idx="1">
                  <c:v>8934</c:v>
                </c:pt>
                <c:pt idx="2">
                  <c:v>9278</c:v>
                </c:pt>
                <c:pt idx="3">
                  <c:v>9248</c:v>
                </c:pt>
                <c:pt idx="4">
                  <c:v>8014</c:v>
                </c:pt>
                <c:pt idx="5">
                  <c:v>7290</c:v>
                </c:pt>
              </c:numCache>
            </c:numRef>
          </c:val>
        </c:ser>
        <c:ser>
          <c:idx val="5"/>
          <c:order val="5"/>
          <c:tx>
            <c:strRef>
              <c:f>'图-活跃-公式'!$C$91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'图-活跃-公式'!$D$91:$I$91</c:f>
              <c:numCache>
                <c:formatCode>#,##0_);\(#,##0\)</c:formatCode>
                <c:ptCount val="6"/>
                <c:pt idx="0">
                  <c:v>11119</c:v>
                </c:pt>
                <c:pt idx="1">
                  <c:v>7500</c:v>
                </c:pt>
                <c:pt idx="2">
                  <c:v>8412</c:v>
                </c:pt>
                <c:pt idx="3">
                  <c:v>7386</c:v>
                </c:pt>
                <c:pt idx="4">
                  <c:v>7300</c:v>
                </c:pt>
                <c:pt idx="5">
                  <c:v>6795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5154736"/>
        <c:axId val="265155296"/>
      </c:barChart>
      <c:dateAx>
        <c:axId val="265154736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55296"/>
        <c:crosses val="autoZero"/>
        <c:auto val="1"/>
        <c:lblOffset val="100"/>
        <c:baseTimeUnit val="months"/>
        <c:majorUnit val="1"/>
        <c:majorTimeUnit val="months"/>
      </c:dateAx>
      <c:valAx>
        <c:axId val="265155296"/>
        <c:scaling>
          <c:orientation val="minMax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54736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9505291005291001"/>
                <c:y val="8.887812499999998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/>
                    <a:t>万人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18607638888888889"/>
          <c:w val="0.22060555555555555"/>
          <c:h val="0.716041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娱乐视频语音用户：仅登录</a:t>
            </a:r>
            <a:r>
              <a:rPr lang="en-US" altLang="zh-CN"/>
              <a:t>1</a:t>
            </a:r>
            <a:r>
              <a:rPr lang="zh-CN" altLang="en-US"/>
              <a:t>天用户占比</a:t>
            </a:r>
            <a:r>
              <a:rPr lang="en-US" altLang="zh-CN"/>
              <a:t>50.8%</a:t>
            </a:r>
            <a:endParaRPr lang="zh-CN" altLang="en-US"/>
          </a:p>
        </c:rich>
      </c:tx>
      <c:layout>
        <c:manualLayout>
          <c:xMode val="edge"/>
          <c:yMode val="edge"/>
          <c:x val="0.11947222222222222"/>
          <c:y val="2.711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'图-活跃-公式'!$C$92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'图-活跃-公式'!$D$92:$I$92</c:f>
              <c:numCache>
                <c:formatCode>0.0%</c:formatCode>
                <c:ptCount val="6"/>
                <c:pt idx="0">
                  <c:v>0.45292193535573533</c:v>
                </c:pt>
                <c:pt idx="1">
                  <c:v>0.48567759120962756</c:v>
                </c:pt>
                <c:pt idx="2">
                  <c:v>0.48663015587300373</c:v>
                </c:pt>
                <c:pt idx="3">
                  <c:v>0.48680964713499514</c:v>
                </c:pt>
                <c:pt idx="4">
                  <c:v>0.50840061530786185</c:v>
                </c:pt>
                <c:pt idx="5">
                  <c:v>0.51377815722072639</c:v>
                </c:pt>
              </c:numCache>
            </c:numRef>
          </c:val>
        </c:ser>
        <c:ser>
          <c:idx val="1"/>
          <c:order val="1"/>
          <c:tx>
            <c:strRef>
              <c:f>'图-活跃-公式'!$C$93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'图-活跃-公式'!$D$93:$I$93</c:f>
              <c:numCache>
                <c:formatCode>0.0%</c:formatCode>
                <c:ptCount val="6"/>
                <c:pt idx="0">
                  <c:v>0.26599859756830774</c:v>
                </c:pt>
                <c:pt idx="1">
                  <c:v>0.27239531306981241</c:v>
                </c:pt>
                <c:pt idx="2">
                  <c:v>0.27123894144230398</c:v>
                </c:pt>
                <c:pt idx="3">
                  <c:v>0.2688847523470379</c:v>
                </c:pt>
                <c:pt idx="4">
                  <c:v>0.26738951482143597</c:v>
                </c:pt>
                <c:pt idx="5">
                  <c:v>0.27701943915413413</c:v>
                </c:pt>
              </c:numCache>
            </c:numRef>
          </c:val>
        </c:ser>
        <c:ser>
          <c:idx val="2"/>
          <c:order val="2"/>
          <c:tx>
            <c:strRef>
              <c:f>'图-活跃-公式'!$C$94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'图-活跃-公式'!$D$94:$I$94</c:f>
              <c:numCache>
                <c:formatCode>0.0%</c:formatCode>
                <c:ptCount val="6"/>
                <c:pt idx="0">
                  <c:v>0.16304957285281357</c:v>
                </c:pt>
                <c:pt idx="1">
                  <c:v>0.14882113241053449</c:v>
                </c:pt>
                <c:pt idx="2">
                  <c:v>0.14863620696258281</c:v>
                </c:pt>
                <c:pt idx="3">
                  <c:v>0.14877144707024928</c:v>
                </c:pt>
                <c:pt idx="4">
                  <c:v>0.13877187876772129</c:v>
                </c:pt>
                <c:pt idx="5">
                  <c:v>0.13179877848558483</c:v>
                </c:pt>
              </c:numCache>
            </c:numRef>
          </c:val>
        </c:ser>
        <c:ser>
          <c:idx val="3"/>
          <c:order val="3"/>
          <c:tx>
            <c:strRef>
              <c:f>'图-活跃-公式'!$C$95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'图-活跃-公式'!$D$95:$I$95</c:f>
              <c:numCache>
                <c:formatCode>0.0%</c:formatCode>
                <c:ptCount val="6"/>
                <c:pt idx="0">
                  <c:v>8.4167518979440456E-2</c:v>
                </c:pt>
                <c:pt idx="1">
                  <c:v>6.7048787835545201E-2</c:v>
                </c:pt>
                <c:pt idx="2">
                  <c:v>6.6395005936195475E-2</c:v>
                </c:pt>
                <c:pt idx="3">
                  <c:v>6.8609582389122695E-2</c:v>
                </c:pt>
                <c:pt idx="4">
                  <c:v>5.9970897601130835E-2</c:v>
                </c:pt>
                <c:pt idx="5">
                  <c:v>5.4278584094043472E-2</c:v>
                </c:pt>
              </c:numCache>
            </c:numRef>
          </c:val>
        </c:ser>
        <c:ser>
          <c:idx val="4"/>
          <c:order val="4"/>
          <c:tx>
            <c:strRef>
              <c:f>'图-活跃-公式'!$C$96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'图-活跃-公式'!$D$96:$I$96</c:f>
              <c:numCache>
                <c:formatCode>0.0%</c:formatCode>
                <c:ptCount val="6"/>
                <c:pt idx="0">
                  <c:v>1.8839602617332057E-2</c:v>
                </c:pt>
                <c:pt idx="1">
                  <c:v>1.4165437853779194E-2</c:v>
                </c:pt>
                <c:pt idx="2">
                  <c:v>1.4213166864539849E-2</c:v>
                </c:pt>
                <c:pt idx="3">
                  <c:v>1.496924571058595E-2</c:v>
                </c:pt>
                <c:pt idx="4">
                  <c:v>1.3327235687855985E-2</c:v>
                </c:pt>
                <c:pt idx="5">
                  <c:v>1.1968871084258226E-2</c:v>
                </c:pt>
              </c:numCache>
            </c:numRef>
          </c:val>
        </c:ser>
        <c:ser>
          <c:idx val="5"/>
          <c:order val="5"/>
          <c:tx>
            <c:strRef>
              <c:f>'图-活跃-公式'!$C$97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'图-活跃-公式'!$D$97:$I$97</c:f>
              <c:numCache>
                <c:formatCode>0.0%</c:formatCode>
                <c:ptCount val="6"/>
                <c:pt idx="0">
                  <c:v>1.5022772626370849E-2</c:v>
                </c:pt>
                <c:pt idx="1">
                  <c:v>1.1891737620701138E-2</c:v>
                </c:pt>
                <c:pt idx="2">
                  <c:v>1.2886522921374134E-2</c:v>
                </c:pt>
                <c:pt idx="3">
                  <c:v>1.1955325348009064E-2</c:v>
                </c:pt>
                <c:pt idx="4">
                  <c:v>1.2139857813994097E-2</c:v>
                </c:pt>
                <c:pt idx="5">
                  <c:v>1.1156169961253038E-2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5160896"/>
        <c:axId val="265161456"/>
      </c:barChart>
      <c:dateAx>
        <c:axId val="265160896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61456"/>
        <c:crosses val="autoZero"/>
        <c:auto val="1"/>
        <c:lblOffset val="100"/>
        <c:baseTimeUnit val="months"/>
        <c:majorUnit val="1"/>
        <c:majorTimeUnit val="months"/>
      </c:dateAx>
      <c:valAx>
        <c:axId val="265161456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608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3888888888878"/>
          <c:y val="0.19312153689122194"/>
          <c:w val="0.23809444444444447"/>
          <c:h val="0.688548410615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游戏视频语音用户：仅登录</a:t>
            </a:r>
            <a:r>
              <a:rPr lang="en-US" altLang="zh-CN"/>
              <a:t>1</a:t>
            </a:r>
            <a:r>
              <a:rPr lang="zh-CN" altLang="en-US"/>
              <a:t>天用户占比</a:t>
            </a:r>
            <a:r>
              <a:rPr lang="en-US" altLang="zh-CN"/>
              <a:t>36%</a:t>
            </a:r>
            <a:endParaRPr lang="zh-CN" altLang="en-US"/>
          </a:p>
        </c:rich>
      </c:tx>
      <c:layout>
        <c:manualLayout>
          <c:xMode val="edge"/>
          <c:yMode val="edge"/>
          <c:x val="0.11474999999999998"/>
          <c:y val="2.3148263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'图-活跃-公式'!$C$79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'图-活跃-公式'!$D$79:$I$79</c:f>
              <c:numCache>
                <c:formatCode>0.0%</c:formatCode>
                <c:ptCount val="6"/>
                <c:pt idx="0">
                  <c:v>0.3153850681786759</c:v>
                </c:pt>
                <c:pt idx="1">
                  <c:v>0.32165379681369088</c:v>
                </c:pt>
                <c:pt idx="2">
                  <c:v>0.31464064251411411</c:v>
                </c:pt>
                <c:pt idx="3">
                  <c:v>0.30917828385202606</c:v>
                </c:pt>
                <c:pt idx="4">
                  <c:v>0.31262208408341474</c:v>
                </c:pt>
                <c:pt idx="5">
                  <c:v>0.30774410025348659</c:v>
                </c:pt>
              </c:numCache>
            </c:numRef>
          </c:val>
        </c:ser>
        <c:ser>
          <c:idx val="1"/>
          <c:order val="1"/>
          <c:tx>
            <c:strRef>
              <c:f>'图-活跃-公式'!$C$80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'图-活跃-公式'!$D$80:$I$80</c:f>
              <c:numCache>
                <c:formatCode>0.0%</c:formatCode>
                <c:ptCount val="6"/>
                <c:pt idx="0">
                  <c:v>0.19324592372147015</c:v>
                </c:pt>
                <c:pt idx="1">
                  <c:v>0.19335448452316467</c:v>
                </c:pt>
                <c:pt idx="2">
                  <c:v>0.19317654398431422</c:v>
                </c:pt>
                <c:pt idx="3">
                  <c:v>0.19338671061630955</c:v>
                </c:pt>
                <c:pt idx="4">
                  <c:v>0.19435068189323398</c:v>
                </c:pt>
                <c:pt idx="5">
                  <c:v>0.19626627476794264</c:v>
                </c:pt>
              </c:numCache>
            </c:numRef>
          </c:val>
        </c:ser>
        <c:ser>
          <c:idx val="2"/>
          <c:order val="2"/>
          <c:tx>
            <c:strRef>
              <c:f>'图-活跃-公式'!$C$81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'图-活跃-公式'!$D$81:$I$81</c:f>
              <c:numCache>
                <c:formatCode>0.0%</c:formatCode>
                <c:ptCount val="6"/>
                <c:pt idx="0">
                  <c:v>0.15357758378769815</c:v>
                </c:pt>
                <c:pt idx="1">
                  <c:v>0.15655098825846289</c:v>
                </c:pt>
                <c:pt idx="2">
                  <c:v>0.15621964220218079</c:v>
                </c:pt>
                <c:pt idx="3">
                  <c:v>0.15661546340025853</c:v>
                </c:pt>
                <c:pt idx="4">
                  <c:v>0.15803500433127152</c:v>
                </c:pt>
                <c:pt idx="5">
                  <c:v>0.15980124139068211</c:v>
                </c:pt>
              </c:numCache>
            </c:numRef>
          </c:val>
        </c:ser>
        <c:ser>
          <c:idx val="3"/>
          <c:order val="3"/>
          <c:tx>
            <c:strRef>
              <c:f>'图-活跃-公式'!$C$82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'图-活跃-公式'!$D$82:$I$82</c:f>
              <c:numCache>
                <c:formatCode>0.0%</c:formatCode>
                <c:ptCount val="6"/>
                <c:pt idx="0">
                  <c:v>0.14974462941491321</c:v>
                </c:pt>
                <c:pt idx="1">
                  <c:v>0.15155165914258878</c:v>
                </c:pt>
                <c:pt idx="2">
                  <c:v>0.14975473813025103</c:v>
                </c:pt>
                <c:pt idx="3">
                  <c:v>0.15054961209332948</c:v>
                </c:pt>
                <c:pt idx="4">
                  <c:v>0.14864021320658352</c:v>
                </c:pt>
                <c:pt idx="5">
                  <c:v>0.15068580095610376</c:v>
                </c:pt>
              </c:numCache>
            </c:numRef>
          </c:val>
        </c:ser>
        <c:ser>
          <c:idx val="4"/>
          <c:order val="4"/>
          <c:tx>
            <c:strRef>
              <c:f>'图-活跃-公式'!$C$83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'图-活跃-公式'!$D$83:$I$83</c:f>
              <c:numCache>
                <c:formatCode>0.0%</c:formatCode>
                <c:ptCount val="6"/>
                <c:pt idx="0">
                  <c:v>7.2684450662348202E-2</c:v>
                </c:pt>
                <c:pt idx="1">
                  <c:v>7.4743590926806894E-2</c:v>
                </c:pt>
                <c:pt idx="2">
                  <c:v>7.238018846258E-2</c:v>
                </c:pt>
                <c:pt idx="3">
                  <c:v>7.4591543696697779E-2</c:v>
                </c:pt>
                <c:pt idx="4">
                  <c:v>7.1106692857128201E-2</c:v>
                </c:pt>
                <c:pt idx="5">
                  <c:v>7.2229281692039321E-2</c:v>
                </c:pt>
              </c:numCache>
            </c:numRef>
          </c:val>
        </c:ser>
        <c:ser>
          <c:idx val="5"/>
          <c:order val="5"/>
          <c:tx>
            <c:strRef>
              <c:f>'图-活跃-公式'!$C$84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'图-活跃-公式'!$D$84:$I$84</c:f>
              <c:numCache>
                <c:formatCode>0.0%</c:formatCode>
                <c:ptCount val="6"/>
                <c:pt idx="0">
                  <c:v>0.1153623442348944</c:v>
                </c:pt>
                <c:pt idx="1">
                  <c:v>0.10214548033528588</c:v>
                </c:pt>
                <c:pt idx="2">
                  <c:v>0.11382824470655986</c:v>
                </c:pt>
                <c:pt idx="3">
                  <c:v>0.11567838634137857</c:v>
                </c:pt>
                <c:pt idx="4">
                  <c:v>0.11524532362836802</c:v>
                </c:pt>
                <c:pt idx="5">
                  <c:v>0.11327330093974557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5167056"/>
        <c:axId val="265167616"/>
      </c:barChart>
      <c:dateAx>
        <c:axId val="265167056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67616"/>
        <c:crosses val="autoZero"/>
        <c:auto val="1"/>
        <c:lblOffset val="100"/>
        <c:baseTimeUnit val="months"/>
        <c:majorUnit val="1"/>
        <c:majorTimeUnit val="months"/>
      </c:dateAx>
      <c:valAx>
        <c:axId val="265167616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67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833333333333"/>
          <c:y val="0.20238079615048118"/>
          <c:w val="0.24515000000000003"/>
          <c:h val="0.688548410615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1166666666666667E-2"/>
          <c:y val="2.2732291666666668E-2"/>
          <c:w val="0.76817460317460318"/>
          <c:h val="0.87274236111111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'图-活跃-公式'!$C$279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'图-活跃-公式'!$D$279:$I$279</c:f>
              <c:numCache>
                <c:formatCode>#,##0_);\(#,##0\)</c:formatCode>
                <c:ptCount val="6"/>
                <c:pt idx="0">
                  <c:v>315596</c:v>
                </c:pt>
                <c:pt idx="1">
                  <c:v>281402</c:v>
                </c:pt>
                <c:pt idx="2">
                  <c:v>271568</c:v>
                </c:pt>
                <c:pt idx="3">
                  <c:v>245612</c:v>
                </c:pt>
                <c:pt idx="4">
                  <c:v>255745</c:v>
                </c:pt>
                <c:pt idx="5">
                  <c:v>255352</c:v>
                </c:pt>
              </c:numCache>
            </c:numRef>
          </c:val>
        </c:ser>
        <c:ser>
          <c:idx val="1"/>
          <c:order val="1"/>
          <c:tx>
            <c:strRef>
              <c:f>'图-活跃-公式'!$C$280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'图-活跃-公式'!$D$280:$I$280</c:f>
              <c:numCache>
                <c:formatCode>#,##0_);\(#,##0\)</c:formatCode>
                <c:ptCount val="6"/>
                <c:pt idx="0">
                  <c:v>155514</c:v>
                </c:pt>
                <c:pt idx="1">
                  <c:v>139431</c:v>
                </c:pt>
                <c:pt idx="2">
                  <c:v>141591</c:v>
                </c:pt>
                <c:pt idx="3">
                  <c:v>131402</c:v>
                </c:pt>
                <c:pt idx="4">
                  <c:v>129119</c:v>
                </c:pt>
                <c:pt idx="5">
                  <c:v>136805</c:v>
                </c:pt>
              </c:numCache>
            </c:numRef>
          </c:val>
        </c:ser>
        <c:ser>
          <c:idx val="2"/>
          <c:order val="2"/>
          <c:tx>
            <c:strRef>
              <c:f>'图-活跃-公式'!$C$281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'图-活跃-公式'!$D$281:$I$281</c:f>
              <c:numCache>
                <c:formatCode>#,##0_);\(#,##0\)</c:formatCode>
                <c:ptCount val="6"/>
                <c:pt idx="0">
                  <c:v>91324</c:v>
                </c:pt>
                <c:pt idx="1">
                  <c:v>84054</c:v>
                </c:pt>
                <c:pt idx="2">
                  <c:v>86347</c:v>
                </c:pt>
                <c:pt idx="3">
                  <c:v>81330</c:v>
                </c:pt>
                <c:pt idx="4">
                  <c:v>78379</c:v>
                </c:pt>
                <c:pt idx="5">
                  <c:v>78673</c:v>
                </c:pt>
              </c:numCache>
            </c:numRef>
          </c:val>
        </c:ser>
        <c:ser>
          <c:idx val="3"/>
          <c:order val="3"/>
          <c:tx>
            <c:strRef>
              <c:f>'图-活跃-公式'!$C$282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'图-活跃-公式'!$D$282:$I$282</c:f>
              <c:numCache>
                <c:formatCode>#,##0_);\(#,##0\)</c:formatCode>
                <c:ptCount val="6"/>
                <c:pt idx="0">
                  <c:v>66241</c:v>
                </c:pt>
                <c:pt idx="1">
                  <c:v>60755</c:v>
                </c:pt>
                <c:pt idx="2">
                  <c:v>62537</c:v>
                </c:pt>
                <c:pt idx="3">
                  <c:v>59465</c:v>
                </c:pt>
                <c:pt idx="4">
                  <c:v>56242</c:v>
                </c:pt>
                <c:pt idx="5">
                  <c:v>56468</c:v>
                </c:pt>
              </c:numCache>
            </c:numRef>
          </c:val>
        </c:ser>
        <c:ser>
          <c:idx val="4"/>
          <c:order val="4"/>
          <c:tx>
            <c:strRef>
              <c:f>'图-活跃-公式'!$C$283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'图-活跃-公式'!$D$283:$I$283</c:f>
              <c:numCache>
                <c:formatCode>#,##0_);\(#,##0\)</c:formatCode>
                <c:ptCount val="6"/>
                <c:pt idx="0">
                  <c:v>25424</c:v>
                </c:pt>
                <c:pt idx="1">
                  <c:v>23447</c:v>
                </c:pt>
                <c:pt idx="2">
                  <c:v>24044</c:v>
                </c:pt>
                <c:pt idx="3">
                  <c:v>24156</c:v>
                </c:pt>
                <c:pt idx="4">
                  <c:v>21857</c:v>
                </c:pt>
                <c:pt idx="5">
                  <c:v>22340</c:v>
                </c:pt>
              </c:numCache>
            </c:numRef>
          </c:val>
        </c:ser>
        <c:ser>
          <c:idx val="5"/>
          <c:order val="5"/>
          <c:tx>
            <c:strRef>
              <c:f>'图-活跃-公式'!$C$284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'图-活跃-公式'!$D$284:$I$284</c:f>
              <c:numCache>
                <c:formatCode>#,##0_);\(#,##0\)</c:formatCode>
                <c:ptCount val="6"/>
                <c:pt idx="0">
                  <c:v>34588</c:v>
                </c:pt>
                <c:pt idx="1">
                  <c:v>28481</c:v>
                </c:pt>
                <c:pt idx="2">
                  <c:v>32946</c:v>
                </c:pt>
                <c:pt idx="3">
                  <c:v>32114</c:v>
                </c:pt>
                <c:pt idx="4">
                  <c:v>31102</c:v>
                </c:pt>
                <c:pt idx="5">
                  <c:v>32690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5173216"/>
        <c:axId val="265173776"/>
      </c:barChart>
      <c:dateAx>
        <c:axId val="265173216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73776"/>
        <c:crosses val="autoZero"/>
        <c:auto val="1"/>
        <c:lblOffset val="100"/>
        <c:baseTimeUnit val="months"/>
        <c:majorUnit val="1"/>
        <c:majorTimeUnit val="months"/>
      </c:dateAx>
      <c:valAx>
        <c:axId val="265173776"/>
        <c:scaling>
          <c:orientation val="minMax"/>
          <c:max val="800000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5173216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8060582010582014"/>
                <c:y val="0.2343989583333333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/>
                    <a:t>(</a:t>
                  </a:r>
                  <a:r>
                    <a:rPr lang="zh-CN"/>
                    <a:t>万人</a:t>
                  </a:r>
                  <a:r>
                    <a:rPr lang="en-US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40449735449734"/>
          <c:y val="0.31847916666666665"/>
          <c:w val="0.2305955026455026"/>
          <c:h val="0.57911805555555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'图-活跃-公式'!$C$285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'图-活跃-公式'!$D$285:$I$285</c:f>
              <c:numCache>
                <c:formatCode>0.0%</c:formatCode>
                <c:ptCount val="6"/>
                <c:pt idx="0">
                  <c:v>0.45825752482622728</c:v>
                </c:pt>
                <c:pt idx="1">
                  <c:v>0.45566008711563061</c:v>
                </c:pt>
                <c:pt idx="2">
                  <c:v>0.43869712923220572</c:v>
                </c:pt>
                <c:pt idx="3">
                  <c:v>0.42783658695057647</c:v>
                </c:pt>
                <c:pt idx="4">
                  <c:v>0.4467598577328088</c:v>
                </c:pt>
                <c:pt idx="5">
                  <c:v>0.43850201261144922</c:v>
                </c:pt>
              </c:numCache>
            </c:numRef>
          </c:val>
        </c:ser>
        <c:ser>
          <c:idx val="1"/>
          <c:order val="1"/>
          <c:tx>
            <c:strRef>
              <c:f>'图-活跃-公式'!$C$286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'图-活跃-公式'!$D$286:$I$286</c:f>
              <c:numCache>
                <c:formatCode>0.0%</c:formatCode>
                <c:ptCount val="6"/>
                <c:pt idx="0">
                  <c:v>0.22581230660662971</c:v>
                </c:pt>
                <c:pt idx="1">
                  <c:v>0.22577359651537476</c:v>
                </c:pt>
                <c:pt idx="2">
                  <c:v>0.22872932460789652</c:v>
                </c:pt>
                <c:pt idx="3">
                  <c:v>0.22889184241193286</c:v>
                </c:pt>
                <c:pt idx="4">
                  <c:v>0.22555743443900189</c:v>
                </c:pt>
                <c:pt idx="5">
                  <c:v>0.23492773831929772</c:v>
                </c:pt>
              </c:numCache>
            </c:numRef>
          </c:val>
        </c:ser>
        <c:ser>
          <c:idx val="2"/>
          <c:order val="2"/>
          <c:tx>
            <c:strRef>
              <c:f>'图-活跃-公式'!$C$287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'图-活跃-公式'!$D$287:$I$287</c:f>
              <c:numCache>
                <c:formatCode>0.0%</c:formatCode>
                <c:ptCount val="6"/>
                <c:pt idx="0">
                  <c:v>0.13260595887536719</c:v>
                </c:pt>
                <c:pt idx="1">
                  <c:v>0.13610440921676895</c:v>
                </c:pt>
                <c:pt idx="2">
                  <c:v>0.1394869094216302</c:v>
                </c:pt>
                <c:pt idx="3">
                  <c:v>0.1416703972798169</c:v>
                </c:pt>
                <c:pt idx="4">
                  <c:v>0.13691994326082552</c:v>
                </c:pt>
                <c:pt idx="5">
                  <c:v>0.13510083664189254</c:v>
                </c:pt>
              </c:numCache>
            </c:numRef>
          </c:val>
        </c:ser>
        <c:ser>
          <c:idx val="3"/>
          <c:order val="3"/>
          <c:tx>
            <c:strRef>
              <c:f>'图-活跃-公式'!$C$288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'图-活跃-公式'!$D$288:$I$288</c:f>
              <c:numCache>
                <c:formatCode>0.0%</c:formatCode>
                <c:ptCount val="6"/>
                <c:pt idx="0">
                  <c:v>9.618447858025489E-2</c:v>
                </c:pt>
                <c:pt idx="1">
                  <c:v>9.8377511861003616E-2</c:v>
                </c:pt>
                <c:pt idx="2">
                  <c:v>0.10102369340568274</c:v>
                </c:pt>
                <c:pt idx="3">
                  <c:v>0.10358330473680452</c:v>
                </c:pt>
                <c:pt idx="4">
                  <c:v>9.8248911683937637E-2</c:v>
                </c:pt>
                <c:pt idx="5">
                  <c:v>9.6969405558379476E-2</c:v>
                </c:pt>
              </c:numCache>
            </c:numRef>
          </c:val>
        </c:ser>
        <c:ser>
          <c:idx val="4"/>
          <c:order val="4"/>
          <c:tx>
            <c:strRef>
              <c:f>'图-活跃-公式'!$C$289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'图-活跃-公式'!$D$289:$I$289</c:f>
              <c:numCache>
                <c:formatCode>0.0%</c:formatCode>
                <c:ptCount val="6"/>
                <c:pt idx="0">
                  <c:v>3.6916625404574209E-2</c:v>
                </c:pt>
                <c:pt idx="1">
                  <c:v>3.7966546302443449E-2</c:v>
                </c:pt>
                <c:pt idx="2">
                  <c:v>3.8841224942773651E-2</c:v>
                </c:pt>
                <c:pt idx="3">
                  <c:v>4.2077832493437314E-2</c:v>
                </c:pt>
                <c:pt idx="4">
                  <c:v>3.818190076234531E-2</c:v>
                </c:pt>
                <c:pt idx="5">
                  <c:v>3.8363259194131145E-2</c:v>
                </c:pt>
              </c:numCache>
            </c:numRef>
          </c:val>
        </c:ser>
        <c:ser>
          <c:idx val="5"/>
          <c:order val="5"/>
          <c:tx>
            <c:strRef>
              <c:f>'图-活跃-公式'!$C$290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'图-活跃-公式'!$D$290:$I$290</c:f>
              <c:numCache>
                <c:formatCode>0.0%</c:formatCode>
                <c:ptCount val="6"/>
                <c:pt idx="0">
                  <c:v>5.02231057069467E-2</c:v>
                </c:pt>
                <c:pt idx="1">
                  <c:v>4.6117848988778597E-2</c:v>
                </c:pt>
                <c:pt idx="2">
                  <c:v>5.3221718389811205E-2</c:v>
                </c:pt>
                <c:pt idx="3">
                  <c:v>5.5940036127431939E-2</c:v>
                </c:pt>
                <c:pt idx="4">
                  <c:v>5.4331952121080843E-2</c:v>
                </c:pt>
                <c:pt idx="5">
                  <c:v>5.6136747674849913E-2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656384"/>
        <c:axId val="266656944"/>
      </c:barChart>
      <c:dateAx>
        <c:axId val="26665638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56944"/>
        <c:crosses val="autoZero"/>
        <c:auto val="1"/>
        <c:lblOffset val="100"/>
        <c:baseTimeUnit val="months"/>
        <c:majorUnit val="1"/>
        <c:majorTimeUnit val="months"/>
      </c:dateAx>
      <c:valAx>
        <c:axId val="266656944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563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0555555555556"/>
          <c:y val="0.20238079615048118"/>
          <c:w val="0.21692777777777777"/>
          <c:h val="0.688548410615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51587301587301E-2"/>
          <c:y val="2.7142013888888889E-2"/>
          <c:w val="0.75992962962962973"/>
          <c:h val="0.87274236111111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'图-活跃-公式'!$C$73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'图-活跃-公式'!$D$73:$I$73</c:f>
              <c:numCache>
                <c:formatCode>_ * #,##0_ ;_ * \-#,##0_ ;_ * "-"??_ ;_ @_ </c:formatCode>
                <c:ptCount val="6"/>
                <c:pt idx="0">
                  <c:v>460782</c:v>
                </c:pt>
                <c:pt idx="1">
                  <c:v>453078</c:v>
                </c:pt>
                <c:pt idx="2">
                  <c:v>458949</c:v>
                </c:pt>
                <c:pt idx="3">
                  <c:v>447978</c:v>
                </c:pt>
                <c:pt idx="4">
                  <c:v>457247</c:v>
                </c:pt>
                <c:pt idx="5" formatCode="#,##0_);\(#,##0\)">
                  <c:v>470321</c:v>
                </c:pt>
              </c:numCache>
            </c:numRef>
          </c:val>
        </c:ser>
        <c:ser>
          <c:idx val="1"/>
          <c:order val="1"/>
          <c:tx>
            <c:strRef>
              <c:f>'图-活跃-公式'!$C$74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'图-活跃-公式'!$D$74:$I$74</c:f>
              <c:numCache>
                <c:formatCode>_ * #,##0_ ;_ * \-#,##0_ ;_ * "-"??_ ;_ @_ </c:formatCode>
                <c:ptCount val="6"/>
                <c:pt idx="0">
                  <c:v>282335</c:v>
                </c:pt>
                <c:pt idx="1">
                  <c:v>272357</c:v>
                </c:pt>
                <c:pt idx="2">
                  <c:v>281776</c:v>
                </c:pt>
                <c:pt idx="3">
                  <c:v>280204</c:v>
                </c:pt>
                <c:pt idx="4">
                  <c:v>284261</c:v>
                </c:pt>
                <c:pt idx="5" formatCode="#,##0_);\(#,##0\)">
                  <c:v>299951</c:v>
                </c:pt>
              </c:numCache>
            </c:numRef>
          </c:val>
        </c:ser>
        <c:ser>
          <c:idx val="2"/>
          <c:order val="2"/>
          <c:tx>
            <c:strRef>
              <c:f>'图-活跃-公式'!$C$75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'图-活跃-公式'!$D$75:$I$75</c:f>
              <c:numCache>
                <c:formatCode>_ * #,##0_ ;_ * \-#,##0_ ;_ * "-"??_ ;_ @_ </c:formatCode>
                <c:ptCount val="6"/>
                <c:pt idx="0">
                  <c:v>224379</c:v>
                </c:pt>
                <c:pt idx="1">
                  <c:v>220516</c:v>
                </c:pt>
                <c:pt idx="2">
                  <c:v>227869</c:v>
                </c:pt>
                <c:pt idx="3">
                  <c:v>226925</c:v>
                </c:pt>
                <c:pt idx="4">
                  <c:v>231145</c:v>
                </c:pt>
                <c:pt idx="5" formatCode="#,##0_);\(#,##0\)">
                  <c:v>244222</c:v>
                </c:pt>
              </c:numCache>
            </c:numRef>
          </c:val>
        </c:ser>
        <c:ser>
          <c:idx val="3"/>
          <c:order val="3"/>
          <c:tx>
            <c:strRef>
              <c:f>'图-活跃-公式'!$C$76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'图-活跃-公式'!$D$76:$I$76</c:f>
              <c:numCache>
                <c:formatCode>_ * #,##0_ ;_ * \-#,##0_ ;_ * "-"??_ ;_ @_ </c:formatCode>
                <c:ptCount val="6"/>
                <c:pt idx="0">
                  <c:v>218779</c:v>
                </c:pt>
                <c:pt idx="1">
                  <c:v>213474</c:v>
                </c:pt>
                <c:pt idx="2">
                  <c:v>218439</c:v>
                </c:pt>
                <c:pt idx="3">
                  <c:v>218136</c:v>
                </c:pt>
                <c:pt idx="4">
                  <c:v>217404</c:v>
                </c:pt>
                <c:pt idx="5" formatCode="#,##0_);\(#,##0\)">
                  <c:v>230291</c:v>
                </c:pt>
              </c:numCache>
            </c:numRef>
          </c:val>
        </c:ser>
        <c:ser>
          <c:idx val="4"/>
          <c:order val="4"/>
          <c:tx>
            <c:strRef>
              <c:f>'图-活跃-公式'!$C$77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'图-活跃-公式'!$D$77:$I$77</c:f>
              <c:numCache>
                <c:formatCode>_ * #,##0_ ;_ * \-#,##0_ ;_ * "-"??_ ;_ @_ </c:formatCode>
                <c:ptCount val="6"/>
                <c:pt idx="0">
                  <c:v>106193</c:v>
                </c:pt>
                <c:pt idx="1">
                  <c:v>105283</c:v>
                </c:pt>
                <c:pt idx="2">
                  <c:v>105577</c:v>
                </c:pt>
                <c:pt idx="3">
                  <c:v>108078</c:v>
                </c:pt>
                <c:pt idx="4">
                  <c:v>104002</c:v>
                </c:pt>
                <c:pt idx="5" formatCode="#,##0_);\(#,##0\)">
                  <c:v>110387</c:v>
                </c:pt>
              </c:numCache>
            </c:numRef>
          </c:val>
        </c:ser>
        <c:ser>
          <c:idx val="5"/>
          <c:order val="5"/>
          <c:tx>
            <c:strRef>
              <c:f>'图-活跃-公式'!$C$78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'图-活跃-公式'!$D$78:$I$78</c:f>
              <c:numCache>
                <c:formatCode>_ * #,##0_ ;_ * \-#,##0_ ;_ * "-"??_ ;_ @_ </c:formatCode>
                <c:ptCount val="6"/>
                <c:pt idx="0">
                  <c:v>168546</c:v>
                </c:pt>
                <c:pt idx="1">
                  <c:v>143881</c:v>
                </c:pt>
                <c:pt idx="2">
                  <c:v>166035</c:v>
                </c:pt>
                <c:pt idx="3">
                  <c:v>167610</c:v>
                </c:pt>
                <c:pt idx="4">
                  <c:v>168560</c:v>
                </c:pt>
                <c:pt idx="5" formatCode="#,##0_);\(#,##0\)">
                  <c:v>173114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662544"/>
        <c:axId val="266663104"/>
      </c:barChart>
      <c:dateAx>
        <c:axId val="26666254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63104"/>
        <c:crosses val="autoZero"/>
        <c:auto val="1"/>
        <c:lblOffset val="100"/>
        <c:baseTimeUnit val="months"/>
        <c:majorUnit val="1"/>
        <c:majorTimeUnit val="months"/>
      </c:dateAx>
      <c:valAx>
        <c:axId val="266663104"/>
        <c:scaling>
          <c:orientation val="minMax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62544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7275132275132274"/>
                <c:y val="4.4780902777777777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sz="1000"/>
                    <a:t>(</a:t>
                  </a:r>
                  <a:r>
                    <a:rPr lang="zh-CN" sz="1000"/>
                    <a:t>万人</a:t>
                  </a:r>
                  <a:r>
                    <a:rPr lang="en-US" sz="1000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62248677248689"/>
          <c:y val="0.11859618055555556"/>
          <c:w val="0.24515000000000003"/>
          <c:h val="0.772332986111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2.2732291666666665E-2"/>
          <c:w val="0.78110978835978839"/>
          <c:h val="0.88136388888888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'图-活跃-公式'!$C$222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'图-活跃-公式'!$D$222:$I$222</c:f>
              <c:numCache>
                <c:formatCode>_ * #,##0_ ;_ * \-#,##0_ ;_ * "-"??_ ;_ @_ </c:formatCode>
                <c:ptCount val="6"/>
                <c:pt idx="0">
                  <c:v>11900</c:v>
                </c:pt>
                <c:pt idx="1">
                  <c:v>9531</c:v>
                </c:pt>
                <c:pt idx="2">
                  <c:v>9443</c:v>
                </c:pt>
                <c:pt idx="3">
                  <c:v>9274</c:v>
                </c:pt>
                <c:pt idx="4">
                  <c:v>8694</c:v>
                </c:pt>
                <c:pt idx="5" formatCode="#,##0_);\(#,##0\)">
                  <c:v>8281</c:v>
                </c:pt>
              </c:numCache>
            </c:numRef>
          </c:val>
        </c:ser>
        <c:ser>
          <c:idx val="1"/>
          <c:order val="1"/>
          <c:tx>
            <c:strRef>
              <c:f>'图-活跃-公式'!$C$223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'图-活跃-公式'!$D$223:$I$223</c:f>
              <c:numCache>
                <c:formatCode>_ * #,##0_ ;_ * \-#,##0_ ;_ * "-"??_ ;_ @_ </c:formatCode>
                <c:ptCount val="6"/>
                <c:pt idx="0">
                  <c:v>5338</c:v>
                </c:pt>
                <c:pt idx="1">
                  <c:v>4503</c:v>
                </c:pt>
                <c:pt idx="2">
                  <c:v>4724</c:v>
                </c:pt>
                <c:pt idx="3">
                  <c:v>4186</c:v>
                </c:pt>
                <c:pt idx="4">
                  <c:v>3909</c:v>
                </c:pt>
                <c:pt idx="5" formatCode="#,##0_);\(#,##0\)">
                  <c:v>3598</c:v>
                </c:pt>
              </c:numCache>
            </c:numRef>
          </c:val>
        </c:ser>
        <c:ser>
          <c:idx val="2"/>
          <c:order val="2"/>
          <c:tx>
            <c:strRef>
              <c:f>'图-活跃-公式'!$C$224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'图-活跃-公式'!$D$224:$I$224</c:f>
              <c:numCache>
                <c:formatCode>_ * #,##0_ ;_ * \-#,##0_ ;_ * "-"??_ ;_ @_ </c:formatCode>
                <c:ptCount val="6"/>
                <c:pt idx="0">
                  <c:v>2825</c:v>
                </c:pt>
                <c:pt idx="1">
                  <c:v>2517</c:v>
                </c:pt>
                <c:pt idx="2">
                  <c:v>2490</c:v>
                </c:pt>
                <c:pt idx="3">
                  <c:v>2249</c:v>
                </c:pt>
                <c:pt idx="4">
                  <c:v>2095</c:v>
                </c:pt>
                <c:pt idx="5" formatCode="#,##0_);\(#,##0\)">
                  <c:v>1962</c:v>
                </c:pt>
              </c:numCache>
            </c:numRef>
          </c:val>
        </c:ser>
        <c:ser>
          <c:idx val="3"/>
          <c:order val="3"/>
          <c:tx>
            <c:strRef>
              <c:f>'图-活跃-公式'!$C$225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'图-活跃-公式'!$D$225:$I$225</c:f>
              <c:numCache>
                <c:formatCode>_ * #,##0_ ;_ * \-#,##0_ ;_ * "-"??_ ;_ @_ </c:formatCode>
                <c:ptCount val="6"/>
                <c:pt idx="0">
                  <c:v>1546</c:v>
                </c:pt>
                <c:pt idx="1">
                  <c:v>1301</c:v>
                </c:pt>
                <c:pt idx="2">
                  <c:v>1285</c:v>
                </c:pt>
                <c:pt idx="3">
                  <c:v>1273</c:v>
                </c:pt>
                <c:pt idx="4">
                  <c:v>1152</c:v>
                </c:pt>
                <c:pt idx="5" formatCode="#,##0_);\(#,##0\)">
                  <c:v>1119</c:v>
                </c:pt>
              </c:numCache>
            </c:numRef>
          </c:val>
        </c:ser>
        <c:ser>
          <c:idx val="4"/>
          <c:order val="4"/>
          <c:tx>
            <c:strRef>
              <c:f>'图-活跃-公式'!$C$226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'图-活跃-公式'!$D$226:$I$226</c:f>
              <c:numCache>
                <c:formatCode>_ * #,##0_ ;_ * \-#,##0_ ;_ * "-"??_ ;_ @_ </c:formatCode>
                <c:ptCount val="6"/>
                <c:pt idx="0">
                  <c:v>378</c:v>
                </c:pt>
                <c:pt idx="1">
                  <c:v>343</c:v>
                </c:pt>
                <c:pt idx="2">
                  <c:v>368</c:v>
                </c:pt>
                <c:pt idx="3">
                  <c:v>378</c:v>
                </c:pt>
                <c:pt idx="4">
                  <c:v>295</c:v>
                </c:pt>
                <c:pt idx="5" formatCode="#,##0_);\(#,##0\)">
                  <c:v>278</c:v>
                </c:pt>
              </c:numCache>
            </c:numRef>
          </c:val>
        </c:ser>
        <c:ser>
          <c:idx val="5"/>
          <c:order val="5"/>
          <c:tx>
            <c:strRef>
              <c:f>'图-活跃-公式'!$C$227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'图-活跃-公式'!$D$227:$I$227</c:f>
              <c:numCache>
                <c:formatCode>_ * #,##0_ ;_ * \-#,##0_ ;_ * "-"??_ ;_ @_ </c:formatCode>
                <c:ptCount val="6"/>
                <c:pt idx="0">
                  <c:v>194</c:v>
                </c:pt>
                <c:pt idx="1">
                  <c:v>208</c:v>
                </c:pt>
                <c:pt idx="2">
                  <c:v>365</c:v>
                </c:pt>
                <c:pt idx="3">
                  <c:v>112</c:v>
                </c:pt>
                <c:pt idx="4">
                  <c:v>182</c:v>
                </c:pt>
                <c:pt idx="5" formatCode="#,##0_);\(#,##0\)">
                  <c:v>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668704"/>
        <c:axId val="266669264"/>
      </c:barChart>
      <c:dateAx>
        <c:axId val="26666870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69264"/>
        <c:crosses val="autoZero"/>
        <c:auto val="1"/>
        <c:lblOffset val="100"/>
        <c:baseTimeUnit val="months"/>
        <c:majorUnit val="1"/>
        <c:majorTimeUnit val="months"/>
      </c:dateAx>
      <c:valAx>
        <c:axId val="266669264"/>
        <c:scaling>
          <c:orientation val="minMax"/>
          <c:max val="25000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6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22576388888888888"/>
          <c:w val="0.22060555555555555"/>
          <c:h val="0.716041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51587301587301E-2"/>
          <c:y val="2.7142013888888889E-2"/>
          <c:w val="0.75992962962962973"/>
          <c:h val="0.87274236111111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'图-活跃-公式'!$C$209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'图-活跃-公式'!$D$209:$I$209</c:f>
              <c:numCache>
                <c:formatCode>_ * #,##0_ ;_ * \-#,##0_ ;_ * "-"??_ ;_ @_ </c:formatCode>
                <c:ptCount val="6"/>
                <c:pt idx="0">
                  <c:v>69077</c:v>
                </c:pt>
                <c:pt idx="1">
                  <c:v>65031</c:v>
                </c:pt>
                <c:pt idx="2">
                  <c:v>71525</c:v>
                </c:pt>
                <c:pt idx="3">
                  <c:v>73441</c:v>
                </c:pt>
                <c:pt idx="4">
                  <c:v>71278</c:v>
                </c:pt>
                <c:pt idx="5" formatCode="#,##0_);\(#,##0\)">
                  <c:v>73254</c:v>
                </c:pt>
              </c:numCache>
            </c:numRef>
          </c:val>
        </c:ser>
        <c:ser>
          <c:idx val="1"/>
          <c:order val="1"/>
          <c:tx>
            <c:strRef>
              <c:f>'图-活跃-公式'!$C$210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'图-活跃-公式'!$D$210:$I$210</c:f>
              <c:numCache>
                <c:formatCode>_ * #,##0_ ;_ * \-#,##0_ ;_ * "-"??_ ;_ @_ </c:formatCode>
                <c:ptCount val="6"/>
                <c:pt idx="0">
                  <c:v>43727</c:v>
                </c:pt>
                <c:pt idx="1">
                  <c:v>37707</c:v>
                </c:pt>
                <c:pt idx="2">
                  <c:v>43619</c:v>
                </c:pt>
                <c:pt idx="3">
                  <c:v>47532</c:v>
                </c:pt>
                <c:pt idx="4">
                  <c:v>45206</c:v>
                </c:pt>
                <c:pt idx="5" formatCode="#,##0_);\(#,##0\)">
                  <c:v>46878</c:v>
                </c:pt>
              </c:numCache>
            </c:numRef>
          </c:val>
        </c:ser>
        <c:ser>
          <c:idx val="2"/>
          <c:order val="2"/>
          <c:tx>
            <c:strRef>
              <c:f>'图-活跃-公式'!$C$211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'图-活跃-公式'!$D$211:$I$211</c:f>
              <c:numCache>
                <c:formatCode>_ * #,##0_ ;_ * \-#,##0_ ;_ * "-"??_ ;_ @_ </c:formatCode>
                <c:ptCount val="6"/>
                <c:pt idx="0">
                  <c:v>21216</c:v>
                </c:pt>
                <c:pt idx="1">
                  <c:v>17200</c:v>
                </c:pt>
                <c:pt idx="2">
                  <c:v>20130</c:v>
                </c:pt>
                <c:pt idx="3">
                  <c:v>23129</c:v>
                </c:pt>
                <c:pt idx="4">
                  <c:v>22598</c:v>
                </c:pt>
                <c:pt idx="5" formatCode="#,##0_);\(#,##0\)">
                  <c:v>24408</c:v>
                </c:pt>
              </c:numCache>
            </c:numRef>
          </c:val>
        </c:ser>
        <c:ser>
          <c:idx val="3"/>
          <c:order val="3"/>
          <c:tx>
            <c:strRef>
              <c:f>'图-活跃-公式'!$C$212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'图-活跃-公式'!$D$212:$I$212</c:f>
              <c:numCache>
                <c:formatCode>_ * #,##0_ ;_ * \-#,##0_ ;_ * "-"??_ ;_ @_ </c:formatCode>
                <c:ptCount val="6"/>
                <c:pt idx="0">
                  <c:v>7034</c:v>
                </c:pt>
                <c:pt idx="1">
                  <c:v>5538</c:v>
                </c:pt>
                <c:pt idx="2">
                  <c:v>6790</c:v>
                </c:pt>
                <c:pt idx="3">
                  <c:v>8242</c:v>
                </c:pt>
                <c:pt idx="4">
                  <c:v>7915</c:v>
                </c:pt>
                <c:pt idx="5" formatCode="#,##0_);\(#,##0\)">
                  <c:v>8851</c:v>
                </c:pt>
              </c:numCache>
            </c:numRef>
          </c:val>
        </c:ser>
        <c:ser>
          <c:idx val="4"/>
          <c:order val="4"/>
          <c:tx>
            <c:strRef>
              <c:f>'图-活跃-公式'!$C$213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'图-活跃-公式'!$D$213:$I$213</c:f>
              <c:numCache>
                <c:formatCode>_ * #,##0_ ;_ * \-#,##0_ ;_ * "-"??_ ;_ @_ </c:formatCode>
                <c:ptCount val="6"/>
                <c:pt idx="0">
                  <c:v>1096</c:v>
                </c:pt>
                <c:pt idx="1">
                  <c:v>958</c:v>
                </c:pt>
                <c:pt idx="2">
                  <c:v>1105</c:v>
                </c:pt>
                <c:pt idx="3">
                  <c:v>1396</c:v>
                </c:pt>
                <c:pt idx="4">
                  <c:v>1365</c:v>
                </c:pt>
                <c:pt idx="5" formatCode="#,##0_);\(#,##0\)">
                  <c:v>1504</c:v>
                </c:pt>
              </c:numCache>
            </c:numRef>
          </c:val>
        </c:ser>
        <c:ser>
          <c:idx val="5"/>
          <c:order val="5"/>
          <c:tx>
            <c:strRef>
              <c:f>'图-活跃-公式'!$C$214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'图-活跃-公式'!$D$207:$I$207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'图-活跃-公式'!$D$214:$I$214</c:f>
              <c:numCache>
                <c:formatCode>_ * #,##0_ ;_ * \-#,##0_ ;_ * "-"??_ ;_ @_ </c:formatCode>
                <c:ptCount val="6"/>
                <c:pt idx="0">
                  <c:v>588</c:v>
                </c:pt>
                <c:pt idx="1">
                  <c:v>453</c:v>
                </c:pt>
                <c:pt idx="2">
                  <c:v>584</c:v>
                </c:pt>
                <c:pt idx="3">
                  <c:v>581</c:v>
                </c:pt>
                <c:pt idx="4">
                  <c:v>729</c:v>
                </c:pt>
                <c:pt idx="5" formatCode="#,##0_);\(#,##0\)">
                  <c:v>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822464"/>
        <c:axId val="266823024"/>
      </c:barChart>
      <c:dateAx>
        <c:axId val="26682246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23024"/>
        <c:crosses val="autoZero"/>
        <c:auto val="1"/>
        <c:lblOffset val="100"/>
        <c:baseTimeUnit val="months"/>
        <c:majorUnit val="1"/>
        <c:majorTimeUnit val="months"/>
      </c:dateAx>
      <c:valAx>
        <c:axId val="266823024"/>
        <c:scaling>
          <c:orientation val="minMax"/>
          <c:max val="160000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62248677248689"/>
          <c:y val="0.26411701388888886"/>
          <c:w val="0.24515000000000003"/>
          <c:h val="0.63563159722222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2.2732291666666665E-2"/>
          <c:w val="0.78110978835978839"/>
          <c:h val="0.88136388888888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'图-活跃-公式'!$C$292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'图-活跃-公式'!$D$292:$I$292</c:f>
              <c:numCache>
                <c:formatCode>#,##0_);\(#,##0\)</c:formatCode>
                <c:ptCount val="6"/>
                <c:pt idx="0">
                  <c:v>137539</c:v>
                </c:pt>
                <c:pt idx="1">
                  <c:v>139749</c:v>
                </c:pt>
                <c:pt idx="2">
                  <c:v>149733</c:v>
                </c:pt>
                <c:pt idx="3">
                  <c:v>138219</c:v>
                </c:pt>
                <c:pt idx="4">
                  <c:v>158140</c:v>
                </c:pt>
                <c:pt idx="5">
                  <c:v>166442</c:v>
                </c:pt>
              </c:numCache>
            </c:numRef>
          </c:val>
        </c:ser>
        <c:ser>
          <c:idx val="1"/>
          <c:order val="1"/>
          <c:tx>
            <c:strRef>
              <c:f>'图-活跃-公式'!$C$293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'图-活跃-公式'!$D$293:$I$293</c:f>
              <c:numCache>
                <c:formatCode>#,##0_);\(#,##0\)</c:formatCode>
                <c:ptCount val="6"/>
                <c:pt idx="0">
                  <c:v>138197</c:v>
                </c:pt>
                <c:pt idx="1">
                  <c:v>136556</c:v>
                </c:pt>
                <c:pt idx="2">
                  <c:v>144305</c:v>
                </c:pt>
                <c:pt idx="3">
                  <c:v>135412</c:v>
                </c:pt>
                <c:pt idx="4">
                  <c:v>144953</c:v>
                </c:pt>
                <c:pt idx="5">
                  <c:v>159697</c:v>
                </c:pt>
              </c:numCache>
            </c:numRef>
          </c:val>
        </c:ser>
        <c:ser>
          <c:idx val="2"/>
          <c:order val="2"/>
          <c:tx>
            <c:strRef>
              <c:f>'图-活跃-公式'!$C$294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'图-活跃-公式'!$D$294:$I$294</c:f>
              <c:numCache>
                <c:formatCode>#,##0_);\(#,##0\)</c:formatCode>
                <c:ptCount val="6"/>
                <c:pt idx="0">
                  <c:v>145353</c:v>
                </c:pt>
                <c:pt idx="1">
                  <c:v>144644</c:v>
                </c:pt>
                <c:pt idx="2">
                  <c:v>149553</c:v>
                </c:pt>
                <c:pt idx="3">
                  <c:v>140278</c:v>
                </c:pt>
                <c:pt idx="4">
                  <c:v>146596</c:v>
                </c:pt>
                <c:pt idx="5">
                  <c:v>165364</c:v>
                </c:pt>
              </c:numCache>
            </c:numRef>
          </c:val>
        </c:ser>
        <c:ser>
          <c:idx val="3"/>
          <c:order val="3"/>
          <c:tx>
            <c:strRef>
              <c:f>'图-活跃-公式'!$C$295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'图-活跃-公式'!$D$295:$I$295</c:f>
              <c:numCache>
                <c:formatCode>#,##0_);\(#,##0\)</c:formatCode>
                <c:ptCount val="6"/>
                <c:pt idx="0">
                  <c:v>159176</c:v>
                </c:pt>
                <c:pt idx="1">
                  <c:v>155696</c:v>
                </c:pt>
                <c:pt idx="2">
                  <c:v>159214</c:v>
                </c:pt>
                <c:pt idx="3">
                  <c:v>153284</c:v>
                </c:pt>
                <c:pt idx="4">
                  <c:v>154553</c:v>
                </c:pt>
                <c:pt idx="5">
                  <c:v>171744</c:v>
                </c:pt>
              </c:numCache>
            </c:numRef>
          </c:val>
        </c:ser>
        <c:ser>
          <c:idx val="4"/>
          <c:order val="4"/>
          <c:tx>
            <c:strRef>
              <c:f>'图-活跃-公式'!$C$296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'图-活跃-公式'!$D$296:$I$296</c:f>
              <c:numCache>
                <c:formatCode>#,##0_);\(#,##0\)</c:formatCode>
                <c:ptCount val="6"/>
                <c:pt idx="0">
                  <c:v>81309</c:v>
                </c:pt>
                <c:pt idx="1">
                  <c:v>80550</c:v>
                </c:pt>
                <c:pt idx="2">
                  <c:v>80096</c:v>
                </c:pt>
                <c:pt idx="3">
                  <c:v>79012</c:v>
                </c:pt>
                <c:pt idx="4">
                  <c:v>77193</c:v>
                </c:pt>
                <c:pt idx="5">
                  <c:v>86126</c:v>
                </c:pt>
              </c:numCache>
            </c:numRef>
          </c:val>
        </c:ser>
        <c:ser>
          <c:idx val="5"/>
          <c:order val="5"/>
          <c:tx>
            <c:strRef>
              <c:f>'图-活跃-公式'!$C$297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'图-活跃-公式'!$D$297:$I$297</c:f>
              <c:numCache>
                <c:formatCode>#,##0_);\(#,##0\)</c:formatCode>
                <c:ptCount val="6"/>
                <c:pt idx="0">
                  <c:v>126256</c:v>
                </c:pt>
                <c:pt idx="1">
                  <c:v>106963</c:v>
                </c:pt>
                <c:pt idx="2">
                  <c:v>122893</c:v>
                </c:pt>
                <c:pt idx="3">
                  <c:v>121554</c:v>
                </c:pt>
                <c:pt idx="4">
                  <c:v>123713</c:v>
                </c:pt>
                <c:pt idx="5">
                  <c:v>136203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828624"/>
        <c:axId val="266829184"/>
      </c:barChart>
      <c:dateAx>
        <c:axId val="26682862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29184"/>
        <c:crosses val="autoZero"/>
        <c:auto val="1"/>
        <c:lblOffset val="100"/>
        <c:baseTimeUnit val="months"/>
        <c:majorUnit val="1"/>
        <c:majorTimeUnit val="months"/>
      </c:dateAx>
      <c:valAx>
        <c:axId val="266829184"/>
        <c:scaling>
          <c:orientation val="minMax"/>
          <c:max val="850000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28624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8161375661375665"/>
                <c:y val="8.887812499999998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/>
                    <a:t>万人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18607638888888889"/>
          <c:w val="0.22060555555555555"/>
          <c:h val="0.716041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2.2732291666666665E-2"/>
          <c:w val="0.78110978835978839"/>
          <c:h val="0.88136388888888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'图-活跃-公式'!$C$298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'图-活跃-公式'!$D$298:$I$298</c:f>
              <c:numCache>
                <c:formatCode>0.0%</c:formatCode>
                <c:ptCount val="6"/>
                <c:pt idx="0">
                  <c:v>0.17457954127159411</c:v>
                </c:pt>
                <c:pt idx="1">
                  <c:v>0.18287971859222832</c:v>
                </c:pt>
                <c:pt idx="2">
                  <c:v>0.18582044542401657</c:v>
                </c:pt>
                <c:pt idx="3">
                  <c:v>0.18002914977225926</c:v>
                </c:pt>
                <c:pt idx="4">
                  <c:v>0.19641109460620904</c:v>
                </c:pt>
                <c:pt idx="5">
                  <c:v>0.18794773119416064</c:v>
                </c:pt>
              </c:numCache>
            </c:numRef>
          </c:val>
        </c:ser>
        <c:ser>
          <c:idx val="1"/>
          <c:order val="1"/>
          <c:tx>
            <c:strRef>
              <c:f>'图-活跃-公式'!$C$299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'图-活跃-公式'!$D$299:$I$299</c:f>
              <c:numCache>
                <c:formatCode>0.0%</c:formatCode>
                <c:ptCount val="6"/>
                <c:pt idx="0">
                  <c:v>0.17541474683624639</c:v>
                </c:pt>
                <c:pt idx="1">
                  <c:v>0.17870126335129646</c:v>
                </c:pt>
                <c:pt idx="2">
                  <c:v>0.17908423244650618</c:v>
                </c:pt>
                <c:pt idx="3">
                  <c:v>0.17637305456529978</c:v>
                </c:pt>
                <c:pt idx="4">
                  <c:v>0.18003273932245997</c:v>
                </c:pt>
                <c:pt idx="5">
                  <c:v>0.18033121945490843</c:v>
                </c:pt>
              </c:numCache>
            </c:numRef>
          </c:val>
        </c:ser>
        <c:ser>
          <c:idx val="2"/>
          <c:order val="2"/>
          <c:tx>
            <c:strRef>
              <c:f>'图-活跃-公式'!$C$300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'图-活跃-公式'!$D$300:$I$300</c:f>
              <c:numCache>
                <c:formatCode>0.0%</c:formatCode>
                <c:ptCount val="6"/>
                <c:pt idx="0">
                  <c:v>0.18449792467918205</c:v>
                </c:pt>
                <c:pt idx="1">
                  <c:v>0.1892854619070925</c:v>
                </c:pt>
                <c:pt idx="2">
                  <c:v>0.18559706326927231</c:v>
                </c:pt>
                <c:pt idx="3">
                  <c:v>0.18271098091979385</c:v>
                </c:pt>
                <c:pt idx="4">
                  <c:v>0.1820733579416455</c:v>
                </c:pt>
                <c:pt idx="5">
                  <c:v>0.18673044436615266</c:v>
                </c:pt>
              </c:numCache>
            </c:numRef>
          </c:val>
        </c:ser>
        <c:ser>
          <c:idx val="3"/>
          <c:order val="3"/>
          <c:tx>
            <c:strRef>
              <c:f>'图-活跃-公式'!$C$301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'图-活跃-公式'!$D$301:$I$301</c:f>
              <c:numCache>
                <c:formatCode>0.0%</c:formatCode>
                <c:ptCount val="6"/>
                <c:pt idx="0">
                  <c:v>0.20204358808372364</c:v>
                </c:pt>
                <c:pt idx="1">
                  <c:v>0.20374843945885537</c:v>
                </c:pt>
                <c:pt idx="2">
                  <c:v>0.19758647991918529</c:v>
                </c:pt>
                <c:pt idx="3">
                  <c:v>0.19965119262685296</c:v>
                </c:pt>
                <c:pt idx="4">
                  <c:v>0.19195601305598473</c:v>
                </c:pt>
                <c:pt idx="5">
                  <c:v>0.1939347949808938</c:v>
                </c:pt>
              </c:numCache>
            </c:numRef>
          </c:val>
        </c:ser>
        <c:ser>
          <c:idx val="4"/>
          <c:order val="4"/>
          <c:tx>
            <c:strRef>
              <c:f>'图-活跃-公式'!$C$302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'图-活跃-公式'!$D$302:$I$302</c:f>
              <c:numCache>
                <c:formatCode>0.0%</c:formatCode>
                <c:ptCount val="6"/>
                <c:pt idx="0">
                  <c:v>0.10320627546551921</c:v>
                </c:pt>
                <c:pt idx="1">
                  <c:v>0.10541013769403709</c:v>
                </c:pt>
                <c:pt idx="2">
                  <c:v>9.9400094813314563E-2</c:v>
                </c:pt>
                <c:pt idx="3">
                  <c:v>0.10291250249101606</c:v>
                </c:pt>
                <c:pt idx="4">
                  <c:v>9.5874298886664322E-2</c:v>
                </c:pt>
                <c:pt idx="5">
                  <c:v>9.7254216464764176E-2</c:v>
                </c:pt>
              </c:numCache>
            </c:numRef>
          </c:val>
        </c:ser>
        <c:ser>
          <c:idx val="5"/>
          <c:order val="5"/>
          <c:tx>
            <c:strRef>
              <c:f>'图-活跃-公式'!$C$303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'图-活跃-公式'!$D$277:$I$277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'图-活跃-公式'!$D$303:$I$303</c:f>
              <c:numCache>
                <c:formatCode>0.0%</c:formatCode>
                <c:ptCount val="6"/>
                <c:pt idx="0">
                  <c:v>0.16025792366373456</c:v>
                </c:pt>
                <c:pt idx="1">
                  <c:v>0.13997497899649025</c:v>
                </c:pt>
                <c:pt idx="2">
                  <c:v>0.1525116841277051</c:v>
                </c:pt>
                <c:pt idx="3">
                  <c:v>0.15832311962477807</c:v>
                </c:pt>
                <c:pt idx="4">
                  <c:v>0.15365249618703641</c:v>
                </c:pt>
                <c:pt idx="5">
                  <c:v>0.15380159353912029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834784"/>
        <c:axId val="266835344"/>
      </c:barChart>
      <c:dateAx>
        <c:axId val="26683478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35344"/>
        <c:crosses val="autoZero"/>
        <c:auto val="1"/>
        <c:lblOffset val="100"/>
        <c:baseTimeUnit val="months"/>
        <c:majorUnit val="1"/>
        <c:majorTimeUnit val="months"/>
      </c:dateAx>
      <c:valAx>
        <c:axId val="266835344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18607638888888889"/>
          <c:w val="0.22060555555555555"/>
          <c:h val="0.716041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098915989159891E-2"/>
          <c:y val="0.1287638888888889"/>
          <c:w val="0.97726639566395668"/>
          <c:h val="0.7827180555555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'图-用户-公式'!$C$207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'图-用户-公式'!$D$207:$I$207</c:f>
              <c:numCache>
                <c:formatCode>#,##0_);[Red]\(#,##0\)</c:formatCode>
                <c:ptCount val="6"/>
                <c:pt idx="0">
                  <c:v>1443691</c:v>
                </c:pt>
                <c:pt idx="1">
                  <c:v>1376854</c:v>
                </c:pt>
                <c:pt idx="2">
                  <c:v>1470665</c:v>
                </c:pt>
                <c:pt idx="3">
                  <c:v>1425969</c:v>
                </c:pt>
                <c:pt idx="4">
                  <c:v>1516406</c:v>
                </c:pt>
                <c:pt idx="5">
                  <c:v>1602602</c:v>
                </c:pt>
              </c:numCache>
            </c:numRef>
          </c:val>
        </c:ser>
        <c:ser>
          <c:idx val="1"/>
          <c:order val="1"/>
          <c:tx>
            <c:strRef>
              <c:f>'图-用户-公式'!$C$208</c:f>
              <c:strCache>
                <c:ptCount val="1"/>
                <c:pt idx="0">
                  <c:v>手机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'图-用户-公式'!$D$208:$I$208</c:f>
              <c:numCache>
                <c:formatCode>#,##0_);[Red]\(#,##0\)</c:formatCode>
                <c:ptCount val="6"/>
                <c:pt idx="0">
                  <c:v>2571119</c:v>
                </c:pt>
                <c:pt idx="1">
                  <c:v>2190975</c:v>
                </c:pt>
                <c:pt idx="2">
                  <c:v>2629078</c:v>
                </c:pt>
                <c:pt idx="3">
                  <c:v>2202125</c:v>
                </c:pt>
                <c:pt idx="4">
                  <c:v>2660533</c:v>
                </c:pt>
                <c:pt idx="5">
                  <c:v>3212059</c:v>
                </c:pt>
              </c:numCache>
            </c:numRef>
          </c:val>
        </c:ser>
        <c:ser>
          <c:idx val="2"/>
          <c:order val="2"/>
          <c:tx>
            <c:strRef>
              <c:f>'图-用户-公式'!$C$209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'图-用户-公式'!$D$205:$I$205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'图-用户-公式'!$D$209:$I$209</c:f>
              <c:numCache>
                <c:formatCode>#,##0_);[Red]\(#,##0\)</c:formatCode>
                <c:ptCount val="6"/>
                <c:pt idx="0">
                  <c:v>4195399</c:v>
                </c:pt>
                <c:pt idx="1">
                  <c:v>3727241</c:v>
                </c:pt>
                <c:pt idx="2">
                  <c:v>4283658</c:v>
                </c:pt>
                <c:pt idx="3">
                  <c:v>3762694</c:v>
                </c:pt>
                <c:pt idx="4">
                  <c:v>4346460</c:v>
                </c:pt>
                <c:pt idx="5">
                  <c:v>4616498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61831168"/>
        <c:axId val="261831728"/>
      </c:barChart>
      <c:dateAx>
        <c:axId val="26183116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1728"/>
        <c:crosses val="autoZero"/>
        <c:auto val="1"/>
        <c:lblOffset val="100"/>
        <c:baseTimeUnit val="months"/>
      </c:dateAx>
      <c:valAx>
        <c:axId val="261831728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1168"/>
        <c:crosses val="autoZero"/>
        <c:crossBetween val="between"/>
        <c:majorUnit val="1000000"/>
        <c:dispUnits>
          <c:builtInUnit val="tenThousands"/>
          <c:dispUnitsLbl>
            <c:layout>
              <c:manualLayout>
                <c:xMode val="edge"/>
                <c:yMode val="edge"/>
                <c:x val="0.69702872628726287"/>
                <c:y val="2.293055555555555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 altLang="en-US"/>
                    <a:t>万人</a:t>
                  </a:r>
                  <a:r>
                    <a:rPr lang="en-US" altLang="zh-CN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8805555555555558E-2"/>
          <c:y val="4.9873958333333343E-2"/>
          <c:w val="0.74344583333333336"/>
          <c:h val="0.85882986111111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'图-活跃-公式'!$C$11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'图-活跃-公式'!$D$11:$I$11</c:f>
              <c:numCache>
                <c:formatCode>0.0%</c:formatCode>
                <c:ptCount val="6"/>
                <c:pt idx="0">
                  <c:v>0.325118203233902</c:v>
                </c:pt>
                <c:pt idx="1">
                  <c:v>0.32969072788286152</c:v>
                </c:pt>
                <c:pt idx="2">
                  <c:v>0.32201059036351287</c:v>
                </c:pt>
                <c:pt idx="3">
                  <c:v>0.31694173786775537</c:v>
                </c:pt>
                <c:pt idx="4">
                  <c:v>0.31833167405955665</c:v>
                </c:pt>
                <c:pt idx="5">
                  <c:v>0.33188286199999995</c:v>
                </c:pt>
              </c:numCache>
            </c:numRef>
          </c:val>
        </c:ser>
        <c:ser>
          <c:idx val="1"/>
          <c:order val="1"/>
          <c:tx>
            <c:strRef>
              <c:f>'图-活跃-公式'!$C$12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3D566F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'图-活跃-公式'!$D$12:$I$12</c:f>
              <c:numCache>
                <c:formatCode>0.0%</c:formatCode>
                <c:ptCount val="6"/>
                <c:pt idx="0">
                  <c:v>0.19388279830366978</c:v>
                </c:pt>
                <c:pt idx="1">
                  <c:v>0.19392809515651716</c:v>
                </c:pt>
                <c:pt idx="2">
                  <c:v>0.19414144273969064</c:v>
                </c:pt>
                <c:pt idx="3">
                  <c:v>0.19392322383096933</c:v>
                </c:pt>
                <c:pt idx="4">
                  <c:v>0.19444907766964989</c:v>
                </c:pt>
                <c:pt idx="5">
                  <c:v>0.19292809515651696</c:v>
                </c:pt>
              </c:numCache>
            </c:numRef>
          </c:val>
        </c:ser>
        <c:ser>
          <c:idx val="2"/>
          <c:order val="2"/>
          <c:tx>
            <c:strRef>
              <c:f>'图-活跃-公式'!$C$13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'图-活跃-公式'!$D$13:$I$13</c:f>
              <c:numCache>
                <c:formatCode>0.0%</c:formatCode>
                <c:ptCount val="6"/>
                <c:pt idx="0">
                  <c:v>0.15127256825779911</c:v>
                </c:pt>
                <c:pt idx="1">
                  <c:v>0.15440293719495196</c:v>
                </c:pt>
                <c:pt idx="2">
                  <c:v>0.154099117817631</c:v>
                </c:pt>
                <c:pt idx="3">
                  <c:v>0.15440793488783197</c:v>
                </c:pt>
                <c:pt idx="4">
                  <c:v>0.15606903273894845</c:v>
                </c:pt>
                <c:pt idx="5">
                  <c:v>0.15440293719495196</c:v>
                </c:pt>
              </c:numCache>
            </c:numRef>
          </c:val>
        </c:ser>
        <c:ser>
          <c:idx val="3"/>
          <c:order val="3"/>
          <c:tx>
            <c:strRef>
              <c:f>'图-活跃-公式'!$C$14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95A4A5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'图-活跃-公式'!$D$14:$I$14</c:f>
              <c:numCache>
                <c:formatCode>0.0%</c:formatCode>
                <c:ptCount val="6"/>
                <c:pt idx="0">
                  <c:v>0.14576859993767641</c:v>
                </c:pt>
                <c:pt idx="1">
                  <c:v>0.14795615705796794</c:v>
                </c:pt>
                <c:pt idx="2">
                  <c:v>0.14626300555221042</c:v>
                </c:pt>
                <c:pt idx="3">
                  <c:v>0.14714621301401573</c:v>
                </c:pt>
                <c:pt idx="4">
                  <c:v>0.14640137398293468</c:v>
                </c:pt>
                <c:pt idx="5">
                  <c:v>0.14195615705796799</c:v>
                </c:pt>
              </c:numCache>
            </c:numRef>
          </c:val>
        </c:ser>
        <c:ser>
          <c:idx val="4"/>
          <c:order val="4"/>
          <c:tx>
            <c:strRef>
              <c:f>'图-活跃-公式'!$C$15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BDC3C7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'图-活跃-公式'!$D$15:$I$15</c:f>
              <c:numCache>
                <c:formatCode>0.0%</c:formatCode>
                <c:ptCount val="6"/>
                <c:pt idx="0">
                  <c:v>7.0452589827404682E-2</c:v>
                </c:pt>
                <c:pt idx="1">
                  <c:v>7.264250131844581E-2</c:v>
                </c:pt>
                <c:pt idx="2">
                  <c:v>7.0431723338006388E-2</c:v>
                </c:pt>
                <c:pt idx="3">
                  <c:v>7.2863178164064138E-2</c:v>
                </c:pt>
                <c:pt idx="4">
                  <c:v>7.0024393930706641E-2</c:v>
                </c:pt>
                <c:pt idx="5">
                  <c:v>7.264250131844581E-2</c:v>
                </c:pt>
              </c:numCache>
            </c:numRef>
          </c:val>
        </c:ser>
        <c:ser>
          <c:idx val="5"/>
          <c:order val="5"/>
          <c:tx>
            <c:strRef>
              <c:f>'图-活跃-公式'!$C$16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DEE4E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'图-活跃-公式'!$D$16:$I$16</c:f>
              <c:numCache>
                <c:formatCode>0.0%</c:formatCode>
                <c:ptCount val="6"/>
                <c:pt idx="0">
                  <c:v>0.11350524043954804</c:v>
                </c:pt>
                <c:pt idx="1">
                  <c:v>0.1013795813892556</c:v>
                </c:pt>
                <c:pt idx="2">
                  <c:v>0.11305412018894868</c:v>
                </c:pt>
                <c:pt idx="3">
                  <c:v>0.11471771223536344</c:v>
                </c:pt>
                <c:pt idx="4">
                  <c:v>0.1147244476182037</c:v>
                </c:pt>
                <c:pt idx="5">
                  <c:v>0.1013795813892556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840944"/>
        <c:axId val="266841504"/>
      </c:barChart>
      <c:dateAx>
        <c:axId val="26684094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41504"/>
        <c:crosses val="autoZero"/>
        <c:auto val="1"/>
        <c:lblOffset val="100"/>
        <c:baseTimeUnit val="months"/>
        <c:majorUnit val="1"/>
        <c:majorTimeUnit val="months"/>
      </c:dateAx>
      <c:valAx>
        <c:axId val="266841504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40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8472222222234"/>
          <c:y val="5.776770833333332E-2"/>
          <c:w val="0.2177486111111111"/>
          <c:h val="0.84546041666666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'图-活跃-公式'!$C$24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'图-活跃-公式'!$D$24:$I$24</c:f>
              <c:numCache>
                <c:formatCode>0.0%</c:formatCode>
                <c:ptCount val="6"/>
                <c:pt idx="0">
                  <c:v>0.68708493081615996</c:v>
                </c:pt>
                <c:pt idx="1">
                  <c:v>0.6684205981100394</c:v>
                </c:pt>
                <c:pt idx="2">
                  <c:v>0.70067444486670638</c:v>
                </c:pt>
                <c:pt idx="3">
                  <c:v>0.66016597724368598</c:v>
                </c:pt>
                <c:pt idx="4">
                  <c:v>0.68603688901977977</c:v>
                </c:pt>
                <c:pt idx="5">
                  <c:v>0.70029356140971422</c:v>
                </c:pt>
              </c:numCache>
            </c:numRef>
          </c:val>
        </c:ser>
        <c:ser>
          <c:idx val="1"/>
          <c:order val="1"/>
          <c:tx>
            <c:strRef>
              <c:f>'图-活跃-公式'!$C$25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3D566F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'图-活跃-公式'!$D$25:$I$25</c:f>
              <c:numCache>
                <c:formatCode>0.0%</c:formatCode>
                <c:ptCount val="6"/>
                <c:pt idx="0">
                  <c:v>0.15865109655527085</c:v>
                </c:pt>
                <c:pt idx="1">
                  <c:v>0.16807801321945881</c:v>
                </c:pt>
                <c:pt idx="2">
                  <c:v>0.14836770929231385</c:v>
                </c:pt>
                <c:pt idx="3">
                  <c:v>0.16725744007534393</c:v>
                </c:pt>
                <c:pt idx="4">
                  <c:v>0.15613235644904871</c:v>
                </c:pt>
                <c:pt idx="5">
                  <c:v>0.14286231976078989</c:v>
                </c:pt>
              </c:numCache>
            </c:numRef>
          </c:val>
        </c:ser>
        <c:ser>
          <c:idx val="2"/>
          <c:order val="2"/>
          <c:tx>
            <c:strRef>
              <c:f>'图-活跃-公式'!$C$26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7F8C8D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'图-活跃-公式'!$D$26:$I$26</c:f>
              <c:numCache>
                <c:formatCode>0.0%</c:formatCode>
                <c:ptCount val="6"/>
                <c:pt idx="0">
                  <c:v>7.8683835042195768E-2</c:v>
                </c:pt>
                <c:pt idx="1">
                  <c:v>8.5569232699463024E-2</c:v>
                </c:pt>
                <c:pt idx="2">
                  <c:v>7.7326093009171662E-2</c:v>
                </c:pt>
                <c:pt idx="3">
                  <c:v>8.8366478134904211E-2</c:v>
                </c:pt>
                <c:pt idx="4">
                  <c:v>8.1887907059179407E-2</c:v>
                </c:pt>
                <c:pt idx="5">
                  <c:v>7.9336844837401416E-2</c:v>
                </c:pt>
              </c:numCache>
            </c:numRef>
          </c:val>
        </c:ser>
        <c:ser>
          <c:idx val="3"/>
          <c:order val="3"/>
          <c:tx>
            <c:strRef>
              <c:f>'图-活跃-公式'!$C$27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95A4A5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'图-活跃-公式'!$D$27:$I$27</c:f>
              <c:numCache>
                <c:formatCode>0.0%</c:formatCode>
                <c:ptCount val="6"/>
                <c:pt idx="0">
                  <c:v>4.9112939098705427E-2</c:v>
                </c:pt>
                <c:pt idx="1">
                  <c:v>5.2108750538725941E-2</c:v>
                </c:pt>
                <c:pt idx="2">
                  <c:v>4.8323134691842511E-2</c:v>
                </c:pt>
                <c:pt idx="3">
                  <c:v>5.5726032418682535E-2</c:v>
                </c:pt>
                <c:pt idx="4">
                  <c:v>5.0514516672818838E-2</c:v>
                </c:pt>
                <c:pt idx="5">
                  <c:v>5.0411537291714804E-2</c:v>
                </c:pt>
              </c:numCache>
            </c:numRef>
          </c:val>
        </c:ser>
        <c:ser>
          <c:idx val="4"/>
          <c:order val="4"/>
          <c:tx>
            <c:strRef>
              <c:f>'图-活跃-公式'!$C$28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BDC3C7"/>
            </a:solidFill>
            <a:ln>
              <a:noFill/>
            </a:ln>
            <a:effectLst/>
          </c:spPr>
          <c:invertIfNegative val="0"/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'图-活跃-公式'!$D$28:$I$28</c:f>
              <c:numCache>
                <c:formatCode>0.0%</c:formatCode>
                <c:ptCount val="6"/>
                <c:pt idx="0">
                  <c:v>1.46930801575531E-2</c:v>
                </c:pt>
                <c:pt idx="1">
                  <c:v>1.5058255725567099E-2</c:v>
                </c:pt>
                <c:pt idx="2">
                  <c:v>1.4367518258311842E-2</c:v>
                </c:pt>
                <c:pt idx="3">
                  <c:v>1.6322008071545008E-2</c:v>
                </c:pt>
                <c:pt idx="4">
                  <c:v>1.4463035688347616E-2</c:v>
                </c:pt>
                <c:pt idx="5">
                  <c:v>1.5493897404035029E-2</c:v>
                </c:pt>
              </c:numCache>
            </c:numRef>
          </c:val>
        </c:ser>
        <c:ser>
          <c:idx val="5"/>
          <c:order val="5"/>
          <c:tx>
            <c:strRef>
              <c:f>'图-活跃-公式'!$C$29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DEE4E6"/>
            </a:solidFill>
            <a:ln>
              <a:noFill/>
            </a:ln>
            <a:effectLst/>
          </c:spPr>
          <c:invertIfNegative val="0"/>
          <c:cat>
            <c:numRef>
              <c:f>'图-活跃-公式'!$D$3:$I$3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'图-活跃-公式'!$D$29:$I$29</c:f>
              <c:numCache>
                <c:formatCode>0.0%</c:formatCode>
                <c:ptCount val="6"/>
                <c:pt idx="0">
                  <c:v>1.1774118330114929E-2</c:v>
                </c:pt>
                <c:pt idx="1">
                  <c:v>1.0765149706745704E-2</c:v>
                </c:pt>
                <c:pt idx="2">
                  <c:v>1.0941099881653758E-2</c:v>
                </c:pt>
                <c:pt idx="3">
                  <c:v>1.2162064055838303E-2</c:v>
                </c:pt>
                <c:pt idx="4">
                  <c:v>1.0965295110825638E-2</c:v>
                </c:pt>
                <c:pt idx="5">
                  <c:v>1.1601839296344637E-2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6847104"/>
        <c:axId val="266847664"/>
      </c:barChart>
      <c:dateAx>
        <c:axId val="266847104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47664"/>
        <c:crosses val="autoZero"/>
        <c:auto val="1"/>
        <c:lblOffset val="100"/>
        <c:baseTimeUnit val="months"/>
        <c:majorUnit val="1"/>
        <c:majorTimeUnit val="months"/>
      </c:dateAx>
      <c:valAx>
        <c:axId val="266847664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68471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5694444444455"/>
          <c:y val="0.20328854166666671"/>
          <c:w val="0.22127638888888893"/>
          <c:h val="0.65584236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8646825396825398E-2"/>
          <c:y val="2.2732291666666665E-2"/>
          <c:w val="0.78110978835978839"/>
          <c:h val="0.88136388888888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'图-活跃-公式'!$C$86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'图-活跃-公式'!$D$86:$I$86</c:f>
              <c:numCache>
                <c:formatCode>#,##0_);\(#,##0\)</c:formatCode>
                <c:ptCount val="6"/>
                <c:pt idx="0">
                  <c:v>335227</c:v>
                </c:pt>
                <c:pt idx="1">
                  <c:v>306312</c:v>
                </c:pt>
                <c:pt idx="2">
                  <c:v>317660</c:v>
                </c:pt>
                <c:pt idx="3">
                  <c:v>300751</c:v>
                </c:pt>
                <c:pt idx="4">
                  <c:v>305714</c:v>
                </c:pt>
                <c:pt idx="5">
                  <c:v>312932</c:v>
                </c:pt>
              </c:numCache>
            </c:numRef>
          </c:val>
        </c:ser>
        <c:ser>
          <c:idx val="1"/>
          <c:order val="1"/>
          <c:tx>
            <c:strRef>
              <c:f>'图-活跃-公式'!$C$87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'图-活跃-公式'!$D$87:$I$87</c:f>
              <c:numCache>
                <c:formatCode>#,##0_);\(#,##0\)</c:formatCode>
                <c:ptCount val="6"/>
                <c:pt idx="0">
                  <c:v>196877</c:v>
                </c:pt>
                <c:pt idx="1">
                  <c:v>171797</c:v>
                </c:pt>
                <c:pt idx="2">
                  <c:v>177058</c:v>
                </c:pt>
                <c:pt idx="3">
                  <c:v>166117</c:v>
                </c:pt>
                <c:pt idx="4">
                  <c:v>160788</c:v>
                </c:pt>
                <c:pt idx="5">
                  <c:v>168727</c:v>
                </c:pt>
              </c:numCache>
            </c:numRef>
          </c:val>
        </c:ser>
        <c:ser>
          <c:idx val="2"/>
          <c:order val="2"/>
          <c:tx>
            <c:strRef>
              <c:f>'图-活跃-公式'!$C$88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'图-活跃-公式'!$D$88:$I$88</c:f>
              <c:numCache>
                <c:formatCode>#,##0_);\(#,##0\)</c:formatCode>
                <c:ptCount val="6"/>
                <c:pt idx="0">
                  <c:v>120680</c:v>
                </c:pt>
                <c:pt idx="1">
                  <c:v>93860</c:v>
                </c:pt>
                <c:pt idx="2">
                  <c:v>97026</c:v>
                </c:pt>
                <c:pt idx="3">
                  <c:v>91911</c:v>
                </c:pt>
                <c:pt idx="4">
                  <c:v>83447</c:v>
                </c:pt>
                <c:pt idx="5">
                  <c:v>80276</c:v>
                </c:pt>
              </c:numCache>
            </c:numRef>
          </c:val>
        </c:ser>
        <c:ser>
          <c:idx val="3"/>
          <c:order val="3"/>
          <c:tx>
            <c:strRef>
              <c:f>'图-活跃-公式'!$C$89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'图-活跃-公式'!$D$89:$I$89</c:f>
              <c:numCache>
                <c:formatCode>#,##0_);\(#,##0\)</c:formatCode>
                <c:ptCount val="6"/>
                <c:pt idx="0">
                  <c:v>62296</c:v>
                </c:pt>
                <c:pt idx="1">
                  <c:v>42287</c:v>
                </c:pt>
                <c:pt idx="2">
                  <c:v>43341</c:v>
                </c:pt>
                <c:pt idx="3">
                  <c:v>42387</c:v>
                </c:pt>
                <c:pt idx="4">
                  <c:v>36062</c:v>
                </c:pt>
                <c:pt idx="5">
                  <c:v>33060</c:v>
                </c:pt>
              </c:numCache>
            </c:numRef>
          </c:val>
        </c:ser>
        <c:ser>
          <c:idx val="4"/>
          <c:order val="4"/>
          <c:tx>
            <c:strRef>
              <c:f>'图-活跃-公式'!$C$90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'图-活跃-公式'!$D$90:$I$90</c:f>
              <c:numCache>
                <c:formatCode>#,##0_);\(#,##0\)</c:formatCode>
                <c:ptCount val="6"/>
                <c:pt idx="0">
                  <c:v>13944</c:v>
                </c:pt>
                <c:pt idx="1">
                  <c:v>8934</c:v>
                </c:pt>
                <c:pt idx="2">
                  <c:v>9278</c:v>
                </c:pt>
                <c:pt idx="3">
                  <c:v>9248</c:v>
                </c:pt>
                <c:pt idx="4">
                  <c:v>8014</c:v>
                </c:pt>
                <c:pt idx="5">
                  <c:v>7290</c:v>
                </c:pt>
              </c:numCache>
            </c:numRef>
          </c:val>
        </c:ser>
        <c:ser>
          <c:idx val="5"/>
          <c:order val="5"/>
          <c:tx>
            <c:strRef>
              <c:f>'图-活跃-公式'!$C$91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'图-活跃-公式'!$D$91:$I$91</c:f>
              <c:numCache>
                <c:formatCode>#,##0_);\(#,##0\)</c:formatCode>
                <c:ptCount val="6"/>
                <c:pt idx="0">
                  <c:v>11119</c:v>
                </c:pt>
                <c:pt idx="1">
                  <c:v>7500</c:v>
                </c:pt>
                <c:pt idx="2">
                  <c:v>8412</c:v>
                </c:pt>
                <c:pt idx="3">
                  <c:v>7386</c:v>
                </c:pt>
                <c:pt idx="4">
                  <c:v>7300</c:v>
                </c:pt>
                <c:pt idx="5">
                  <c:v>6795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836640"/>
        <c:axId val="267837200"/>
      </c:barChart>
      <c:dateAx>
        <c:axId val="267836640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37200"/>
        <c:crosses val="autoZero"/>
        <c:auto val="1"/>
        <c:lblOffset val="100"/>
        <c:baseTimeUnit val="months"/>
        <c:majorUnit val="1"/>
        <c:majorTimeUnit val="months"/>
      </c:dateAx>
      <c:valAx>
        <c:axId val="267837200"/>
        <c:scaling>
          <c:orientation val="minMax"/>
          <c:max val="750000"/>
          <c:min val="0"/>
        </c:scaling>
        <c:delete val="0"/>
        <c:axPos val="l"/>
        <c:numFmt formatCode="#,##0_);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36640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9505291005291001"/>
                <c:y val="8.8878124999999988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/>
                    <a:t>万人</a:t>
                  </a:r>
                  <a:r>
                    <a:rPr lang="en-US" altLang="zh-CN"/>
                    <a:t>)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444444444439"/>
          <c:y val="0.18607638888888889"/>
          <c:w val="0.22060555555555555"/>
          <c:h val="0.716041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娱乐匿名视频语音用户：仅登录</a:t>
            </a:r>
            <a:r>
              <a:rPr lang="en-US" altLang="zh-CN"/>
              <a:t>1</a:t>
            </a:r>
            <a:r>
              <a:rPr lang="zh-CN" altLang="en-US"/>
              <a:t>天用户占比</a:t>
            </a:r>
            <a:r>
              <a:rPr lang="en-US" altLang="zh-CN"/>
              <a:t>%</a:t>
            </a:r>
            <a:endParaRPr lang="zh-CN" altLang="en-US"/>
          </a:p>
        </c:rich>
      </c:tx>
      <c:layout>
        <c:manualLayout>
          <c:xMode val="edge"/>
          <c:yMode val="edge"/>
          <c:x val="0.11947222222222222"/>
          <c:y val="2.711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'图-活跃-公式'!$C$92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D35400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'图-活跃-公式'!$D$92:$I$92</c:f>
              <c:numCache>
                <c:formatCode>0.0%</c:formatCode>
                <c:ptCount val="6"/>
                <c:pt idx="0">
                  <c:v>0.45292193535573533</c:v>
                </c:pt>
                <c:pt idx="1">
                  <c:v>0.48567759120962756</c:v>
                </c:pt>
                <c:pt idx="2">
                  <c:v>0.48663015587300373</c:v>
                </c:pt>
                <c:pt idx="3">
                  <c:v>0.48680964713499514</c:v>
                </c:pt>
                <c:pt idx="4">
                  <c:v>0.50840061530786185</c:v>
                </c:pt>
                <c:pt idx="5">
                  <c:v>0.51377815722072639</c:v>
                </c:pt>
              </c:numCache>
            </c:numRef>
          </c:val>
        </c:ser>
        <c:ser>
          <c:idx val="1"/>
          <c:order val="1"/>
          <c:tx>
            <c:strRef>
              <c:f>'图-活跃-公式'!$C$93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'图-活跃-公式'!$D$93:$I$93</c:f>
              <c:numCache>
                <c:formatCode>0.0%</c:formatCode>
                <c:ptCount val="6"/>
                <c:pt idx="0">
                  <c:v>0.26599859756830774</c:v>
                </c:pt>
                <c:pt idx="1">
                  <c:v>0.27239531306981241</c:v>
                </c:pt>
                <c:pt idx="2">
                  <c:v>0.27123894144230398</c:v>
                </c:pt>
                <c:pt idx="3">
                  <c:v>0.2688847523470379</c:v>
                </c:pt>
                <c:pt idx="4">
                  <c:v>0.26738951482143597</c:v>
                </c:pt>
                <c:pt idx="5">
                  <c:v>0.27701943915413413</c:v>
                </c:pt>
              </c:numCache>
            </c:numRef>
          </c:val>
        </c:ser>
        <c:ser>
          <c:idx val="2"/>
          <c:order val="2"/>
          <c:tx>
            <c:strRef>
              <c:f>'图-活跃-公式'!$C$94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F39C1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'图-活跃-公式'!$D$94:$I$94</c:f>
              <c:numCache>
                <c:formatCode>0.0%</c:formatCode>
                <c:ptCount val="6"/>
                <c:pt idx="0">
                  <c:v>0.16304957285281357</c:v>
                </c:pt>
                <c:pt idx="1">
                  <c:v>0.14882113241053449</c:v>
                </c:pt>
                <c:pt idx="2">
                  <c:v>0.14863620696258281</c:v>
                </c:pt>
                <c:pt idx="3">
                  <c:v>0.14877144707024928</c:v>
                </c:pt>
                <c:pt idx="4">
                  <c:v>0.13877187876772129</c:v>
                </c:pt>
                <c:pt idx="5">
                  <c:v>0.13179877848558483</c:v>
                </c:pt>
              </c:numCache>
            </c:numRef>
          </c:val>
        </c:ser>
        <c:ser>
          <c:idx val="3"/>
          <c:order val="3"/>
          <c:tx>
            <c:strRef>
              <c:f>'图-活跃-公式'!$C$95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F1C40F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'图-活跃-公式'!$D$95:$I$95</c:f>
              <c:numCache>
                <c:formatCode>0.0%</c:formatCode>
                <c:ptCount val="6"/>
                <c:pt idx="0">
                  <c:v>8.4167518979440456E-2</c:v>
                </c:pt>
                <c:pt idx="1">
                  <c:v>6.7048787835545201E-2</c:v>
                </c:pt>
                <c:pt idx="2">
                  <c:v>6.6395005936195475E-2</c:v>
                </c:pt>
                <c:pt idx="3">
                  <c:v>6.8609582389122695E-2</c:v>
                </c:pt>
                <c:pt idx="4">
                  <c:v>5.9970897601130835E-2</c:v>
                </c:pt>
                <c:pt idx="5">
                  <c:v>5.4278584094043472E-2</c:v>
                </c:pt>
              </c:numCache>
            </c:numRef>
          </c:val>
        </c:ser>
        <c:ser>
          <c:idx val="4"/>
          <c:order val="4"/>
          <c:tx>
            <c:strRef>
              <c:f>'图-活跃-公式'!$C$96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'图-活跃-公式'!$D$96:$I$96</c:f>
              <c:numCache>
                <c:formatCode>0.0%</c:formatCode>
                <c:ptCount val="6"/>
                <c:pt idx="0">
                  <c:v>1.8839602617332057E-2</c:v>
                </c:pt>
                <c:pt idx="1">
                  <c:v>1.4165437853779194E-2</c:v>
                </c:pt>
                <c:pt idx="2">
                  <c:v>1.4213166864539849E-2</c:v>
                </c:pt>
                <c:pt idx="3">
                  <c:v>1.496924571058595E-2</c:v>
                </c:pt>
                <c:pt idx="4">
                  <c:v>1.3327235687855985E-2</c:v>
                </c:pt>
                <c:pt idx="5">
                  <c:v>1.1968871084258226E-2</c:v>
                </c:pt>
              </c:numCache>
            </c:numRef>
          </c:val>
        </c:ser>
        <c:ser>
          <c:idx val="5"/>
          <c:order val="5"/>
          <c:tx>
            <c:strRef>
              <c:f>'图-活跃-公式'!$C$97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'图-活跃-公式'!$D$97:$I$97</c:f>
              <c:numCache>
                <c:formatCode>0.0%</c:formatCode>
                <c:ptCount val="6"/>
                <c:pt idx="0">
                  <c:v>1.5022772626370849E-2</c:v>
                </c:pt>
                <c:pt idx="1">
                  <c:v>1.1891737620701138E-2</c:v>
                </c:pt>
                <c:pt idx="2">
                  <c:v>1.2886522921374134E-2</c:v>
                </c:pt>
                <c:pt idx="3">
                  <c:v>1.1955325348009064E-2</c:v>
                </c:pt>
                <c:pt idx="4">
                  <c:v>1.2139857813994097E-2</c:v>
                </c:pt>
                <c:pt idx="5">
                  <c:v>1.1156169961253038E-2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842800"/>
        <c:axId val="267843360"/>
      </c:barChart>
      <c:dateAx>
        <c:axId val="267842800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43360"/>
        <c:crosses val="autoZero"/>
        <c:auto val="1"/>
        <c:lblOffset val="100"/>
        <c:baseTimeUnit val="months"/>
        <c:majorUnit val="1"/>
        <c:majorTimeUnit val="months"/>
      </c:dateAx>
      <c:valAx>
        <c:axId val="267843360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428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3888888888878"/>
          <c:y val="0.19312153689122194"/>
          <c:w val="0.23809444444444447"/>
          <c:h val="0.688548410615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游戏匿名视频语音用户：仅登录</a:t>
            </a:r>
            <a:r>
              <a:rPr lang="en-US" altLang="zh-CN"/>
              <a:t>1</a:t>
            </a:r>
            <a:r>
              <a:rPr lang="zh-CN" altLang="en-US"/>
              <a:t>天用户占比</a:t>
            </a:r>
            <a:r>
              <a:rPr lang="en-US" altLang="zh-CN"/>
              <a:t>%</a:t>
            </a:r>
            <a:endParaRPr lang="zh-CN" altLang="en-US"/>
          </a:p>
        </c:rich>
      </c:tx>
      <c:layout>
        <c:manualLayout>
          <c:xMode val="edge"/>
          <c:yMode val="edge"/>
          <c:x val="0.11474999999999998"/>
          <c:y val="2.3148263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'图-活跃-公式'!$C$79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'图-活跃-公式'!$D$79:$I$79</c:f>
              <c:numCache>
                <c:formatCode>0.0%</c:formatCode>
                <c:ptCount val="6"/>
                <c:pt idx="0">
                  <c:v>0.3153850681786759</c:v>
                </c:pt>
                <c:pt idx="1">
                  <c:v>0.32165379681369088</c:v>
                </c:pt>
                <c:pt idx="2">
                  <c:v>0.31464064251411411</c:v>
                </c:pt>
                <c:pt idx="3">
                  <c:v>0.30917828385202606</c:v>
                </c:pt>
                <c:pt idx="4">
                  <c:v>0.31262208408341474</c:v>
                </c:pt>
                <c:pt idx="5">
                  <c:v>0.30774410025348659</c:v>
                </c:pt>
              </c:numCache>
            </c:numRef>
          </c:val>
        </c:ser>
        <c:ser>
          <c:idx val="1"/>
          <c:order val="1"/>
          <c:tx>
            <c:strRef>
              <c:f>'图-活跃-公式'!$C$80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'图-活跃-公式'!$D$80:$I$80</c:f>
              <c:numCache>
                <c:formatCode>0.0%</c:formatCode>
                <c:ptCount val="6"/>
                <c:pt idx="0">
                  <c:v>0.19324592372147015</c:v>
                </c:pt>
                <c:pt idx="1">
                  <c:v>0.19335448452316467</c:v>
                </c:pt>
                <c:pt idx="2">
                  <c:v>0.19317654398431422</c:v>
                </c:pt>
                <c:pt idx="3">
                  <c:v>0.19338671061630955</c:v>
                </c:pt>
                <c:pt idx="4">
                  <c:v>0.19435068189323398</c:v>
                </c:pt>
                <c:pt idx="5">
                  <c:v>0.19626627476794264</c:v>
                </c:pt>
              </c:numCache>
            </c:numRef>
          </c:val>
        </c:ser>
        <c:ser>
          <c:idx val="2"/>
          <c:order val="2"/>
          <c:tx>
            <c:strRef>
              <c:f>'图-活跃-公式'!$C$81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'图-活跃-公式'!$D$81:$I$81</c:f>
              <c:numCache>
                <c:formatCode>0.0%</c:formatCode>
                <c:ptCount val="6"/>
                <c:pt idx="0">
                  <c:v>0.15357758378769815</c:v>
                </c:pt>
                <c:pt idx="1">
                  <c:v>0.15655098825846289</c:v>
                </c:pt>
                <c:pt idx="2">
                  <c:v>0.15621964220218079</c:v>
                </c:pt>
                <c:pt idx="3">
                  <c:v>0.15661546340025853</c:v>
                </c:pt>
                <c:pt idx="4">
                  <c:v>0.15803500433127152</c:v>
                </c:pt>
                <c:pt idx="5">
                  <c:v>0.15980124139068211</c:v>
                </c:pt>
              </c:numCache>
            </c:numRef>
          </c:val>
        </c:ser>
        <c:ser>
          <c:idx val="3"/>
          <c:order val="3"/>
          <c:tx>
            <c:strRef>
              <c:f>'图-活跃-公式'!$C$82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'图-活跃-公式'!$D$82:$I$82</c:f>
              <c:numCache>
                <c:formatCode>0.0%</c:formatCode>
                <c:ptCount val="6"/>
                <c:pt idx="0">
                  <c:v>0.14974462941491321</c:v>
                </c:pt>
                <c:pt idx="1">
                  <c:v>0.15155165914258878</c:v>
                </c:pt>
                <c:pt idx="2">
                  <c:v>0.14975473813025103</c:v>
                </c:pt>
                <c:pt idx="3">
                  <c:v>0.15054961209332948</c:v>
                </c:pt>
                <c:pt idx="4">
                  <c:v>0.14864021320658352</c:v>
                </c:pt>
                <c:pt idx="5">
                  <c:v>0.15068580095610376</c:v>
                </c:pt>
              </c:numCache>
            </c:numRef>
          </c:val>
        </c:ser>
        <c:ser>
          <c:idx val="4"/>
          <c:order val="4"/>
          <c:tx>
            <c:strRef>
              <c:f>'图-活跃-公式'!$C$83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'图-活跃-公式'!$D$83:$I$83</c:f>
              <c:numCache>
                <c:formatCode>0.0%</c:formatCode>
                <c:ptCount val="6"/>
                <c:pt idx="0">
                  <c:v>7.2684450662348202E-2</c:v>
                </c:pt>
                <c:pt idx="1">
                  <c:v>7.4743590926806894E-2</c:v>
                </c:pt>
                <c:pt idx="2">
                  <c:v>7.238018846258E-2</c:v>
                </c:pt>
                <c:pt idx="3">
                  <c:v>7.4591543696697779E-2</c:v>
                </c:pt>
                <c:pt idx="4">
                  <c:v>7.1106692857128201E-2</c:v>
                </c:pt>
                <c:pt idx="5">
                  <c:v>7.2229281692039321E-2</c:v>
                </c:pt>
              </c:numCache>
            </c:numRef>
          </c:val>
        </c:ser>
        <c:ser>
          <c:idx val="5"/>
          <c:order val="5"/>
          <c:tx>
            <c:strRef>
              <c:f>'图-活跃-公式'!$C$84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'图-活跃-公式'!$D$84:$I$84</c:f>
              <c:numCache>
                <c:formatCode>0.0%</c:formatCode>
                <c:ptCount val="6"/>
                <c:pt idx="0">
                  <c:v>0.1153623442348944</c:v>
                </c:pt>
                <c:pt idx="1">
                  <c:v>0.10214548033528588</c:v>
                </c:pt>
                <c:pt idx="2">
                  <c:v>0.11382824470655986</c:v>
                </c:pt>
                <c:pt idx="3">
                  <c:v>0.11567838634137857</c:v>
                </c:pt>
                <c:pt idx="4">
                  <c:v>0.11524532362836802</c:v>
                </c:pt>
                <c:pt idx="5">
                  <c:v>0.11327330093974557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848960"/>
        <c:axId val="267849520"/>
      </c:barChart>
      <c:dateAx>
        <c:axId val="267848960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49520"/>
        <c:crosses val="autoZero"/>
        <c:auto val="1"/>
        <c:lblOffset val="100"/>
        <c:baseTimeUnit val="months"/>
        <c:majorUnit val="1"/>
        <c:majorTimeUnit val="months"/>
      </c:dateAx>
      <c:valAx>
        <c:axId val="267849520"/>
        <c:scaling>
          <c:orientation val="minMax"/>
          <c:max val="1"/>
          <c:min val="0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489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833333333333"/>
          <c:y val="0.20238079615048118"/>
          <c:w val="0.24515000000000003"/>
          <c:h val="0.688548410615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51587301587301E-2"/>
          <c:y val="2.7142013888888889E-2"/>
          <c:w val="0.75992962962962973"/>
          <c:h val="0.87274236111111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'图-活跃-公式'!$C$73</c:f>
              <c:strCache>
                <c:ptCount val="1"/>
                <c:pt idx="0">
                  <c:v>1天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'图-活跃-公式'!$D$73:$I$73</c:f>
              <c:numCache>
                <c:formatCode>_ * #,##0_ ;_ * \-#,##0_ ;_ * "-"??_ ;_ @_ </c:formatCode>
                <c:ptCount val="6"/>
                <c:pt idx="0">
                  <c:v>460782</c:v>
                </c:pt>
                <c:pt idx="1">
                  <c:v>453078</c:v>
                </c:pt>
                <c:pt idx="2">
                  <c:v>458949</c:v>
                </c:pt>
                <c:pt idx="3">
                  <c:v>447978</c:v>
                </c:pt>
                <c:pt idx="4">
                  <c:v>457247</c:v>
                </c:pt>
                <c:pt idx="5" formatCode="#,##0_);\(#,##0\)">
                  <c:v>470321</c:v>
                </c:pt>
              </c:numCache>
            </c:numRef>
          </c:val>
        </c:ser>
        <c:ser>
          <c:idx val="1"/>
          <c:order val="1"/>
          <c:tx>
            <c:strRef>
              <c:f>'图-活跃-公式'!$C$74</c:f>
              <c:strCache>
                <c:ptCount val="1"/>
                <c:pt idx="0">
                  <c:v>2-3天</c:v>
                </c:pt>
              </c:strCache>
            </c:strRef>
          </c:tx>
          <c:spPr>
            <a:solidFill>
              <a:srgbClr val="2980B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'图-活跃-公式'!$D$74:$I$74</c:f>
              <c:numCache>
                <c:formatCode>_ * #,##0_ ;_ * \-#,##0_ ;_ * "-"??_ ;_ @_ </c:formatCode>
                <c:ptCount val="6"/>
                <c:pt idx="0">
                  <c:v>282335</c:v>
                </c:pt>
                <c:pt idx="1">
                  <c:v>272357</c:v>
                </c:pt>
                <c:pt idx="2">
                  <c:v>281776</c:v>
                </c:pt>
                <c:pt idx="3">
                  <c:v>280204</c:v>
                </c:pt>
                <c:pt idx="4">
                  <c:v>284261</c:v>
                </c:pt>
                <c:pt idx="5" formatCode="#,##0_);\(#,##0\)">
                  <c:v>299951</c:v>
                </c:pt>
              </c:numCache>
            </c:numRef>
          </c:val>
        </c:ser>
        <c:ser>
          <c:idx val="2"/>
          <c:order val="2"/>
          <c:tx>
            <c:strRef>
              <c:f>'图-活跃-公式'!$C$75</c:f>
              <c:strCache>
                <c:ptCount val="1"/>
                <c:pt idx="0">
                  <c:v>4-7天</c:v>
                </c:pt>
              </c:strCache>
            </c:strRef>
          </c:tx>
          <c:spPr>
            <a:solidFill>
              <a:srgbClr val="4098D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'图-活跃-公式'!$D$75:$I$75</c:f>
              <c:numCache>
                <c:formatCode>_ * #,##0_ ;_ * \-#,##0_ ;_ * "-"??_ ;_ @_ </c:formatCode>
                <c:ptCount val="6"/>
                <c:pt idx="0">
                  <c:v>224379</c:v>
                </c:pt>
                <c:pt idx="1">
                  <c:v>220516</c:v>
                </c:pt>
                <c:pt idx="2">
                  <c:v>227869</c:v>
                </c:pt>
                <c:pt idx="3">
                  <c:v>226925</c:v>
                </c:pt>
                <c:pt idx="4">
                  <c:v>231145</c:v>
                </c:pt>
                <c:pt idx="5" formatCode="#,##0_);\(#,##0\)">
                  <c:v>244222</c:v>
                </c:pt>
              </c:numCache>
            </c:numRef>
          </c:val>
        </c:ser>
        <c:ser>
          <c:idx val="3"/>
          <c:order val="3"/>
          <c:tx>
            <c:strRef>
              <c:f>'图-活跃-公式'!$C$76</c:f>
              <c:strCache>
                <c:ptCount val="1"/>
                <c:pt idx="0">
                  <c:v>8-15天</c:v>
                </c:pt>
              </c:strCache>
            </c:strRef>
          </c:tx>
          <c:spPr>
            <a:solidFill>
              <a:srgbClr val="76B5E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'图-活跃-公式'!$D$76:$I$76</c:f>
              <c:numCache>
                <c:formatCode>_ * #,##0_ ;_ * \-#,##0_ ;_ * "-"??_ ;_ @_ </c:formatCode>
                <c:ptCount val="6"/>
                <c:pt idx="0">
                  <c:v>218779</c:v>
                </c:pt>
                <c:pt idx="1">
                  <c:v>213474</c:v>
                </c:pt>
                <c:pt idx="2">
                  <c:v>218439</c:v>
                </c:pt>
                <c:pt idx="3">
                  <c:v>218136</c:v>
                </c:pt>
                <c:pt idx="4">
                  <c:v>217404</c:v>
                </c:pt>
                <c:pt idx="5" formatCode="#,##0_);\(#,##0\)">
                  <c:v>230291</c:v>
                </c:pt>
              </c:numCache>
            </c:numRef>
          </c:val>
        </c:ser>
        <c:ser>
          <c:idx val="4"/>
          <c:order val="4"/>
          <c:tx>
            <c:strRef>
              <c:f>'图-活跃-公式'!$C$77</c:f>
              <c:strCache>
                <c:ptCount val="1"/>
                <c:pt idx="0">
                  <c:v>16-21天</c:v>
                </c:pt>
              </c:strCache>
            </c:strRef>
          </c:tx>
          <c:spPr>
            <a:solidFill>
              <a:srgbClr val="A4CEEA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'图-活跃-公式'!$D$77:$I$77</c:f>
              <c:numCache>
                <c:formatCode>_ * #,##0_ ;_ * \-#,##0_ ;_ * "-"??_ ;_ @_ </c:formatCode>
                <c:ptCount val="6"/>
                <c:pt idx="0">
                  <c:v>106193</c:v>
                </c:pt>
                <c:pt idx="1">
                  <c:v>105283</c:v>
                </c:pt>
                <c:pt idx="2">
                  <c:v>105577</c:v>
                </c:pt>
                <c:pt idx="3">
                  <c:v>108078</c:v>
                </c:pt>
                <c:pt idx="4">
                  <c:v>104002</c:v>
                </c:pt>
                <c:pt idx="5" formatCode="#,##0_);\(#,##0\)">
                  <c:v>110387</c:v>
                </c:pt>
              </c:numCache>
            </c:numRef>
          </c:val>
        </c:ser>
        <c:ser>
          <c:idx val="5"/>
          <c:order val="5"/>
          <c:tx>
            <c:strRef>
              <c:f>'图-活跃-公式'!$C$78</c:f>
              <c:strCache>
                <c:ptCount val="1"/>
                <c:pt idx="0">
                  <c:v>22天以上</c:v>
                </c:pt>
              </c:strCache>
            </c:strRef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'图-活跃-公式'!$D$71:$I$71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'图-活跃-公式'!$D$78:$I$78</c:f>
              <c:numCache>
                <c:formatCode>_ * #,##0_ ;_ * \-#,##0_ ;_ * "-"??_ ;_ @_ </c:formatCode>
                <c:ptCount val="6"/>
                <c:pt idx="0">
                  <c:v>168546</c:v>
                </c:pt>
                <c:pt idx="1">
                  <c:v>143881</c:v>
                </c:pt>
                <c:pt idx="2">
                  <c:v>166035</c:v>
                </c:pt>
                <c:pt idx="3">
                  <c:v>167610</c:v>
                </c:pt>
                <c:pt idx="4">
                  <c:v>168560</c:v>
                </c:pt>
                <c:pt idx="5" formatCode="#,##0_);\(#,##0\)">
                  <c:v>173114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7855120"/>
        <c:axId val="267855680"/>
      </c:barChart>
      <c:dateAx>
        <c:axId val="267855120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55680"/>
        <c:crosses val="autoZero"/>
        <c:auto val="1"/>
        <c:lblOffset val="100"/>
        <c:baseTimeUnit val="months"/>
        <c:majorUnit val="1"/>
        <c:majorTimeUnit val="months"/>
      </c:dateAx>
      <c:valAx>
        <c:axId val="267855680"/>
        <c:scaling>
          <c:orientation val="minMax"/>
          <c:max val="1500000"/>
          <c:min val="0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55120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77275132275132274"/>
                <c:y val="4.4780902777777777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 sz="1000"/>
                    <a:t>(</a:t>
                  </a:r>
                  <a:r>
                    <a:rPr lang="zh-CN" sz="1000"/>
                    <a:t>万人</a:t>
                  </a:r>
                  <a:r>
                    <a:rPr lang="en-US" sz="1000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62248677248689"/>
          <c:y val="0.11859618055555556"/>
          <c:w val="0.24515000000000003"/>
          <c:h val="0.772332986111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33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6699C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3498D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99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2980B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005577427821523E-2"/>
                  <c:y val="1.8226888305628463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83333333333333"/>
                      <c:h val="0.12907407407407406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8.4064741907261598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'图-活跃-公式'!$C$349:$C$354</c:f>
              <c:strCache>
                <c:ptCount val="6"/>
                <c:pt idx="0">
                  <c:v>1天</c:v>
                </c:pt>
                <c:pt idx="1">
                  <c:v>2-3天</c:v>
                </c:pt>
                <c:pt idx="2">
                  <c:v>4-7天</c:v>
                </c:pt>
                <c:pt idx="3">
                  <c:v>8-15天</c:v>
                </c:pt>
                <c:pt idx="4">
                  <c:v>16-21天</c:v>
                </c:pt>
                <c:pt idx="5">
                  <c:v>22天以上</c:v>
                </c:pt>
              </c:strCache>
            </c:strRef>
          </c:cat>
          <c:val>
            <c:numRef>
              <c:f>'图-活跃-公式'!$I$349:$I$354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'图-终端-公式'!$C$3</c:f>
              <c:strCache>
                <c:ptCount val="1"/>
                <c:pt idx="0">
                  <c:v>月人数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'图-终端-公式'!$B$4:$B$11</c:f>
              <c:strCache>
                <c:ptCount val="8"/>
                <c:pt idx="0">
                  <c:v>普通PC</c:v>
                </c:pt>
                <c:pt idx="1">
                  <c:v>梦幻</c:v>
                </c:pt>
                <c:pt idx="2">
                  <c:v>大话2</c:v>
                </c:pt>
                <c:pt idx="3">
                  <c:v>倩女</c:v>
                </c:pt>
                <c:pt idx="4">
                  <c:v>天下3</c:v>
                </c:pt>
                <c:pt idx="5">
                  <c:v>大话2免费版</c:v>
                </c:pt>
                <c:pt idx="6">
                  <c:v>大话2免费版</c:v>
                </c:pt>
                <c:pt idx="7">
                  <c:v>其他</c:v>
                </c:pt>
              </c:strCache>
            </c:strRef>
          </c:cat>
          <c:val>
            <c:numRef>
              <c:f>'图-终端-公式'!$C$4:$C$11</c:f>
              <c:numCache>
                <c:formatCode>#,##0_);[Red]\(#,##0\)</c:formatCode>
                <c:ptCount val="8"/>
                <c:pt idx="0">
                  <c:v>355327</c:v>
                </c:pt>
                <c:pt idx="1">
                  <c:v>134479</c:v>
                </c:pt>
                <c:pt idx="2">
                  <c:v>88392</c:v>
                </c:pt>
                <c:pt idx="3">
                  <c:v>19544</c:v>
                </c:pt>
                <c:pt idx="4">
                  <c:v>7839</c:v>
                </c:pt>
                <c:pt idx="5">
                  <c:v>17155</c:v>
                </c:pt>
                <c:pt idx="6">
                  <c:v>17155</c:v>
                </c:pt>
                <c:pt idx="7">
                  <c:v>3988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7860720"/>
        <c:axId val="267861280"/>
      </c:barChart>
      <c:catAx>
        <c:axId val="26786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61280"/>
        <c:crosses val="autoZero"/>
        <c:auto val="1"/>
        <c:lblAlgn val="ctr"/>
        <c:lblOffset val="100"/>
        <c:noMultiLvlLbl val="0"/>
      </c:catAx>
      <c:valAx>
        <c:axId val="267861280"/>
        <c:scaling>
          <c:orientation val="minMax"/>
        </c:scaling>
        <c:delete val="0"/>
        <c:axPos val="t"/>
        <c:numFmt formatCode="#,##0_);[Red]\(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591666666666666E-2"/>
          <c:y val="0.14135802469135803"/>
          <c:w val="0.92408333333333337"/>
          <c:h val="0.58387901234567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'图-终端-公式'!$C$42</c:f>
              <c:strCache>
                <c:ptCount val="1"/>
                <c:pt idx="0">
                  <c:v>新增用户数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'图-终端-公式'!$B$43:$B$49</c:f>
              <c:strCache>
                <c:ptCount val="7"/>
                <c:pt idx="0">
                  <c:v>普通PC</c:v>
                </c:pt>
                <c:pt idx="1">
                  <c:v>梦幻</c:v>
                </c:pt>
                <c:pt idx="2">
                  <c:v>大话2</c:v>
                </c:pt>
                <c:pt idx="3">
                  <c:v>倩女</c:v>
                </c:pt>
                <c:pt idx="4">
                  <c:v>大话2免费版</c:v>
                </c:pt>
                <c:pt idx="5">
                  <c:v>镇魔曲</c:v>
                </c:pt>
                <c:pt idx="6">
                  <c:v>其他</c:v>
                </c:pt>
              </c:strCache>
            </c:strRef>
          </c:cat>
          <c:val>
            <c:numRef>
              <c:f>'图-终端-公式'!$C$43:$C$49</c:f>
              <c:numCache>
                <c:formatCode>#,##0_ </c:formatCode>
                <c:ptCount val="7"/>
                <c:pt idx="0">
                  <c:v>43322</c:v>
                </c:pt>
                <c:pt idx="1">
                  <c:v>14310</c:v>
                </c:pt>
                <c:pt idx="2">
                  <c:v>12494</c:v>
                </c:pt>
                <c:pt idx="3">
                  <c:v>4507</c:v>
                </c:pt>
                <c:pt idx="4">
                  <c:v>6154</c:v>
                </c:pt>
                <c:pt idx="5">
                  <c:v>1564</c:v>
                </c:pt>
                <c:pt idx="6" formatCode="#,##0_);[Red]\(#,##0\)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67864640"/>
        <c:axId val="267865200"/>
      </c:barChart>
      <c:lineChart>
        <c:grouping val="standard"/>
        <c:varyColors val="0"/>
        <c:ser>
          <c:idx val="1"/>
          <c:order val="1"/>
          <c:tx>
            <c:strRef>
              <c:f>'图-终端-公式'!$D$42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'图-终端-公式'!$B$43:$B$49</c:f>
              <c:strCache>
                <c:ptCount val="7"/>
                <c:pt idx="0">
                  <c:v>普通PC</c:v>
                </c:pt>
                <c:pt idx="1">
                  <c:v>梦幻</c:v>
                </c:pt>
                <c:pt idx="2">
                  <c:v>大话2</c:v>
                </c:pt>
                <c:pt idx="3">
                  <c:v>倩女</c:v>
                </c:pt>
                <c:pt idx="4">
                  <c:v>大话2免费版</c:v>
                </c:pt>
                <c:pt idx="5">
                  <c:v>镇魔曲</c:v>
                </c:pt>
                <c:pt idx="6">
                  <c:v>其他</c:v>
                </c:pt>
              </c:strCache>
            </c:strRef>
          </c:cat>
          <c:val>
            <c:numRef>
              <c:f>'图-终端-公式'!$D$43:$D$49</c:f>
              <c:numCache>
                <c:formatCode>0.0%</c:formatCode>
                <c:ptCount val="7"/>
                <c:pt idx="0">
                  <c:v>0.25488034959426098</c:v>
                </c:pt>
                <c:pt idx="1">
                  <c:v>0.14375887108711358</c:v>
                </c:pt>
                <c:pt idx="2">
                  <c:v>9.2141497605872993E-2</c:v>
                </c:pt>
                <c:pt idx="3">
                  <c:v>7.0626221537743894E-2</c:v>
                </c:pt>
                <c:pt idx="4">
                  <c:v>9.1709231010310699E-2</c:v>
                </c:pt>
                <c:pt idx="5">
                  <c:v>4.9344151653977784E-2</c:v>
                </c:pt>
                <c:pt idx="6">
                  <c:v>7.9251749550157014E-2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'图-终端-公式'!$E$42</c:f>
              <c:strCache>
                <c:ptCount val="1"/>
                <c:pt idx="0">
                  <c:v>七日留存率</c:v>
                </c:pt>
              </c:strCache>
            </c:strRef>
          </c:tx>
          <c:spPr>
            <a:ln w="38100" cap="rnd">
              <a:solidFill>
                <a:srgbClr val="FF9966"/>
              </a:solidFill>
              <a:round/>
            </a:ln>
            <a:effectLst/>
          </c:spPr>
          <c:marker>
            <c:symbol val="none"/>
          </c:marker>
          <c:cat>
            <c:strRef>
              <c:f>'图-终端-公式'!$B$43:$B$49</c:f>
              <c:strCache>
                <c:ptCount val="7"/>
                <c:pt idx="0">
                  <c:v>普通PC</c:v>
                </c:pt>
                <c:pt idx="1">
                  <c:v>梦幻</c:v>
                </c:pt>
                <c:pt idx="2">
                  <c:v>大话2</c:v>
                </c:pt>
                <c:pt idx="3">
                  <c:v>倩女</c:v>
                </c:pt>
                <c:pt idx="4">
                  <c:v>大话2免费版</c:v>
                </c:pt>
                <c:pt idx="5">
                  <c:v>镇魔曲</c:v>
                </c:pt>
                <c:pt idx="6">
                  <c:v>其他</c:v>
                </c:pt>
              </c:strCache>
            </c:strRef>
          </c:cat>
          <c:val>
            <c:numRef>
              <c:f>'图-终端-公式'!$E$43:$E$49</c:f>
              <c:numCache>
                <c:formatCode>0.0%</c:formatCode>
                <c:ptCount val="7"/>
                <c:pt idx="0">
                  <c:v>8.5070891052555678E-2</c:v>
                </c:pt>
                <c:pt idx="1">
                  <c:v>4.7069797586484392E-2</c:v>
                </c:pt>
                <c:pt idx="2">
                  <c:v>3.99276428670872E-2</c:v>
                </c:pt>
                <c:pt idx="3">
                  <c:v>1.5013580245281679E-2</c:v>
                </c:pt>
                <c:pt idx="4">
                  <c:v>3.9577504424416245E-2</c:v>
                </c:pt>
                <c:pt idx="5">
                  <c:v>1.2801498901637686E-2</c:v>
                </c:pt>
                <c:pt idx="6">
                  <c:v>8.3333333333333329E-2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66320"/>
        <c:axId val="267865760"/>
      </c:lineChart>
      <c:catAx>
        <c:axId val="2678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65200"/>
        <c:crosses val="autoZero"/>
        <c:auto val="1"/>
        <c:lblAlgn val="ctr"/>
        <c:lblOffset val="100"/>
        <c:noMultiLvlLbl val="0"/>
      </c:catAx>
      <c:valAx>
        <c:axId val="267865200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64640"/>
        <c:crosses val="autoZero"/>
        <c:crossBetween val="between"/>
      </c:valAx>
      <c:valAx>
        <c:axId val="267865760"/>
        <c:scaling>
          <c:orientation val="minMax"/>
          <c:max val="0.30000000000000004"/>
        </c:scaling>
        <c:delete val="0"/>
        <c:axPos val="r"/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7866320"/>
        <c:crosses val="max"/>
        <c:crossBetween val="between"/>
      </c:valAx>
      <c:catAx>
        <c:axId val="26786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86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100529100529105"/>
          <c:y val="2.7777777777777776E-2"/>
          <c:w val="0.30732804232804234"/>
          <c:h val="0.26278324584426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00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6699C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66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2980B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3498D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6699C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2980B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3498DB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012363723995576"/>
                  <c:y val="-0.194816473628869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435213562376554"/>
                  <c:y val="0.218266111231508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696140527344266"/>
                  <c:y val="0.12467175548010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'图-终端-公式'!$B$4:$B$11</c:f>
              <c:strCache>
                <c:ptCount val="8"/>
                <c:pt idx="0">
                  <c:v>普通PC</c:v>
                </c:pt>
                <c:pt idx="1">
                  <c:v>梦幻</c:v>
                </c:pt>
                <c:pt idx="2">
                  <c:v>大话2</c:v>
                </c:pt>
                <c:pt idx="3">
                  <c:v>倩女</c:v>
                </c:pt>
                <c:pt idx="4">
                  <c:v>天下3</c:v>
                </c:pt>
                <c:pt idx="5">
                  <c:v>大话2免费版</c:v>
                </c:pt>
                <c:pt idx="6">
                  <c:v>大话2免费版</c:v>
                </c:pt>
                <c:pt idx="7">
                  <c:v>其他</c:v>
                </c:pt>
              </c:strCache>
            </c:strRef>
          </c:cat>
          <c:val>
            <c:numRef>
              <c:f>'图-终端-公式'!$D$4:$D$11</c:f>
              <c:numCache>
                <c:formatCode>0.0%</c:formatCode>
                <c:ptCount val="8"/>
                <c:pt idx="0">
                  <c:v>0.55185368679518976</c:v>
                </c:pt>
                <c:pt idx="1">
                  <c:v>0.20885756485302362</c:v>
                </c:pt>
                <c:pt idx="2">
                  <c:v>0.13728045176189937</c:v>
                </c:pt>
                <c:pt idx="3">
                  <c:v>3.0353529156875749E-2</c:v>
                </c:pt>
                <c:pt idx="4">
                  <c:v>1.2174647721078029E-2</c:v>
                </c:pt>
                <c:pt idx="5">
                  <c:v>2.6643204701504476E-2</c:v>
                </c:pt>
                <c:pt idx="6">
                  <c:v>2.6643204701504476E-2</c:v>
                </c:pt>
                <c:pt idx="7">
                  <c:v>6.193710308924503E-3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8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67195767196E-2"/>
          <c:y val="8.4062499999999984E-2"/>
          <c:w val="0.92608465608465607"/>
          <c:h val="0.82003368055555559"/>
        </c:manualLayout>
      </c:layout>
      <c:lineChart>
        <c:grouping val="standard"/>
        <c:varyColors val="0"/>
        <c:ser>
          <c:idx val="1"/>
          <c:order val="0"/>
          <c:tx>
            <c:strRef>
              <c:f>'图-用户-公式'!$C$311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6699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'图-用户-公式'!$D$311:$I$311</c:f>
              <c:numCache>
                <c:formatCode>0.0%</c:formatCode>
                <c:ptCount val="6"/>
                <c:pt idx="0">
                  <c:v>0.67483870967741943</c:v>
                </c:pt>
                <c:pt idx="1">
                  <c:v>0.65866666666666673</c:v>
                </c:pt>
                <c:pt idx="2">
                  <c:v>0.67096774193548392</c:v>
                </c:pt>
                <c:pt idx="3">
                  <c:v>0.68</c:v>
                </c:pt>
                <c:pt idx="4">
                  <c:v>0.65700000000000003</c:v>
                </c:pt>
                <c:pt idx="5">
                  <c:v>0.68300000000000005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'图-用户-公式'!$C$312</c:f>
              <c:strCache>
                <c:ptCount val="1"/>
                <c:pt idx="0">
                  <c:v>七日留存率</c:v>
                </c:pt>
              </c:strCache>
            </c:strRef>
          </c:tx>
          <c:spPr>
            <a:ln w="38100" cap="rnd">
              <a:solidFill>
                <a:srgbClr val="008FD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8FD6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'图-用户-公式'!$D$312:$I$312</c:f>
              <c:numCache>
                <c:formatCode>0.0%</c:formatCode>
                <c:ptCount val="6"/>
                <c:pt idx="0">
                  <c:v>0.56225806451612914</c:v>
                </c:pt>
                <c:pt idx="1">
                  <c:v>0.54500000000000004</c:v>
                </c:pt>
                <c:pt idx="2">
                  <c:v>0.55967741935483883</c:v>
                </c:pt>
                <c:pt idx="3">
                  <c:v>0.57199999999999995</c:v>
                </c:pt>
                <c:pt idx="4">
                  <c:v>0.55200000000000005</c:v>
                </c:pt>
                <c:pt idx="5">
                  <c:v>0.57299999999999995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35088"/>
        <c:axId val="261835648"/>
        <c:extLst/>
      </c:lineChart>
      <c:dateAx>
        <c:axId val="26183508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5648"/>
        <c:crosses val="autoZero"/>
        <c:auto val="1"/>
        <c:lblOffset val="100"/>
        <c:baseTimeUnit val="months"/>
      </c:dateAx>
      <c:valAx>
        <c:axId val="261835648"/>
        <c:scaling>
          <c:orientation val="minMax"/>
          <c:max val="0.8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5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615079365079371E-2"/>
          <c:y val="3.1551736111111103E-2"/>
          <c:w val="0.83451587301587304"/>
          <c:h val="0.8771520833333333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'图-终端-公式'!$C$85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'图-终端-公式'!$D$85:$I$85</c:f>
              <c:numCache>
                <c:formatCode>#,##0_ </c:formatCode>
                <c:ptCount val="6"/>
                <c:pt idx="0">
                  <c:v>626031</c:v>
                </c:pt>
                <c:pt idx="1">
                  <c:v>614064</c:v>
                </c:pt>
                <c:pt idx="2">
                  <c:v>631912</c:v>
                </c:pt>
                <c:pt idx="3">
                  <c:v>632659</c:v>
                </c:pt>
                <c:pt idx="4">
                  <c:v>665894</c:v>
                </c:pt>
                <c:pt idx="5">
                  <c:v>723867</c:v>
                </c:pt>
              </c:numCache>
            </c:numRef>
          </c:val>
        </c:ser>
        <c:ser>
          <c:idx val="2"/>
          <c:order val="2"/>
          <c:tx>
            <c:strRef>
              <c:f>'图-终端-公式'!$C$86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'图-终端-公式'!$D$86:$I$86</c:f>
              <c:numCache>
                <c:formatCode>#,##0_ </c:formatCode>
                <c:ptCount val="6"/>
                <c:pt idx="0">
                  <c:v>465443</c:v>
                </c:pt>
                <c:pt idx="1">
                  <c:v>445127</c:v>
                </c:pt>
                <c:pt idx="2">
                  <c:v>462596</c:v>
                </c:pt>
                <c:pt idx="3">
                  <c:v>466423</c:v>
                </c:pt>
                <c:pt idx="4">
                  <c:v>482097</c:v>
                </c:pt>
                <c:pt idx="5">
                  <c:v>492509</c:v>
                </c:pt>
              </c:numCache>
            </c:numRef>
          </c:val>
        </c:ser>
        <c:ser>
          <c:idx val="3"/>
          <c:order val="3"/>
          <c:tx>
            <c:strRef>
              <c:f>'图-终端-公式'!$C$87</c:f>
              <c:strCache>
                <c:ptCount val="1"/>
                <c:pt idx="0">
                  <c:v>ipad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'图-终端-公式'!$D$87:$I$87</c:f>
              <c:numCache>
                <c:formatCode>#,##0_ </c:formatCode>
                <c:ptCount val="6"/>
                <c:pt idx="0">
                  <c:v>60325</c:v>
                </c:pt>
                <c:pt idx="1">
                  <c:v>62785</c:v>
                </c:pt>
                <c:pt idx="2">
                  <c:v>68764</c:v>
                </c:pt>
                <c:pt idx="3">
                  <c:v>71805</c:v>
                </c:pt>
                <c:pt idx="4">
                  <c:v>81694</c:v>
                </c:pt>
                <c:pt idx="5">
                  <c:v>87366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9165104"/>
        <c:axId val="269165664"/>
      </c:barChart>
      <c:lineChart>
        <c:grouping val="standard"/>
        <c:varyColors val="0"/>
        <c:ser>
          <c:idx val="0"/>
          <c:order val="0"/>
          <c:tx>
            <c:strRef>
              <c:f>'图-终端-公式'!$C$84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numFmt formatCode="#,##0.0_);[Red]\(#,##0.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'图-终端-公式'!$D$83:$I$83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'图-终端-公式'!$D$84:$I$84</c:f>
              <c:numCache>
                <c:formatCode>#,##0_ </c:formatCode>
                <c:ptCount val="6"/>
                <c:pt idx="0">
                  <c:v>1151799</c:v>
                </c:pt>
                <c:pt idx="1">
                  <c:v>1121976</c:v>
                </c:pt>
                <c:pt idx="2">
                  <c:v>1163272</c:v>
                </c:pt>
                <c:pt idx="3">
                  <c:v>1170887</c:v>
                </c:pt>
                <c:pt idx="4">
                  <c:v>1229685</c:v>
                </c:pt>
                <c:pt idx="5">
                  <c:v>1303742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65104"/>
        <c:axId val="269165664"/>
      </c:lineChart>
      <c:dateAx>
        <c:axId val="269165104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65664"/>
        <c:crosses val="autoZero"/>
        <c:auto val="1"/>
        <c:lblOffset val="100"/>
        <c:baseTimeUnit val="months"/>
      </c:dateAx>
      <c:valAx>
        <c:axId val="269165664"/>
        <c:scaling>
          <c:orientation val="minMax"/>
          <c:min val="0"/>
        </c:scaling>
        <c:delete val="0"/>
        <c:axPos val="l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65104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84425714285714282"/>
                <c:y val="0.10210729166666667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/>
                    <a:t>(</a:t>
                  </a:r>
                  <a:r>
                    <a:rPr lang="zh-CN" altLang="en-US"/>
                    <a:t>万台</a:t>
                  </a:r>
                  <a:r>
                    <a:rPr lang="en-US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2775820105820108"/>
          <c:y val="0.17753472222222222"/>
          <c:w val="0.17224179894179895"/>
          <c:h val="0.74194444444444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5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67E2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996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'图-终端-公式'!$C$88:$C$90</c:f>
              <c:strCache>
                <c:ptCount val="3"/>
                <c:pt idx="0">
                  <c:v>安卓</c:v>
                </c:pt>
                <c:pt idx="1">
                  <c:v>iphone</c:v>
                </c:pt>
                <c:pt idx="2">
                  <c:v>ipad</c:v>
                </c:pt>
              </c:strCache>
            </c:strRef>
          </c:cat>
          <c:val>
            <c:numRef>
              <c:f>'图-终端-公式'!$I$88:$I$90</c:f>
              <c:numCache>
                <c:formatCode>0.0%</c:formatCode>
                <c:ptCount val="3"/>
                <c:pt idx="0">
                  <c:v>0.55520000000000003</c:v>
                </c:pt>
                <c:pt idx="1">
                  <c:v>0.37780000000000002</c:v>
                </c:pt>
                <c:pt idx="2">
                  <c:v>6.7000000000000004E-2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1255291005291011E-2"/>
          <c:y val="3.1551736111111103E-2"/>
          <c:w val="0.83144814814814827"/>
          <c:h val="0.8815618055555555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'图-终端-公式'!$C$133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'图-终端-公式'!$D$83:$I$83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'图-终端-公式'!$D$133:$I$133</c:f>
              <c:numCache>
                <c:formatCode>#,##0_ </c:formatCode>
                <c:ptCount val="6"/>
                <c:pt idx="0">
                  <c:v>155028</c:v>
                </c:pt>
                <c:pt idx="1">
                  <c:v>134312</c:v>
                </c:pt>
                <c:pt idx="2">
                  <c:v>144099</c:v>
                </c:pt>
                <c:pt idx="3">
                  <c:v>142141</c:v>
                </c:pt>
                <c:pt idx="4">
                  <c:v>161107</c:v>
                </c:pt>
                <c:pt idx="5">
                  <c:v>201004</c:v>
                </c:pt>
              </c:numCache>
            </c:numRef>
          </c:val>
        </c:ser>
        <c:ser>
          <c:idx val="2"/>
          <c:order val="2"/>
          <c:tx>
            <c:strRef>
              <c:f>'图-终端-公式'!$C$134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'图-终端-公式'!$D$83:$I$83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'图-终端-公式'!$D$134:$I$134</c:f>
              <c:numCache>
                <c:formatCode>#,##0_ </c:formatCode>
                <c:ptCount val="6"/>
                <c:pt idx="0">
                  <c:v>141098</c:v>
                </c:pt>
                <c:pt idx="1">
                  <c:v>120934</c:v>
                </c:pt>
                <c:pt idx="2">
                  <c:v>133844</c:v>
                </c:pt>
                <c:pt idx="3">
                  <c:v>130517</c:v>
                </c:pt>
                <c:pt idx="4">
                  <c:v>136841</c:v>
                </c:pt>
                <c:pt idx="5">
                  <c:v>143173</c:v>
                </c:pt>
              </c:numCache>
            </c:numRef>
          </c:val>
        </c:ser>
        <c:ser>
          <c:idx val="3"/>
          <c:order val="3"/>
          <c:tx>
            <c:strRef>
              <c:f>'图-终端-公式'!$C$135</c:f>
              <c:strCache>
                <c:ptCount val="1"/>
                <c:pt idx="0">
                  <c:v>ipad</c:v>
                </c:pt>
              </c:strCache>
            </c:strRef>
          </c:tx>
          <c:spPr>
            <a:solidFill>
              <a:srgbClr val="2C3E5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'图-终端-公式'!$D$83:$I$83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'图-终端-公式'!$D$135:$I$135</c:f>
              <c:numCache>
                <c:formatCode>#,##0_ </c:formatCode>
                <c:ptCount val="6"/>
                <c:pt idx="0">
                  <c:v>21403</c:v>
                </c:pt>
                <c:pt idx="1">
                  <c:v>19173</c:v>
                </c:pt>
                <c:pt idx="2">
                  <c:v>21080</c:v>
                </c:pt>
                <c:pt idx="3">
                  <c:v>19873</c:v>
                </c:pt>
                <c:pt idx="4">
                  <c:v>25524</c:v>
                </c:pt>
                <c:pt idx="5">
                  <c:v>27850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69171824"/>
        <c:axId val="269172384"/>
      </c:barChart>
      <c:lineChart>
        <c:grouping val="standard"/>
        <c:varyColors val="0"/>
        <c:ser>
          <c:idx val="0"/>
          <c:order val="0"/>
          <c:tx>
            <c:strRef>
              <c:f>'图-终端-公式'!$C$132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C3E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'图-终端-公式'!$D$131:$I$131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'图-终端-公式'!$D$132:$I$132</c:f>
              <c:numCache>
                <c:formatCode>#,##0_ </c:formatCode>
                <c:ptCount val="6"/>
                <c:pt idx="0">
                  <c:v>317529</c:v>
                </c:pt>
                <c:pt idx="1">
                  <c:v>274419</c:v>
                </c:pt>
                <c:pt idx="2">
                  <c:v>299023</c:v>
                </c:pt>
                <c:pt idx="3">
                  <c:v>292531</c:v>
                </c:pt>
                <c:pt idx="4">
                  <c:v>323472</c:v>
                </c:pt>
                <c:pt idx="5">
                  <c:v>372027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71824"/>
        <c:axId val="269172384"/>
      </c:lineChart>
      <c:dateAx>
        <c:axId val="269171824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72384"/>
        <c:crosses val="autoZero"/>
        <c:auto val="1"/>
        <c:lblOffset val="100"/>
        <c:baseTimeUnit val="months"/>
      </c:dateAx>
      <c:valAx>
        <c:axId val="269172384"/>
        <c:scaling>
          <c:orientation val="minMax"/>
          <c:min val="0"/>
        </c:scaling>
        <c:delete val="0"/>
        <c:axPos val="l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71824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83753756613756614"/>
                <c:y val="8.446840277777777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r>
                    <a:rPr lang="en-US"/>
                    <a:t>(</a:t>
                  </a:r>
                  <a:r>
                    <a:rPr lang="zh-CN" altLang="en-US"/>
                    <a:t>万台</a:t>
                  </a:r>
                  <a:r>
                    <a:rPr lang="en-US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2775820105820108"/>
          <c:y val="0.17753472222222222"/>
          <c:w val="0.17224179894179895"/>
          <c:h val="0.73312500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5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67E2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996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'图-终端-公式'!$C$136:$C$138</c:f>
              <c:strCache>
                <c:ptCount val="3"/>
                <c:pt idx="0">
                  <c:v>安卓</c:v>
                </c:pt>
                <c:pt idx="1">
                  <c:v>iphone</c:v>
                </c:pt>
                <c:pt idx="2">
                  <c:v>ipad</c:v>
                </c:pt>
              </c:strCache>
            </c:strRef>
          </c:cat>
          <c:val>
            <c:numRef>
              <c:f>'图-终端-公式'!$I$136:$I$138</c:f>
              <c:numCache>
                <c:formatCode>0.0%</c:formatCode>
                <c:ptCount val="3"/>
                <c:pt idx="0">
                  <c:v>0.5403</c:v>
                </c:pt>
                <c:pt idx="1">
                  <c:v>0.38479999999999998</c:v>
                </c:pt>
                <c:pt idx="2">
                  <c:v>7.4899999999999994E-2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10052910052915E-2"/>
          <c:y val="9.8769097222222227E-2"/>
          <c:w val="0.96669100529100527"/>
          <c:h val="0.80532708333333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'图-终端-公式'!$C$201</c:f>
              <c:strCache>
                <c:ptCount val="1"/>
                <c:pt idx="0">
                  <c:v>PV(万)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'图-终端-公式'!$D$200:$I$200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'图-终端-公式'!$D$201:$I$201</c:f>
              <c:numCache>
                <c:formatCode>#,##0_ </c:formatCode>
                <c:ptCount val="6"/>
                <c:pt idx="0">
                  <c:v>33995051</c:v>
                </c:pt>
                <c:pt idx="1">
                  <c:v>30961181</c:v>
                </c:pt>
                <c:pt idx="2">
                  <c:v>35249211</c:v>
                </c:pt>
                <c:pt idx="3">
                  <c:v>34869832</c:v>
                </c:pt>
                <c:pt idx="4">
                  <c:v>38802155</c:v>
                </c:pt>
                <c:pt idx="5">
                  <c:v>41486783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9177424"/>
        <c:axId val="269177984"/>
      </c:barChart>
      <c:lineChart>
        <c:grouping val="standard"/>
        <c:varyColors val="0"/>
        <c:ser>
          <c:idx val="1"/>
          <c:order val="1"/>
          <c:tx>
            <c:strRef>
              <c:f>'图-终端-公式'!$C$202</c:f>
              <c:strCache>
                <c:ptCount val="1"/>
                <c:pt idx="0">
                  <c:v>UV(万)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'图-终端-公式'!$D$200:$I$200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'图-终端-公式'!$D$202:$I$202</c:f>
              <c:numCache>
                <c:formatCode>#,##0_ </c:formatCode>
                <c:ptCount val="6"/>
                <c:pt idx="0">
                  <c:v>2355017</c:v>
                </c:pt>
                <c:pt idx="1">
                  <c:v>2251506</c:v>
                </c:pt>
                <c:pt idx="2">
                  <c:v>2723592</c:v>
                </c:pt>
                <c:pt idx="3">
                  <c:v>2589361</c:v>
                </c:pt>
                <c:pt idx="4">
                  <c:v>3208441</c:v>
                </c:pt>
                <c:pt idx="5">
                  <c:v>3326524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79104"/>
        <c:axId val="269178544"/>
      </c:lineChart>
      <c:dateAx>
        <c:axId val="269177424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77984"/>
        <c:crosses val="autoZero"/>
        <c:auto val="1"/>
        <c:lblOffset val="100"/>
        <c:baseTimeUnit val="months"/>
      </c:dateAx>
      <c:valAx>
        <c:axId val="269177984"/>
        <c:scaling>
          <c:orientation val="minMax"/>
          <c:max val="45000000"/>
          <c:min val="20000000"/>
        </c:scaling>
        <c:delete val="0"/>
        <c:axPos val="l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77424"/>
        <c:crosses val="autoZero"/>
        <c:crossBetween val="between"/>
        <c:majorUnit val="5000000"/>
        <c:dispUnits>
          <c:builtInUnit val="tenThousands"/>
        </c:dispUnits>
      </c:valAx>
      <c:valAx>
        <c:axId val="269178544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79104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dateAx>
        <c:axId val="269179104"/>
        <c:scaling>
          <c:orientation val="minMax"/>
        </c:scaling>
        <c:delete val="1"/>
        <c:axPos val="b"/>
        <c:numFmt formatCode="yy/m" sourceLinked="1"/>
        <c:majorTickMark val="out"/>
        <c:minorTickMark val="none"/>
        <c:tickLblPos val="nextTo"/>
        <c:crossAx val="269178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b="1"/>
              <a:t>Web</a:t>
            </a:r>
            <a:r>
              <a:rPr lang="zh-CN" b="1"/>
              <a:t>：引入渠道</a:t>
            </a:r>
            <a:r>
              <a:rPr lang="en-US" b="1"/>
              <a:t>TOP10</a:t>
            </a:r>
            <a:r>
              <a:rPr lang="zh-CN" b="1"/>
              <a:t>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'图-终端-公式'!$D$225:$D$234</c:f>
              <c:strCache>
                <c:ptCount val="10"/>
                <c:pt idx="0">
                  <c:v>WebCC渠道mail.163.com</c:v>
                </c:pt>
                <c:pt idx="1">
                  <c:v>梦幻手游网页版/桌面版嵌入直播</c:v>
                </c:pt>
                <c:pt idx="2">
                  <c:v>炉石页面</c:v>
                </c:pt>
                <c:pt idx="3">
                  <c:v>天下3论坛</c:v>
                </c:pt>
                <c:pt idx="4">
                  <c:v>大话手游网页版</c:v>
                </c:pt>
                <c:pt idx="5">
                  <c:v>炉石传说16163论坛</c:v>
                </c:pt>
                <c:pt idx="6">
                  <c:v>乱斗西游超级联赛</c:v>
                </c:pt>
                <c:pt idx="7">
                  <c:v>梦幻专区合作位</c:v>
                </c:pt>
                <c:pt idx="8">
                  <c:v>炉石盒子</c:v>
                </c:pt>
                <c:pt idx="9">
                  <c:v>倩女幽魂论坛</c:v>
                </c:pt>
              </c:strCache>
            </c:strRef>
          </c:cat>
          <c:val>
            <c:numRef>
              <c:f>'图-终端-公式'!$E$225:$E$234</c:f>
              <c:numCache>
                <c:formatCode>_ * #,##0_ ;_ * \-#,##0_ ;_ * "-"??_ ;_ @_ </c:formatCode>
                <c:ptCount val="10"/>
                <c:pt idx="0">
                  <c:v>24870</c:v>
                </c:pt>
                <c:pt idx="1">
                  <c:v>3418</c:v>
                </c:pt>
                <c:pt idx="2">
                  <c:v>2287</c:v>
                </c:pt>
                <c:pt idx="3">
                  <c:v>1671</c:v>
                </c:pt>
                <c:pt idx="4">
                  <c:v>1649</c:v>
                </c:pt>
                <c:pt idx="5">
                  <c:v>1561</c:v>
                </c:pt>
                <c:pt idx="6">
                  <c:v>1402</c:v>
                </c:pt>
                <c:pt idx="7">
                  <c:v>1134</c:v>
                </c:pt>
                <c:pt idx="8">
                  <c:v>1086</c:v>
                </c:pt>
                <c:pt idx="9">
                  <c:v>1066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9181904"/>
        <c:axId val="269182464"/>
      </c:barChart>
      <c:catAx>
        <c:axId val="26918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82464"/>
        <c:crosses val="autoZero"/>
        <c:auto val="1"/>
        <c:lblAlgn val="ctr"/>
        <c:lblOffset val="100"/>
        <c:noMultiLvlLbl val="0"/>
      </c:catAx>
      <c:valAx>
        <c:axId val="26918246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691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b="1"/>
              <a:t>Web</a:t>
            </a:r>
            <a:r>
              <a:rPr lang="zh-CN" b="1"/>
              <a:t>：观看渠道</a:t>
            </a:r>
            <a:r>
              <a:rPr lang="en-US" b="1"/>
              <a:t>TOP10</a:t>
            </a:r>
            <a:r>
              <a:rPr lang="zh-CN" b="1"/>
              <a:t>人数</a:t>
            </a:r>
            <a:r>
              <a:rPr lang="en-US" altLang="zh-CN" b="1"/>
              <a:t>(</a:t>
            </a:r>
            <a:r>
              <a:rPr lang="zh-CN" altLang="en-US" b="1"/>
              <a:t>万</a:t>
            </a:r>
            <a:r>
              <a:rPr lang="en-US" altLang="zh-CN" b="1"/>
              <a:t>)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'图-终端-公式'!$B$225:$B$234</c:f>
              <c:strCache>
                <c:ptCount val="10"/>
                <c:pt idx="0">
                  <c:v> 梦幻手游内置CC </c:v>
                </c:pt>
                <c:pt idx="1">
                  <c:v> 梦幻电脑版内置直播 </c:v>
                </c:pt>
                <c:pt idx="2">
                  <c:v> 梦幻手游网页版 </c:v>
                </c:pt>
                <c:pt idx="3">
                  <c:v> 大话手游内置CC </c:v>
                </c:pt>
                <c:pt idx="4">
                  <c:v> 炉石传说16163论坛 </c:v>
                </c:pt>
                <c:pt idx="5">
                  <c:v> 阴阳师16163论坛 </c:v>
                </c:pt>
                <c:pt idx="6">
                  <c:v> 大话手游网页版 </c:v>
                </c:pt>
                <c:pt idx="7">
                  <c:v> 大话2经典比武大会直播页 </c:v>
                </c:pt>
                <c:pt idx="8">
                  <c:v> 大唐无双手游16163论坛 </c:v>
                </c:pt>
                <c:pt idx="9">
                  <c:v> 天下3游戏内置天下TV </c:v>
                </c:pt>
              </c:strCache>
            </c:strRef>
          </c:cat>
          <c:val>
            <c:numRef>
              <c:f>'图-终端-公式'!$C$225:$C$234</c:f>
              <c:numCache>
                <c:formatCode>_ * #,##0_ ;_ * \-#,##0_ ;_ * "-"??_ ;_ @_ </c:formatCode>
                <c:ptCount val="10"/>
                <c:pt idx="0">
                  <c:v>692092</c:v>
                </c:pt>
                <c:pt idx="1">
                  <c:v>488518</c:v>
                </c:pt>
                <c:pt idx="2">
                  <c:v>629998</c:v>
                </c:pt>
                <c:pt idx="3">
                  <c:v>186084</c:v>
                </c:pt>
                <c:pt idx="4">
                  <c:v>176187</c:v>
                </c:pt>
                <c:pt idx="5">
                  <c:v>167451</c:v>
                </c:pt>
                <c:pt idx="6">
                  <c:v>109517</c:v>
                </c:pt>
                <c:pt idx="7">
                  <c:v>55362</c:v>
                </c:pt>
                <c:pt idx="8">
                  <c:v>31089</c:v>
                </c:pt>
                <c:pt idx="9">
                  <c:v>25043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9184704"/>
        <c:axId val="269185264"/>
      </c:barChart>
      <c:catAx>
        <c:axId val="26918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9185264"/>
        <c:crosses val="autoZero"/>
        <c:auto val="1"/>
        <c:lblAlgn val="ctr"/>
        <c:lblOffset val="100"/>
        <c:noMultiLvlLbl val="0"/>
      </c:catAx>
      <c:valAx>
        <c:axId val="269185264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26918470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5767195767196E-2"/>
          <c:y val="0.10142361111111112"/>
          <c:w val="0.93448412698412686"/>
          <c:h val="0.80267256944444443"/>
        </c:manualLayout>
      </c:layout>
      <c:lineChart>
        <c:grouping val="standard"/>
        <c:varyColors val="0"/>
        <c:ser>
          <c:idx val="1"/>
          <c:order val="0"/>
          <c:tx>
            <c:strRef>
              <c:f>'图-用户-公式'!$C$313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E67E22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'图-用户-公式'!$D$313:$I$313</c:f>
              <c:numCache>
                <c:formatCode>0.0%</c:formatCode>
                <c:ptCount val="6"/>
                <c:pt idx="0">
                  <c:v>0.36225806451612896</c:v>
                </c:pt>
                <c:pt idx="1">
                  <c:v>0.33633333333333326</c:v>
                </c:pt>
                <c:pt idx="2">
                  <c:v>0.33516129032258063</c:v>
                </c:pt>
                <c:pt idx="3">
                  <c:v>0.33700000000000002</c:v>
                </c:pt>
                <c:pt idx="4">
                  <c:v>0.32500000000000001</c:v>
                </c:pt>
                <c:pt idx="5">
                  <c:v>0.32400000000000001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'图-用户-公式'!$C$314</c:f>
              <c:strCache>
                <c:ptCount val="1"/>
                <c:pt idx="0">
                  <c:v>七日留存率</c:v>
                </c:pt>
              </c:strCache>
            </c:strRef>
          </c:tx>
          <c:spPr>
            <a:ln w="38100" cap="rnd">
              <a:solidFill>
                <a:srgbClr val="FF996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9966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9966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'图-用户-公式'!$D$314:$I$314</c:f>
              <c:numCache>
                <c:formatCode>0.0%</c:formatCode>
                <c:ptCount val="6"/>
                <c:pt idx="0">
                  <c:v>0.28870967741935483</c:v>
                </c:pt>
                <c:pt idx="1">
                  <c:v>0.25266666666666665</c:v>
                </c:pt>
                <c:pt idx="2">
                  <c:v>0.2587096774193548</c:v>
                </c:pt>
                <c:pt idx="3">
                  <c:v>0.26200000000000001</c:v>
                </c:pt>
                <c:pt idx="4">
                  <c:v>0.248</c:v>
                </c:pt>
                <c:pt idx="5">
                  <c:v>0.246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39008"/>
        <c:axId val="261839568"/>
        <c:extLst/>
      </c:lineChart>
      <c:dateAx>
        <c:axId val="26183900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9568"/>
        <c:crosses val="autoZero"/>
        <c:auto val="1"/>
        <c:lblOffset val="100"/>
        <c:baseTimeUnit val="months"/>
      </c:dateAx>
      <c:valAx>
        <c:axId val="261839568"/>
        <c:scaling>
          <c:orientation val="minMax"/>
          <c:min val="0.15000000000000002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39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387830687830669E-2"/>
          <c:y val="8.819444444444445E-2"/>
          <c:w val="0.94209365079365071"/>
          <c:h val="0.80708229166666667"/>
        </c:manualLayout>
      </c:layout>
      <c:lineChart>
        <c:grouping val="standard"/>
        <c:varyColors val="0"/>
        <c:ser>
          <c:idx val="0"/>
          <c:order val="0"/>
          <c:tx>
            <c:strRef>
              <c:f>'图-用户-公式'!$C$316</c:f>
              <c:strCache>
                <c:ptCount val="1"/>
                <c:pt idx="0">
                  <c:v>PC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777777777777776E-2"/>
                  <c:y val="-4.5671114027413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0444444444444445E-2"/>
                  <c:y val="-3.6411854768153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'图-用户-公式'!$D$316:$I$316</c:f>
              <c:numCache>
                <c:formatCode>0.0%</c:formatCode>
                <c:ptCount val="6"/>
                <c:pt idx="0">
                  <c:v>0.56000000000000005</c:v>
                </c:pt>
                <c:pt idx="1">
                  <c:v>0.55600000000000005</c:v>
                </c:pt>
                <c:pt idx="2">
                  <c:v>0.56799999999999995</c:v>
                </c:pt>
                <c:pt idx="3">
                  <c:v>0.58299999999999996</c:v>
                </c:pt>
                <c:pt idx="4">
                  <c:v>0.57599999999999996</c:v>
                </c:pt>
                <c:pt idx="5">
                  <c:v>0.59699999999999998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'图-用户-公式'!$C$317</c:f>
              <c:strCache>
                <c:ptCount val="1"/>
                <c:pt idx="0">
                  <c:v>手机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632108486439224E-2"/>
                  <c:y val="-5.0300743657042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7632108486439196E-2"/>
                  <c:y val="-4.5671114027413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'图-用户-公式'!$D$317:$I$317</c:f>
              <c:numCache>
                <c:formatCode>0.0%</c:formatCode>
                <c:ptCount val="6"/>
                <c:pt idx="0">
                  <c:v>0.71299999999999997</c:v>
                </c:pt>
                <c:pt idx="1">
                  <c:v>0.69299999999999995</c:v>
                </c:pt>
                <c:pt idx="2">
                  <c:v>0.70399999999999996</c:v>
                </c:pt>
                <c:pt idx="3">
                  <c:v>0.71299999999999997</c:v>
                </c:pt>
                <c:pt idx="4">
                  <c:v>0.70599999999999996</c:v>
                </c:pt>
                <c:pt idx="5">
                  <c:v>0.69499999999999995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'图-用户-公式'!$C$318</c:f>
              <c:strCache>
                <c:ptCount val="1"/>
                <c:pt idx="0">
                  <c:v>Web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520997375328083E-2"/>
                  <c:y val="-2.7152595508894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888888888888888E-2"/>
                  <c:y val="-2.7152595508894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6520997375328187E-2"/>
                  <c:y val="-3.641185476815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4495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'图-用户-公式'!$D$318:$I$318</c:f>
              <c:numCache>
                <c:formatCode>0.0%</c:formatCode>
                <c:ptCount val="6"/>
                <c:pt idx="0">
                  <c:v>0.501</c:v>
                </c:pt>
                <c:pt idx="1">
                  <c:v>0.48499999999999999</c:v>
                </c:pt>
                <c:pt idx="2">
                  <c:v>0.497</c:v>
                </c:pt>
                <c:pt idx="3">
                  <c:v>0.50800000000000001</c:v>
                </c:pt>
                <c:pt idx="4">
                  <c:v>0.505</c:v>
                </c:pt>
                <c:pt idx="5">
                  <c:v>0.52600000000000002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43488"/>
        <c:axId val="261844048"/>
      </c:lineChart>
      <c:dateAx>
        <c:axId val="26184348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44048"/>
        <c:crosses val="autoZero"/>
        <c:auto val="1"/>
        <c:lblOffset val="100"/>
        <c:baseTimeUnit val="months"/>
      </c:dateAx>
      <c:valAx>
        <c:axId val="261844048"/>
        <c:scaling>
          <c:orientation val="minMax"/>
          <c:max val="0.8"/>
          <c:min val="0.4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434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3518518518518518E-2"/>
          <c:y val="8.819444444444445E-2"/>
          <c:w val="0.95632275132275146"/>
          <c:h val="0.79385312500000005"/>
        </c:manualLayout>
      </c:layout>
      <c:lineChart>
        <c:grouping val="standard"/>
        <c:varyColors val="0"/>
        <c:ser>
          <c:idx val="0"/>
          <c:order val="0"/>
          <c:tx>
            <c:strRef>
              <c:f>'图-用户-公式'!$C$320</c:f>
              <c:strCache>
                <c:ptCount val="1"/>
                <c:pt idx="0">
                  <c:v>PC</c:v>
                </c:pt>
              </c:strCache>
            </c:strRef>
          </c:tx>
          <c:spPr>
            <a:ln w="38100" cap="rnd">
              <a:solidFill>
                <a:srgbClr val="006699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777777777777776E-2"/>
                  <c:y val="-4.5671114027413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0444444444444445E-2"/>
                  <c:y val="-3.6411854768153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'图-用户-公式'!$D$320:$I$320</c:f>
              <c:numCache>
                <c:formatCode>0.0%</c:formatCode>
                <c:ptCount val="6"/>
                <c:pt idx="0">
                  <c:v>0.443</c:v>
                </c:pt>
                <c:pt idx="1">
                  <c:v>0.436</c:v>
                </c:pt>
                <c:pt idx="2">
                  <c:v>0.44900000000000001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0.47099999999999997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'图-用户-公式'!$C$321</c:f>
              <c:strCache>
                <c:ptCount val="1"/>
                <c:pt idx="0">
                  <c:v>手机</c:v>
                </c:pt>
              </c:strCache>
            </c:strRef>
          </c:tx>
          <c:spPr>
            <a:ln w="38100" cap="rnd">
              <a:solidFill>
                <a:srgbClr val="E67E2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632108486439224E-2"/>
                  <c:y val="-5.0300743657042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7632108486439196E-2"/>
                  <c:y val="-4.5671114027413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'图-用户-公式'!$D$321:$I$321</c:f>
              <c:numCache>
                <c:formatCode>0.0%</c:formatCode>
                <c:ptCount val="6"/>
                <c:pt idx="0">
                  <c:v>0.59499999999999997</c:v>
                </c:pt>
                <c:pt idx="1">
                  <c:v>0.57799999999999996</c:v>
                </c:pt>
                <c:pt idx="2">
                  <c:v>0.59099999999999997</c:v>
                </c:pt>
                <c:pt idx="3">
                  <c:v>0.60199999999999998</c:v>
                </c:pt>
                <c:pt idx="4">
                  <c:v>0.58799999999999997</c:v>
                </c:pt>
                <c:pt idx="5">
                  <c:v>0.46100000000000002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'图-用户-公式'!$C$322</c:f>
              <c:strCache>
                <c:ptCount val="1"/>
                <c:pt idx="0">
                  <c:v>Web</c:v>
                </c:pt>
              </c:strCache>
            </c:strRef>
          </c:tx>
          <c:spPr>
            <a:ln w="38100" cap="rnd">
              <a:solidFill>
                <a:srgbClr val="34495E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520997375328083E-2"/>
                  <c:y val="-2.7152595508894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888888888888888E-2"/>
                  <c:y val="-2.7152595508894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6520997375328187E-2"/>
                  <c:y val="-3.641185476815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4495E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'图-用户-公式'!$D$310:$I$310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'图-用户-公式'!$D$322:$I$322</c:f>
              <c:numCache>
                <c:formatCode>0.0%</c:formatCode>
                <c:ptCount val="6"/>
                <c:pt idx="0">
                  <c:v>0.35599999999999998</c:v>
                </c:pt>
                <c:pt idx="1">
                  <c:v>0.34200000000000003</c:v>
                </c:pt>
                <c:pt idx="2">
                  <c:v>0.36099999999999999</c:v>
                </c:pt>
                <c:pt idx="3">
                  <c:v>0.36799999999999999</c:v>
                </c:pt>
                <c:pt idx="4">
                  <c:v>0.35699999999999998</c:v>
                </c:pt>
                <c:pt idx="5">
                  <c:v>0.38300000000000001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47968"/>
        <c:axId val="261848528"/>
      </c:lineChart>
      <c:dateAx>
        <c:axId val="261847968"/>
        <c:scaling>
          <c:orientation val="minMax"/>
        </c:scaling>
        <c:delete val="0"/>
        <c:axPos val="b"/>
        <c:numFmt formatCode="yy/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48528"/>
        <c:crosses val="autoZero"/>
        <c:auto val="1"/>
        <c:lblOffset val="100"/>
        <c:baseTimeUnit val="months"/>
      </c:dateAx>
      <c:valAx>
        <c:axId val="261848528"/>
        <c:scaling>
          <c:orientation val="minMax"/>
          <c:max val="0.8"/>
          <c:min val="0.1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47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838095238095238E-2"/>
          <c:y val="0.13478124999999999"/>
          <c:w val="0.9700507936507935"/>
          <c:h val="0.76931493055555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'图-用户-公式'!$C$264</c:f>
              <c:strCache>
                <c:ptCount val="1"/>
                <c:pt idx="0">
                  <c:v>PC(h)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6699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'图-用户-公式'!$D$262:$I$262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'图-用户-公式'!$D$264:$I$264</c:f>
              <c:numCache>
                <c:formatCode>#,##0.0_ </c:formatCode>
                <c:ptCount val="6"/>
                <c:pt idx="0">
                  <c:v>15.080149403639799</c:v>
                </c:pt>
                <c:pt idx="1">
                  <c:v>14.20832511236082</c:v>
                </c:pt>
                <c:pt idx="2">
                  <c:v>15.124867811805945</c:v>
                </c:pt>
                <c:pt idx="3">
                  <c:v>14.561304341196889</c:v>
                </c:pt>
                <c:pt idx="4">
                  <c:v>13.458176399262287</c:v>
                </c:pt>
                <c:pt idx="5">
                  <c:v>11.020912573158544</c:v>
                </c:pt>
              </c:numCache>
            </c:numRef>
          </c:val>
        </c:ser>
        <c:ser>
          <c:idx val="1"/>
          <c:order val="1"/>
          <c:tx>
            <c:strRef>
              <c:f>'图-用户-公式'!$C$265</c:f>
              <c:strCache>
                <c:ptCount val="1"/>
                <c:pt idx="0">
                  <c:v>手机(h)</c:v>
                </c:pt>
              </c:strCache>
            </c:strRef>
          </c:tx>
          <c:spPr>
            <a:solidFill>
              <a:srgbClr val="E67E2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67E22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'图-用户-公式'!$D$262:$I$262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'图-用户-公式'!$D$265:$I$265</c:f>
              <c:numCache>
                <c:formatCode>#,##0.0_ </c:formatCode>
                <c:ptCount val="6"/>
                <c:pt idx="0">
                  <c:v>14.05161279357503</c:v>
                </c:pt>
                <c:pt idx="1">
                  <c:v>11.929587868425036</c:v>
                </c:pt>
                <c:pt idx="2">
                  <c:v>12.934327474370411</c:v>
                </c:pt>
                <c:pt idx="3">
                  <c:v>13.644485251525051</c:v>
                </c:pt>
                <c:pt idx="4">
                  <c:v>12.670325153392715</c:v>
                </c:pt>
                <c:pt idx="5">
                  <c:v>10.336797831144336</c:v>
                </c:pt>
              </c:numCache>
            </c:numRef>
          </c:val>
        </c:ser>
        <c:ser>
          <c:idx val="2"/>
          <c:order val="2"/>
          <c:tx>
            <c:strRef>
              <c:f>'图-用户-公式'!$C$266</c:f>
              <c:strCache>
                <c:ptCount val="1"/>
                <c:pt idx="0">
                  <c:v>Web(h)</c:v>
                </c:pt>
              </c:strCache>
            </c:strRef>
          </c:tx>
          <c:spPr>
            <a:solidFill>
              <a:srgbClr val="3449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C3E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'图-用户-公式'!$D$262:$I$262</c:f>
              <c:numCache>
                <c:formatCode>yy/m</c:formatCode>
                <c:ptCount val="6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</c:numCache>
            </c:numRef>
          </c:cat>
          <c:val>
            <c:numRef>
              <c:f>'图-用户-公式'!$D$266:$I$266</c:f>
              <c:numCache>
                <c:formatCode>#,##0.0_ </c:formatCode>
                <c:ptCount val="6"/>
                <c:pt idx="0">
                  <c:v>7.0706424314212688</c:v>
                </c:pt>
                <c:pt idx="1">
                  <c:v>6.5191009426772277</c:v>
                </c:pt>
                <c:pt idx="2">
                  <c:v>7.0238781007297346</c:v>
                </c:pt>
                <c:pt idx="3">
                  <c:v>6.8442456361592203</c:v>
                </c:pt>
                <c:pt idx="4">
                  <c:v>6.3969284718529478</c:v>
                </c:pt>
                <c:pt idx="5">
                  <c:v>5.8361034367737323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61852448"/>
        <c:axId val="261853008"/>
      </c:barChart>
      <c:dateAx>
        <c:axId val="261852448"/>
        <c:scaling>
          <c:orientation val="minMax"/>
        </c:scaling>
        <c:delete val="0"/>
        <c:axPos val="b"/>
        <c:numFmt formatCode="yy/m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1853008"/>
        <c:crosses val="autoZero"/>
        <c:auto val="1"/>
        <c:lblOffset val="100"/>
        <c:baseTimeUnit val="months"/>
      </c:dateAx>
      <c:valAx>
        <c:axId val="261853008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2618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538624338624347E-2"/>
          <c:y val="2.6458333333333334E-2"/>
          <c:w val="0.93476402116402124"/>
          <c:h val="9.095486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image" Target="../media/image1.emf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341</xdr:row>
      <xdr:rowOff>0</xdr:rowOff>
    </xdr:from>
    <xdr:to>
      <xdr:col>5</xdr:col>
      <xdr:colOff>247200</xdr:colOff>
      <xdr:row>348</xdr:row>
      <xdr:rowOff>90825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oneCell">
    <xdr:from>
      <xdr:col>0</xdr:col>
      <xdr:colOff>47625</xdr:colOff>
      <xdr:row>352</xdr:row>
      <xdr:rowOff>166350</xdr:rowOff>
    </xdr:from>
    <xdr:to>
      <xdr:col>5</xdr:col>
      <xdr:colOff>294825</xdr:colOff>
      <xdr:row>361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oneCell">
    <xdr:from>
      <xdr:col>1</xdr:col>
      <xdr:colOff>19050</xdr:colOff>
      <xdr:row>67</xdr:row>
      <xdr:rowOff>142875</xdr:rowOff>
    </xdr:from>
    <xdr:to>
      <xdr:col>8</xdr:col>
      <xdr:colOff>907650</xdr:colOff>
      <xdr:row>82</xdr:row>
      <xdr:rowOff>192000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225</xdr:row>
      <xdr:rowOff>0</xdr:rowOff>
    </xdr:from>
    <xdr:to>
      <xdr:col>4</xdr:col>
      <xdr:colOff>312900</xdr:colOff>
      <xdr:row>238</xdr:row>
      <xdr:rowOff>60600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329</xdr:row>
      <xdr:rowOff>0</xdr:rowOff>
    </xdr:from>
    <xdr:to>
      <xdr:col>4</xdr:col>
      <xdr:colOff>312900</xdr:colOff>
      <xdr:row>342</xdr:row>
      <xdr:rowOff>155850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349</xdr:row>
      <xdr:rowOff>0</xdr:rowOff>
    </xdr:from>
    <xdr:to>
      <xdr:col>4</xdr:col>
      <xdr:colOff>312900</xdr:colOff>
      <xdr:row>362</xdr:row>
      <xdr:rowOff>155850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365</xdr:row>
      <xdr:rowOff>0</xdr:rowOff>
    </xdr:from>
    <xdr:to>
      <xdr:col>4</xdr:col>
      <xdr:colOff>312900</xdr:colOff>
      <xdr:row>378</xdr:row>
      <xdr:rowOff>155850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381</xdr:row>
      <xdr:rowOff>0</xdr:rowOff>
    </xdr:from>
    <xdr:to>
      <xdr:col>4</xdr:col>
      <xdr:colOff>312900</xdr:colOff>
      <xdr:row>394</xdr:row>
      <xdr:rowOff>155850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twoCellAnchor>
  <xdr:twoCellAnchor editAs="oneCell">
    <xdr:from>
      <xdr:col>1</xdr:col>
      <xdr:colOff>4762</xdr:colOff>
      <xdr:row>292</xdr:row>
      <xdr:rowOff>85725</xdr:rowOff>
    </xdr:from>
    <xdr:to>
      <xdr:col>4</xdr:col>
      <xdr:colOff>317662</xdr:colOff>
      <xdr:row>305</xdr:row>
      <xdr:rowOff>98700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 fPrintsWithSheet="0"/>
  </xdr:twoCellAnchor>
  <xdr:twoCellAnchor editAs="oneCell">
    <xdr:from>
      <xdr:col>1</xdr:col>
      <xdr:colOff>9525</xdr:colOff>
      <xdr:row>273</xdr:row>
      <xdr:rowOff>38100</xdr:rowOff>
    </xdr:from>
    <xdr:to>
      <xdr:col>4</xdr:col>
      <xdr:colOff>322425</xdr:colOff>
      <xdr:row>286</xdr:row>
      <xdr:rowOff>98700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245</xdr:row>
      <xdr:rowOff>0</xdr:rowOff>
    </xdr:from>
    <xdr:to>
      <xdr:col>4</xdr:col>
      <xdr:colOff>312900</xdr:colOff>
      <xdr:row>258</xdr:row>
      <xdr:rowOff>155850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186</xdr:row>
      <xdr:rowOff>0</xdr:rowOff>
    </xdr:from>
    <xdr:to>
      <xdr:col>5</xdr:col>
      <xdr:colOff>231825</xdr:colOff>
      <xdr:row>199</xdr:row>
      <xdr:rowOff>155850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 fPrintsWithSheet="0"/>
  </xdr:twoCellAnchor>
  <xdr:twoCellAnchor>
    <xdr:from>
      <xdr:col>7</xdr:col>
      <xdr:colOff>28575</xdr:colOff>
      <xdr:row>188</xdr:row>
      <xdr:rowOff>19050</xdr:rowOff>
    </xdr:from>
    <xdr:to>
      <xdr:col>10</xdr:col>
      <xdr:colOff>895350</xdr:colOff>
      <xdr:row>197</xdr:row>
      <xdr:rowOff>122586</xdr:rowOff>
    </xdr:to>
    <xdr:grpSp>
      <xdr:nvGrpSpPr>
        <xdr:cNvPr id="18" name="组合 17"/>
        <xdr:cNvGrpSpPr/>
      </xdr:nvGrpSpPr>
      <xdr:grpSpPr>
        <a:xfrm>
          <a:off x="6753225" y="40719375"/>
          <a:ext cx="3810000" cy="1989486"/>
          <a:chOff x="5943600" y="26517600"/>
          <a:chExt cx="3352800" cy="1989486"/>
        </a:xfrm>
      </xdr:grpSpPr>
      <xdr:grpSp>
        <xdr:nvGrpSpPr>
          <xdr:cNvPr id="19" name="组合 18"/>
          <xdr:cNvGrpSpPr/>
        </xdr:nvGrpSpPr>
        <xdr:grpSpPr>
          <a:xfrm>
            <a:off x="5943600" y="26517600"/>
            <a:ext cx="2055757" cy="1989486"/>
            <a:chOff x="5943600" y="26517600"/>
            <a:chExt cx="2055757" cy="1989486"/>
          </a:xfrm>
        </xdr:grpSpPr>
        <xdr:sp macro="" textlink="">
          <xdr:nvSpPr>
            <xdr:cNvPr id="21" name="椭圆 20"/>
            <xdr:cNvSpPr/>
          </xdr:nvSpPr>
          <xdr:spPr>
            <a:xfrm>
              <a:off x="5943600" y="26517600"/>
              <a:ext cx="1723392" cy="1958222"/>
            </a:xfrm>
            <a:prstGeom prst="ellipse">
              <a:avLst/>
            </a:prstGeom>
            <a:noFill/>
            <a:ln w="38100">
              <a:solidFill>
                <a:srgbClr val="00669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22" name="文本框 58"/>
            <xdr:cNvSpPr txBox="1"/>
          </xdr:nvSpPr>
          <xdr:spPr>
            <a:xfrm>
              <a:off x="6076949" y="27070049"/>
              <a:ext cx="1039725" cy="895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zh-CN" altLang="en-US" sz="100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纯游戏登录视频语音用户：</a:t>
              </a:r>
              <a:endParaRPr lang="en-US" altLang="zh-CN" sz="10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en-US" altLang="zh-CN" sz="10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129</a:t>
              </a:r>
              <a:r>
                <a:rPr lang="zh-CN" altLang="en-US" sz="10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万人</a:t>
              </a:r>
              <a:endParaRPr lang="en-US" altLang="zh-CN" sz="10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00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占游戏</a:t>
              </a:r>
              <a:r>
                <a:rPr lang="en-US" altLang="zh-CN" sz="10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70%</a:t>
              </a:r>
              <a:endParaRPr lang="zh-CN" altLang="en-US" sz="10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grpSp>
          <xdr:nvGrpSpPr>
            <xdr:cNvPr id="23" name="组合 22"/>
            <xdr:cNvGrpSpPr/>
          </xdr:nvGrpSpPr>
          <xdr:grpSpPr>
            <a:xfrm>
              <a:off x="6875407" y="27229086"/>
              <a:ext cx="1123950" cy="1278000"/>
              <a:chOff x="931807" y="711486"/>
              <a:chExt cx="1123950" cy="1278000"/>
            </a:xfrm>
          </xdr:grpSpPr>
          <xdr:sp macro="" textlink="">
            <xdr:nvSpPr>
              <xdr:cNvPr id="24" name="椭圆 23"/>
              <xdr:cNvSpPr/>
            </xdr:nvSpPr>
            <xdr:spPr>
              <a:xfrm>
                <a:off x="931807" y="711486"/>
                <a:ext cx="1123950" cy="1278000"/>
              </a:xfrm>
              <a:prstGeom prst="ellipse">
                <a:avLst/>
              </a:prstGeom>
              <a:noFill/>
              <a:ln w="38100">
                <a:solidFill>
                  <a:srgbClr val="E67E2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5" name="文本框 59"/>
              <xdr:cNvSpPr txBox="1"/>
            </xdr:nvSpPr>
            <xdr:spPr>
              <a:xfrm>
                <a:off x="1026172" y="777845"/>
                <a:ext cx="973318" cy="92697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zh-CN" altLang="en-US" sz="100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交叉用户：</a:t>
                </a:r>
                <a:endParaRPr lang="en-US" altLang="zh-CN" sz="100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r>
                  <a:rPr lang="en-US" altLang="zh-CN" sz="10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54.6</a:t>
                </a:r>
                <a:r>
                  <a:rPr lang="zh-CN" altLang="en-US" sz="10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万人</a:t>
                </a:r>
                <a:endParaRPr lang="en-US" altLang="zh-CN" sz="10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r>
                  <a:rPr lang="zh-CN" altLang="en-US" sz="100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占游戏</a:t>
                </a:r>
                <a:r>
                  <a:rPr lang="en-US" altLang="zh-CN" sz="10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30%</a:t>
                </a:r>
              </a:p>
              <a:p>
                <a:r>
                  <a:rPr lang="zh-CN" altLang="en-US" sz="100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占娱乐</a:t>
                </a:r>
                <a:r>
                  <a:rPr lang="en-US" altLang="zh-CN" sz="10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91%</a:t>
                </a:r>
                <a:endParaRPr lang="zh-CN" altLang="en-US" sz="1000" b="1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</xdr:grpSp>
      <xdr:sp macro="" textlink="">
        <xdr:nvSpPr>
          <xdr:cNvPr id="20" name="线形标注 1(无边框) 19"/>
          <xdr:cNvSpPr/>
        </xdr:nvSpPr>
        <xdr:spPr>
          <a:xfrm>
            <a:off x="8220075" y="27508200"/>
            <a:ext cx="1076325" cy="752476"/>
          </a:xfrm>
          <a:prstGeom prst="callout1">
            <a:avLst>
              <a:gd name="adj1" fmla="val 18750"/>
              <a:gd name="adj2" fmla="val -8333"/>
              <a:gd name="adj3" fmla="val 61867"/>
              <a:gd name="adj4" fmla="val -33909"/>
            </a:avLst>
          </a:prstGeom>
          <a:noFill/>
          <a:ln w="12700">
            <a:solidFill>
              <a:srgbClr val="E67E22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</a:rPr>
              <a:t>纯娱乐用户：</a:t>
            </a:r>
            <a:endParaRPr kumimoji="0" lang="en-US" altLang="zh-CN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altLang="zh-C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</a:rPr>
              <a:t>5.4</a:t>
            </a:r>
            <a:r>
              <a:rPr kumimoji="0" lang="zh-CN" altLang="en-US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</a:rPr>
              <a:t>万人</a:t>
            </a:r>
            <a:endParaRPr kumimoji="0" lang="en-US" altLang="zh-CN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10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</a:rPr>
              <a:t>占娱乐</a:t>
            </a:r>
            <a:r>
              <a:rPr kumimoji="0" lang="en-US" altLang="zh-CN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</a:rPr>
              <a:t>9%</a:t>
            </a:r>
            <a:endParaRPr kumimoji="0" lang="zh-CN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</xdr:col>
      <xdr:colOff>0</xdr:colOff>
      <xdr:row>144</xdr:row>
      <xdr:rowOff>0</xdr:rowOff>
    </xdr:from>
    <xdr:to>
      <xdr:col>4</xdr:col>
      <xdr:colOff>132900</xdr:colOff>
      <xdr:row>157</xdr:row>
      <xdr:rowOff>12975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 fPrintsWithSheet="0"/>
  </xdr:twoCellAnchor>
  <xdr:twoCellAnchor editAs="oneCell">
    <xdr:from>
      <xdr:col>1</xdr:col>
      <xdr:colOff>19050</xdr:colOff>
      <xdr:row>124</xdr:row>
      <xdr:rowOff>95250</xdr:rowOff>
    </xdr:from>
    <xdr:to>
      <xdr:col>4</xdr:col>
      <xdr:colOff>151950</xdr:colOff>
      <xdr:row>138</xdr:row>
      <xdr:rowOff>41550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101</xdr:row>
      <xdr:rowOff>0</xdr:rowOff>
    </xdr:from>
    <xdr:to>
      <xdr:col>4</xdr:col>
      <xdr:colOff>132900</xdr:colOff>
      <xdr:row>114</xdr:row>
      <xdr:rowOff>155850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85</xdr:row>
      <xdr:rowOff>0</xdr:rowOff>
    </xdr:from>
    <xdr:to>
      <xdr:col>4</xdr:col>
      <xdr:colOff>132900</xdr:colOff>
      <xdr:row>98</xdr:row>
      <xdr:rowOff>155850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 fPrintsWithSheet="0"/>
  </xdr:twoCellAnchor>
  <xdr:twoCellAnchor editAs="oneCell">
    <xdr:from>
      <xdr:col>8</xdr:col>
      <xdr:colOff>857250</xdr:colOff>
      <xdr:row>86</xdr:row>
      <xdr:rowOff>171450</xdr:rowOff>
    </xdr:from>
    <xdr:to>
      <xdr:col>14</xdr:col>
      <xdr:colOff>171450</xdr:colOff>
      <xdr:row>93</xdr:row>
      <xdr:rowOff>180975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8583275"/>
          <a:ext cx="52006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465300</xdr:colOff>
      <xdr:row>34</xdr:row>
      <xdr:rowOff>155850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322</xdr:row>
      <xdr:rowOff>0</xdr:rowOff>
    </xdr:from>
    <xdr:to>
      <xdr:col>4</xdr:col>
      <xdr:colOff>465300</xdr:colOff>
      <xdr:row>335</xdr:row>
      <xdr:rowOff>155850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340</xdr:row>
      <xdr:rowOff>0</xdr:rowOff>
    </xdr:from>
    <xdr:to>
      <xdr:col>4</xdr:col>
      <xdr:colOff>465300</xdr:colOff>
      <xdr:row>353</xdr:row>
      <xdr:rowOff>155850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133</xdr:row>
      <xdr:rowOff>0</xdr:rowOff>
    </xdr:from>
    <xdr:to>
      <xdr:col>4</xdr:col>
      <xdr:colOff>465300</xdr:colOff>
      <xdr:row>146</xdr:row>
      <xdr:rowOff>155850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153</xdr:row>
      <xdr:rowOff>0</xdr:rowOff>
    </xdr:from>
    <xdr:to>
      <xdr:col>4</xdr:col>
      <xdr:colOff>465300</xdr:colOff>
      <xdr:row>166</xdr:row>
      <xdr:rowOff>155850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76</xdr:row>
      <xdr:rowOff>0</xdr:rowOff>
    </xdr:from>
    <xdr:to>
      <xdr:col>4</xdr:col>
      <xdr:colOff>465300</xdr:colOff>
      <xdr:row>89</xdr:row>
      <xdr:rowOff>155850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97</xdr:row>
      <xdr:rowOff>0</xdr:rowOff>
    </xdr:from>
    <xdr:to>
      <xdr:col>4</xdr:col>
      <xdr:colOff>465300</xdr:colOff>
      <xdr:row>110</xdr:row>
      <xdr:rowOff>155850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288</xdr:row>
      <xdr:rowOff>0</xdr:rowOff>
    </xdr:from>
    <xdr:to>
      <xdr:col>4</xdr:col>
      <xdr:colOff>465300</xdr:colOff>
      <xdr:row>301</xdr:row>
      <xdr:rowOff>155850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42</xdr:row>
      <xdr:rowOff>0</xdr:rowOff>
    </xdr:from>
    <xdr:to>
      <xdr:col>4</xdr:col>
      <xdr:colOff>465300</xdr:colOff>
      <xdr:row>55</xdr:row>
      <xdr:rowOff>155850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 fPrintsWithSheet="0"/>
  </xdr:twoCellAnchor>
  <xdr:oneCellAnchor>
    <xdr:from>
      <xdr:col>0</xdr:col>
      <xdr:colOff>581025</xdr:colOff>
      <xdr:row>235</xdr:row>
      <xdr:rowOff>47625</xdr:rowOff>
    </xdr:from>
    <xdr:ext cx="3780000" cy="2880000"/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495300</xdr:colOff>
      <xdr:row>213</xdr:row>
      <xdr:rowOff>180975</xdr:rowOff>
    </xdr:from>
    <xdr:ext cx="3780000" cy="2880000"/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5</xdr:col>
      <xdr:colOff>465300</xdr:colOff>
      <xdr:row>48</xdr:row>
      <xdr:rowOff>12975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54</xdr:row>
      <xdr:rowOff>0</xdr:rowOff>
    </xdr:from>
    <xdr:to>
      <xdr:col>5</xdr:col>
      <xdr:colOff>465300</xdr:colOff>
      <xdr:row>67</xdr:row>
      <xdr:rowOff>60600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122</xdr:row>
      <xdr:rowOff>0</xdr:rowOff>
    </xdr:from>
    <xdr:to>
      <xdr:col>5</xdr:col>
      <xdr:colOff>465300</xdr:colOff>
      <xdr:row>135</xdr:row>
      <xdr:rowOff>12975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122</xdr:row>
      <xdr:rowOff>0</xdr:rowOff>
    </xdr:from>
    <xdr:to>
      <xdr:col>10</xdr:col>
      <xdr:colOff>465300</xdr:colOff>
      <xdr:row>135</xdr:row>
      <xdr:rowOff>12975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103</xdr:row>
      <xdr:rowOff>0</xdr:rowOff>
    </xdr:from>
    <xdr:to>
      <xdr:col>10</xdr:col>
      <xdr:colOff>465300</xdr:colOff>
      <xdr:row>116</xdr:row>
      <xdr:rowOff>12975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310</xdr:row>
      <xdr:rowOff>0</xdr:rowOff>
    </xdr:from>
    <xdr:to>
      <xdr:col>5</xdr:col>
      <xdr:colOff>465300</xdr:colOff>
      <xdr:row>323</xdr:row>
      <xdr:rowOff>12975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310</xdr:row>
      <xdr:rowOff>0</xdr:rowOff>
    </xdr:from>
    <xdr:to>
      <xdr:col>10</xdr:col>
      <xdr:colOff>465300</xdr:colOff>
      <xdr:row>323</xdr:row>
      <xdr:rowOff>12975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103</xdr:row>
      <xdr:rowOff>0</xdr:rowOff>
    </xdr:from>
    <xdr:to>
      <xdr:col>5</xdr:col>
      <xdr:colOff>465300</xdr:colOff>
      <xdr:row>116</xdr:row>
      <xdr:rowOff>12975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260</xdr:row>
      <xdr:rowOff>0</xdr:rowOff>
    </xdr:from>
    <xdr:to>
      <xdr:col>5</xdr:col>
      <xdr:colOff>465300</xdr:colOff>
      <xdr:row>273</xdr:row>
      <xdr:rowOff>12975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240</xdr:row>
      <xdr:rowOff>0</xdr:rowOff>
    </xdr:from>
    <xdr:to>
      <xdr:col>5</xdr:col>
      <xdr:colOff>465300</xdr:colOff>
      <xdr:row>253</xdr:row>
      <xdr:rowOff>12975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 fPrintsWithSheet="0"/>
  </xdr:twoCellAnchor>
  <xdr:twoCellAnchor editAs="oneCell">
    <xdr:from>
      <xdr:col>1</xdr:col>
      <xdr:colOff>0</xdr:colOff>
      <xdr:row>329</xdr:row>
      <xdr:rowOff>0</xdr:rowOff>
    </xdr:from>
    <xdr:to>
      <xdr:col>5</xdr:col>
      <xdr:colOff>465300</xdr:colOff>
      <xdr:row>342</xdr:row>
      <xdr:rowOff>12975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329</xdr:row>
      <xdr:rowOff>0</xdr:rowOff>
    </xdr:from>
    <xdr:to>
      <xdr:col>10</xdr:col>
      <xdr:colOff>465300</xdr:colOff>
      <xdr:row>342</xdr:row>
      <xdr:rowOff>12975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35</xdr:row>
      <xdr:rowOff>0</xdr:rowOff>
    </xdr:from>
    <xdr:to>
      <xdr:col>10</xdr:col>
      <xdr:colOff>465300</xdr:colOff>
      <xdr:row>48</xdr:row>
      <xdr:rowOff>12975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 fPrintsWithSheet="0"/>
  </xdr:twoCellAnchor>
  <xdr:twoCellAnchor editAs="oneCell">
    <xdr:from>
      <xdr:col>6</xdr:col>
      <xdr:colOff>0</xdr:colOff>
      <xdr:row>54</xdr:row>
      <xdr:rowOff>0</xdr:rowOff>
    </xdr:from>
    <xdr:to>
      <xdr:col>10</xdr:col>
      <xdr:colOff>465300</xdr:colOff>
      <xdr:row>67</xdr:row>
      <xdr:rowOff>60600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 fPrintsWithSheet="0"/>
  </xdr:twoCellAnchor>
  <xdr:oneCellAnchor>
    <xdr:from>
      <xdr:col>1</xdr:col>
      <xdr:colOff>0</xdr:colOff>
      <xdr:row>190</xdr:row>
      <xdr:rowOff>0</xdr:rowOff>
    </xdr:from>
    <xdr:ext cx="3780000" cy="2880000"/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 fPrintsWithSheet="0"/>
  </xdr:oneCellAnchor>
  <xdr:oneCellAnchor>
    <xdr:from>
      <xdr:col>6</xdr:col>
      <xdr:colOff>0</xdr:colOff>
      <xdr:row>190</xdr:row>
      <xdr:rowOff>0</xdr:rowOff>
    </xdr:from>
    <xdr:ext cx="3780000" cy="2880000"/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 fPrintsWithSheet="0"/>
  </xdr:oneCellAnchor>
  <xdr:oneCellAnchor>
    <xdr:from>
      <xdr:col>6</xdr:col>
      <xdr:colOff>0</xdr:colOff>
      <xdr:row>171</xdr:row>
      <xdr:rowOff>0</xdr:rowOff>
    </xdr:from>
    <xdr:ext cx="3780000" cy="2880000"/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 fPrintsWithSheet="0"/>
  </xdr:oneCellAnchor>
  <xdr:oneCellAnchor>
    <xdr:from>
      <xdr:col>1</xdr:col>
      <xdr:colOff>0</xdr:colOff>
      <xdr:row>171</xdr:row>
      <xdr:rowOff>0</xdr:rowOff>
    </xdr:from>
    <xdr:ext cx="3780000" cy="2880000"/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 fPrintsWithSheet="0"/>
  </xdr:oneCellAnchor>
  <xdr:twoCellAnchor>
    <xdr:from>
      <xdr:col>1</xdr:col>
      <xdr:colOff>133350</xdr:colOff>
      <xdr:row>362</xdr:row>
      <xdr:rowOff>19050</xdr:rowOff>
    </xdr:from>
    <xdr:to>
      <xdr:col>6</xdr:col>
      <xdr:colOff>561975</xdr:colOff>
      <xdr:row>499</xdr:row>
      <xdr:rowOff>38100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8</xdr:col>
      <xdr:colOff>371475</xdr:colOff>
      <xdr:row>362</xdr:row>
      <xdr:rowOff>161925</xdr:rowOff>
    </xdr:from>
    <xdr:to>
      <xdr:col>15</xdr:col>
      <xdr:colOff>200025</xdr:colOff>
      <xdr:row>369</xdr:row>
      <xdr:rowOff>171450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79124175"/>
          <a:ext cx="52006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24</xdr:row>
      <xdr:rowOff>0</xdr:rowOff>
    </xdr:from>
    <xdr:to>
      <xdr:col>5</xdr:col>
      <xdr:colOff>15675</xdr:colOff>
      <xdr:row>38</xdr:row>
      <xdr:rowOff>79650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65</xdr:row>
      <xdr:rowOff>0</xdr:rowOff>
    </xdr:from>
    <xdr:to>
      <xdr:col>4</xdr:col>
      <xdr:colOff>531975</xdr:colOff>
      <xdr:row>80</xdr:row>
      <xdr:rowOff>96750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25</xdr:row>
      <xdr:rowOff>0</xdr:rowOff>
    </xdr:from>
    <xdr:to>
      <xdr:col>11</xdr:col>
      <xdr:colOff>560550</xdr:colOff>
      <xdr:row>39</xdr:row>
      <xdr:rowOff>79650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0</xdr:colOff>
      <xdr:row>96</xdr:row>
      <xdr:rowOff>0</xdr:rowOff>
    </xdr:from>
    <xdr:ext cx="3780000" cy="2880000"/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oneCellAnchor>
  <xdr:oneCellAnchor>
    <xdr:from>
      <xdr:col>1</xdr:col>
      <xdr:colOff>0</xdr:colOff>
      <xdr:row>113</xdr:row>
      <xdr:rowOff>0</xdr:rowOff>
    </xdr:from>
    <xdr:ext cx="3780000" cy="2880000"/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oneCellAnchor>
  <xdr:oneCellAnchor>
    <xdr:from>
      <xdr:col>1</xdr:col>
      <xdr:colOff>0</xdr:colOff>
      <xdr:row>145</xdr:row>
      <xdr:rowOff>0</xdr:rowOff>
    </xdr:from>
    <xdr:ext cx="3780000" cy="2880000"/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oneCellAnchor>
  <xdr:oneCellAnchor>
    <xdr:from>
      <xdr:col>1</xdr:col>
      <xdr:colOff>0</xdr:colOff>
      <xdr:row>165</xdr:row>
      <xdr:rowOff>0</xdr:rowOff>
    </xdr:from>
    <xdr:ext cx="3780000" cy="2880000"/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 fPrintsWithSheet="0"/>
  </xdr:oneCellAnchor>
  <xdr:oneCellAnchor>
    <xdr:from>
      <xdr:col>1</xdr:col>
      <xdr:colOff>0</xdr:colOff>
      <xdr:row>204</xdr:row>
      <xdr:rowOff>0</xdr:rowOff>
    </xdr:from>
    <xdr:ext cx="3780000" cy="2880000"/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oneCellAnchor>
  <xdr:oneCellAnchor>
    <xdr:from>
      <xdr:col>1</xdr:col>
      <xdr:colOff>0</xdr:colOff>
      <xdr:row>249</xdr:row>
      <xdr:rowOff>0</xdr:rowOff>
    </xdr:from>
    <xdr:ext cx="3780000" cy="2880000"/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 fPrintsWithSheet="0"/>
  </xdr:oneCellAnchor>
  <xdr:oneCellAnchor>
    <xdr:from>
      <xdr:col>1</xdr:col>
      <xdr:colOff>0</xdr:colOff>
      <xdr:row>235</xdr:row>
      <xdr:rowOff>0</xdr:rowOff>
    </xdr:from>
    <xdr:ext cx="3780000" cy="2880000"/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/CC&#26376;&#25253;_&#29992;&#25143;_&#20844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032;&#22270;-&#27963;&#36291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70;-&#25151;&#38388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户"/>
      <sheetName val="模板"/>
      <sheetName val="转化"/>
      <sheetName val="活跃"/>
      <sheetName val="终端"/>
      <sheetName val="转折页"/>
      <sheetName val="图-用户"/>
      <sheetName val="图-新用户"/>
      <sheetName val="图-活跃"/>
      <sheetName val="核对结果"/>
      <sheetName val="图-PC"/>
      <sheetName val="图-手机"/>
      <sheetName val="图-We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894319</v>
          </cell>
        </row>
        <row r="9">
          <cell r="P9">
            <v>1089873</v>
          </cell>
          <cell r="Q9">
            <v>-3.086046499220152E-2</v>
          </cell>
        </row>
      </sheetData>
      <sheetData sheetId="7">
        <row r="3">
          <cell r="D3">
            <v>671039</v>
          </cell>
        </row>
        <row r="119">
          <cell r="I119">
            <v>0.57599999999999996</v>
          </cell>
        </row>
        <row r="122">
          <cell r="I122">
            <v>0.45500000000000002</v>
          </cell>
        </row>
      </sheetData>
      <sheetData sheetId="8">
        <row r="3">
          <cell r="D3">
            <v>42767</v>
          </cell>
        </row>
      </sheetData>
      <sheetData sheetId="9"/>
      <sheetData sheetId="10">
        <row r="3">
          <cell r="C3" t="str">
            <v>月人数</v>
          </cell>
        </row>
      </sheetData>
      <sheetData sheetId="11">
        <row r="3">
          <cell r="D3">
            <v>42767</v>
          </cell>
        </row>
      </sheetData>
      <sheetData sheetId="12">
        <row r="3">
          <cell r="D3">
            <v>42767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图-活跃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-房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34495E"/>
    </a:accent1>
    <a:accent2>
      <a:srgbClr val="006699"/>
    </a:accent2>
    <a:accent3>
      <a:srgbClr val="E67E22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34495E"/>
    </a:accent1>
    <a:accent2>
      <a:srgbClr val="006699"/>
    </a:accent2>
    <a:accent3>
      <a:srgbClr val="E67E22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34495E"/>
    </a:accent1>
    <a:accent2>
      <a:srgbClr val="006699"/>
    </a:accent2>
    <a:accent3>
      <a:srgbClr val="E67E22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34495E"/>
    </a:accent1>
    <a:accent2>
      <a:srgbClr val="006699"/>
    </a:accent2>
    <a:accent3>
      <a:srgbClr val="E67E22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showGridLines="0" workbookViewId="0">
      <pane xSplit="2" ySplit="2" topLeftCell="K30" activePane="bottomRight" state="frozen"/>
      <selection pane="topRight" activeCell="C1" sqref="C1"/>
      <selection pane="bottomLeft" activeCell="A3" sqref="A3"/>
      <selection pane="bottomRight" activeCell="B49" sqref="A49:XFD49"/>
    </sheetView>
  </sheetViews>
  <sheetFormatPr defaultColWidth="12.875" defaultRowHeight="16.5"/>
  <cols>
    <col min="1" max="1" width="12.875" style="62" customWidth="1"/>
    <col min="2" max="2" width="12.875" style="23" customWidth="1"/>
    <col min="3" max="3" width="10.125" style="63" hidden="1" customWidth="1"/>
    <col min="4" max="10" width="12.875" style="63" hidden="1" customWidth="1"/>
    <col min="11" max="15" width="14" style="3" bestFit="1" customWidth="1"/>
    <col min="16" max="18" width="12.875" style="3" customWidth="1"/>
    <col min="19" max="19" width="12.875" style="4"/>
    <col min="20" max="20" width="13.75" style="4" bestFit="1" customWidth="1"/>
    <col min="21" max="16384" width="12.875" style="4"/>
  </cols>
  <sheetData>
    <row r="1" spans="1:20" ht="16.5" customHeight="1">
      <c r="A1" s="1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f>+P58-P74</f>
        <v>0.73799999999999999</v>
      </c>
      <c r="Q1" s="3">
        <f>+Q58-Q74</f>
        <v>0.752</v>
      </c>
    </row>
    <row r="2" spans="1:20" s="5" customFormat="1">
      <c r="A2" s="117" t="s">
        <v>126</v>
      </c>
      <c r="B2" s="117" t="s">
        <v>127</v>
      </c>
      <c r="C2" s="117">
        <v>42491</v>
      </c>
      <c r="D2" s="117">
        <v>42522</v>
      </c>
      <c r="E2" s="117">
        <v>42552</v>
      </c>
      <c r="F2" s="117">
        <v>42583</v>
      </c>
      <c r="G2" s="117">
        <v>42614</v>
      </c>
      <c r="H2" s="117">
        <v>42644</v>
      </c>
      <c r="I2" s="117">
        <v>42675</v>
      </c>
      <c r="J2" s="117">
        <v>42705</v>
      </c>
      <c r="K2" s="117">
        <v>42736</v>
      </c>
      <c r="L2" s="117">
        <v>42767</v>
      </c>
      <c r="M2" s="117">
        <v>42795</v>
      </c>
      <c r="N2" s="117">
        <v>42826</v>
      </c>
      <c r="O2" s="117">
        <v>42856</v>
      </c>
      <c r="P2" s="117">
        <v>42887</v>
      </c>
      <c r="Q2" s="117">
        <v>42917</v>
      </c>
      <c r="R2" s="117">
        <v>42948</v>
      </c>
    </row>
    <row r="3" spans="1:20" s="9" customFormat="1">
      <c r="A3" s="485" t="s">
        <v>0</v>
      </c>
      <c r="B3" s="6" t="s">
        <v>1</v>
      </c>
      <c r="C3" s="7">
        <v>3330931</v>
      </c>
      <c r="D3" s="7">
        <v>3650191</v>
      </c>
      <c r="E3" s="7">
        <v>4141961</v>
      </c>
      <c r="F3" s="7">
        <v>4024937</v>
      </c>
      <c r="G3" s="7">
        <v>4460851</v>
      </c>
      <c r="H3" s="7">
        <v>4645564</v>
      </c>
      <c r="I3" s="7">
        <v>4487441</v>
      </c>
      <c r="J3" s="7">
        <v>4733977</v>
      </c>
      <c r="K3" s="7">
        <v>4668046</v>
      </c>
      <c r="L3" s="7">
        <v>3830265</v>
      </c>
      <c r="M3" s="7">
        <v>4439393</v>
      </c>
      <c r="N3" s="7">
        <v>3943361</v>
      </c>
      <c r="O3" s="7">
        <v>4485257</v>
      </c>
      <c r="P3" s="7">
        <v>4041283</v>
      </c>
      <c r="Q3" s="7">
        <v>4911083</v>
      </c>
      <c r="R3" s="7">
        <v>6725489</v>
      </c>
      <c r="S3" s="110"/>
    </row>
    <row r="4" spans="1:20" s="9" customFormat="1">
      <c r="A4" s="486"/>
      <c r="B4" s="12" t="s">
        <v>2</v>
      </c>
      <c r="C4" s="13">
        <v>1040937</v>
      </c>
      <c r="D4" s="13">
        <v>985365</v>
      </c>
      <c r="E4" s="13">
        <f t="shared" ref="E4:J4" si="0">+E10</f>
        <v>894319</v>
      </c>
      <c r="F4" s="13">
        <f t="shared" si="0"/>
        <v>847732</v>
      </c>
      <c r="G4" s="13">
        <f t="shared" si="0"/>
        <v>878269</v>
      </c>
      <c r="H4" s="13">
        <f t="shared" si="0"/>
        <v>860307</v>
      </c>
      <c r="I4" s="13">
        <f t="shared" si="0"/>
        <v>807778</v>
      </c>
      <c r="J4" s="13">
        <f t="shared" si="0"/>
        <v>900513</v>
      </c>
      <c r="K4" s="13">
        <v>789935</v>
      </c>
      <c r="L4" s="13">
        <v>671039</v>
      </c>
      <c r="M4" s="13">
        <v>688687</v>
      </c>
      <c r="N4" s="13">
        <v>617570</v>
      </c>
      <c r="O4" s="13">
        <v>619033</v>
      </c>
      <c r="P4" s="13">
        <v>574079</v>
      </c>
      <c r="Q4" s="13">
        <v>572444</v>
      </c>
      <c r="R4" s="13">
        <v>582328</v>
      </c>
      <c r="S4" s="141"/>
    </row>
    <row r="5" spans="1:20">
      <c r="A5" s="486"/>
      <c r="B5" s="12" t="s">
        <v>3</v>
      </c>
      <c r="C5" s="13">
        <v>968803</v>
      </c>
      <c r="D5" s="13">
        <v>1093526</v>
      </c>
      <c r="E5" s="13">
        <v>1159131</v>
      </c>
      <c r="F5" s="13">
        <v>1301057</v>
      </c>
      <c r="G5" s="13">
        <v>1591239</v>
      </c>
      <c r="H5" s="13">
        <v>1724810</v>
      </c>
      <c r="I5" s="13">
        <v>1512345</v>
      </c>
      <c r="J5" s="13">
        <v>1462504</v>
      </c>
      <c r="K5" s="13">
        <v>1414535</v>
      </c>
      <c r="L5" s="13">
        <v>1362057</v>
      </c>
      <c r="M5" s="13">
        <v>1443691</v>
      </c>
      <c r="N5" s="13">
        <v>1376854</v>
      </c>
      <c r="O5" s="13">
        <v>1470665</v>
      </c>
      <c r="P5" s="13">
        <v>1425969</v>
      </c>
      <c r="Q5" s="13">
        <v>1516406</v>
      </c>
      <c r="R5" s="13">
        <v>1602602</v>
      </c>
      <c r="S5" s="2"/>
    </row>
    <row r="6" spans="1:20">
      <c r="A6" s="486"/>
      <c r="B6" s="12" t="s">
        <v>4</v>
      </c>
      <c r="C6" s="13">
        <v>1060025</v>
      </c>
      <c r="D6" s="13">
        <v>1381369</v>
      </c>
      <c r="E6" s="13">
        <v>2056829</v>
      </c>
      <c r="F6" s="13">
        <v>2063069</v>
      </c>
      <c r="G6" s="13">
        <v>2186530</v>
      </c>
      <c r="H6" s="13">
        <v>2292388</v>
      </c>
      <c r="I6" s="13">
        <v>2366680</v>
      </c>
      <c r="J6" s="13">
        <v>2627910</v>
      </c>
      <c r="K6" s="13">
        <v>2707324</v>
      </c>
      <c r="L6" s="13">
        <v>2038790</v>
      </c>
      <c r="M6" s="13">
        <v>2571119</v>
      </c>
      <c r="N6" s="13">
        <v>2190975</v>
      </c>
      <c r="O6" s="13">
        <v>2629078</v>
      </c>
      <c r="P6" s="13">
        <v>2202125</v>
      </c>
      <c r="Q6" s="13">
        <v>2660533</v>
      </c>
      <c r="R6" s="13">
        <v>3956568</v>
      </c>
      <c r="T6" s="14"/>
    </row>
    <row r="7" spans="1:20">
      <c r="A7" s="486"/>
      <c r="B7" s="15" t="s">
        <v>5</v>
      </c>
      <c r="C7" s="16">
        <v>2357627</v>
      </c>
      <c r="D7" s="16">
        <v>2564574</v>
      </c>
      <c r="E7" s="16">
        <v>3204004</v>
      </c>
      <c r="F7" s="16">
        <v>3666254</v>
      </c>
      <c r="G7" s="16">
        <v>4138931</v>
      </c>
      <c r="H7" s="16">
        <v>4348819</v>
      </c>
      <c r="I7" s="16">
        <v>4194207</v>
      </c>
      <c r="J7" s="16">
        <v>4479015</v>
      </c>
      <c r="K7" s="16">
        <v>4438757</v>
      </c>
      <c r="L7" s="16">
        <v>3611663</v>
      </c>
      <c r="M7" s="16">
        <v>4195399</v>
      </c>
      <c r="N7" s="16">
        <v>3727241</v>
      </c>
      <c r="O7" s="16">
        <v>4283658</v>
      </c>
      <c r="P7" s="16">
        <v>3839637</v>
      </c>
      <c r="Q7" s="16">
        <v>4721084</v>
      </c>
      <c r="R7" s="16">
        <v>6429719</v>
      </c>
      <c r="S7" s="14"/>
      <c r="T7" s="14"/>
    </row>
    <row r="8" spans="1:20">
      <c r="A8" s="487"/>
      <c r="B8" s="15" t="s">
        <v>6</v>
      </c>
      <c r="C8" s="16">
        <v>1051957</v>
      </c>
      <c r="D8" s="16">
        <v>1019590</v>
      </c>
      <c r="E8" s="16">
        <v>1157395</v>
      </c>
      <c r="F8" s="16">
        <v>1232330</v>
      </c>
      <c r="G8" s="16">
        <v>1177180</v>
      </c>
      <c r="H8" s="16">
        <v>1275038</v>
      </c>
      <c r="I8" s="16">
        <v>1250767</v>
      </c>
      <c r="J8" s="16">
        <v>1225531</v>
      </c>
      <c r="K8" s="16">
        <v>1256080</v>
      </c>
      <c r="L8" s="16">
        <v>1154843</v>
      </c>
      <c r="M8" s="16">
        <v>1302210</v>
      </c>
      <c r="N8" s="16">
        <v>1134147</v>
      </c>
      <c r="O8" s="16">
        <v>1170999</v>
      </c>
      <c r="P8" s="16">
        <v>1124578</v>
      </c>
      <c r="Q8" s="16">
        <v>1089873</v>
      </c>
      <c r="R8" s="16">
        <v>1085820</v>
      </c>
    </row>
    <row r="9" spans="1:20" s="9" customFormat="1">
      <c r="A9" s="485" t="s">
        <v>7</v>
      </c>
      <c r="B9" s="6" t="s">
        <v>8</v>
      </c>
      <c r="C9" s="7">
        <v>1538768</v>
      </c>
      <c r="D9" s="7">
        <v>1572587</v>
      </c>
      <c r="E9" s="7">
        <v>1507918</v>
      </c>
      <c r="F9" s="7">
        <v>1444436</v>
      </c>
      <c r="G9" s="7">
        <v>1457426</v>
      </c>
      <c r="H9" s="7">
        <v>1494432</v>
      </c>
      <c r="I9" s="7">
        <v>1483069</v>
      </c>
      <c r="J9" s="7">
        <v>1659453</v>
      </c>
      <c r="K9" s="7">
        <v>1539116</v>
      </c>
      <c r="L9" s="7">
        <v>1450015</v>
      </c>
      <c r="M9" s="7">
        <v>1559602</v>
      </c>
      <c r="N9" s="7">
        <v>1488495</v>
      </c>
      <c r="O9" s="7">
        <v>1532903</v>
      </c>
      <c r="P9" s="7">
        <v>1520576</v>
      </c>
      <c r="Q9" s="7">
        <v>1909431</v>
      </c>
      <c r="R9" s="7">
        <v>2752354</v>
      </c>
      <c r="S9" s="8"/>
      <c r="T9" s="8"/>
    </row>
    <row r="10" spans="1:20">
      <c r="A10" s="486"/>
      <c r="B10" s="12" t="s">
        <v>2</v>
      </c>
      <c r="C10" s="13">
        <v>1040937</v>
      </c>
      <c r="D10" s="13">
        <v>985365</v>
      </c>
      <c r="E10" s="13">
        <v>894319</v>
      </c>
      <c r="F10" s="13">
        <v>847732</v>
      </c>
      <c r="G10" s="13">
        <v>878269</v>
      </c>
      <c r="H10" s="13">
        <v>860307</v>
      </c>
      <c r="I10" s="13">
        <v>807778</v>
      </c>
      <c r="J10" s="13">
        <v>900513</v>
      </c>
      <c r="K10" s="13">
        <v>789935</v>
      </c>
      <c r="L10" s="13">
        <v>671039</v>
      </c>
      <c r="M10" s="13">
        <v>688687</v>
      </c>
      <c r="N10" s="13">
        <v>617570</v>
      </c>
      <c r="O10" s="13">
        <v>619033</v>
      </c>
      <c r="P10" s="13">
        <v>574079</v>
      </c>
      <c r="Q10" s="13">
        <v>572444</v>
      </c>
      <c r="R10" s="13">
        <v>582328</v>
      </c>
      <c r="T10" s="14"/>
    </row>
    <row r="11" spans="1:20">
      <c r="A11" s="486"/>
      <c r="B11" s="12" t="s">
        <v>3</v>
      </c>
      <c r="C11" s="13">
        <v>562928</v>
      </c>
      <c r="D11" s="13">
        <v>591925</v>
      </c>
      <c r="E11" s="13">
        <v>596381</v>
      </c>
      <c r="F11" s="13">
        <v>736706</v>
      </c>
      <c r="G11" s="13">
        <v>723020</v>
      </c>
      <c r="H11" s="13">
        <v>742017</v>
      </c>
      <c r="I11" s="13">
        <v>747272</v>
      </c>
      <c r="J11" s="13">
        <v>819279</v>
      </c>
      <c r="K11" s="13">
        <v>779479</v>
      </c>
      <c r="L11" s="13">
        <v>758611</v>
      </c>
      <c r="M11" s="13">
        <v>787830</v>
      </c>
      <c r="N11" s="13">
        <v>764158</v>
      </c>
      <c r="O11" s="13">
        <v>805794</v>
      </c>
      <c r="P11" s="13">
        <v>767759</v>
      </c>
      <c r="Q11" s="13">
        <v>805148</v>
      </c>
      <c r="R11" s="13">
        <v>885576</v>
      </c>
      <c r="T11" s="3"/>
    </row>
    <row r="12" spans="1:20">
      <c r="A12" s="486"/>
      <c r="B12" s="12" t="s">
        <v>4</v>
      </c>
      <c r="C12" s="13">
        <v>130668</v>
      </c>
      <c r="D12" s="13">
        <v>144286</v>
      </c>
      <c r="E12" s="13">
        <v>176933</v>
      </c>
      <c r="F12" s="13">
        <v>182318</v>
      </c>
      <c r="G12" s="13">
        <v>171888</v>
      </c>
      <c r="H12" s="13">
        <v>203599</v>
      </c>
      <c r="I12" s="13">
        <v>217222</v>
      </c>
      <c r="J12" s="13">
        <v>248587</v>
      </c>
      <c r="K12" s="13">
        <v>220977</v>
      </c>
      <c r="L12" s="13">
        <v>267567</v>
      </c>
      <c r="M12" s="13">
        <v>349443</v>
      </c>
      <c r="N12" s="13">
        <v>350516</v>
      </c>
      <c r="O12" s="13">
        <v>368980</v>
      </c>
      <c r="P12" s="13">
        <v>353501</v>
      </c>
      <c r="Q12" s="13">
        <v>375859</v>
      </c>
      <c r="R12" s="13">
        <v>440578</v>
      </c>
    </row>
    <row r="13" spans="1:20">
      <c r="A13" s="486"/>
      <c r="B13" s="15" t="s">
        <v>5</v>
      </c>
      <c r="C13" s="16">
        <v>1290849</v>
      </c>
      <c r="D13" s="16">
        <v>1302126</v>
      </c>
      <c r="E13" s="16">
        <v>1355694</v>
      </c>
      <c r="F13" s="16">
        <v>1348103</v>
      </c>
      <c r="G13" s="16">
        <v>1362077</v>
      </c>
      <c r="H13" s="16">
        <v>1394299</v>
      </c>
      <c r="I13" s="16">
        <v>1385186</v>
      </c>
      <c r="J13" s="16">
        <v>1558259</v>
      </c>
      <c r="K13" s="16">
        <v>1441922</v>
      </c>
      <c r="L13" s="16">
        <v>1358635</v>
      </c>
      <c r="M13" s="16">
        <v>1461014</v>
      </c>
      <c r="N13" s="16">
        <v>1408589</v>
      </c>
      <c r="O13" s="16">
        <v>1458645</v>
      </c>
      <c r="P13" s="16">
        <v>1448931</v>
      </c>
      <c r="Q13" s="16">
        <v>1837242</v>
      </c>
      <c r="R13" s="16">
        <v>2596998</v>
      </c>
      <c r="S13" s="8"/>
    </row>
    <row r="14" spans="1:20">
      <c r="A14" s="487"/>
      <c r="B14" s="15" t="s">
        <v>6</v>
      </c>
      <c r="C14" s="16">
        <v>780534</v>
      </c>
      <c r="D14" s="16">
        <v>771325</v>
      </c>
      <c r="E14" s="16">
        <v>738783</v>
      </c>
      <c r="F14" s="16">
        <v>689705</v>
      </c>
      <c r="G14" s="16">
        <v>644802</v>
      </c>
      <c r="H14" s="16">
        <v>684925</v>
      </c>
      <c r="I14" s="16">
        <v>678872</v>
      </c>
      <c r="J14" s="16">
        <v>731364</v>
      </c>
      <c r="K14" s="16">
        <v>727318</v>
      </c>
      <c r="L14" s="16">
        <v>662285</v>
      </c>
      <c r="M14" s="16">
        <v>740143</v>
      </c>
      <c r="N14" s="16">
        <v>630690</v>
      </c>
      <c r="O14" s="16">
        <v>652775</v>
      </c>
      <c r="P14" s="16">
        <v>617800</v>
      </c>
      <c r="Q14" s="16">
        <v>601325</v>
      </c>
      <c r="R14" s="16">
        <v>609080</v>
      </c>
      <c r="S14" s="14"/>
    </row>
    <row r="15" spans="1:20" s="9" customFormat="1">
      <c r="A15" s="485" t="s">
        <v>9</v>
      </c>
      <c r="B15" s="17" t="s">
        <v>8</v>
      </c>
      <c r="C15" s="18">
        <f t="shared" ref="C15:R15" si="1">+C3-C9</f>
        <v>1792163</v>
      </c>
      <c r="D15" s="18">
        <f t="shared" si="1"/>
        <v>2077604</v>
      </c>
      <c r="E15" s="18">
        <f t="shared" si="1"/>
        <v>2634043</v>
      </c>
      <c r="F15" s="18">
        <f t="shared" si="1"/>
        <v>2580501</v>
      </c>
      <c r="G15" s="18">
        <f t="shared" si="1"/>
        <v>3003425</v>
      </c>
      <c r="H15" s="18">
        <f t="shared" si="1"/>
        <v>3151132</v>
      </c>
      <c r="I15" s="18">
        <f t="shared" si="1"/>
        <v>3004372</v>
      </c>
      <c r="J15" s="18">
        <f t="shared" si="1"/>
        <v>3074524</v>
      </c>
      <c r="K15" s="18">
        <f t="shared" si="1"/>
        <v>3128930</v>
      </c>
      <c r="L15" s="18">
        <f t="shared" si="1"/>
        <v>2380250</v>
      </c>
      <c r="M15" s="18">
        <f t="shared" si="1"/>
        <v>2879791</v>
      </c>
      <c r="N15" s="18">
        <f t="shared" si="1"/>
        <v>2454866</v>
      </c>
      <c r="O15" s="18">
        <f t="shared" si="1"/>
        <v>2952354</v>
      </c>
      <c r="P15" s="18">
        <f t="shared" si="1"/>
        <v>2520707</v>
      </c>
      <c r="Q15" s="18">
        <f t="shared" si="1"/>
        <v>3001652</v>
      </c>
      <c r="R15" s="18">
        <f t="shared" si="1"/>
        <v>3973135</v>
      </c>
      <c r="S15" s="4"/>
    </row>
    <row r="16" spans="1:20">
      <c r="A16" s="486"/>
      <c r="B16" s="19" t="s">
        <v>2</v>
      </c>
      <c r="C16" s="20">
        <f t="shared" ref="C16:R16" si="2">+C4-C10</f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2"/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20">
        <f t="shared" si="2"/>
        <v>0</v>
      </c>
      <c r="O16" s="20">
        <f t="shared" si="2"/>
        <v>0</v>
      </c>
      <c r="P16" s="20">
        <f t="shared" si="2"/>
        <v>0</v>
      </c>
      <c r="Q16" s="20">
        <f t="shared" si="2"/>
        <v>0</v>
      </c>
      <c r="R16" s="20">
        <f t="shared" si="2"/>
        <v>0</v>
      </c>
    </row>
    <row r="17" spans="1:21">
      <c r="A17" s="486"/>
      <c r="B17" s="19" t="s">
        <v>3</v>
      </c>
      <c r="C17" s="20">
        <f t="shared" ref="C17:Q17" si="3">+C5-C11</f>
        <v>405875</v>
      </c>
      <c r="D17" s="20">
        <f t="shared" si="3"/>
        <v>501601</v>
      </c>
      <c r="E17" s="20">
        <f t="shared" si="3"/>
        <v>562750</v>
      </c>
      <c r="F17" s="20">
        <f t="shared" si="3"/>
        <v>564351</v>
      </c>
      <c r="G17" s="20">
        <f t="shared" si="3"/>
        <v>868219</v>
      </c>
      <c r="H17" s="20">
        <f t="shared" si="3"/>
        <v>982793</v>
      </c>
      <c r="I17" s="20">
        <f t="shared" si="3"/>
        <v>765073</v>
      </c>
      <c r="J17" s="20">
        <f t="shared" si="3"/>
        <v>643225</v>
      </c>
      <c r="K17" s="20">
        <f t="shared" si="3"/>
        <v>635056</v>
      </c>
      <c r="L17" s="20">
        <f t="shared" si="3"/>
        <v>603446</v>
      </c>
      <c r="M17" s="20">
        <f t="shared" si="3"/>
        <v>655861</v>
      </c>
      <c r="N17" s="20">
        <f t="shared" si="3"/>
        <v>612696</v>
      </c>
      <c r="O17" s="20">
        <f t="shared" si="3"/>
        <v>664871</v>
      </c>
      <c r="P17" s="20">
        <f t="shared" si="3"/>
        <v>658210</v>
      </c>
      <c r="Q17" s="20">
        <f t="shared" si="3"/>
        <v>711258</v>
      </c>
      <c r="R17" s="20">
        <f>+R5-R11</f>
        <v>717026</v>
      </c>
      <c r="T17" s="14"/>
    </row>
    <row r="18" spans="1:21">
      <c r="A18" s="486"/>
      <c r="B18" s="19" t="s">
        <v>4</v>
      </c>
      <c r="C18" s="20">
        <f t="shared" ref="C18:Q18" si="4">+C6-C12</f>
        <v>929357</v>
      </c>
      <c r="D18" s="20">
        <f t="shared" si="4"/>
        <v>1237083</v>
      </c>
      <c r="E18" s="20">
        <f t="shared" si="4"/>
        <v>1879896</v>
      </c>
      <c r="F18" s="20">
        <f t="shared" si="4"/>
        <v>1880751</v>
      </c>
      <c r="G18" s="20">
        <f t="shared" si="4"/>
        <v>2014642</v>
      </c>
      <c r="H18" s="20">
        <f t="shared" si="4"/>
        <v>2088789</v>
      </c>
      <c r="I18" s="20">
        <f t="shared" si="4"/>
        <v>2149458</v>
      </c>
      <c r="J18" s="20">
        <f t="shared" si="4"/>
        <v>2379323</v>
      </c>
      <c r="K18" s="20">
        <f t="shared" si="4"/>
        <v>2486347</v>
      </c>
      <c r="L18" s="20">
        <f t="shared" si="4"/>
        <v>1771223</v>
      </c>
      <c r="M18" s="20">
        <f t="shared" si="4"/>
        <v>2221676</v>
      </c>
      <c r="N18" s="20">
        <f t="shared" si="4"/>
        <v>1840459</v>
      </c>
      <c r="O18" s="20">
        <f t="shared" si="4"/>
        <v>2260098</v>
      </c>
      <c r="P18" s="20">
        <f t="shared" si="4"/>
        <v>1848624</v>
      </c>
      <c r="Q18" s="20">
        <f t="shared" si="4"/>
        <v>2284674</v>
      </c>
      <c r="R18" s="20">
        <f>+R6-R12</f>
        <v>3515990</v>
      </c>
      <c r="U18" s="21"/>
    </row>
    <row r="19" spans="1:21">
      <c r="A19" s="486"/>
      <c r="B19" s="19" t="s">
        <v>5</v>
      </c>
      <c r="C19" s="20">
        <f t="shared" ref="C19:R19" si="5">+C7-C13</f>
        <v>1066778</v>
      </c>
      <c r="D19" s="20">
        <f t="shared" si="5"/>
        <v>1262448</v>
      </c>
      <c r="E19" s="20">
        <f t="shared" si="5"/>
        <v>1848310</v>
      </c>
      <c r="F19" s="20">
        <f t="shared" si="5"/>
        <v>2318151</v>
      </c>
      <c r="G19" s="20">
        <f t="shared" si="5"/>
        <v>2776854</v>
      </c>
      <c r="H19" s="20">
        <f t="shared" si="5"/>
        <v>2954520</v>
      </c>
      <c r="I19" s="20">
        <f t="shared" si="5"/>
        <v>2809021</v>
      </c>
      <c r="J19" s="20">
        <f t="shared" si="5"/>
        <v>2920756</v>
      </c>
      <c r="K19" s="20">
        <f t="shared" si="5"/>
        <v>2996835</v>
      </c>
      <c r="L19" s="20">
        <f t="shared" si="5"/>
        <v>2253028</v>
      </c>
      <c r="M19" s="20">
        <f t="shared" si="5"/>
        <v>2734385</v>
      </c>
      <c r="N19" s="20">
        <f t="shared" si="5"/>
        <v>2318652</v>
      </c>
      <c r="O19" s="20">
        <f t="shared" si="5"/>
        <v>2825013</v>
      </c>
      <c r="P19" s="20">
        <f t="shared" si="5"/>
        <v>2390706</v>
      </c>
      <c r="Q19" s="20">
        <f t="shared" si="5"/>
        <v>2883842</v>
      </c>
      <c r="R19" s="20">
        <f t="shared" si="5"/>
        <v>3832721</v>
      </c>
      <c r="U19" s="21"/>
    </row>
    <row r="20" spans="1:21">
      <c r="A20" s="487"/>
      <c r="B20" s="19" t="s">
        <v>6</v>
      </c>
      <c r="C20" s="20">
        <f t="shared" ref="C20:R20" si="6">+C8-C14</f>
        <v>271423</v>
      </c>
      <c r="D20" s="20">
        <f t="shared" si="6"/>
        <v>248265</v>
      </c>
      <c r="E20" s="20">
        <f t="shared" si="6"/>
        <v>418612</v>
      </c>
      <c r="F20" s="20">
        <f t="shared" si="6"/>
        <v>542625</v>
      </c>
      <c r="G20" s="20">
        <f t="shared" si="6"/>
        <v>532378</v>
      </c>
      <c r="H20" s="20">
        <f t="shared" si="6"/>
        <v>590113</v>
      </c>
      <c r="I20" s="20">
        <f t="shared" si="6"/>
        <v>571895</v>
      </c>
      <c r="J20" s="20">
        <f t="shared" si="6"/>
        <v>494167</v>
      </c>
      <c r="K20" s="20">
        <f t="shared" si="6"/>
        <v>528762</v>
      </c>
      <c r="L20" s="20">
        <f t="shared" si="6"/>
        <v>492558</v>
      </c>
      <c r="M20" s="20">
        <f t="shared" si="6"/>
        <v>562067</v>
      </c>
      <c r="N20" s="20">
        <f t="shared" si="6"/>
        <v>503457</v>
      </c>
      <c r="O20" s="20">
        <f t="shared" si="6"/>
        <v>518224</v>
      </c>
      <c r="P20" s="20">
        <f t="shared" si="6"/>
        <v>506778</v>
      </c>
      <c r="Q20" s="20">
        <f t="shared" si="6"/>
        <v>488548</v>
      </c>
      <c r="R20" s="20">
        <f t="shared" si="6"/>
        <v>476740</v>
      </c>
    </row>
    <row r="21" spans="1:21" s="9" customFormat="1">
      <c r="A21" s="473" t="s">
        <v>25</v>
      </c>
      <c r="B21" s="6" t="s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76943</v>
      </c>
      <c r="Q21" s="7">
        <v>374624</v>
      </c>
      <c r="R21" s="7">
        <v>1813221</v>
      </c>
      <c r="S21" s="8"/>
    </row>
    <row r="22" spans="1:21" s="9" customFormat="1">
      <c r="A22" s="474"/>
      <c r="B22" s="38" t="s">
        <v>2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</row>
    <row r="23" spans="1:21">
      <c r="A23" s="474"/>
      <c r="B23" s="12" t="s">
        <v>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2"/>
    </row>
    <row r="24" spans="1:21">
      <c r="A24" s="474"/>
      <c r="B24" s="12" t="s">
        <v>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744509</v>
      </c>
      <c r="T24" s="14"/>
    </row>
    <row r="25" spans="1:21">
      <c r="A25" s="474"/>
      <c r="B25" s="15" t="s">
        <v>5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76943</v>
      </c>
      <c r="Q25" s="16">
        <v>374624</v>
      </c>
      <c r="R25" s="16">
        <v>1813221</v>
      </c>
      <c r="S25" s="14"/>
      <c r="T25" s="14"/>
    </row>
    <row r="26" spans="1:21">
      <c r="A26" s="475"/>
      <c r="B26" s="15" t="s">
        <v>6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</row>
    <row r="27" spans="1:21" s="9" customFormat="1">
      <c r="A27" s="473" t="s">
        <v>26</v>
      </c>
      <c r="B27" s="6" t="s">
        <v>8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76943</v>
      </c>
      <c r="Q27" s="7">
        <v>374624</v>
      </c>
      <c r="R27" s="7">
        <v>1068712</v>
      </c>
      <c r="S27" s="8"/>
    </row>
    <row r="28" spans="1:21">
      <c r="A28" s="474"/>
      <c r="B28" s="12" t="s">
        <v>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T28" s="14"/>
    </row>
    <row r="29" spans="1:21">
      <c r="A29" s="474"/>
      <c r="B29" s="12" t="s">
        <v>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T29" s="14"/>
    </row>
    <row r="30" spans="1:21">
      <c r="A30" s="474"/>
      <c r="B30" s="12" t="s">
        <v>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</row>
    <row r="31" spans="1:21">
      <c r="A31" s="474"/>
      <c r="B31" s="15" t="s">
        <v>5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76943</v>
      </c>
      <c r="Q31" s="16">
        <v>374624</v>
      </c>
      <c r="R31" s="16">
        <v>1068712</v>
      </c>
      <c r="S31" s="8"/>
    </row>
    <row r="32" spans="1:21">
      <c r="A32" s="475"/>
      <c r="B32" s="15" t="s">
        <v>6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4"/>
    </row>
    <row r="33" spans="1:21" s="9" customFormat="1">
      <c r="A33" s="473" t="s">
        <v>27</v>
      </c>
      <c r="B33" s="17" t="s">
        <v>8</v>
      </c>
      <c r="C33" s="18">
        <f t="shared" ref="C33:P33" si="7">C21-C27</f>
        <v>0</v>
      </c>
      <c r="D33" s="18">
        <f t="shared" si="7"/>
        <v>0</v>
      </c>
      <c r="E33" s="18">
        <f t="shared" si="7"/>
        <v>0</v>
      </c>
      <c r="F33" s="18">
        <f t="shared" si="7"/>
        <v>0</v>
      </c>
      <c r="G33" s="18">
        <f t="shared" si="7"/>
        <v>0</v>
      </c>
      <c r="H33" s="18">
        <f t="shared" si="7"/>
        <v>0</v>
      </c>
      <c r="I33" s="18">
        <f t="shared" si="7"/>
        <v>0</v>
      </c>
      <c r="J33" s="18">
        <f t="shared" si="7"/>
        <v>0</v>
      </c>
      <c r="K33" s="18">
        <f t="shared" si="7"/>
        <v>0</v>
      </c>
      <c r="L33" s="18">
        <f t="shared" si="7"/>
        <v>0</v>
      </c>
      <c r="M33" s="18">
        <f t="shared" si="7"/>
        <v>0</v>
      </c>
      <c r="N33" s="18">
        <f t="shared" si="7"/>
        <v>0</v>
      </c>
      <c r="O33" s="18">
        <f t="shared" si="7"/>
        <v>0</v>
      </c>
      <c r="P33" s="18">
        <f t="shared" si="7"/>
        <v>0</v>
      </c>
      <c r="Q33" s="18">
        <f t="shared" ref="Q33:R38" si="8">Q21-Q27</f>
        <v>0</v>
      </c>
      <c r="R33" s="18">
        <f t="shared" si="8"/>
        <v>744509</v>
      </c>
      <c r="S33" s="4"/>
    </row>
    <row r="34" spans="1:21">
      <c r="A34" s="474"/>
      <c r="B34" s="19" t="s">
        <v>2</v>
      </c>
      <c r="C34" s="20">
        <f t="shared" ref="C34:P34" si="9">C22-C28</f>
        <v>0</v>
      </c>
      <c r="D34" s="20">
        <f t="shared" si="9"/>
        <v>0</v>
      </c>
      <c r="E34" s="20">
        <f t="shared" si="9"/>
        <v>0</v>
      </c>
      <c r="F34" s="20">
        <f t="shared" si="9"/>
        <v>0</v>
      </c>
      <c r="G34" s="20">
        <f t="shared" si="9"/>
        <v>0</v>
      </c>
      <c r="H34" s="20">
        <f t="shared" si="9"/>
        <v>0</v>
      </c>
      <c r="I34" s="20">
        <f t="shared" si="9"/>
        <v>0</v>
      </c>
      <c r="J34" s="20">
        <f t="shared" si="9"/>
        <v>0</v>
      </c>
      <c r="K34" s="20">
        <f t="shared" si="9"/>
        <v>0</v>
      </c>
      <c r="L34" s="20">
        <f t="shared" si="9"/>
        <v>0</v>
      </c>
      <c r="M34" s="20">
        <f t="shared" si="9"/>
        <v>0</v>
      </c>
      <c r="N34" s="20">
        <f t="shared" si="9"/>
        <v>0</v>
      </c>
      <c r="O34" s="20">
        <f t="shared" si="9"/>
        <v>0</v>
      </c>
      <c r="P34" s="20">
        <f t="shared" si="9"/>
        <v>0</v>
      </c>
      <c r="Q34" s="20">
        <f t="shared" si="8"/>
        <v>0</v>
      </c>
      <c r="R34" s="20">
        <f t="shared" si="8"/>
        <v>0</v>
      </c>
    </row>
    <row r="35" spans="1:21">
      <c r="A35" s="474"/>
      <c r="B35" s="19" t="s">
        <v>3</v>
      </c>
      <c r="C35" s="20">
        <f t="shared" ref="C35:P35" si="10">C23-C29</f>
        <v>0</v>
      </c>
      <c r="D35" s="20">
        <f t="shared" si="10"/>
        <v>0</v>
      </c>
      <c r="E35" s="20">
        <f t="shared" si="10"/>
        <v>0</v>
      </c>
      <c r="F35" s="20">
        <f t="shared" si="10"/>
        <v>0</v>
      </c>
      <c r="G35" s="20">
        <f t="shared" si="10"/>
        <v>0</v>
      </c>
      <c r="H35" s="20">
        <f t="shared" si="10"/>
        <v>0</v>
      </c>
      <c r="I35" s="20">
        <f t="shared" si="10"/>
        <v>0</v>
      </c>
      <c r="J35" s="20">
        <f t="shared" si="10"/>
        <v>0</v>
      </c>
      <c r="K35" s="20">
        <f t="shared" si="10"/>
        <v>0</v>
      </c>
      <c r="L35" s="20">
        <f t="shared" si="10"/>
        <v>0</v>
      </c>
      <c r="M35" s="20">
        <f t="shared" si="10"/>
        <v>0</v>
      </c>
      <c r="N35" s="20">
        <f t="shared" si="10"/>
        <v>0</v>
      </c>
      <c r="O35" s="20">
        <f t="shared" si="10"/>
        <v>0</v>
      </c>
      <c r="P35" s="20">
        <f t="shared" si="10"/>
        <v>0</v>
      </c>
      <c r="Q35" s="20">
        <f t="shared" si="8"/>
        <v>0</v>
      </c>
      <c r="R35" s="20">
        <f t="shared" si="8"/>
        <v>0</v>
      </c>
      <c r="T35" s="14"/>
    </row>
    <row r="36" spans="1:21">
      <c r="A36" s="474"/>
      <c r="B36" s="19" t="s">
        <v>4</v>
      </c>
      <c r="C36" s="20">
        <f t="shared" ref="C36:P36" si="11">C24-C30</f>
        <v>0</v>
      </c>
      <c r="D36" s="20">
        <f t="shared" si="11"/>
        <v>0</v>
      </c>
      <c r="E36" s="20">
        <f t="shared" si="11"/>
        <v>0</v>
      </c>
      <c r="F36" s="20">
        <f t="shared" si="11"/>
        <v>0</v>
      </c>
      <c r="G36" s="20">
        <f t="shared" si="11"/>
        <v>0</v>
      </c>
      <c r="H36" s="20">
        <f t="shared" si="11"/>
        <v>0</v>
      </c>
      <c r="I36" s="20">
        <f t="shared" si="11"/>
        <v>0</v>
      </c>
      <c r="J36" s="20">
        <f t="shared" si="11"/>
        <v>0</v>
      </c>
      <c r="K36" s="20">
        <f t="shared" si="11"/>
        <v>0</v>
      </c>
      <c r="L36" s="20">
        <f t="shared" si="11"/>
        <v>0</v>
      </c>
      <c r="M36" s="20">
        <f t="shared" si="11"/>
        <v>0</v>
      </c>
      <c r="N36" s="20">
        <f t="shared" si="11"/>
        <v>0</v>
      </c>
      <c r="O36" s="20">
        <f t="shared" si="11"/>
        <v>0</v>
      </c>
      <c r="P36" s="20">
        <f t="shared" si="11"/>
        <v>0</v>
      </c>
      <c r="Q36" s="20">
        <f t="shared" si="8"/>
        <v>0</v>
      </c>
      <c r="R36" s="20">
        <f t="shared" si="8"/>
        <v>744509</v>
      </c>
      <c r="U36" s="21"/>
    </row>
    <row r="37" spans="1:21">
      <c r="A37" s="474"/>
      <c r="B37" s="19" t="s">
        <v>5</v>
      </c>
      <c r="C37" s="20">
        <f t="shared" ref="C37:P37" si="12">C25-C31</f>
        <v>0</v>
      </c>
      <c r="D37" s="20">
        <f t="shared" si="12"/>
        <v>0</v>
      </c>
      <c r="E37" s="20">
        <f t="shared" si="12"/>
        <v>0</v>
      </c>
      <c r="F37" s="20">
        <f t="shared" si="12"/>
        <v>0</v>
      </c>
      <c r="G37" s="20">
        <f t="shared" si="12"/>
        <v>0</v>
      </c>
      <c r="H37" s="20">
        <f t="shared" si="12"/>
        <v>0</v>
      </c>
      <c r="I37" s="20">
        <f t="shared" si="12"/>
        <v>0</v>
      </c>
      <c r="J37" s="20">
        <f t="shared" si="12"/>
        <v>0</v>
      </c>
      <c r="K37" s="20">
        <f t="shared" si="12"/>
        <v>0</v>
      </c>
      <c r="L37" s="20">
        <f t="shared" si="12"/>
        <v>0</v>
      </c>
      <c r="M37" s="20">
        <f t="shared" si="12"/>
        <v>0</v>
      </c>
      <c r="N37" s="20">
        <f t="shared" si="12"/>
        <v>0</v>
      </c>
      <c r="O37" s="20">
        <f t="shared" si="12"/>
        <v>0</v>
      </c>
      <c r="P37" s="20">
        <f t="shared" si="12"/>
        <v>0</v>
      </c>
      <c r="Q37" s="20">
        <f t="shared" si="8"/>
        <v>0</v>
      </c>
      <c r="R37" s="20">
        <f t="shared" si="8"/>
        <v>744509</v>
      </c>
      <c r="U37" s="21"/>
    </row>
    <row r="38" spans="1:21">
      <c r="A38" s="475"/>
      <c r="B38" s="19" t="s">
        <v>6</v>
      </c>
      <c r="C38" s="20">
        <f t="shared" ref="C38:P38" si="13">C26-C32</f>
        <v>0</v>
      </c>
      <c r="D38" s="20">
        <f t="shared" si="13"/>
        <v>0</v>
      </c>
      <c r="E38" s="20">
        <f t="shared" si="13"/>
        <v>0</v>
      </c>
      <c r="F38" s="20">
        <f t="shared" si="13"/>
        <v>0</v>
      </c>
      <c r="G38" s="20">
        <f t="shared" si="13"/>
        <v>0</v>
      </c>
      <c r="H38" s="20">
        <f t="shared" si="13"/>
        <v>0</v>
      </c>
      <c r="I38" s="20">
        <f t="shared" si="13"/>
        <v>0</v>
      </c>
      <c r="J38" s="20">
        <f t="shared" si="13"/>
        <v>0</v>
      </c>
      <c r="K38" s="20">
        <f t="shared" si="13"/>
        <v>0</v>
      </c>
      <c r="L38" s="20">
        <f t="shared" si="13"/>
        <v>0</v>
      </c>
      <c r="M38" s="20">
        <f t="shared" si="13"/>
        <v>0</v>
      </c>
      <c r="N38" s="20">
        <f t="shared" si="13"/>
        <v>0</v>
      </c>
      <c r="O38" s="20">
        <f t="shared" si="13"/>
        <v>0</v>
      </c>
      <c r="P38" s="20">
        <f t="shared" si="13"/>
        <v>0</v>
      </c>
      <c r="Q38" s="20">
        <f t="shared" si="8"/>
        <v>0</v>
      </c>
      <c r="R38" s="20">
        <f t="shared" si="8"/>
        <v>0</v>
      </c>
    </row>
    <row r="39" spans="1:21" s="9" customFormat="1">
      <c r="A39" s="476" t="s">
        <v>22</v>
      </c>
      <c r="B39" s="17" t="s">
        <v>10</v>
      </c>
      <c r="C39" s="18">
        <f t="shared" ref="C39:J39" si="14">+C3-C21</f>
        <v>3330931</v>
      </c>
      <c r="D39" s="18">
        <f t="shared" si="14"/>
        <v>3650191</v>
      </c>
      <c r="E39" s="18">
        <f t="shared" si="14"/>
        <v>4141961</v>
      </c>
      <c r="F39" s="18">
        <f t="shared" si="14"/>
        <v>4024937</v>
      </c>
      <c r="G39" s="18">
        <f t="shared" si="14"/>
        <v>4460851</v>
      </c>
      <c r="H39" s="18">
        <f t="shared" si="14"/>
        <v>4645564</v>
      </c>
      <c r="I39" s="18">
        <f t="shared" si="14"/>
        <v>4487441</v>
      </c>
      <c r="J39" s="18">
        <f t="shared" si="14"/>
        <v>4733977</v>
      </c>
      <c r="K39" s="18">
        <f t="shared" ref="K39:Q39" si="15">+K3-K21</f>
        <v>4668046</v>
      </c>
      <c r="L39" s="18">
        <f t="shared" si="15"/>
        <v>3830265</v>
      </c>
      <c r="M39" s="18">
        <f t="shared" si="15"/>
        <v>4439393</v>
      </c>
      <c r="N39" s="18">
        <f t="shared" si="15"/>
        <v>3943361</v>
      </c>
      <c r="O39" s="18">
        <f t="shared" si="15"/>
        <v>4485257</v>
      </c>
      <c r="P39" s="18">
        <f t="shared" si="15"/>
        <v>3964340</v>
      </c>
      <c r="Q39" s="18">
        <f t="shared" si="15"/>
        <v>4536459</v>
      </c>
      <c r="R39" s="18">
        <f>R3-R21</f>
        <v>4912268</v>
      </c>
      <c r="S39" s="8"/>
    </row>
    <row r="40" spans="1:21" s="9" customFormat="1">
      <c r="A40" s="477"/>
      <c r="B40" s="10" t="s">
        <v>2</v>
      </c>
      <c r="C40" s="11">
        <f t="shared" ref="C40:J40" si="16">+C4-C22</f>
        <v>1040937</v>
      </c>
      <c r="D40" s="11">
        <f t="shared" si="16"/>
        <v>985365</v>
      </c>
      <c r="E40" s="11">
        <f t="shared" si="16"/>
        <v>894319</v>
      </c>
      <c r="F40" s="11">
        <f t="shared" si="16"/>
        <v>847732</v>
      </c>
      <c r="G40" s="11">
        <f t="shared" si="16"/>
        <v>878269</v>
      </c>
      <c r="H40" s="11">
        <f t="shared" si="16"/>
        <v>860307</v>
      </c>
      <c r="I40" s="11">
        <f t="shared" si="16"/>
        <v>807778</v>
      </c>
      <c r="J40" s="11">
        <f t="shared" si="16"/>
        <v>900513</v>
      </c>
      <c r="K40" s="11">
        <f t="shared" ref="K40:R40" si="17">+K4-K22</f>
        <v>789935</v>
      </c>
      <c r="L40" s="11">
        <f t="shared" si="17"/>
        <v>671039</v>
      </c>
      <c r="M40" s="11">
        <f t="shared" si="17"/>
        <v>688687</v>
      </c>
      <c r="N40" s="11">
        <f t="shared" si="17"/>
        <v>617570</v>
      </c>
      <c r="O40" s="11">
        <f t="shared" si="17"/>
        <v>619033</v>
      </c>
      <c r="P40" s="11">
        <f t="shared" si="17"/>
        <v>574079</v>
      </c>
      <c r="Q40" s="11">
        <f t="shared" si="17"/>
        <v>572444</v>
      </c>
      <c r="R40" s="11">
        <f t="shared" si="17"/>
        <v>582328</v>
      </c>
    </row>
    <row r="41" spans="1:21">
      <c r="A41" s="477"/>
      <c r="B41" s="19" t="s">
        <v>3</v>
      </c>
      <c r="C41" s="20">
        <f t="shared" ref="C41:J41" si="18">+C5-C23</f>
        <v>968803</v>
      </c>
      <c r="D41" s="20">
        <f t="shared" si="18"/>
        <v>1093526</v>
      </c>
      <c r="E41" s="20">
        <f t="shared" si="18"/>
        <v>1159131</v>
      </c>
      <c r="F41" s="20">
        <f t="shared" si="18"/>
        <v>1301057</v>
      </c>
      <c r="G41" s="20">
        <f t="shared" si="18"/>
        <v>1591239</v>
      </c>
      <c r="H41" s="20">
        <f t="shared" si="18"/>
        <v>1724810</v>
      </c>
      <c r="I41" s="20">
        <f t="shared" si="18"/>
        <v>1512345</v>
      </c>
      <c r="J41" s="20">
        <f t="shared" si="18"/>
        <v>1462504</v>
      </c>
      <c r="K41" s="20">
        <f t="shared" ref="K41:R41" si="19">+K5-K23</f>
        <v>1414535</v>
      </c>
      <c r="L41" s="20">
        <f t="shared" si="19"/>
        <v>1362057</v>
      </c>
      <c r="M41" s="20">
        <f t="shared" si="19"/>
        <v>1443691</v>
      </c>
      <c r="N41" s="20">
        <f t="shared" si="19"/>
        <v>1376854</v>
      </c>
      <c r="O41" s="20">
        <f t="shared" si="19"/>
        <v>1470665</v>
      </c>
      <c r="P41" s="20">
        <f t="shared" si="19"/>
        <v>1425969</v>
      </c>
      <c r="Q41" s="20">
        <f t="shared" si="19"/>
        <v>1516406</v>
      </c>
      <c r="R41" s="20">
        <f t="shared" si="19"/>
        <v>1602602</v>
      </c>
      <c r="S41" s="2"/>
    </row>
    <row r="42" spans="1:21">
      <c r="A42" s="477"/>
      <c r="B42" s="19" t="s">
        <v>4</v>
      </c>
      <c r="C42" s="20">
        <f t="shared" ref="C42:J42" si="20">+C6-C24</f>
        <v>1060025</v>
      </c>
      <c r="D42" s="20">
        <f t="shared" si="20"/>
        <v>1381369</v>
      </c>
      <c r="E42" s="20">
        <f t="shared" si="20"/>
        <v>2056829</v>
      </c>
      <c r="F42" s="20">
        <f t="shared" si="20"/>
        <v>2063069</v>
      </c>
      <c r="G42" s="20">
        <f t="shared" si="20"/>
        <v>2186530</v>
      </c>
      <c r="H42" s="20">
        <f t="shared" si="20"/>
        <v>2292388</v>
      </c>
      <c r="I42" s="20">
        <f t="shared" si="20"/>
        <v>2366680</v>
      </c>
      <c r="J42" s="20">
        <f t="shared" si="20"/>
        <v>2627910</v>
      </c>
      <c r="K42" s="20">
        <f t="shared" ref="K42:R42" si="21">+K6-K24</f>
        <v>2707324</v>
      </c>
      <c r="L42" s="20">
        <f t="shared" si="21"/>
        <v>2038790</v>
      </c>
      <c r="M42" s="20">
        <f t="shared" si="21"/>
        <v>2571119</v>
      </c>
      <c r="N42" s="20">
        <f t="shared" si="21"/>
        <v>2190975</v>
      </c>
      <c r="O42" s="20">
        <f t="shared" si="21"/>
        <v>2629078</v>
      </c>
      <c r="P42" s="20">
        <f t="shared" si="21"/>
        <v>2202125</v>
      </c>
      <c r="Q42" s="20">
        <f t="shared" si="21"/>
        <v>2660533</v>
      </c>
      <c r="R42" s="20">
        <f t="shared" si="21"/>
        <v>3212059</v>
      </c>
      <c r="T42" s="14"/>
    </row>
    <row r="43" spans="1:21">
      <c r="A43" s="477"/>
      <c r="B43" s="19" t="s">
        <v>5</v>
      </c>
      <c r="C43" s="20">
        <f t="shared" ref="C43:J43" si="22">+C7-C25</f>
        <v>2357627</v>
      </c>
      <c r="D43" s="20">
        <f t="shared" si="22"/>
        <v>2564574</v>
      </c>
      <c r="E43" s="20">
        <f t="shared" si="22"/>
        <v>3204004</v>
      </c>
      <c r="F43" s="20">
        <f t="shared" si="22"/>
        <v>3666254</v>
      </c>
      <c r="G43" s="20">
        <f t="shared" si="22"/>
        <v>4138931</v>
      </c>
      <c r="H43" s="20">
        <f t="shared" si="22"/>
        <v>4348819</v>
      </c>
      <c r="I43" s="20">
        <f t="shared" si="22"/>
        <v>4194207</v>
      </c>
      <c r="J43" s="20">
        <f t="shared" si="22"/>
        <v>4479015</v>
      </c>
      <c r="K43" s="20">
        <f t="shared" ref="K43:R43" si="23">+K7-K25</f>
        <v>4438757</v>
      </c>
      <c r="L43" s="20">
        <f t="shared" si="23"/>
        <v>3611663</v>
      </c>
      <c r="M43" s="20">
        <f t="shared" si="23"/>
        <v>4195399</v>
      </c>
      <c r="N43" s="20">
        <f t="shared" si="23"/>
        <v>3727241</v>
      </c>
      <c r="O43" s="20">
        <f t="shared" si="23"/>
        <v>4283658</v>
      </c>
      <c r="P43" s="20">
        <f t="shared" si="23"/>
        <v>3762694</v>
      </c>
      <c r="Q43" s="20">
        <f t="shared" si="23"/>
        <v>4346460</v>
      </c>
      <c r="R43" s="20">
        <f t="shared" si="23"/>
        <v>4616498</v>
      </c>
      <c r="S43" s="14"/>
      <c r="T43" s="14"/>
    </row>
    <row r="44" spans="1:21">
      <c r="A44" s="478"/>
      <c r="B44" s="19" t="s">
        <v>6</v>
      </c>
      <c r="C44" s="20">
        <f t="shared" ref="C44:J44" si="24">+C8-C26</f>
        <v>1051957</v>
      </c>
      <c r="D44" s="20">
        <f t="shared" si="24"/>
        <v>1019590</v>
      </c>
      <c r="E44" s="20">
        <f t="shared" si="24"/>
        <v>1157395</v>
      </c>
      <c r="F44" s="20">
        <f t="shared" si="24"/>
        <v>1232330</v>
      </c>
      <c r="G44" s="20">
        <f t="shared" si="24"/>
        <v>1177180</v>
      </c>
      <c r="H44" s="20">
        <f t="shared" si="24"/>
        <v>1275038</v>
      </c>
      <c r="I44" s="20">
        <f t="shared" si="24"/>
        <v>1250767</v>
      </c>
      <c r="J44" s="20">
        <f t="shared" si="24"/>
        <v>1225531</v>
      </c>
      <c r="K44" s="20">
        <f t="shared" ref="K44:R44" si="25">+K8-K26</f>
        <v>1256080</v>
      </c>
      <c r="L44" s="20">
        <f t="shared" si="25"/>
        <v>1154843</v>
      </c>
      <c r="M44" s="20">
        <f t="shared" si="25"/>
        <v>1302210</v>
      </c>
      <c r="N44" s="20">
        <f t="shared" si="25"/>
        <v>1134147</v>
      </c>
      <c r="O44" s="20">
        <f t="shared" si="25"/>
        <v>1170999</v>
      </c>
      <c r="P44" s="20">
        <f t="shared" si="25"/>
        <v>1124578</v>
      </c>
      <c r="Q44" s="20">
        <f t="shared" si="25"/>
        <v>1089873</v>
      </c>
      <c r="R44" s="20">
        <f t="shared" si="25"/>
        <v>1085820</v>
      </c>
    </row>
    <row r="45" spans="1:21" s="9" customFormat="1">
      <c r="A45" s="476" t="s">
        <v>23</v>
      </c>
      <c r="B45" s="17" t="s">
        <v>11</v>
      </c>
      <c r="C45" s="18">
        <f t="shared" ref="C45:J45" si="26">+C9-C27</f>
        <v>1538768</v>
      </c>
      <c r="D45" s="18">
        <f t="shared" si="26"/>
        <v>1572587</v>
      </c>
      <c r="E45" s="18">
        <f t="shared" si="26"/>
        <v>1507918</v>
      </c>
      <c r="F45" s="18">
        <f t="shared" si="26"/>
        <v>1444436</v>
      </c>
      <c r="G45" s="18">
        <f t="shared" si="26"/>
        <v>1457426</v>
      </c>
      <c r="H45" s="18">
        <f t="shared" si="26"/>
        <v>1494432</v>
      </c>
      <c r="I45" s="18">
        <f t="shared" si="26"/>
        <v>1483069</v>
      </c>
      <c r="J45" s="18">
        <f t="shared" si="26"/>
        <v>1659453</v>
      </c>
      <c r="K45" s="18">
        <f t="shared" ref="K45:R45" si="27">+K9-K27</f>
        <v>1539116</v>
      </c>
      <c r="L45" s="18">
        <f t="shared" si="27"/>
        <v>1450015</v>
      </c>
      <c r="M45" s="18">
        <f t="shared" si="27"/>
        <v>1559602</v>
      </c>
      <c r="N45" s="18">
        <f t="shared" si="27"/>
        <v>1488495</v>
      </c>
      <c r="O45" s="18">
        <f t="shared" si="27"/>
        <v>1532903</v>
      </c>
      <c r="P45" s="18">
        <f t="shared" si="27"/>
        <v>1443633</v>
      </c>
      <c r="Q45" s="18">
        <f t="shared" si="27"/>
        <v>1534807</v>
      </c>
      <c r="R45" s="18">
        <f t="shared" si="27"/>
        <v>1683642</v>
      </c>
      <c r="S45" s="8"/>
    </row>
    <row r="46" spans="1:21">
      <c r="A46" s="477"/>
      <c r="B46" s="19" t="s">
        <v>2</v>
      </c>
      <c r="C46" s="20">
        <f t="shared" ref="C46:J46" si="28">+C10-C28</f>
        <v>1040937</v>
      </c>
      <c r="D46" s="20">
        <f t="shared" si="28"/>
        <v>985365</v>
      </c>
      <c r="E46" s="20">
        <f t="shared" si="28"/>
        <v>894319</v>
      </c>
      <c r="F46" s="20">
        <f t="shared" si="28"/>
        <v>847732</v>
      </c>
      <c r="G46" s="20">
        <f t="shared" si="28"/>
        <v>878269</v>
      </c>
      <c r="H46" s="20">
        <f t="shared" si="28"/>
        <v>860307</v>
      </c>
      <c r="I46" s="20">
        <f t="shared" si="28"/>
        <v>807778</v>
      </c>
      <c r="J46" s="20">
        <f t="shared" si="28"/>
        <v>900513</v>
      </c>
      <c r="K46" s="20">
        <f t="shared" ref="K46:R46" si="29">+K10-K28</f>
        <v>789935</v>
      </c>
      <c r="L46" s="20">
        <f t="shared" si="29"/>
        <v>671039</v>
      </c>
      <c r="M46" s="20">
        <f t="shared" si="29"/>
        <v>688687</v>
      </c>
      <c r="N46" s="20">
        <f t="shared" si="29"/>
        <v>617570</v>
      </c>
      <c r="O46" s="20">
        <f t="shared" si="29"/>
        <v>619033</v>
      </c>
      <c r="P46" s="20">
        <f t="shared" si="29"/>
        <v>574079</v>
      </c>
      <c r="Q46" s="20">
        <f t="shared" si="29"/>
        <v>572444</v>
      </c>
      <c r="R46" s="20">
        <f t="shared" si="29"/>
        <v>582328</v>
      </c>
      <c r="T46" s="14"/>
    </row>
    <row r="47" spans="1:21">
      <c r="A47" s="477"/>
      <c r="B47" s="19" t="s">
        <v>3</v>
      </c>
      <c r="C47" s="20">
        <f t="shared" ref="C47:J47" si="30">+C11-C29</f>
        <v>562928</v>
      </c>
      <c r="D47" s="20">
        <f t="shared" si="30"/>
        <v>591925</v>
      </c>
      <c r="E47" s="20">
        <f t="shared" si="30"/>
        <v>596381</v>
      </c>
      <c r="F47" s="20">
        <f t="shared" si="30"/>
        <v>736706</v>
      </c>
      <c r="G47" s="20">
        <f t="shared" si="30"/>
        <v>723020</v>
      </c>
      <c r="H47" s="20">
        <f t="shared" si="30"/>
        <v>742017</v>
      </c>
      <c r="I47" s="20">
        <f t="shared" si="30"/>
        <v>747272</v>
      </c>
      <c r="J47" s="20">
        <f t="shared" si="30"/>
        <v>819279</v>
      </c>
      <c r="K47" s="20">
        <f t="shared" ref="K47:R47" si="31">+K11-K29</f>
        <v>779479</v>
      </c>
      <c r="L47" s="20">
        <f t="shared" si="31"/>
        <v>758611</v>
      </c>
      <c r="M47" s="20">
        <f t="shared" si="31"/>
        <v>787830</v>
      </c>
      <c r="N47" s="20">
        <f t="shared" si="31"/>
        <v>764158</v>
      </c>
      <c r="O47" s="20">
        <f t="shared" si="31"/>
        <v>805794</v>
      </c>
      <c r="P47" s="20">
        <f t="shared" si="31"/>
        <v>767759</v>
      </c>
      <c r="Q47" s="20">
        <f t="shared" si="31"/>
        <v>805148</v>
      </c>
      <c r="R47" s="20">
        <f t="shared" si="31"/>
        <v>885576</v>
      </c>
      <c r="T47" s="14"/>
    </row>
    <row r="48" spans="1:21" ht="16.350000000000001" customHeight="1">
      <c r="A48" s="477"/>
      <c r="B48" s="19" t="s">
        <v>4</v>
      </c>
      <c r="C48" s="20">
        <f t="shared" ref="C48:J48" si="32">+C12-C30</f>
        <v>130668</v>
      </c>
      <c r="D48" s="20">
        <f t="shared" si="32"/>
        <v>144286</v>
      </c>
      <c r="E48" s="20">
        <f t="shared" si="32"/>
        <v>176933</v>
      </c>
      <c r="F48" s="20">
        <f t="shared" si="32"/>
        <v>182318</v>
      </c>
      <c r="G48" s="20">
        <f t="shared" si="32"/>
        <v>171888</v>
      </c>
      <c r="H48" s="20">
        <f t="shared" si="32"/>
        <v>203599</v>
      </c>
      <c r="I48" s="20">
        <f t="shared" si="32"/>
        <v>217222</v>
      </c>
      <c r="J48" s="20">
        <f t="shared" si="32"/>
        <v>248587</v>
      </c>
      <c r="K48" s="20">
        <f t="shared" ref="K48:R48" si="33">+K12-K30</f>
        <v>220977</v>
      </c>
      <c r="L48" s="20">
        <f t="shared" si="33"/>
        <v>267567</v>
      </c>
      <c r="M48" s="20">
        <f t="shared" si="33"/>
        <v>349443</v>
      </c>
      <c r="N48" s="20">
        <f t="shared" si="33"/>
        <v>350516</v>
      </c>
      <c r="O48" s="20">
        <f t="shared" si="33"/>
        <v>368980</v>
      </c>
      <c r="P48" s="20">
        <f t="shared" si="33"/>
        <v>353501</v>
      </c>
      <c r="Q48" s="20">
        <f t="shared" si="33"/>
        <v>375859</v>
      </c>
      <c r="R48" s="20">
        <f t="shared" si="33"/>
        <v>440578</v>
      </c>
    </row>
    <row r="49" spans="1:22" ht="16.350000000000001" customHeight="1">
      <c r="A49" s="477"/>
      <c r="B49" s="19" t="s">
        <v>5</v>
      </c>
      <c r="C49" s="20">
        <f t="shared" ref="C49:J49" si="34">+C13-C31</f>
        <v>1290849</v>
      </c>
      <c r="D49" s="20">
        <f t="shared" si="34"/>
        <v>1302126</v>
      </c>
      <c r="E49" s="20">
        <f t="shared" si="34"/>
        <v>1355694</v>
      </c>
      <c r="F49" s="20">
        <f t="shared" si="34"/>
        <v>1348103</v>
      </c>
      <c r="G49" s="20">
        <f t="shared" si="34"/>
        <v>1362077</v>
      </c>
      <c r="H49" s="20">
        <f t="shared" si="34"/>
        <v>1394299</v>
      </c>
      <c r="I49" s="20">
        <f t="shared" si="34"/>
        <v>1385186</v>
      </c>
      <c r="J49" s="20">
        <f t="shared" si="34"/>
        <v>1558259</v>
      </c>
      <c r="K49" s="20">
        <f t="shared" ref="K49:R49" si="35">+K13-K31</f>
        <v>1441922</v>
      </c>
      <c r="L49" s="20">
        <f t="shared" si="35"/>
        <v>1358635</v>
      </c>
      <c r="M49" s="20">
        <f t="shared" si="35"/>
        <v>1461014</v>
      </c>
      <c r="N49" s="20">
        <f t="shared" si="35"/>
        <v>1408589</v>
      </c>
      <c r="O49" s="20">
        <f t="shared" si="35"/>
        <v>1458645</v>
      </c>
      <c r="P49" s="20">
        <f t="shared" si="35"/>
        <v>1371988</v>
      </c>
      <c r="Q49" s="20">
        <f t="shared" si="35"/>
        <v>1462618</v>
      </c>
      <c r="R49" s="20">
        <f t="shared" si="35"/>
        <v>1528286</v>
      </c>
      <c r="S49" s="8"/>
    </row>
    <row r="50" spans="1:22" ht="16.350000000000001" customHeight="1">
      <c r="A50" s="478"/>
      <c r="B50" s="19" t="s">
        <v>6</v>
      </c>
      <c r="C50" s="20">
        <f t="shared" ref="C50:J50" si="36">+C14-C32</f>
        <v>780534</v>
      </c>
      <c r="D50" s="20">
        <f t="shared" si="36"/>
        <v>771325</v>
      </c>
      <c r="E50" s="20">
        <f t="shared" si="36"/>
        <v>738783</v>
      </c>
      <c r="F50" s="20">
        <f t="shared" si="36"/>
        <v>689705</v>
      </c>
      <c r="G50" s="20">
        <f t="shared" si="36"/>
        <v>644802</v>
      </c>
      <c r="H50" s="20">
        <f t="shared" si="36"/>
        <v>684925</v>
      </c>
      <c r="I50" s="20">
        <f t="shared" si="36"/>
        <v>678872</v>
      </c>
      <c r="J50" s="20">
        <f t="shared" si="36"/>
        <v>731364</v>
      </c>
      <c r="K50" s="20">
        <f t="shared" ref="K50:R50" si="37">+K14-K32</f>
        <v>727318</v>
      </c>
      <c r="L50" s="20">
        <f t="shared" si="37"/>
        <v>662285</v>
      </c>
      <c r="M50" s="20">
        <f t="shared" si="37"/>
        <v>740143</v>
      </c>
      <c r="N50" s="20">
        <f t="shared" si="37"/>
        <v>630690</v>
      </c>
      <c r="O50" s="20">
        <f t="shared" si="37"/>
        <v>652775</v>
      </c>
      <c r="P50" s="20">
        <f t="shared" si="37"/>
        <v>617800</v>
      </c>
      <c r="Q50" s="20">
        <f t="shared" si="37"/>
        <v>601325</v>
      </c>
      <c r="R50" s="20">
        <f t="shared" si="37"/>
        <v>609080</v>
      </c>
      <c r="S50" s="14"/>
    </row>
    <row r="51" spans="1:22" s="9" customFormat="1">
      <c r="A51" s="476" t="s">
        <v>24</v>
      </c>
      <c r="B51" s="17" t="s">
        <v>11</v>
      </c>
      <c r="C51" s="18">
        <f t="shared" ref="C51:E56" si="38">+C39-C45</f>
        <v>1792163</v>
      </c>
      <c r="D51" s="18">
        <f t="shared" si="38"/>
        <v>2077604</v>
      </c>
      <c r="E51" s="18">
        <f t="shared" si="38"/>
        <v>2634043</v>
      </c>
      <c r="F51" s="18">
        <f t="shared" ref="F51:F56" si="39">+F15-F33</f>
        <v>2580501</v>
      </c>
      <c r="G51" s="18">
        <f t="shared" ref="G51:R51" si="40">+G15-G33</f>
        <v>3003425</v>
      </c>
      <c r="H51" s="18">
        <f t="shared" si="40"/>
        <v>3151132</v>
      </c>
      <c r="I51" s="18">
        <f t="shared" si="40"/>
        <v>3004372</v>
      </c>
      <c r="J51" s="18">
        <f t="shared" si="40"/>
        <v>3074524</v>
      </c>
      <c r="K51" s="18">
        <f t="shared" si="40"/>
        <v>3128930</v>
      </c>
      <c r="L51" s="18">
        <f t="shared" si="40"/>
        <v>2380250</v>
      </c>
      <c r="M51" s="18">
        <f t="shared" si="40"/>
        <v>2879791</v>
      </c>
      <c r="N51" s="18">
        <f t="shared" si="40"/>
        <v>2454866</v>
      </c>
      <c r="O51" s="18">
        <f t="shared" si="40"/>
        <v>2952354</v>
      </c>
      <c r="P51" s="18">
        <f t="shared" si="40"/>
        <v>2520707</v>
      </c>
      <c r="Q51" s="18">
        <f t="shared" si="40"/>
        <v>3001652</v>
      </c>
      <c r="R51" s="18">
        <f t="shared" si="40"/>
        <v>3228626</v>
      </c>
      <c r="S51" s="4"/>
    </row>
    <row r="52" spans="1:22">
      <c r="A52" s="477"/>
      <c r="B52" s="19" t="s">
        <v>2</v>
      </c>
      <c r="C52" s="20">
        <f t="shared" si="38"/>
        <v>0</v>
      </c>
      <c r="D52" s="20">
        <f t="shared" si="38"/>
        <v>0</v>
      </c>
      <c r="E52" s="20">
        <f t="shared" si="38"/>
        <v>0</v>
      </c>
      <c r="F52" s="20">
        <f t="shared" si="39"/>
        <v>0</v>
      </c>
      <c r="G52" s="20">
        <f t="shared" ref="G52:R52" si="41">+G16-G34</f>
        <v>0</v>
      </c>
      <c r="H52" s="20">
        <f t="shared" si="41"/>
        <v>0</v>
      </c>
      <c r="I52" s="20">
        <f t="shared" si="41"/>
        <v>0</v>
      </c>
      <c r="J52" s="20">
        <f t="shared" si="41"/>
        <v>0</v>
      </c>
      <c r="K52" s="20">
        <f t="shared" si="41"/>
        <v>0</v>
      </c>
      <c r="L52" s="20">
        <f t="shared" si="41"/>
        <v>0</v>
      </c>
      <c r="M52" s="20">
        <f t="shared" si="41"/>
        <v>0</v>
      </c>
      <c r="N52" s="20">
        <f t="shared" si="41"/>
        <v>0</v>
      </c>
      <c r="O52" s="20">
        <f t="shared" si="41"/>
        <v>0</v>
      </c>
      <c r="P52" s="20">
        <f t="shared" si="41"/>
        <v>0</v>
      </c>
      <c r="Q52" s="20">
        <f t="shared" si="41"/>
        <v>0</v>
      </c>
      <c r="R52" s="20">
        <f t="shared" si="41"/>
        <v>0</v>
      </c>
    </row>
    <row r="53" spans="1:22">
      <c r="A53" s="477"/>
      <c r="B53" s="19" t="s">
        <v>3</v>
      </c>
      <c r="C53" s="20">
        <f t="shared" si="38"/>
        <v>405875</v>
      </c>
      <c r="D53" s="20">
        <f t="shared" si="38"/>
        <v>501601</v>
      </c>
      <c r="E53" s="20">
        <f t="shared" si="38"/>
        <v>562750</v>
      </c>
      <c r="F53" s="20">
        <f t="shared" si="39"/>
        <v>564351</v>
      </c>
      <c r="G53" s="20">
        <f t="shared" ref="G53:R53" si="42">+G17-G35</f>
        <v>868219</v>
      </c>
      <c r="H53" s="20">
        <f t="shared" si="42"/>
        <v>982793</v>
      </c>
      <c r="I53" s="20">
        <f t="shared" si="42"/>
        <v>765073</v>
      </c>
      <c r="J53" s="20">
        <f t="shared" si="42"/>
        <v>643225</v>
      </c>
      <c r="K53" s="20">
        <f t="shared" si="42"/>
        <v>635056</v>
      </c>
      <c r="L53" s="20">
        <f t="shared" si="42"/>
        <v>603446</v>
      </c>
      <c r="M53" s="20">
        <f t="shared" si="42"/>
        <v>655861</v>
      </c>
      <c r="N53" s="20">
        <f t="shared" si="42"/>
        <v>612696</v>
      </c>
      <c r="O53" s="20">
        <f t="shared" si="42"/>
        <v>664871</v>
      </c>
      <c r="P53" s="20">
        <f t="shared" si="42"/>
        <v>658210</v>
      </c>
      <c r="Q53" s="20">
        <f t="shared" si="42"/>
        <v>711258</v>
      </c>
      <c r="R53" s="20">
        <f t="shared" si="42"/>
        <v>717026</v>
      </c>
      <c r="T53" s="14"/>
    </row>
    <row r="54" spans="1:22">
      <c r="A54" s="477"/>
      <c r="B54" s="19" t="s">
        <v>4</v>
      </c>
      <c r="C54" s="20">
        <f t="shared" si="38"/>
        <v>929357</v>
      </c>
      <c r="D54" s="20">
        <f t="shared" si="38"/>
        <v>1237083</v>
      </c>
      <c r="E54" s="20">
        <f t="shared" si="38"/>
        <v>1879896</v>
      </c>
      <c r="F54" s="20">
        <f t="shared" si="39"/>
        <v>1880751</v>
      </c>
      <c r="G54" s="20">
        <f t="shared" ref="G54:R54" si="43">+G18-G36</f>
        <v>2014642</v>
      </c>
      <c r="H54" s="20">
        <f t="shared" si="43"/>
        <v>2088789</v>
      </c>
      <c r="I54" s="20">
        <f t="shared" si="43"/>
        <v>2149458</v>
      </c>
      <c r="J54" s="20">
        <f t="shared" si="43"/>
        <v>2379323</v>
      </c>
      <c r="K54" s="20">
        <f t="shared" si="43"/>
        <v>2486347</v>
      </c>
      <c r="L54" s="20">
        <f t="shared" si="43"/>
        <v>1771223</v>
      </c>
      <c r="M54" s="20">
        <f t="shared" si="43"/>
        <v>2221676</v>
      </c>
      <c r="N54" s="20">
        <f t="shared" si="43"/>
        <v>1840459</v>
      </c>
      <c r="O54" s="20">
        <f t="shared" si="43"/>
        <v>2260098</v>
      </c>
      <c r="P54" s="20">
        <f t="shared" si="43"/>
        <v>1848624</v>
      </c>
      <c r="Q54" s="20">
        <f t="shared" si="43"/>
        <v>2284674</v>
      </c>
      <c r="R54" s="20">
        <f t="shared" si="43"/>
        <v>2771481</v>
      </c>
      <c r="U54" s="21"/>
    </row>
    <row r="55" spans="1:22">
      <c r="A55" s="477"/>
      <c r="B55" s="19" t="s">
        <v>5</v>
      </c>
      <c r="C55" s="20">
        <f t="shared" si="38"/>
        <v>1066778</v>
      </c>
      <c r="D55" s="20">
        <f t="shared" si="38"/>
        <v>1262448</v>
      </c>
      <c r="E55" s="20">
        <f t="shared" si="38"/>
        <v>1848310</v>
      </c>
      <c r="F55" s="20">
        <f t="shared" si="39"/>
        <v>2318151</v>
      </c>
      <c r="G55" s="20">
        <f t="shared" ref="G55:R55" si="44">+G19-G37</f>
        <v>2776854</v>
      </c>
      <c r="H55" s="20">
        <f t="shared" si="44"/>
        <v>2954520</v>
      </c>
      <c r="I55" s="20">
        <f t="shared" si="44"/>
        <v>2809021</v>
      </c>
      <c r="J55" s="20">
        <f t="shared" si="44"/>
        <v>2920756</v>
      </c>
      <c r="K55" s="20">
        <f t="shared" si="44"/>
        <v>2996835</v>
      </c>
      <c r="L55" s="20">
        <f t="shared" si="44"/>
        <v>2253028</v>
      </c>
      <c r="M55" s="20">
        <f t="shared" si="44"/>
        <v>2734385</v>
      </c>
      <c r="N55" s="20">
        <f t="shared" si="44"/>
        <v>2318652</v>
      </c>
      <c r="O55" s="20">
        <f t="shared" si="44"/>
        <v>2825013</v>
      </c>
      <c r="P55" s="20">
        <f t="shared" si="44"/>
        <v>2390706</v>
      </c>
      <c r="Q55" s="20">
        <f t="shared" si="44"/>
        <v>2883842</v>
      </c>
      <c r="R55" s="20">
        <f t="shared" si="44"/>
        <v>3088212</v>
      </c>
      <c r="U55" s="21"/>
    </row>
    <row r="56" spans="1:22">
      <c r="A56" s="478"/>
      <c r="B56" s="19" t="s">
        <v>6</v>
      </c>
      <c r="C56" s="20">
        <f t="shared" si="38"/>
        <v>271423</v>
      </c>
      <c r="D56" s="20">
        <f t="shared" si="38"/>
        <v>248265</v>
      </c>
      <c r="E56" s="20">
        <f t="shared" si="38"/>
        <v>418612</v>
      </c>
      <c r="F56" s="20">
        <f t="shared" si="39"/>
        <v>542625</v>
      </c>
      <c r="G56" s="20">
        <f t="shared" ref="G56:R56" si="45">+G20-G38</f>
        <v>532378</v>
      </c>
      <c r="H56" s="20">
        <f t="shared" si="45"/>
        <v>590113</v>
      </c>
      <c r="I56" s="20">
        <f t="shared" si="45"/>
        <v>571895</v>
      </c>
      <c r="J56" s="20">
        <f t="shared" si="45"/>
        <v>494167</v>
      </c>
      <c r="K56" s="20">
        <f t="shared" si="45"/>
        <v>528762</v>
      </c>
      <c r="L56" s="20">
        <f t="shared" si="45"/>
        <v>492558</v>
      </c>
      <c r="M56" s="20">
        <f t="shared" si="45"/>
        <v>562067</v>
      </c>
      <c r="N56" s="20">
        <f t="shared" si="45"/>
        <v>503457</v>
      </c>
      <c r="O56" s="20">
        <f t="shared" si="45"/>
        <v>518224</v>
      </c>
      <c r="P56" s="20">
        <f t="shared" si="45"/>
        <v>506778</v>
      </c>
      <c r="Q56" s="20">
        <f t="shared" si="45"/>
        <v>488548</v>
      </c>
      <c r="R56" s="20">
        <f t="shared" si="45"/>
        <v>476740</v>
      </c>
    </row>
    <row r="57" spans="1:22" s="26" customFormat="1">
      <c r="A57" s="479" t="s">
        <v>207</v>
      </c>
      <c r="B57" s="24" t="s">
        <v>8</v>
      </c>
      <c r="C57" s="25">
        <f t="shared" ref="C57:Q62" si="46">C45/C39</f>
        <v>0.46196333697695929</v>
      </c>
      <c r="D57" s="25">
        <f t="shared" si="46"/>
        <v>0.43082320897728366</v>
      </c>
      <c r="E57" s="25">
        <f t="shared" si="46"/>
        <v>0.36405895661499471</v>
      </c>
      <c r="F57" s="25">
        <f t="shared" si="46"/>
        <v>0.35887170407884644</v>
      </c>
      <c r="G57" s="25">
        <f t="shared" si="46"/>
        <v>0.32671479051867008</v>
      </c>
      <c r="H57" s="25">
        <f t="shared" si="46"/>
        <v>0.32169011125452152</v>
      </c>
      <c r="I57" s="25">
        <f t="shared" si="46"/>
        <v>0.33049325885287406</v>
      </c>
      <c r="J57" s="25">
        <f t="shared" si="46"/>
        <v>0.35054099333393468</v>
      </c>
      <c r="K57" s="25">
        <f t="shared" si="46"/>
        <v>0.32971311765136846</v>
      </c>
      <c r="L57" s="25">
        <f t="shared" si="46"/>
        <v>0.37856780144454755</v>
      </c>
      <c r="M57" s="25">
        <f t="shared" si="46"/>
        <v>0.35130973986759001</v>
      </c>
      <c r="N57" s="25">
        <f t="shared" si="46"/>
        <v>0.3774686111669715</v>
      </c>
      <c r="O57" s="25">
        <f t="shared" si="46"/>
        <v>0.34176480857172731</v>
      </c>
      <c r="P57" s="25">
        <f t="shared" si="46"/>
        <v>0.36415468905290665</v>
      </c>
      <c r="Q57" s="25">
        <f t="shared" si="46"/>
        <v>0.33832709608970346</v>
      </c>
      <c r="R57" s="25">
        <f t="shared" ref="R57:R62" si="47">R45/R39</f>
        <v>0.34274229337650147</v>
      </c>
      <c r="T57" s="21"/>
    </row>
    <row r="58" spans="1:22" s="22" customFormat="1">
      <c r="A58" s="480"/>
      <c r="B58" s="27" t="s">
        <v>2</v>
      </c>
      <c r="C58" s="28">
        <f t="shared" si="46"/>
        <v>1</v>
      </c>
      <c r="D58" s="28">
        <f t="shared" si="46"/>
        <v>1</v>
      </c>
      <c r="E58" s="28">
        <f t="shared" si="46"/>
        <v>1</v>
      </c>
      <c r="F58" s="28">
        <f t="shared" si="46"/>
        <v>1</v>
      </c>
      <c r="G58" s="28">
        <f t="shared" si="46"/>
        <v>1</v>
      </c>
      <c r="H58" s="28">
        <f t="shared" si="46"/>
        <v>1</v>
      </c>
      <c r="I58" s="28">
        <f t="shared" si="46"/>
        <v>1</v>
      </c>
      <c r="J58" s="28">
        <f t="shared" si="46"/>
        <v>1</v>
      </c>
      <c r="K58" s="28">
        <f t="shared" si="46"/>
        <v>1</v>
      </c>
      <c r="L58" s="28">
        <f t="shared" si="46"/>
        <v>1</v>
      </c>
      <c r="M58" s="28">
        <f t="shared" si="46"/>
        <v>1</v>
      </c>
      <c r="N58" s="28">
        <f t="shared" si="46"/>
        <v>1</v>
      </c>
      <c r="O58" s="28">
        <f t="shared" si="46"/>
        <v>1</v>
      </c>
      <c r="P58" s="28">
        <f t="shared" si="46"/>
        <v>1</v>
      </c>
      <c r="Q58" s="28">
        <f t="shared" si="46"/>
        <v>1</v>
      </c>
      <c r="R58" s="28">
        <f t="shared" si="47"/>
        <v>1</v>
      </c>
      <c r="T58" s="21"/>
      <c r="V58" s="29"/>
    </row>
    <row r="59" spans="1:22" s="22" customFormat="1">
      <c r="A59" s="480"/>
      <c r="B59" s="27" t="s">
        <v>3</v>
      </c>
      <c r="C59" s="28">
        <f t="shared" si="46"/>
        <v>0.58105517840056231</v>
      </c>
      <c r="D59" s="28">
        <f t="shared" si="46"/>
        <v>0.54129942955174359</v>
      </c>
      <c r="E59" s="28">
        <f t="shared" si="46"/>
        <v>0.51450698842494935</v>
      </c>
      <c r="F59" s="28">
        <f t="shared" si="46"/>
        <v>0.56623652922200951</v>
      </c>
      <c r="G59" s="28">
        <f t="shared" si="46"/>
        <v>0.45437548979128844</v>
      </c>
      <c r="H59" s="28">
        <f t="shared" si="46"/>
        <v>0.4302021671952273</v>
      </c>
      <c r="I59" s="28">
        <f t="shared" si="46"/>
        <v>0.49411476878622274</v>
      </c>
      <c r="J59" s="28">
        <f t="shared" si="46"/>
        <v>0.56018923708926605</v>
      </c>
      <c r="K59" s="28">
        <f t="shared" si="46"/>
        <v>0.55104963822033393</v>
      </c>
      <c r="L59" s="28">
        <f t="shared" si="46"/>
        <v>0.55695980417853286</v>
      </c>
      <c r="M59" s="28">
        <f t="shared" si="46"/>
        <v>0.54570541757204272</v>
      </c>
      <c r="N59" s="28">
        <f t="shared" si="46"/>
        <v>0.5550029269624811</v>
      </c>
      <c r="O59" s="28">
        <f t="shared" si="46"/>
        <v>0.54791131902914669</v>
      </c>
      <c r="P59" s="28">
        <f t="shared" si="46"/>
        <v>0.53841212536878436</v>
      </c>
      <c r="Q59" s="28">
        <f t="shared" si="46"/>
        <v>0.53095806795805345</v>
      </c>
      <c r="R59" s="28">
        <f t="shared" si="47"/>
        <v>0.55258635643784293</v>
      </c>
    </row>
    <row r="60" spans="1:22" s="22" customFormat="1" ht="16.350000000000001" customHeight="1">
      <c r="A60" s="480"/>
      <c r="B60" s="27" t="s">
        <v>4</v>
      </c>
      <c r="C60" s="28">
        <f t="shared" si="46"/>
        <v>0.12326879083040494</v>
      </c>
      <c r="D60" s="28">
        <f t="shared" si="46"/>
        <v>0.10445145359422428</v>
      </c>
      <c r="E60" s="28">
        <f t="shared" si="46"/>
        <v>8.602222158477929E-2</v>
      </c>
      <c r="F60" s="28">
        <f t="shared" si="46"/>
        <v>8.8372226038004542E-2</v>
      </c>
      <c r="G60" s="28">
        <f t="shared" si="46"/>
        <v>7.8612230337566827E-2</v>
      </c>
      <c r="H60" s="28">
        <f t="shared" si="46"/>
        <v>8.8815244190773981E-2</v>
      </c>
      <c r="I60" s="28">
        <f t="shared" si="46"/>
        <v>9.178342657224467E-2</v>
      </c>
      <c r="J60" s="28">
        <f t="shared" si="46"/>
        <v>9.459494427130305E-2</v>
      </c>
      <c r="K60" s="28">
        <f t="shared" si="46"/>
        <v>8.1621926300657038E-2</v>
      </c>
      <c r="L60" s="28">
        <f t="shared" si="46"/>
        <v>0.13123813634557752</v>
      </c>
      <c r="M60" s="28">
        <f t="shared" si="46"/>
        <v>0.13591086215768308</v>
      </c>
      <c r="N60" s="28">
        <f t="shared" si="46"/>
        <v>0.15998174328780565</v>
      </c>
      <c r="O60" s="28">
        <f t="shared" si="46"/>
        <v>0.14034577901454426</v>
      </c>
      <c r="P60" s="28">
        <f t="shared" si="46"/>
        <v>0.1605272180280411</v>
      </c>
      <c r="Q60" s="28">
        <f t="shared" si="46"/>
        <v>0.14127206841636619</v>
      </c>
      <c r="R60" s="28">
        <f t="shared" si="47"/>
        <v>0.13716373204850846</v>
      </c>
      <c r="T60" s="30"/>
    </row>
    <row r="61" spans="1:22" s="22" customFormat="1" ht="16.350000000000001" customHeight="1">
      <c r="A61" s="480"/>
      <c r="B61" s="27" t="s">
        <v>5</v>
      </c>
      <c r="C61" s="28">
        <f t="shared" si="46"/>
        <v>0.547520451708434</v>
      </c>
      <c r="D61" s="28">
        <f t="shared" si="46"/>
        <v>0.50773578769807381</v>
      </c>
      <c r="E61" s="28">
        <f t="shared" si="46"/>
        <v>0.42312493991892647</v>
      </c>
      <c r="F61" s="28">
        <f t="shared" si="46"/>
        <v>0.36770583816614999</v>
      </c>
      <c r="G61" s="28">
        <f t="shared" si="46"/>
        <v>0.32908908121444885</v>
      </c>
      <c r="H61" s="28">
        <f t="shared" si="46"/>
        <v>0.32061555102661204</v>
      </c>
      <c r="I61" s="28">
        <f t="shared" si="46"/>
        <v>0.33026171574268987</v>
      </c>
      <c r="J61" s="28">
        <f t="shared" si="46"/>
        <v>0.34790216152435299</v>
      </c>
      <c r="K61" s="28">
        <f t="shared" si="46"/>
        <v>0.32484815005642348</v>
      </c>
      <c r="L61" s="28">
        <f t="shared" si="46"/>
        <v>0.37617989275300601</v>
      </c>
      <c r="M61" s="28">
        <f t="shared" si="46"/>
        <v>0.34824196697382059</v>
      </c>
      <c r="N61" s="28">
        <f t="shared" si="46"/>
        <v>0.37791733885734785</v>
      </c>
      <c r="O61" s="28">
        <f t="shared" si="46"/>
        <v>0.34051387855893256</v>
      </c>
      <c r="P61" s="28">
        <f t="shared" si="46"/>
        <v>0.36462917260877448</v>
      </c>
      <c r="Q61" s="28">
        <f t="shared" si="46"/>
        <v>0.33650787077299688</v>
      </c>
      <c r="R61" s="28">
        <f t="shared" si="47"/>
        <v>0.33104877333424598</v>
      </c>
      <c r="T61" s="29"/>
    </row>
    <row r="62" spans="1:22" s="22" customFormat="1" ht="16.350000000000001" customHeight="1">
      <c r="A62" s="481"/>
      <c r="B62" s="27" t="s">
        <v>6</v>
      </c>
      <c r="C62" s="28">
        <f t="shared" si="46"/>
        <v>0.74198279967717307</v>
      </c>
      <c r="D62" s="28">
        <f t="shared" si="46"/>
        <v>0.75650506576172771</v>
      </c>
      <c r="E62" s="28">
        <f t="shared" si="46"/>
        <v>0.63831535474060286</v>
      </c>
      <c r="F62" s="28">
        <f t="shared" si="46"/>
        <v>0.55967557391283174</v>
      </c>
      <c r="G62" s="28">
        <f t="shared" si="46"/>
        <v>0.54775140590224092</v>
      </c>
      <c r="H62" s="28">
        <f t="shared" si="46"/>
        <v>0.53718006835874699</v>
      </c>
      <c r="I62" s="28">
        <f t="shared" si="46"/>
        <v>0.54276455966618886</v>
      </c>
      <c r="J62" s="28">
        <f t="shared" si="46"/>
        <v>0.59677315384106966</v>
      </c>
      <c r="K62" s="28">
        <f t="shared" si="46"/>
        <v>0.5790379593656455</v>
      </c>
      <c r="L62" s="28">
        <f t="shared" si="46"/>
        <v>0.57348488062879543</v>
      </c>
      <c r="M62" s="28">
        <f t="shared" si="46"/>
        <v>0.56837453252547587</v>
      </c>
      <c r="N62" s="28">
        <f t="shared" si="46"/>
        <v>0.55609193517242472</v>
      </c>
      <c r="O62" s="28">
        <f t="shared" si="46"/>
        <v>0.5574513727167999</v>
      </c>
      <c r="P62" s="28">
        <f t="shared" si="46"/>
        <v>0.54936162720593862</v>
      </c>
      <c r="Q62" s="28">
        <f t="shared" si="46"/>
        <v>0.55173859706589667</v>
      </c>
      <c r="R62" s="28">
        <f t="shared" si="47"/>
        <v>0.56094011898841434</v>
      </c>
    </row>
    <row r="63" spans="1:22" s="33" customFormat="1" ht="16.350000000000001" customHeight="1">
      <c r="A63" s="482" t="s">
        <v>12</v>
      </c>
      <c r="B63" s="112" t="s">
        <v>8</v>
      </c>
      <c r="C63" s="112"/>
      <c r="D63" s="112"/>
      <c r="E63" s="112"/>
      <c r="F63" s="112"/>
      <c r="G63" s="112"/>
      <c r="H63" s="112"/>
      <c r="I63" s="112"/>
      <c r="J63" s="112"/>
      <c r="K63" s="113">
        <v>0.63800000000000001</v>
      </c>
      <c r="L63" s="113">
        <v>0.67400000000000004</v>
      </c>
      <c r="M63" s="113">
        <v>0.67400000000000004</v>
      </c>
      <c r="N63" s="113">
        <v>0.65800000000000003</v>
      </c>
      <c r="O63" s="113">
        <v>0.67100000000000004</v>
      </c>
      <c r="P63" s="113">
        <v>0.68</v>
      </c>
      <c r="Q63" s="113">
        <v>0.65800000000000003</v>
      </c>
      <c r="R63" s="113">
        <v>0.68200000000000005</v>
      </c>
      <c r="T63" s="34"/>
    </row>
    <row r="64" spans="1:22" s="33" customFormat="1">
      <c r="A64" s="483"/>
      <c r="B64" s="114" t="s">
        <v>2</v>
      </c>
      <c r="C64" s="114"/>
      <c r="D64" s="114"/>
      <c r="E64" s="114"/>
      <c r="F64" s="114"/>
      <c r="G64" s="114"/>
      <c r="H64" s="114"/>
      <c r="I64" s="114"/>
      <c r="J64" s="114"/>
      <c r="K64" s="115">
        <v>0.51300000000000001</v>
      </c>
      <c r="L64" s="115">
        <v>0.54800000000000004</v>
      </c>
      <c r="M64" s="115">
        <v>0.56000000000000005</v>
      </c>
      <c r="N64" s="115">
        <v>0.55600000000000005</v>
      </c>
      <c r="O64" s="115">
        <v>0.56799999999999995</v>
      </c>
      <c r="P64" s="115">
        <v>0.58299999999999996</v>
      </c>
      <c r="Q64" s="115">
        <v>0.57599999999999996</v>
      </c>
      <c r="R64" s="115">
        <v>0.59699999999999998</v>
      </c>
    </row>
    <row r="65" spans="1:19" s="33" customFormat="1">
      <c r="A65" s="483"/>
      <c r="B65" s="114" t="s">
        <v>3</v>
      </c>
      <c r="C65" s="114"/>
      <c r="D65" s="114"/>
      <c r="E65" s="114"/>
      <c r="F65" s="114"/>
      <c r="G65" s="114"/>
      <c r="H65" s="114"/>
      <c r="I65" s="114"/>
      <c r="J65" s="114"/>
      <c r="K65" s="115">
        <v>0.67500000000000004</v>
      </c>
      <c r="L65" s="115">
        <v>0.71099999999999997</v>
      </c>
      <c r="M65" s="115">
        <v>0.71299999999999997</v>
      </c>
      <c r="N65" s="115">
        <v>0.69299999999999995</v>
      </c>
      <c r="O65" s="115">
        <v>0.70399999999999996</v>
      </c>
      <c r="P65" s="115">
        <v>0.71299999999999997</v>
      </c>
      <c r="Q65" s="115">
        <v>0.70599999999999996</v>
      </c>
      <c r="R65" s="115">
        <v>0.69499999999999995</v>
      </c>
    </row>
    <row r="66" spans="1:19" s="33" customFormat="1">
      <c r="A66" s="483"/>
      <c r="B66" s="114" t="s">
        <v>4</v>
      </c>
      <c r="C66" s="114"/>
      <c r="D66" s="114"/>
      <c r="E66" s="114"/>
      <c r="F66" s="114"/>
      <c r="G66" s="114"/>
      <c r="H66" s="114"/>
      <c r="I66" s="114"/>
      <c r="J66" s="114"/>
      <c r="K66" s="115">
        <v>0.45500000000000002</v>
      </c>
      <c r="L66" s="115">
        <v>0.501</v>
      </c>
      <c r="M66" s="115">
        <v>0.501</v>
      </c>
      <c r="N66" s="115">
        <v>0.48499999999999999</v>
      </c>
      <c r="O66" s="115">
        <v>0.497</v>
      </c>
      <c r="P66" s="115">
        <v>0.50800000000000001</v>
      </c>
      <c r="Q66" s="115">
        <v>0.505</v>
      </c>
      <c r="R66" s="115">
        <v>0.52600000000000002</v>
      </c>
    </row>
    <row r="67" spans="1:19" s="33" customFormat="1">
      <c r="A67" s="483"/>
      <c r="B67" s="114" t="s">
        <v>5</v>
      </c>
      <c r="C67" s="114"/>
      <c r="D67" s="114"/>
      <c r="E67" s="114"/>
      <c r="F67" s="114"/>
      <c r="G67" s="114"/>
      <c r="H67" s="114"/>
      <c r="I67" s="114"/>
      <c r="J67" s="114"/>
      <c r="K67" s="115">
        <v>0.63645161290322572</v>
      </c>
      <c r="L67" s="115">
        <v>0.67500000000000016</v>
      </c>
      <c r="M67" s="115">
        <v>0.67483870967741943</v>
      </c>
      <c r="N67" s="115">
        <v>0.65866666666666673</v>
      </c>
      <c r="O67" s="115">
        <v>0.67096774193548392</v>
      </c>
      <c r="P67" s="115">
        <v>0.68</v>
      </c>
      <c r="Q67" s="115">
        <v>0.65700000000000003</v>
      </c>
      <c r="R67" s="115">
        <v>0.68300000000000005</v>
      </c>
    </row>
    <row r="68" spans="1:19" s="33" customFormat="1">
      <c r="A68" s="484"/>
      <c r="B68" s="114" t="s">
        <v>6</v>
      </c>
      <c r="C68" s="114"/>
      <c r="D68" s="114"/>
      <c r="E68" s="114"/>
      <c r="F68" s="114"/>
      <c r="G68" s="114"/>
      <c r="H68" s="114"/>
      <c r="I68" s="114"/>
      <c r="J68" s="114"/>
      <c r="K68" s="115">
        <v>0.35000000000000009</v>
      </c>
      <c r="L68" s="115">
        <v>0.36392857142857127</v>
      </c>
      <c r="M68" s="115">
        <v>0.36225806451612896</v>
      </c>
      <c r="N68" s="115">
        <v>0.33633333333333326</v>
      </c>
      <c r="O68" s="115">
        <v>0.33516129032258063</v>
      </c>
      <c r="P68" s="115">
        <v>0.33700000000000002</v>
      </c>
      <c r="Q68" s="115">
        <v>0.32500000000000001</v>
      </c>
      <c r="R68" s="115">
        <v>0.32400000000000001</v>
      </c>
    </row>
    <row r="69" spans="1:19" s="33" customFormat="1">
      <c r="A69" s="482" t="s">
        <v>13</v>
      </c>
      <c r="B69" s="112" t="s">
        <v>8</v>
      </c>
      <c r="C69" s="112"/>
      <c r="D69" s="112"/>
      <c r="E69" s="112"/>
      <c r="F69" s="112"/>
      <c r="G69" s="112"/>
      <c r="H69" s="112"/>
      <c r="I69" s="112"/>
      <c r="J69" s="112"/>
      <c r="K69" s="113">
        <v>0.40500000000000003</v>
      </c>
      <c r="L69" s="113">
        <v>0.55700000000000005</v>
      </c>
      <c r="M69" s="113">
        <v>0.56100000000000005</v>
      </c>
      <c r="N69" s="113">
        <v>0.54500000000000004</v>
      </c>
      <c r="O69" s="113">
        <v>0.56000000000000005</v>
      </c>
      <c r="P69" s="113">
        <v>0.57199999999999995</v>
      </c>
      <c r="Q69" s="113">
        <v>0.55400000000000005</v>
      </c>
      <c r="R69" s="113">
        <v>0.57299999999999995</v>
      </c>
      <c r="S69" s="2"/>
    </row>
    <row r="70" spans="1:19" s="33" customFormat="1">
      <c r="A70" s="483"/>
      <c r="B70" s="114" t="s">
        <v>2</v>
      </c>
      <c r="C70" s="114"/>
      <c r="D70" s="114"/>
      <c r="E70" s="114"/>
      <c r="F70" s="114"/>
      <c r="G70" s="114"/>
      <c r="H70" s="114"/>
      <c r="I70" s="114"/>
      <c r="J70" s="114"/>
      <c r="K70" s="115">
        <v>0.29499999999999998</v>
      </c>
      <c r="L70" s="115">
        <v>0.42099999999999999</v>
      </c>
      <c r="M70" s="115">
        <v>0.443</v>
      </c>
      <c r="N70" s="115">
        <v>0.436</v>
      </c>
      <c r="O70" s="115">
        <v>0.44900000000000001</v>
      </c>
      <c r="P70" s="115">
        <v>0.46500000000000002</v>
      </c>
      <c r="Q70" s="115">
        <v>0.45500000000000002</v>
      </c>
      <c r="R70" s="115">
        <v>0.47099999999999997</v>
      </c>
    </row>
    <row r="71" spans="1:19" s="33" customFormat="1">
      <c r="A71" s="483"/>
      <c r="B71" s="114" t="s">
        <v>3</v>
      </c>
      <c r="C71" s="114"/>
      <c r="D71" s="114"/>
      <c r="E71" s="114"/>
      <c r="F71" s="114"/>
      <c r="G71" s="114"/>
      <c r="H71" s="114"/>
      <c r="I71" s="114"/>
      <c r="J71" s="114"/>
      <c r="K71" s="115">
        <v>0.438</v>
      </c>
      <c r="L71" s="115">
        <v>0.58499999999999996</v>
      </c>
      <c r="M71" s="115">
        <v>0.59499999999999997</v>
      </c>
      <c r="N71" s="115">
        <v>0.57799999999999996</v>
      </c>
      <c r="O71" s="115">
        <v>0.59099999999999997</v>
      </c>
      <c r="P71" s="115">
        <v>0.60199999999999998</v>
      </c>
      <c r="Q71" s="115">
        <v>0.58799999999999997</v>
      </c>
      <c r="R71" s="115">
        <v>0.46100000000000002</v>
      </c>
    </row>
    <row r="72" spans="1:19" s="33" customFormat="1">
      <c r="A72" s="483"/>
      <c r="B72" s="114" t="s">
        <v>4</v>
      </c>
      <c r="C72" s="114"/>
      <c r="D72" s="114"/>
      <c r="E72" s="114"/>
      <c r="F72" s="114"/>
      <c r="G72" s="114"/>
      <c r="H72" s="114"/>
      <c r="I72" s="114"/>
      <c r="J72" s="114"/>
      <c r="K72" s="115">
        <v>0.21</v>
      </c>
      <c r="L72" s="115">
        <v>0.32900000000000001</v>
      </c>
      <c r="M72" s="115">
        <v>0.35599999999999998</v>
      </c>
      <c r="N72" s="115">
        <v>0.34200000000000003</v>
      </c>
      <c r="O72" s="115">
        <v>0.36099999999999999</v>
      </c>
      <c r="P72" s="115">
        <v>0.36799999999999999</v>
      </c>
      <c r="Q72" s="115">
        <v>0.35699999999999998</v>
      </c>
      <c r="R72" s="115">
        <v>0.38300000000000001</v>
      </c>
    </row>
    <row r="73" spans="1:19" s="33" customFormat="1">
      <c r="A73" s="483"/>
      <c r="B73" s="114" t="s">
        <v>5</v>
      </c>
      <c r="C73" s="114"/>
      <c r="D73" s="114"/>
      <c r="E73" s="114"/>
      <c r="F73" s="114"/>
      <c r="G73" s="114"/>
      <c r="H73" s="114"/>
      <c r="I73" s="114"/>
      <c r="J73" s="114"/>
      <c r="K73" s="115">
        <v>0.40387096774193548</v>
      </c>
      <c r="L73" s="115">
        <v>0.55642857142857161</v>
      </c>
      <c r="M73" s="115">
        <v>0.56225806451612914</v>
      </c>
      <c r="N73" s="115">
        <v>0.54500000000000004</v>
      </c>
      <c r="O73" s="115">
        <v>0.55967741935483883</v>
      </c>
      <c r="P73" s="115">
        <v>0.57199999999999995</v>
      </c>
      <c r="Q73" s="115">
        <v>0.55200000000000005</v>
      </c>
      <c r="R73" s="115">
        <v>0.57299999999999995</v>
      </c>
    </row>
    <row r="74" spans="1:19" s="33" customFormat="1">
      <c r="A74" s="484"/>
      <c r="B74" s="114" t="s">
        <v>6</v>
      </c>
      <c r="C74" s="114"/>
      <c r="D74" s="114"/>
      <c r="E74" s="114"/>
      <c r="F74" s="114"/>
      <c r="G74" s="114"/>
      <c r="H74" s="114"/>
      <c r="I74" s="114"/>
      <c r="J74" s="114"/>
      <c r="K74" s="115">
        <v>0.20548387096774193</v>
      </c>
      <c r="L74" s="115">
        <v>0.28142857142857147</v>
      </c>
      <c r="M74" s="115">
        <v>0.28870967741935483</v>
      </c>
      <c r="N74" s="115">
        <v>0.25266666666666665</v>
      </c>
      <c r="O74" s="115">
        <v>0.2587096774193548</v>
      </c>
      <c r="P74" s="115">
        <v>0.26200000000000001</v>
      </c>
      <c r="Q74" s="115">
        <v>0.248</v>
      </c>
      <c r="R74" s="115">
        <v>0.246</v>
      </c>
    </row>
    <row r="75" spans="1:19">
      <c r="A75" s="470" t="s">
        <v>19</v>
      </c>
      <c r="B75" s="45" t="s">
        <v>8</v>
      </c>
      <c r="C75" s="46"/>
      <c r="D75" s="46"/>
      <c r="E75" s="46"/>
      <c r="F75" s="46"/>
      <c r="G75" s="46"/>
      <c r="H75" s="46"/>
      <c r="I75" s="46"/>
      <c r="J75" s="46"/>
      <c r="K75" s="47">
        <v>1100614578.8</v>
      </c>
      <c r="L75" s="47">
        <v>1038280974.2</v>
      </c>
      <c r="M75" s="47">
        <v>1262426784.3</v>
      </c>
      <c r="N75" s="47">
        <v>1079557326.4000001</v>
      </c>
      <c r="O75" s="47">
        <v>1212909925.5999999</v>
      </c>
      <c r="P75" s="47">
        <v>1206284608.5</v>
      </c>
      <c r="Q75" s="47">
        <v>1143708351</v>
      </c>
      <c r="R75" s="47">
        <v>942620853</v>
      </c>
    </row>
    <row r="76" spans="1:19">
      <c r="A76" s="471"/>
      <c r="B76" s="12" t="s">
        <v>2</v>
      </c>
      <c r="C76" s="49"/>
      <c r="D76" s="49"/>
      <c r="E76" s="49"/>
      <c r="F76" s="49"/>
      <c r="G76" s="49"/>
      <c r="H76" s="49"/>
      <c r="I76" s="49"/>
      <c r="J76" s="49"/>
      <c r="K76" s="13">
        <v>482183011.5</v>
      </c>
      <c r="L76" s="13">
        <v>428076365.60000002</v>
      </c>
      <c r="M76" s="13">
        <v>502528184.30000001</v>
      </c>
      <c r="N76" s="13">
        <v>440371407.69999999</v>
      </c>
      <c r="O76" s="13">
        <v>481876473.5</v>
      </c>
      <c r="P76" s="13">
        <v>439308145</v>
      </c>
      <c r="Q76" s="13">
        <v>396239667</v>
      </c>
      <c r="R76" s="13">
        <v>300836528</v>
      </c>
    </row>
    <row r="77" spans="1:19">
      <c r="A77" s="471"/>
      <c r="B77" s="12" t="s">
        <v>3</v>
      </c>
      <c r="C77" s="49"/>
      <c r="D77" s="49"/>
      <c r="E77" s="49"/>
      <c r="F77" s="49"/>
      <c r="G77" s="49"/>
      <c r="H77" s="49"/>
      <c r="I77" s="49"/>
      <c r="J77" s="49"/>
      <c r="K77" s="13">
        <v>537982108.5</v>
      </c>
      <c r="L77" s="13">
        <v>504540530.30000001</v>
      </c>
      <c r="M77" s="13">
        <v>607259838.10000002</v>
      </c>
      <c r="N77" s="13">
        <v>502755540.69999999</v>
      </c>
      <c r="O77" s="13">
        <v>575039245.89999998</v>
      </c>
      <c r="P77" s="13">
        <v>614786940</v>
      </c>
      <c r="Q77" s="13">
        <v>588818138</v>
      </c>
      <c r="R77" s="13">
        <v>507065829</v>
      </c>
    </row>
    <row r="78" spans="1:19">
      <c r="A78" s="471"/>
      <c r="B78" s="12" t="s">
        <v>4</v>
      </c>
      <c r="C78" s="49"/>
      <c r="D78" s="49"/>
      <c r="E78" s="49"/>
      <c r="F78" s="49"/>
      <c r="G78" s="49"/>
      <c r="H78" s="49"/>
      <c r="I78" s="49"/>
      <c r="J78" s="49"/>
      <c r="K78" s="13">
        <v>68601884.299999997</v>
      </c>
      <c r="L78" s="13">
        <v>91960274.799999997</v>
      </c>
      <c r="M78" s="13">
        <v>139322483.90000001</v>
      </c>
      <c r="N78" s="13">
        <v>125226192.3</v>
      </c>
      <c r="O78" s="13">
        <v>141933892.90000001</v>
      </c>
      <c r="P78" s="13">
        <v>137093799.09999999</v>
      </c>
      <c r="Q78" s="13">
        <v>133531404</v>
      </c>
      <c r="R78" s="13">
        <v>128772922</v>
      </c>
    </row>
    <row r="79" spans="1:19">
      <c r="A79" s="471"/>
      <c r="B79" s="15" t="s">
        <v>5</v>
      </c>
      <c r="C79" s="50"/>
      <c r="D79" s="50"/>
      <c r="E79" s="50"/>
      <c r="F79" s="50"/>
      <c r="G79" s="50"/>
      <c r="H79" s="50"/>
      <c r="I79" s="50"/>
      <c r="J79" s="50"/>
      <c r="K79" s="16">
        <v>1025807019.1</v>
      </c>
      <c r="L79" s="16">
        <v>977140437.29999995</v>
      </c>
      <c r="M79" s="16">
        <v>1186458356</v>
      </c>
      <c r="N79" s="16">
        <v>1017793210.1</v>
      </c>
      <c r="O79" s="16">
        <v>1138077534</v>
      </c>
      <c r="P79" s="16">
        <v>1124023458</v>
      </c>
      <c r="Q79" s="16">
        <v>1049209200</v>
      </c>
      <c r="R79" s="16">
        <v>917419958</v>
      </c>
    </row>
    <row r="80" spans="1:19">
      <c r="A80" s="472"/>
      <c r="B80" s="15" t="s">
        <v>6</v>
      </c>
      <c r="C80" s="50"/>
      <c r="D80" s="50"/>
      <c r="E80" s="50"/>
      <c r="F80" s="50"/>
      <c r="G80" s="50"/>
      <c r="H80" s="50"/>
      <c r="I80" s="50"/>
      <c r="J80" s="50"/>
      <c r="K80" s="16">
        <v>67016007.100000001</v>
      </c>
      <c r="L80" s="16">
        <v>56987469.200000003</v>
      </c>
      <c r="M80" s="16">
        <v>65654583.200000003</v>
      </c>
      <c r="N80" s="16">
        <v>53461117.299999997</v>
      </c>
      <c r="O80" s="16">
        <v>54744948</v>
      </c>
      <c r="P80" s="16">
        <v>46296993.600000001</v>
      </c>
      <c r="Q80" s="16">
        <v>38492237</v>
      </c>
      <c r="R80" s="16">
        <v>20538671</v>
      </c>
    </row>
    <row r="81" spans="1:19">
      <c r="A81" s="470" t="s">
        <v>20</v>
      </c>
      <c r="B81" s="45" t="s">
        <v>8</v>
      </c>
      <c r="C81" s="46"/>
      <c r="D81" s="46"/>
      <c r="E81" s="46"/>
      <c r="F81" s="46"/>
      <c r="G81" s="46"/>
      <c r="H81" s="46"/>
      <c r="I81" s="46"/>
      <c r="J81" s="46"/>
      <c r="K81" s="47">
        <v>1294609</v>
      </c>
      <c r="L81" s="47">
        <v>1248483</v>
      </c>
      <c r="M81" s="47">
        <v>1399414</v>
      </c>
      <c r="N81" s="47">
        <v>1346560</v>
      </c>
      <c r="O81" s="47">
        <v>1402417</v>
      </c>
      <c r="P81" s="47">
        <v>1423489</v>
      </c>
      <c r="Q81" s="47">
        <v>1636141</v>
      </c>
      <c r="R81" s="47">
        <v>1425549</v>
      </c>
    </row>
    <row r="82" spans="1:19">
      <c r="A82" s="471"/>
      <c r="B82" s="12" t="s">
        <v>2</v>
      </c>
      <c r="C82" s="49"/>
      <c r="D82" s="49"/>
      <c r="E82" s="49"/>
      <c r="F82" s="49"/>
      <c r="G82" s="49"/>
      <c r="H82" s="49"/>
      <c r="I82" s="49"/>
      <c r="J82" s="49"/>
      <c r="K82" s="13">
        <v>582029</v>
      </c>
      <c r="L82" s="13">
        <v>515122</v>
      </c>
      <c r="M82" s="13">
        <v>555397</v>
      </c>
      <c r="N82" s="13">
        <v>516565</v>
      </c>
      <c r="O82" s="13">
        <v>530998</v>
      </c>
      <c r="P82" s="13">
        <v>502826</v>
      </c>
      <c r="Q82" s="13">
        <v>490705</v>
      </c>
      <c r="R82" s="13">
        <v>454948</v>
      </c>
    </row>
    <row r="83" spans="1:19">
      <c r="A83" s="471"/>
      <c r="B83" s="12" t="s">
        <v>3</v>
      </c>
      <c r="C83" s="49"/>
      <c r="D83" s="49"/>
      <c r="E83" s="49"/>
      <c r="F83" s="49"/>
      <c r="G83" s="49"/>
      <c r="H83" s="49"/>
      <c r="I83" s="49"/>
      <c r="J83" s="49"/>
      <c r="K83" s="13">
        <v>691685</v>
      </c>
      <c r="L83" s="13">
        <v>667130</v>
      </c>
      <c r="M83" s="13">
        <v>720273</v>
      </c>
      <c r="N83" s="13">
        <v>702393</v>
      </c>
      <c r="O83" s="13">
        <v>740973</v>
      </c>
      <c r="P83" s="13">
        <v>750959</v>
      </c>
      <c r="Q83" s="13">
        <v>774537</v>
      </c>
      <c r="R83" s="13">
        <v>817574</v>
      </c>
    </row>
    <row r="84" spans="1:19">
      <c r="A84" s="471"/>
      <c r="B84" s="12" t="s">
        <v>4</v>
      </c>
      <c r="C84" s="49"/>
      <c r="D84" s="49"/>
      <c r="E84" s="49"/>
      <c r="F84" s="49"/>
      <c r="G84" s="49"/>
      <c r="H84" s="49"/>
      <c r="I84" s="49"/>
      <c r="J84" s="49"/>
      <c r="K84" s="13">
        <v>195370</v>
      </c>
      <c r="L84" s="13">
        <v>245735</v>
      </c>
      <c r="M84" s="13">
        <v>328406</v>
      </c>
      <c r="N84" s="13">
        <v>320152</v>
      </c>
      <c r="O84" s="13">
        <v>336789</v>
      </c>
      <c r="P84" s="13">
        <v>333842</v>
      </c>
      <c r="Q84" s="13">
        <v>347905</v>
      </c>
      <c r="R84" s="13">
        <v>367748</v>
      </c>
    </row>
    <row r="85" spans="1:19">
      <c r="A85" s="471"/>
      <c r="B85" s="55" t="s">
        <v>5</v>
      </c>
      <c r="C85" s="56"/>
      <c r="D85" s="56"/>
      <c r="E85" s="56"/>
      <c r="F85" s="56"/>
      <c r="G85" s="56"/>
      <c r="H85" s="56"/>
      <c r="I85" s="56"/>
      <c r="J85" s="56"/>
      <c r="K85" s="57">
        <v>1243357</v>
      </c>
      <c r="L85" s="57">
        <v>1203191</v>
      </c>
      <c r="M85" s="57">
        <v>1338730</v>
      </c>
      <c r="N85" s="57">
        <v>1291413</v>
      </c>
      <c r="O85" s="57">
        <v>1345635</v>
      </c>
      <c r="P85" s="57">
        <v>1321649</v>
      </c>
      <c r="Q85" s="57">
        <v>1352035</v>
      </c>
      <c r="R85" s="57">
        <v>1388994</v>
      </c>
    </row>
    <row r="86" spans="1:19">
      <c r="A86" s="472"/>
      <c r="B86" s="15" t="s">
        <v>6</v>
      </c>
      <c r="C86" s="50"/>
      <c r="D86" s="50"/>
      <c r="E86" s="50"/>
      <c r="F86" s="50"/>
      <c r="G86" s="50"/>
      <c r="H86" s="50"/>
      <c r="I86" s="50"/>
      <c r="J86" s="50"/>
      <c r="K86" s="16">
        <v>357667</v>
      </c>
      <c r="L86" s="16">
        <v>288364</v>
      </c>
      <c r="M86" s="16">
        <v>398111</v>
      </c>
      <c r="N86" s="16">
        <v>386089</v>
      </c>
      <c r="O86" s="16">
        <v>400817</v>
      </c>
      <c r="P86" s="16">
        <v>389439</v>
      </c>
      <c r="Q86" s="16">
        <v>357071</v>
      </c>
      <c r="R86" s="16">
        <v>307503</v>
      </c>
      <c r="S86" s="14"/>
    </row>
    <row r="87" spans="1:19" s="58" customFormat="1">
      <c r="A87" s="470" t="s">
        <v>21</v>
      </c>
      <c r="B87" s="51" t="s">
        <v>8</v>
      </c>
      <c r="C87" s="52"/>
      <c r="D87" s="52"/>
      <c r="E87" s="52"/>
      <c r="F87" s="52"/>
      <c r="G87" s="52"/>
      <c r="H87" s="52"/>
      <c r="I87" s="52"/>
      <c r="J87" s="52"/>
      <c r="K87" s="53">
        <f t="shared" ref="K87:R92" si="48">K75/K81</f>
        <v>850.1521144994357</v>
      </c>
      <c r="L87" s="53">
        <f t="shared" si="48"/>
        <v>831.63405044361843</v>
      </c>
      <c r="M87" s="53">
        <f t="shared" si="48"/>
        <v>902.11101525352751</v>
      </c>
      <c r="N87" s="53">
        <f t="shared" si="48"/>
        <v>801.71498217680619</v>
      </c>
      <c r="O87" s="53">
        <f t="shared" si="48"/>
        <v>864.87109440344773</v>
      </c>
      <c r="P87" s="53">
        <f t="shared" si="48"/>
        <v>847.41407099036246</v>
      </c>
      <c r="Q87" s="53">
        <f t="shared" si="48"/>
        <v>699.02798780789681</v>
      </c>
      <c r="R87" s="53">
        <f t="shared" si="48"/>
        <v>661.2335689618526</v>
      </c>
    </row>
    <row r="88" spans="1:19">
      <c r="A88" s="471"/>
      <c r="B88" s="59" t="s">
        <v>2</v>
      </c>
      <c r="C88" s="60"/>
      <c r="D88" s="60"/>
      <c r="E88" s="60"/>
      <c r="F88" s="60"/>
      <c r="G88" s="60"/>
      <c r="H88" s="60"/>
      <c r="I88" s="60"/>
      <c r="J88" s="60"/>
      <c r="K88" s="61">
        <f t="shared" si="48"/>
        <v>828.4518666595651</v>
      </c>
      <c r="L88" s="61">
        <f t="shared" si="48"/>
        <v>831.01938103983139</v>
      </c>
      <c r="M88" s="61">
        <f t="shared" si="48"/>
        <v>904.80896421838793</v>
      </c>
      <c r="N88" s="61">
        <f t="shared" si="48"/>
        <v>852.49950674164916</v>
      </c>
      <c r="O88" s="61">
        <f t="shared" si="48"/>
        <v>907.49206870835667</v>
      </c>
      <c r="P88" s="61">
        <f t="shared" si="48"/>
        <v>873.67826047181336</v>
      </c>
      <c r="Q88" s="61">
        <f t="shared" si="48"/>
        <v>807.49058395573718</v>
      </c>
      <c r="R88" s="61">
        <f t="shared" si="48"/>
        <v>661.25475438951264</v>
      </c>
    </row>
    <row r="89" spans="1:19">
      <c r="A89" s="471"/>
      <c r="B89" s="19" t="s">
        <v>3</v>
      </c>
      <c r="C89" s="54"/>
      <c r="D89" s="54"/>
      <c r="E89" s="54"/>
      <c r="F89" s="54"/>
      <c r="G89" s="54"/>
      <c r="H89" s="54"/>
      <c r="I89" s="54"/>
      <c r="J89" s="54"/>
      <c r="K89" s="20">
        <f t="shared" si="48"/>
        <v>777.78484208852296</v>
      </c>
      <c r="L89" s="20">
        <f t="shared" si="48"/>
        <v>756.28517725180996</v>
      </c>
      <c r="M89" s="20">
        <f t="shared" si="48"/>
        <v>843.0967676145018</v>
      </c>
      <c r="N89" s="20">
        <f t="shared" si="48"/>
        <v>715.77527210550215</v>
      </c>
      <c r="O89" s="20">
        <f t="shared" si="48"/>
        <v>776.05964846222469</v>
      </c>
      <c r="P89" s="61">
        <f t="shared" si="48"/>
        <v>818.66911509150304</v>
      </c>
      <c r="Q89" s="61">
        <f t="shared" si="48"/>
        <v>760.21950920356289</v>
      </c>
      <c r="R89" s="61">
        <f t="shared" si="48"/>
        <v>620.20786986866017</v>
      </c>
    </row>
    <row r="90" spans="1:19">
      <c r="A90" s="471"/>
      <c r="B90" s="19" t="s">
        <v>4</v>
      </c>
      <c r="C90" s="54"/>
      <c r="D90" s="54"/>
      <c r="E90" s="54"/>
      <c r="F90" s="54"/>
      <c r="G90" s="54"/>
      <c r="H90" s="54"/>
      <c r="I90" s="54"/>
      <c r="J90" s="54"/>
      <c r="K90" s="20">
        <f t="shared" si="48"/>
        <v>351.13827250857344</v>
      </c>
      <c r="L90" s="20">
        <f t="shared" si="48"/>
        <v>374.22538425539705</v>
      </c>
      <c r="M90" s="20">
        <f t="shared" si="48"/>
        <v>424.23854588527615</v>
      </c>
      <c r="N90" s="20">
        <f t="shared" si="48"/>
        <v>391.14605656063367</v>
      </c>
      <c r="O90" s="20">
        <f t="shared" si="48"/>
        <v>421.43268604378409</v>
      </c>
      <c r="P90" s="61">
        <f t="shared" si="48"/>
        <v>410.65473816955324</v>
      </c>
      <c r="Q90" s="61">
        <f t="shared" si="48"/>
        <v>383.81570831117688</v>
      </c>
      <c r="R90" s="61">
        <f t="shared" si="48"/>
        <v>350.16620620642396</v>
      </c>
    </row>
    <row r="91" spans="1:19">
      <c r="A91" s="471"/>
      <c r="B91" s="19" t="s">
        <v>5</v>
      </c>
      <c r="C91" s="54"/>
      <c r="D91" s="54"/>
      <c r="E91" s="54"/>
      <c r="F91" s="54"/>
      <c r="G91" s="54"/>
      <c r="H91" s="54"/>
      <c r="I91" s="54"/>
      <c r="J91" s="54"/>
      <c r="K91" s="20">
        <f t="shared" si="48"/>
        <v>825.03015553859427</v>
      </c>
      <c r="L91" s="20">
        <f t="shared" si="48"/>
        <v>812.12412434933435</v>
      </c>
      <c r="M91" s="20">
        <f t="shared" si="48"/>
        <v>886.25664323650028</v>
      </c>
      <c r="N91" s="20">
        <f t="shared" si="48"/>
        <v>788.12371417973952</v>
      </c>
      <c r="O91" s="20">
        <f t="shared" si="48"/>
        <v>845.75500339988184</v>
      </c>
      <c r="P91" s="20">
        <f t="shared" si="48"/>
        <v>850.47047892443459</v>
      </c>
      <c r="Q91" s="20">
        <f t="shared" si="48"/>
        <v>776.02221835973182</v>
      </c>
      <c r="R91" s="20">
        <f t="shared" si="48"/>
        <v>660.49238369640182</v>
      </c>
    </row>
    <row r="92" spans="1:19">
      <c r="A92" s="472"/>
      <c r="B92" s="19" t="s">
        <v>6</v>
      </c>
      <c r="C92" s="54"/>
      <c r="D92" s="54"/>
      <c r="E92" s="54"/>
      <c r="F92" s="54"/>
      <c r="G92" s="54"/>
      <c r="H92" s="54"/>
      <c r="I92" s="54"/>
      <c r="J92" s="54"/>
      <c r="K92" s="20">
        <f t="shared" si="48"/>
        <v>187.36983590882022</v>
      </c>
      <c r="L92" s="20">
        <f t="shared" si="48"/>
        <v>197.62338294655368</v>
      </c>
      <c r="M92" s="20">
        <f t="shared" si="48"/>
        <v>164.9152703642954</v>
      </c>
      <c r="N92" s="20">
        <f t="shared" si="48"/>
        <v>138.46837723944478</v>
      </c>
      <c r="O92" s="20">
        <f t="shared" si="48"/>
        <v>136.58339840875013</v>
      </c>
      <c r="P92" s="20">
        <f t="shared" si="48"/>
        <v>118.88124610015946</v>
      </c>
      <c r="Q92" s="20">
        <f t="shared" si="48"/>
        <v>107.79995295053365</v>
      </c>
      <c r="R92" s="20">
        <f t="shared" si="48"/>
        <v>66.791774389192952</v>
      </c>
    </row>
    <row r="93" spans="1:19" s="66" customFormat="1">
      <c r="A93" s="464" t="s">
        <v>58</v>
      </c>
      <c r="B93" s="64" t="s">
        <v>0</v>
      </c>
      <c r="C93" s="65"/>
      <c r="D93" s="65"/>
      <c r="E93" s="65"/>
      <c r="F93" s="65"/>
      <c r="G93" s="65"/>
      <c r="H93" s="65"/>
      <c r="I93" s="65"/>
      <c r="J93" s="65"/>
      <c r="K93" s="18">
        <f t="shared" ref="K93:Q93" si="49">K7</f>
        <v>4438757</v>
      </c>
      <c r="L93" s="18">
        <f t="shared" si="49"/>
        <v>3611663</v>
      </c>
      <c r="M93" s="18">
        <f t="shared" si="49"/>
        <v>4195399</v>
      </c>
      <c r="N93" s="18">
        <f t="shared" si="49"/>
        <v>3727241</v>
      </c>
      <c r="O93" s="18">
        <f t="shared" si="49"/>
        <v>4283658</v>
      </c>
      <c r="P93" s="18">
        <f t="shared" si="49"/>
        <v>3839637</v>
      </c>
      <c r="Q93" s="18">
        <f t="shared" si="49"/>
        <v>4721084</v>
      </c>
      <c r="R93" s="18">
        <f>R7</f>
        <v>6429719</v>
      </c>
      <c r="S93" s="8"/>
    </row>
    <row r="94" spans="1:19">
      <c r="A94" s="465"/>
      <c r="B94" s="73" t="s">
        <v>29</v>
      </c>
      <c r="C94" s="54"/>
      <c r="D94" s="54"/>
      <c r="E94" s="54"/>
      <c r="F94" s="54"/>
      <c r="G94" s="54"/>
      <c r="H94" s="54"/>
      <c r="I94" s="54"/>
      <c r="J94" s="54"/>
      <c r="K94" s="20">
        <f t="shared" ref="K94:Q94" si="50">K19</f>
        <v>2996835</v>
      </c>
      <c r="L94" s="20">
        <f t="shared" si="50"/>
        <v>2253028</v>
      </c>
      <c r="M94" s="20">
        <f t="shared" si="50"/>
        <v>2734385</v>
      </c>
      <c r="N94" s="20">
        <f t="shared" si="50"/>
        <v>2318652</v>
      </c>
      <c r="O94" s="20">
        <f t="shared" si="50"/>
        <v>2825013</v>
      </c>
      <c r="P94" s="20">
        <f t="shared" si="50"/>
        <v>2390706</v>
      </c>
      <c r="Q94" s="20">
        <f t="shared" si="50"/>
        <v>2883842</v>
      </c>
      <c r="R94" s="20">
        <f>R19</f>
        <v>3832721</v>
      </c>
    </row>
    <row r="95" spans="1:19" s="9" customFormat="1">
      <c r="A95" s="465"/>
      <c r="B95" s="64" t="s">
        <v>30</v>
      </c>
      <c r="C95" s="140"/>
      <c r="D95" s="140"/>
      <c r="E95" s="140"/>
      <c r="F95" s="140"/>
      <c r="G95" s="140"/>
      <c r="H95" s="140"/>
      <c r="I95" s="140"/>
      <c r="J95" s="140"/>
      <c r="K95" s="18">
        <f t="shared" ref="K95:Q95" si="51">K13</f>
        <v>1441922</v>
      </c>
      <c r="L95" s="18">
        <f t="shared" si="51"/>
        <v>1358635</v>
      </c>
      <c r="M95" s="18">
        <f t="shared" si="51"/>
        <v>1461014</v>
      </c>
      <c r="N95" s="18">
        <f t="shared" si="51"/>
        <v>1408589</v>
      </c>
      <c r="O95" s="18">
        <f t="shared" si="51"/>
        <v>1458645</v>
      </c>
      <c r="P95" s="18">
        <f t="shared" si="51"/>
        <v>1448931</v>
      </c>
      <c r="Q95" s="18">
        <f t="shared" si="51"/>
        <v>1837242</v>
      </c>
      <c r="R95" s="18">
        <f>R13</f>
        <v>2596998</v>
      </c>
      <c r="S95" s="8"/>
    </row>
    <row r="96" spans="1:19" s="71" customFormat="1">
      <c r="A96" s="465"/>
      <c r="B96" s="68" t="s">
        <v>31</v>
      </c>
      <c r="C96" s="69"/>
      <c r="D96" s="69"/>
      <c r="E96" s="69"/>
      <c r="F96" s="69"/>
      <c r="G96" s="69"/>
      <c r="H96" s="69"/>
      <c r="I96" s="69"/>
      <c r="J96" s="69"/>
      <c r="K96" s="70">
        <f t="shared" ref="K96:R96" si="52">K95/K93</f>
        <v>0.32484815005642348</v>
      </c>
      <c r="L96" s="70">
        <f t="shared" si="52"/>
        <v>0.37617989275300601</v>
      </c>
      <c r="M96" s="70">
        <f t="shared" si="52"/>
        <v>0.34824196697382059</v>
      </c>
      <c r="N96" s="70">
        <f t="shared" si="52"/>
        <v>0.37791733885734785</v>
      </c>
      <c r="O96" s="70">
        <f t="shared" si="52"/>
        <v>0.34051387855893256</v>
      </c>
      <c r="P96" s="70">
        <f t="shared" si="52"/>
        <v>0.37736145369992008</v>
      </c>
      <c r="Q96" s="70">
        <f t="shared" si="52"/>
        <v>0.38915681229141441</v>
      </c>
      <c r="R96" s="70">
        <f t="shared" si="52"/>
        <v>0.40390536507116409</v>
      </c>
    </row>
    <row r="97" spans="1:19">
      <c r="A97" s="465"/>
      <c r="B97" s="72" t="s">
        <v>32</v>
      </c>
      <c r="C97" s="54"/>
      <c r="D97" s="54"/>
      <c r="E97" s="54"/>
      <c r="F97" s="54"/>
      <c r="G97" s="54"/>
      <c r="H97" s="54"/>
      <c r="I97" s="54"/>
      <c r="J97" s="54"/>
      <c r="K97" s="53">
        <f>+新用户!K7</f>
        <v>276337</v>
      </c>
      <c r="L97" s="53">
        <f>+新用户!L7</f>
        <v>257177</v>
      </c>
      <c r="M97" s="53">
        <f>+新用户!M7</f>
        <v>286554</v>
      </c>
      <c r="N97" s="53">
        <f>+新用户!N7</f>
        <v>256896</v>
      </c>
      <c r="O97" s="53">
        <f>+新用户!O7</f>
        <v>280143</v>
      </c>
      <c r="P97" s="53">
        <f>+新用户!P7</f>
        <v>248110</v>
      </c>
      <c r="Q97" s="53">
        <f>+新用户!Q7</f>
        <v>273628</v>
      </c>
      <c r="R97" s="53">
        <f>+新用户!R7</f>
        <v>303056</v>
      </c>
      <c r="S97" s="14"/>
    </row>
    <row r="98" spans="1:19">
      <c r="A98" s="465"/>
      <c r="B98" s="73" t="s">
        <v>33</v>
      </c>
      <c r="C98" s="54"/>
      <c r="D98" s="54"/>
      <c r="E98" s="54"/>
      <c r="F98" s="54"/>
      <c r="G98" s="54"/>
      <c r="H98" s="54"/>
      <c r="I98" s="54"/>
      <c r="J98" s="54"/>
      <c r="K98" s="20">
        <f t="shared" ref="K98:R98" si="53">SUM(K101,K104)</f>
        <v>725397</v>
      </c>
      <c r="L98" s="20">
        <f t="shared" si="53"/>
        <v>613185</v>
      </c>
      <c r="M98" s="20">
        <f t="shared" si="53"/>
        <v>627926</v>
      </c>
      <c r="N98" s="20">
        <f t="shared" si="53"/>
        <v>573022</v>
      </c>
      <c r="O98" s="20">
        <f t="shared" si="53"/>
        <v>572876</v>
      </c>
      <c r="P98" s="20">
        <f t="shared" si="53"/>
        <v>532185</v>
      </c>
      <c r="Q98" s="20">
        <f t="shared" si="53"/>
        <v>532614</v>
      </c>
      <c r="R98" s="20">
        <f t="shared" si="53"/>
        <v>566716</v>
      </c>
    </row>
    <row r="99" spans="1:19">
      <c r="A99" s="465"/>
      <c r="B99" s="73" t="s">
        <v>34</v>
      </c>
      <c r="C99" s="54"/>
      <c r="D99" s="54"/>
      <c r="E99" s="54"/>
      <c r="F99" s="54"/>
      <c r="G99" s="54"/>
      <c r="H99" s="54"/>
      <c r="I99" s="54"/>
      <c r="J99" s="54"/>
      <c r="K99" s="20">
        <f t="shared" ref="K99:Q100" si="54">SUM(K102,K105)</f>
        <v>2626924</v>
      </c>
      <c r="L99" s="20">
        <f t="shared" si="54"/>
        <v>1957607</v>
      </c>
      <c r="M99" s="20">
        <f t="shared" si="54"/>
        <v>2470754</v>
      </c>
      <c r="N99" s="20">
        <f t="shared" si="54"/>
        <v>2090927</v>
      </c>
      <c r="O99" s="20">
        <f t="shared" si="54"/>
        <v>2560994</v>
      </c>
      <c r="P99" s="20">
        <f t="shared" si="54"/>
        <v>2117988</v>
      </c>
      <c r="Q99" s="20">
        <f t="shared" si="54"/>
        <v>2567817</v>
      </c>
      <c r="R99" s="20">
        <v>3350058</v>
      </c>
    </row>
    <row r="100" spans="1:19">
      <c r="A100" s="465"/>
      <c r="B100" s="73" t="s">
        <v>35</v>
      </c>
      <c r="C100" s="54"/>
      <c r="D100" s="54"/>
      <c r="E100" s="54"/>
      <c r="F100" s="54"/>
      <c r="G100" s="54"/>
      <c r="H100" s="54"/>
      <c r="I100" s="54"/>
      <c r="J100" s="54"/>
      <c r="K100" s="20">
        <f t="shared" si="54"/>
        <v>1295906</v>
      </c>
      <c r="L100" s="20">
        <f t="shared" si="54"/>
        <v>1245817</v>
      </c>
      <c r="M100" s="20">
        <f t="shared" si="54"/>
        <v>1317498</v>
      </c>
      <c r="N100" s="20">
        <f t="shared" si="54"/>
        <v>1267109</v>
      </c>
      <c r="O100" s="20">
        <f t="shared" si="54"/>
        <v>1356665</v>
      </c>
      <c r="P100" s="20">
        <f t="shared" si="54"/>
        <v>1351191</v>
      </c>
      <c r="Q100" s="20">
        <f t="shared" si="54"/>
        <v>1448079</v>
      </c>
      <c r="R100" s="20">
        <v>1541061</v>
      </c>
    </row>
    <row r="101" spans="1:19">
      <c r="A101" s="465"/>
      <c r="B101" s="67" t="s">
        <v>36</v>
      </c>
      <c r="C101" s="50"/>
      <c r="D101" s="50"/>
      <c r="E101" s="50"/>
      <c r="F101" s="50"/>
      <c r="G101" s="50"/>
      <c r="H101" s="50"/>
      <c r="I101" s="50"/>
      <c r="J101" s="50"/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4"/>
    </row>
    <row r="102" spans="1:19">
      <c r="A102" s="465"/>
      <c r="B102" s="67" t="s">
        <v>37</v>
      </c>
      <c r="C102" s="50"/>
      <c r="D102" s="50"/>
      <c r="E102" s="50"/>
      <c r="F102" s="50"/>
      <c r="G102" s="50"/>
      <c r="H102" s="50"/>
      <c r="I102" s="50"/>
      <c r="J102" s="50"/>
      <c r="K102" s="16">
        <v>2410573</v>
      </c>
      <c r="L102" s="16">
        <v>1694997</v>
      </c>
      <c r="M102" s="16">
        <v>2128127</v>
      </c>
      <c r="N102" s="16">
        <v>1745979</v>
      </c>
      <c r="O102" s="16">
        <v>2196920</v>
      </c>
      <c r="P102" s="16">
        <v>1770408</v>
      </c>
      <c r="Q102" s="16">
        <v>2201494</v>
      </c>
      <c r="R102" s="16">
        <v>2912674</v>
      </c>
    </row>
    <row r="103" spans="1:19">
      <c r="A103" s="465"/>
      <c r="B103" s="67" t="s">
        <v>38</v>
      </c>
      <c r="C103" s="50"/>
      <c r="D103" s="50"/>
      <c r="E103" s="50"/>
      <c r="F103" s="50"/>
      <c r="G103" s="50"/>
      <c r="H103" s="50"/>
      <c r="I103" s="50"/>
      <c r="J103" s="50"/>
      <c r="K103" s="16">
        <v>584023</v>
      </c>
      <c r="L103" s="16">
        <v>556054</v>
      </c>
      <c r="M103" s="16">
        <v>604503</v>
      </c>
      <c r="N103" s="16">
        <v>571318</v>
      </c>
      <c r="O103" s="16">
        <v>622227</v>
      </c>
      <c r="P103" s="16">
        <v>617897</v>
      </c>
      <c r="Q103" s="16">
        <v>676723</v>
      </c>
      <c r="R103" s="16">
        <v>715035</v>
      </c>
      <c r="S103" s="14"/>
    </row>
    <row r="104" spans="1:19">
      <c r="A104" s="465"/>
      <c r="B104" s="74" t="s">
        <v>39</v>
      </c>
      <c r="C104" s="50"/>
      <c r="D104" s="50"/>
      <c r="E104" s="50"/>
      <c r="F104" s="50"/>
      <c r="G104" s="50"/>
      <c r="H104" s="50"/>
      <c r="I104" s="50"/>
      <c r="J104" s="50"/>
      <c r="K104" s="75">
        <v>725397</v>
      </c>
      <c r="L104" s="75">
        <v>613185</v>
      </c>
      <c r="M104" s="75">
        <v>627926</v>
      </c>
      <c r="N104" s="75">
        <v>573022</v>
      </c>
      <c r="O104" s="75">
        <v>572876</v>
      </c>
      <c r="P104" s="75">
        <v>532185</v>
      </c>
      <c r="Q104" s="75">
        <v>532614</v>
      </c>
      <c r="R104" s="75">
        <v>566716</v>
      </c>
      <c r="S104" s="14"/>
    </row>
    <row r="105" spans="1:19">
      <c r="A105" s="465"/>
      <c r="B105" s="74" t="s">
        <v>40</v>
      </c>
      <c r="C105" s="50"/>
      <c r="D105" s="50"/>
      <c r="E105" s="50"/>
      <c r="F105" s="50"/>
      <c r="G105" s="50"/>
      <c r="H105" s="50"/>
      <c r="I105" s="50"/>
      <c r="J105" s="50"/>
      <c r="K105" s="75">
        <v>216351</v>
      </c>
      <c r="L105" s="75">
        <v>262610</v>
      </c>
      <c r="M105" s="75">
        <v>342627</v>
      </c>
      <c r="N105" s="75">
        <v>344948</v>
      </c>
      <c r="O105" s="75">
        <v>364074</v>
      </c>
      <c r="P105" s="75">
        <v>347580</v>
      </c>
      <c r="Q105" s="75">
        <v>366323</v>
      </c>
      <c r="R105" s="75">
        <f>R99-R102</f>
        <v>437384</v>
      </c>
    </row>
    <row r="106" spans="1:19">
      <c r="A106" s="466"/>
      <c r="B106" s="74" t="s">
        <v>41</v>
      </c>
      <c r="C106" s="50"/>
      <c r="D106" s="50"/>
      <c r="E106" s="50"/>
      <c r="F106" s="50"/>
      <c r="G106" s="50"/>
      <c r="H106" s="50"/>
      <c r="I106" s="50"/>
      <c r="J106" s="50"/>
      <c r="K106" s="75">
        <v>711883</v>
      </c>
      <c r="L106" s="75">
        <v>689763</v>
      </c>
      <c r="M106" s="75">
        <v>712995</v>
      </c>
      <c r="N106" s="75">
        <v>695791</v>
      </c>
      <c r="O106" s="75">
        <v>734438</v>
      </c>
      <c r="P106" s="75">
        <v>733294</v>
      </c>
      <c r="Q106" s="75">
        <v>771356</v>
      </c>
      <c r="R106" s="75">
        <f>R100-R103</f>
        <v>826026</v>
      </c>
    </row>
    <row r="107" spans="1:19" s="66" customFormat="1">
      <c r="A107" s="464" t="s">
        <v>209</v>
      </c>
      <c r="B107" s="64" t="s">
        <v>0</v>
      </c>
      <c r="C107" s="65"/>
      <c r="D107" s="65"/>
      <c r="E107" s="65"/>
      <c r="F107" s="65"/>
      <c r="G107" s="65"/>
      <c r="H107" s="65"/>
      <c r="I107" s="65"/>
      <c r="J107" s="65"/>
      <c r="K107" s="18">
        <f t="shared" ref="K107:Q107" si="55">K25</f>
        <v>0</v>
      </c>
      <c r="L107" s="18">
        <f t="shared" si="55"/>
        <v>0</v>
      </c>
      <c r="M107" s="18">
        <f t="shared" si="55"/>
        <v>0</v>
      </c>
      <c r="N107" s="18">
        <f t="shared" si="55"/>
        <v>0</v>
      </c>
      <c r="O107" s="18">
        <f t="shared" si="55"/>
        <v>0</v>
      </c>
      <c r="P107" s="18">
        <f t="shared" si="55"/>
        <v>76943</v>
      </c>
      <c r="Q107" s="18">
        <f t="shared" si="55"/>
        <v>374624</v>
      </c>
      <c r="R107" s="18">
        <f>R25</f>
        <v>1813221</v>
      </c>
      <c r="S107" s="8"/>
    </row>
    <row r="108" spans="1:19">
      <c r="A108" s="465"/>
      <c r="B108" s="73" t="s">
        <v>29</v>
      </c>
      <c r="C108" s="54"/>
      <c r="D108" s="54"/>
      <c r="E108" s="54"/>
      <c r="F108" s="54"/>
      <c r="G108" s="54"/>
      <c r="H108" s="54"/>
      <c r="I108" s="54"/>
      <c r="J108" s="54"/>
      <c r="K108" s="20">
        <f t="shared" ref="K108:Q108" si="56">K37</f>
        <v>0</v>
      </c>
      <c r="L108" s="20">
        <f t="shared" si="56"/>
        <v>0</v>
      </c>
      <c r="M108" s="20">
        <f t="shared" si="56"/>
        <v>0</v>
      </c>
      <c r="N108" s="20">
        <f t="shared" si="56"/>
        <v>0</v>
      </c>
      <c r="O108" s="20">
        <f t="shared" si="56"/>
        <v>0</v>
      </c>
      <c r="P108" s="20">
        <f t="shared" si="56"/>
        <v>0</v>
      </c>
      <c r="Q108" s="20">
        <f t="shared" si="56"/>
        <v>0</v>
      </c>
      <c r="R108" s="20">
        <f>R37</f>
        <v>744509</v>
      </c>
    </row>
    <row r="109" spans="1:19" s="9" customFormat="1">
      <c r="A109" s="465"/>
      <c r="B109" s="64" t="s">
        <v>30</v>
      </c>
      <c r="C109" s="140"/>
      <c r="D109" s="140"/>
      <c r="E109" s="140"/>
      <c r="F109" s="140"/>
      <c r="G109" s="140"/>
      <c r="H109" s="140"/>
      <c r="I109" s="140"/>
      <c r="J109" s="140"/>
      <c r="K109" s="18">
        <f t="shared" ref="K109:Q109" si="57">K31</f>
        <v>0</v>
      </c>
      <c r="L109" s="18">
        <f t="shared" si="57"/>
        <v>0</v>
      </c>
      <c r="M109" s="18">
        <f t="shared" si="57"/>
        <v>0</v>
      </c>
      <c r="N109" s="18">
        <f t="shared" si="57"/>
        <v>0</v>
      </c>
      <c r="O109" s="18">
        <f t="shared" si="57"/>
        <v>0</v>
      </c>
      <c r="P109" s="18">
        <f t="shared" si="57"/>
        <v>76943</v>
      </c>
      <c r="Q109" s="18">
        <f t="shared" si="57"/>
        <v>374624</v>
      </c>
      <c r="R109" s="18">
        <f>R31</f>
        <v>1068712</v>
      </c>
      <c r="S109" s="8"/>
    </row>
    <row r="110" spans="1:19" s="71" customFormat="1">
      <c r="A110" s="465"/>
      <c r="B110" s="68" t="s">
        <v>31</v>
      </c>
      <c r="C110" s="69"/>
      <c r="D110" s="69"/>
      <c r="E110" s="69"/>
      <c r="F110" s="69"/>
      <c r="G110" s="69"/>
      <c r="H110" s="69"/>
      <c r="I110" s="69"/>
      <c r="J110" s="69"/>
      <c r="K110" s="70"/>
      <c r="L110" s="70"/>
      <c r="M110" s="70"/>
      <c r="N110" s="70"/>
      <c r="O110" s="70"/>
      <c r="P110" s="70">
        <f>P109/P107</f>
        <v>1</v>
      </c>
      <c r="Q110" s="70">
        <f>Q109/Q107</f>
        <v>1</v>
      </c>
      <c r="R110" s="70">
        <f>R109/R107</f>
        <v>0.58939974774172588</v>
      </c>
    </row>
    <row r="111" spans="1:19">
      <c r="A111" s="465"/>
      <c r="B111" s="72" t="s">
        <v>32</v>
      </c>
      <c r="C111" s="54"/>
      <c r="D111" s="54"/>
      <c r="E111" s="54"/>
      <c r="F111" s="54"/>
      <c r="G111" s="54"/>
      <c r="H111" s="54"/>
      <c r="I111" s="54"/>
      <c r="J111" s="54"/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14"/>
    </row>
    <row r="112" spans="1:19">
      <c r="A112" s="465"/>
      <c r="B112" s="73" t="s">
        <v>33</v>
      </c>
      <c r="C112" s="54"/>
      <c r="D112" s="54"/>
      <c r="E112" s="54"/>
      <c r="F112" s="54"/>
      <c r="G112" s="54"/>
      <c r="H112" s="54"/>
      <c r="I112" s="54"/>
      <c r="J112" s="54"/>
      <c r="K112" s="20">
        <f t="shared" ref="K112:Q112" si="58">K115+K118</f>
        <v>0</v>
      </c>
      <c r="L112" s="20">
        <f t="shared" si="58"/>
        <v>0</v>
      </c>
      <c r="M112" s="20">
        <f t="shared" si="58"/>
        <v>0</v>
      </c>
      <c r="N112" s="20">
        <f t="shared" si="58"/>
        <v>0</v>
      </c>
      <c r="O112" s="20">
        <f t="shared" si="58"/>
        <v>0</v>
      </c>
      <c r="P112" s="20">
        <f t="shared" si="58"/>
        <v>0</v>
      </c>
      <c r="Q112" s="20">
        <f t="shared" si="58"/>
        <v>0</v>
      </c>
      <c r="R112" s="20">
        <f>R115+R118</f>
        <v>0</v>
      </c>
    </row>
    <row r="113" spans="1:19">
      <c r="A113" s="465"/>
      <c r="B113" s="73" t="s">
        <v>34</v>
      </c>
      <c r="C113" s="54"/>
      <c r="D113" s="54"/>
      <c r="E113" s="54"/>
      <c r="F113" s="54"/>
      <c r="G113" s="54"/>
      <c r="H113" s="54"/>
      <c r="I113" s="54"/>
      <c r="J113" s="54"/>
      <c r="K113" s="20">
        <f t="shared" ref="K113:Q113" si="59">K116+K119</f>
        <v>0</v>
      </c>
      <c r="L113" s="20">
        <f t="shared" si="59"/>
        <v>0</v>
      </c>
      <c r="M113" s="20">
        <f t="shared" si="59"/>
        <v>0</v>
      </c>
      <c r="N113" s="20">
        <f t="shared" si="59"/>
        <v>0</v>
      </c>
      <c r="O113" s="20">
        <f t="shared" si="59"/>
        <v>0</v>
      </c>
      <c r="P113" s="20">
        <f t="shared" si="59"/>
        <v>0</v>
      </c>
      <c r="Q113" s="20">
        <f t="shared" si="59"/>
        <v>0</v>
      </c>
      <c r="R113" s="20">
        <f>R116+R119</f>
        <v>744509</v>
      </c>
    </row>
    <row r="114" spans="1:19">
      <c r="A114" s="465"/>
      <c r="B114" s="73" t="s">
        <v>35</v>
      </c>
      <c r="C114" s="54"/>
      <c r="D114" s="54"/>
      <c r="E114" s="54"/>
      <c r="F114" s="54"/>
      <c r="G114" s="54"/>
      <c r="H114" s="54"/>
      <c r="I114" s="54"/>
      <c r="J114" s="54"/>
      <c r="K114" s="20">
        <f t="shared" ref="K114:Q114" si="60">K117+K120</f>
        <v>0</v>
      </c>
      <c r="L114" s="20">
        <f t="shared" si="60"/>
        <v>0</v>
      </c>
      <c r="M114" s="20">
        <f t="shared" si="60"/>
        <v>0</v>
      </c>
      <c r="N114" s="20">
        <f t="shared" si="60"/>
        <v>0</v>
      </c>
      <c r="O114" s="20">
        <f t="shared" si="60"/>
        <v>0</v>
      </c>
      <c r="P114" s="20">
        <f t="shared" si="60"/>
        <v>0</v>
      </c>
      <c r="Q114" s="20">
        <f t="shared" si="60"/>
        <v>0</v>
      </c>
      <c r="R114" s="20">
        <f>R117+R120</f>
        <v>0</v>
      </c>
    </row>
    <row r="115" spans="1:19">
      <c r="A115" s="465"/>
      <c r="B115" s="67" t="s">
        <v>36</v>
      </c>
      <c r="C115" s="50"/>
      <c r="D115" s="50"/>
      <c r="E115" s="50"/>
      <c r="F115" s="50"/>
      <c r="G115" s="50"/>
      <c r="H115" s="50"/>
      <c r="I115" s="50"/>
      <c r="J115" s="50"/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4"/>
    </row>
    <row r="116" spans="1:19">
      <c r="A116" s="465"/>
      <c r="B116" s="67" t="s">
        <v>37</v>
      </c>
      <c r="C116" s="50"/>
      <c r="D116" s="50"/>
      <c r="E116" s="50"/>
      <c r="F116" s="50"/>
      <c r="G116" s="50"/>
      <c r="H116" s="50"/>
      <c r="I116" s="50"/>
      <c r="J116" s="50"/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744509</v>
      </c>
    </row>
    <row r="117" spans="1:19">
      <c r="A117" s="465"/>
      <c r="B117" s="67" t="s">
        <v>38</v>
      </c>
      <c r="C117" s="50"/>
      <c r="D117" s="50"/>
      <c r="E117" s="50"/>
      <c r="F117" s="50"/>
      <c r="G117" s="50"/>
      <c r="H117" s="50"/>
      <c r="I117" s="50"/>
      <c r="J117" s="50"/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4"/>
    </row>
    <row r="118" spans="1:19">
      <c r="A118" s="465"/>
      <c r="B118" s="74" t="s">
        <v>39</v>
      </c>
      <c r="C118" s="50"/>
      <c r="D118" s="50"/>
      <c r="E118" s="50"/>
      <c r="F118" s="50"/>
      <c r="G118" s="50"/>
      <c r="H118" s="50"/>
      <c r="I118" s="50"/>
      <c r="J118" s="50"/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75">
        <v>0</v>
      </c>
      <c r="Q118" s="75">
        <v>0</v>
      </c>
      <c r="R118" s="75">
        <v>0</v>
      </c>
      <c r="S118" s="14"/>
    </row>
    <row r="119" spans="1:19">
      <c r="A119" s="465"/>
      <c r="B119" s="74" t="s">
        <v>40</v>
      </c>
      <c r="C119" s="50"/>
      <c r="D119" s="50"/>
      <c r="E119" s="50"/>
      <c r="F119" s="50"/>
      <c r="G119" s="50"/>
      <c r="H119" s="50"/>
      <c r="I119" s="50"/>
      <c r="J119" s="50"/>
      <c r="K119" s="75">
        <v>0</v>
      </c>
      <c r="L119" s="75">
        <v>0</v>
      </c>
      <c r="M119" s="75">
        <v>0</v>
      </c>
      <c r="N119" s="75">
        <v>0</v>
      </c>
      <c r="O119" s="75">
        <v>0</v>
      </c>
      <c r="P119" s="75">
        <v>0</v>
      </c>
      <c r="Q119" s="75">
        <v>0</v>
      </c>
      <c r="R119" s="75">
        <v>0</v>
      </c>
    </row>
    <row r="120" spans="1:19">
      <c r="A120" s="466"/>
      <c r="B120" s="74" t="s">
        <v>41</v>
      </c>
      <c r="C120" s="50"/>
      <c r="D120" s="50"/>
      <c r="E120" s="50"/>
      <c r="F120" s="50"/>
      <c r="G120" s="50"/>
      <c r="H120" s="50"/>
      <c r="I120" s="50"/>
      <c r="J120" s="50"/>
      <c r="K120" s="75">
        <v>0</v>
      </c>
      <c r="L120" s="75">
        <v>0</v>
      </c>
      <c r="M120" s="75">
        <v>0</v>
      </c>
      <c r="N120" s="75">
        <v>0</v>
      </c>
      <c r="O120" s="75">
        <v>0</v>
      </c>
      <c r="P120" s="75">
        <v>0</v>
      </c>
      <c r="Q120" s="75">
        <v>0</v>
      </c>
      <c r="R120" s="75">
        <v>0</v>
      </c>
    </row>
    <row r="121" spans="1:19" s="66" customFormat="1">
      <c r="A121" s="464" t="s">
        <v>208</v>
      </c>
      <c r="B121" s="64" t="s">
        <v>0</v>
      </c>
      <c r="C121" s="65"/>
      <c r="D121" s="65"/>
      <c r="E121" s="65"/>
      <c r="F121" s="65"/>
      <c r="G121" s="65"/>
      <c r="H121" s="65"/>
      <c r="I121" s="65"/>
      <c r="J121" s="65"/>
      <c r="K121" s="18">
        <f t="shared" ref="K121:Q121" si="61">K43</f>
        <v>4438757</v>
      </c>
      <c r="L121" s="18">
        <f t="shared" si="61"/>
        <v>3611663</v>
      </c>
      <c r="M121" s="18">
        <f t="shared" si="61"/>
        <v>4195399</v>
      </c>
      <c r="N121" s="18">
        <f t="shared" si="61"/>
        <v>3727241</v>
      </c>
      <c r="O121" s="18">
        <f t="shared" si="61"/>
        <v>4283658</v>
      </c>
      <c r="P121" s="18">
        <f t="shared" si="61"/>
        <v>3762694</v>
      </c>
      <c r="Q121" s="18">
        <f t="shared" si="61"/>
        <v>4346460</v>
      </c>
      <c r="R121" s="18">
        <f>R43</f>
        <v>4616498</v>
      </c>
      <c r="S121" s="8"/>
    </row>
    <row r="122" spans="1:19">
      <c r="A122" s="465"/>
      <c r="B122" s="73" t="s">
        <v>29</v>
      </c>
      <c r="C122" s="54"/>
      <c r="D122" s="54"/>
      <c r="E122" s="54"/>
      <c r="F122" s="54"/>
      <c r="G122" s="54"/>
      <c r="H122" s="54"/>
      <c r="I122" s="54"/>
      <c r="J122" s="54"/>
      <c r="K122" s="20">
        <f t="shared" ref="K122:Q122" si="62">K55</f>
        <v>2996835</v>
      </c>
      <c r="L122" s="20">
        <f t="shared" si="62"/>
        <v>2253028</v>
      </c>
      <c r="M122" s="20">
        <f t="shared" si="62"/>
        <v>2734385</v>
      </c>
      <c r="N122" s="20">
        <f t="shared" si="62"/>
        <v>2318652</v>
      </c>
      <c r="O122" s="20">
        <f t="shared" si="62"/>
        <v>2825013</v>
      </c>
      <c r="P122" s="20">
        <f t="shared" si="62"/>
        <v>2390706</v>
      </c>
      <c r="Q122" s="20">
        <f t="shared" si="62"/>
        <v>2883842</v>
      </c>
      <c r="R122" s="20">
        <f>R55</f>
        <v>3088212</v>
      </c>
    </row>
    <row r="123" spans="1:19" s="9" customFormat="1">
      <c r="A123" s="465"/>
      <c r="B123" s="64" t="s">
        <v>30</v>
      </c>
      <c r="C123" s="140"/>
      <c r="D123" s="140"/>
      <c r="E123" s="140"/>
      <c r="F123" s="140"/>
      <c r="G123" s="140"/>
      <c r="H123" s="140"/>
      <c r="I123" s="140"/>
      <c r="J123" s="140"/>
      <c r="K123" s="18">
        <f t="shared" ref="K123:Q123" si="63">K49</f>
        <v>1441922</v>
      </c>
      <c r="L123" s="18">
        <f t="shared" si="63"/>
        <v>1358635</v>
      </c>
      <c r="M123" s="18">
        <f t="shared" si="63"/>
        <v>1461014</v>
      </c>
      <c r="N123" s="18">
        <f t="shared" si="63"/>
        <v>1408589</v>
      </c>
      <c r="O123" s="18">
        <f t="shared" si="63"/>
        <v>1458645</v>
      </c>
      <c r="P123" s="18">
        <f t="shared" si="63"/>
        <v>1371988</v>
      </c>
      <c r="Q123" s="18">
        <f t="shared" si="63"/>
        <v>1462618</v>
      </c>
      <c r="R123" s="18">
        <f>R49</f>
        <v>1528286</v>
      </c>
      <c r="S123" s="8"/>
    </row>
    <row r="124" spans="1:19" s="71" customFormat="1">
      <c r="A124" s="465"/>
      <c r="B124" s="68" t="s">
        <v>31</v>
      </c>
      <c r="C124" s="69"/>
      <c r="D124" s="69"/>
      <c r="E124" s="69"/>
      <c r="F124" s="69"/>
      <c r="G124" s="69"/>
      <c r="H124" s="69"/>
      <c r="I124" s="69"/>
      <c r="J124" s="69"/>
      <c r="K124" s="70">
        <f t="shared" ref="K124:R124" si="64">K123/K121</f>
        <v>0.32484815005642348</v>
      </c>
      <c r="L124" s="70">
        <f t="shared" si="64"/>
        <v>0.37617989275300601</v>
      </c>
      <c r="M124" s="70">
        <f t="shared" si="64"/>
        <v>0.34824196697382059</v>
      </c>
      <c r="N124" s="70">
        <f t="shared" si="64"/>
        <v>0.37791733885734785</v>
      </c>
      <c r="O124" s="70">
        <f t="shared" si="64"/>
        <v>0.34051387855893256</v>
      </c>
      <c r="P124" s="70">
        <f t="shared" si="64"/>
        <v>0.36462917260877448</v>
      </c>
      <c r="Q124" s="70">
        <f t="shared" si="64"/>
        <v>0.33650787077299688</v>
      </c>
      <c r="R124" s="70">
        <f t="shared" si="64"/>
        <v>0.33104877333424598</v>
      </c>
    </row>
    <row r="125" spans="1:19">
      <c r="A125" s="465"/>
      <c r="B125" s="72" t="s">
        <v>32</v>
      </c>
      <c r="C125" s="54"/>
      <c r="D125" s="54"/>
      <c r="E125" s="54"/>
      <c r="F125" s="54"/>
      <c r="G125" s="54"/>
      <c r="H125" s="54"/>
      <c r="I125" s="54"/>
      <c r="J125" s="54"/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  <c r="S125" s="14"/>
    </row>
    <row r="126" spans="1:19">
      <c r="A126" s="465"/>
      <c r="B126" s="73" t="s">
        <v>33</v>
      </c>
      <c r="C126" s="54"/>
      <c r="D126" s="54"/>
      <c r="E126" s="54"/>
      <c r="F126" s="54"/>
      <c r="G126" s="54"/>
      <c r="H126" s="54"/>
      <c r="I126" s="54"/>
      <c r="J126" s="54"/>
      <c r="K126" s="20">
        <f t="shared" ref="K126:R126" si="65">SUM(K129,K132)</f>
        <v>725397</v>
      </c>
      <c r="L126" s="20">
        <f t="shared" si="65"/>
        <v>613185</v>
      </c>
      <c r="M126" s="20">
        <f t="shared" si="65"/>
        <v>627926</v>
      </c>
      <c r="N126" s="20">
        <f t="shared" si="65"/>
        <v>573022</v>
      </c>
      <c r="O126" s="20">
        <f t="shared" si="65"/>
        <v>572876</v>
      </c>
      <c r="P126" s="20">
        <f t="shared" si="65"/>
        <v>532185</v>
      </c>
      <c r="Q126" s="20">
        <f t="shared" si="65"/>
        <v>532614</v>
      </c>
      <c r="R126" s="20">
        <f t="shared" si="65"/>
        <v>566716</v>
      </c>
    </row>
    <row r="127" spans="1:19">
      <c r="A127" s="465"/>
      <c r="B127" s="73" t="s">
        <v>34</v>
      </c>
      <c r="C127" s="54"/>
      <c r="D127" s="54"/>
      <c r="E127" s="54"/>
      <c r="F127" s="54"/>
      <c r="G127" s="54"/>
      <c r="H127" s="54"/>
      <c r="I127" s="54"/>
      <c r="J127" s="54"/>
      <c r="K127" s="20">
        <f t="shared" ref="K127:R128" si="66">SUM(K130,K133)</f>
        <v>2843275</v>
      </c>
      <c r="L127" s="20">
        <f t="shared" si="66"/>
        <v>2220217</v>
      </c>
      <c r="M127" s="20">
        <f t="shared" si="66"/>
        <v>2813381</v>
      </c>
      <c r="N127" s="20">
        <f t="shared" si="66"/>
        <v>2435875</v>
      </c>
      <c r="O127" s="20">
        <f t="shared" si="66"/>
        <v>2925068</v>
      </c>
      <c r="P127" s="20">
        <f t="shared" si="66"/>
        <v>2465568</v>
      </c>
      <c r="Q127" s="20">
        <f t="shared" si="66"/>
        <v>2934140</v>
      </c>
      <c r="R127" s="20">
        <f t="shared" si="66"/>
        <v>3350058</v>
      </c>
    </row>
    <row r="128" spans="1:19">
      <c r="A128" s="465"/>
      <c r="B128" s="73" t="s">
        <v>35</v>
      </c>
      <c r="C128" s="54"/>
      <c r="D128" s="54"/>
      <c r="E128" s="54"/>
      <c r="F128" s="54"/>
      <c r="G128" s="54"/>
      <c r="H128" s="54"/>
      <c r="I128" s="54"/>
      <c r="J128" s="54"/>
      <c r="K128" s="20">
        <f t="shared" si="66"/>
        <v>1295906</v>
      </c>
      <c r="L128" s="20">
        <f t="shared" si="66"/>
        <v>1245817</v>
      </c>
      <c r="M128" s="20">
        <f t="shared" si="66"/>
        <v>1317498</v>
      </c>
      <c r="N128" s="20">
        <f t="shared" si="66"/>
        <v>1267109</v>
      </c>
      <c r="O128" s="20">
        <f t="shared" si="66"/>
        <v>1356665</v>
      </c>
      <c r="P128" s="20">
        <f t="shared" si="66"/>
        <v>1351191</v>
      </c>
      <c r="Q128" s="20">
        <f t="shared" si="66"/>
        <v>1448079</v>
      </c>
      <c r="R128" s="20">
        <f t="shared" si="66"/>
        <v>1541061</v>
      </c>
    </row>
    <row r="129" spans="1:19">
      <c r="A129" s="465"/>
      <c r="B129" s="67" t="s">
        <v>36</v>
      </c>
      <c r="C129" s="50"/>
      <c r="D129" s="50"/>
      <c r="E129" s="50"/>
      <c r="F129" s="50"/>
      <c r="G129" s="50"/>
      <c r="H129" s="50"/>
      <c r="I129" s="50"/>
      <c r="J129" s="50"/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4"/>
    </row>
    <row r="130" spans="1:19">
      <c r="A130" s="465"/>
      <c r="B130" s="67" t="s">
        <v>37</v>
      </c>
      <c r="C130" s="50"/>
      <c r="D130" s="50"/>
      <c r="E130" s="50"/>
      <c r="F130" s="50"/>
      <c r="G130" s="50"/>
      <c r="H130" s="50"/>
      <c r="I130" s="50"/>
      <c r="J130" s="50"/>
      <c r="K130" s="16">
        <v>2626924</v>
      </c>
      <c r="L130" s="16">
        <v>1957607</v>
      </c>
      <c r="M130" s="16">
        <v>2470754</v>
      </c>
      <c r="N130" s="16">
        <v>2090927</v>
      </c>
      <c r="O130" s="16">
        <v>2560994</v>
      </c>
      <c r="P130" s="16">
        <v>2117988</v>
      </c>
      <c r="Q130" s="16">
        <v>2567817</v>
      </c>
      <c r="R130" s="16">
        <v>2605549</v>
      </c>
    </row>
    <row r="131" spans="1:19">
      <c r="A131" s="465"/>
      <c r="B131" s="67" t="s">
        <v>38</v>
      </c>
      <c r="C131" s="50"/>
      <c r="D131" s="50"/>
      <c r="E131" s="50"/>
      <c r="F131" s="50"/>
      <c r="G131" s="50"/>
      <c r="H131" s="50"/>
      <c r="I131" s="50"/>
      <c r="J131" s="50"/>
      <c r="K131" s="16">
        <v>584023</v>
      </c>
      <c r="L131" s="16">
        <v>556054</v>
      </c>
      <c r="M131" s="16">
        <v>604503</v>
      </c>
      <c r="N131" s="16">
        <v>571318</v>
      </c>
      <c r="O131" s="16">
        <v>622227</v>
      </c>
      <c r="P131" s="16">
        <v>617897</v>
      </c>
      <c r="Q131" s="16">
        <v>676723</v>
      </c>
      <c r="R131" s="16">
        <v>715035</v>
      </c>
      <c r="S131" s="14"/>
    </row>
    <row r="132" spans="1:19">
      <c r="A132" s="465"/>
      <c r="B132" s="74" t="s">
        <v>39</v>
      </c>
      <c r="C132" s="50"/>
      <c r="D132" s="50"/>
      <c r="E132" s="50"/>
      <c r="F132" s="50"/>
      <c r="G132" s="50"/>
      <c r="H132" s="50"/>
      <c r="I132" s="50"/>
      <c r="J132" s="50"/>
      <c r="K132" s="75">
        <v>725397</v>
      </c>
      <c r="L132" s="75">
        <v>613185</v>
      </c>
      <c r="M132" s="75">
        <v>627926</v>
      </c>
      <c r="N132" s="75">
        <v>573022</v>
      </c>
      <c r="O132" s="75">
        <v>572876</v>
      </c>
      <c r="P132" s="75">
        <v>532185</v>
      </c>
      <c r="Q132" s="75">
        <v>532614</v>
      </c>
      <c r="R132" s="75">
        <v>566716</v>
      </c>
      <c r="S132" s="14"/>
    </row>
    <row r="133" spans="1:19">
      <c r="A133" s="465"/>
      <c r="B133" s="74" t="s">
        <v>40</v>
      </c>
      <c r="C133" s="50"/>
      <c r="D133" s="50"/>
      <c r="E133" s="50"/>
      <c r="F133" s="50"/>
      <c r="G133" s="50"/>
      <c r="H133" s="50"/>
      <c r="I133" s="50"/>
      <c r="J133" s="50"/>
      <c r="K133" s="75">
        <v>216351</v>
      </c>
      <c r="L133" s="75">
        <v>262610</v>
      </c>
      <c r="M133" s="75">
        <v>342627</v>
      </c>
      <c r="N133" s="75">
        <v>344948</v>
      </c>
      <c r="O133" s="75">
        <v>364074</v>
      </c>
      <c r="P133" s="75">
        <v>347580</v>
      </c>
      <c r="Q133" s="75">
        <v>366323</v>
      </c>
      <c r="R133" s="75">
        <v>744509</v>
      </c>
    </row>
    <row r="134" spans="1:19">
      <c r="A134" s="466"/>
      <c r="B134" s="74" t="s">
        <v>41</v>
      </c>
      <c r="C134" s="50"/>
      <c r="D134" s="50"/>
      <c r="E134" s="50"/>
      <c r="F134" s="50"/>
      <c r="G134" s="50"/>
      <c r="H134" s="50"/>
      <c r="I134" s="50"/>
      <c r="J134" s="50"/>
      <c r="K134" s="75">
        <v>711883</v>
      </c>
      <c r="L134" s="75">
        <v>689763</v>
      </c>
      <c r="M134" s="75">
        <v>712995</v>
      </c>
      <c r="N134" s="75">
        <v>695791</v>
      </c>
      <c r="O134" s="75">
        <v>734438</v>
      </c>
      <c r="P134" s="75">
        <v>733294</v>
      </c>
      <c r="Q134" s="75">
        <v>771356</v>
      </c>
      <c r="R134" s="75">
        <v>826026</v>
      </c>
    </row>
    <row r="135" spans="1:19" s="9" customFormat="1">
      <c r="A135" s="464" t="s">
        <v>59</v>
      </c>
      <c r="B135" s="64" t="s">
        <v>42</v>
      </c>
      <c r="C135" s="65"/>
      <c r="D135" s="65"/>
      <c r="E135" s="65"/>
      <c r="F135" s="65"/>
      <c r="G135" s="65"/>
      <c r="H135" s="65"/>
      <c r="I135" s="65"/>
      <c r="J135" s="65"/>
      <c r="K135" s="18">
        <f t="shared" ref="K135:Q135" si="67">K8</f>
        <v>1256080</v>
      </c>
      <c r="L135" s="18">
        <f t="shared" si="67"/>
        <v>1154843</v>
      </c>
      <c r="M135" s="18">
        <f t="shared" si="67"/>
        <v>1302210</v>
      </c>
      <c r="N135" s="18">
        <f t="shared" si="67"/>
        <v>1134147</v>
      </c>
      <c r="O135" s="18">
        <f t="shared" si="67"/>
        <v>1170999</v>
      </c>
      <c r="P135" s="18">
        <f t="shared" si="67"/>
        <v>1124578</v>
      </c>
      <c r="Q135" s="18">
        <f t="shared" si="67"/>
        <v>1089873</v>
      </c>
      <c r="R135" s="18">
        <f>R8</f>
        <v>1085820</v>
      </c>
    </row>
    <row r="136" spans="1:19">
      <c r="A136" s="465"/>
      <c r="B136" s="73" t="s">
        <v>43</v>
      </c>
      <c r="C136" s="54"/>
      <c r="D136" s="54"/>
      <c r="E136" s="54"/>
      <c r="F136" s="54"/>
      <c r="G136" s="54"/>
      <c r="H136" s="54"/>
      <c r="I136" s="54"/>
      <c r="J136" s="54"/>
      <c r="K136" s="20">
        <f t="shared" ref="K136:Q136" si="68">K20</f>
        <v>528762</v>
      </c>
      <c r="L136" s="20">
        <f t="shared" si="68"/>
        <v>492558</v>
      </c>
      <c r="M136" s="20">
        <f t="shared" si="68"/>
        <v>562067</v>
      </c>
      <c r="N136" s="20">
        <f t="shared" si="68"/>
        <v>503457</v>
      </c>
      <c r="O136" s="20">
        <f t="shared" si="68"/>
        <v>518224</v>
      </c>
      <c r="P136" s="20">
        <f t="shared" si="68"/>
        <v>506778</v>
      </c>
      <c r="Q136" s="20">
        <f t="shared" si="68"/>
        <v>488548</v>
      </c>
      <c r="R136" s="20">
        <f>R20</f>
        <v>476740</v>
      </c>
      <c r="S136" s="14"/>
    </row>
    <row r="137" spans="1:19" s="9" customFormat="1">
      <c r="A137" s="465"/>
      <c r="B137" s="64" t="s">
        <v>44</v>
      </c>
      <c r="C137" s="140"/>
      <c r="D137" s="140"/>
      <c r="E137" s="140"/>
      <c r="F137" s="140"/>
      <c r="G137" s="140"/>
      <c r="H137" s="140"/>
      <c r="I137" s="140"/>
      <c r="J137" s="140"/>
      <c r="K137" s="18">
        <f t="shared" ref="K137:Q137" si="69">K14</f>
        <v>727318</v>
      </c>
      <c r="L137" s="18">
        <f t="shared" si="69"/>
        <v>662285</v>
      </c>
      <c r="M137" s="18">
        <f t="shared" si="69"/>
        <v>740143</v>
      </c>
      <c r="N137" s="18">
        <f t="shared" si="69"/>
        <v>630690</v>
      </c>
      <c r="O137" s="18">
        <f t="shared" si="69"/>
        <v>652775</v>
      </c>
      <c r="P137" s="18">
        <f t="shared" si="69"/>
        <v>617800</v>
      </c>
      <c r="Q137" s="18">
        <f t="shared" si="69"/>
        <v>601325</v>
      </c>
      <c r="R137" s="18">
        <f>R14</f>
        <v>609080</v>
      </c>
    </row>
    <row r="138" spans="1:19" s="71" customFormat="1">
      <c r="A138" s="465"/>
      <c r="B138" s="68" t="s">
        <v>45</v>
      </c>
      <c r="C138" s="69"/>
      <c r="D138" s="69"/>
      <c r="E138" s="69"/>
      <c r="F138" s="69"/>
      <c r="G138" s="69"/>
      <c r="H138" s="69"/>
      <c r="I138" s="69"/>
      <c r="J138" s="69"/>
      <c r="K138" s="70">
        <f t="shared" ref="K138:R138" si="70">K137/K135</f>
        <v>0.5790379593656455</v>
      </c>
      <c r="L138" s="70">
        <f t="shared" si="70"/>
        <v>0.57348488062879543</v>
      </c>
      <c r="M138" s="70">
        <f t="shared" si="70"/>
        <v>0.56837453252547587</v>
      </c>
      <c r="N138" s="70">
        <f t="shared" si="70"/>
        <v>0.55609193517242472</v>
      </c>
      <c r="O138" s="70">
        <f t="shared" si="70"/>
        <v>0.5574513727167999</v>
      </c>
      <c r="P138" s="70">
        <f t="shared" si="70"/>
        <v>0.54936162720593862</v>
      </c>
      <c r="Q138" s="70">
        <f t="shared" si="70"/>
        <v>0.55173859706589667</v>
      </c>
      <c r="R138" s="70">
        <f t="shared" si="70"/>
        <v>0.56094011898841434</v>
      </c>
    </row>
    <row r="139" spans="1:19">
      <c r="A139" s="465"/>
      <c r="B139" s="72" t="s">
        <v>46</v>
      </c>
      <c r="C139" s="54"/>
      <c r="D139" s="54"/>
      <c r="E139" s="54"/>
      <c r="F139" s="54"/>
      <c r="G139" s="54"/>
      <c r="H139" s="54"/>
      <c r="I139" s="54"/>
      <c r="J139" s="54"/>
      <c r="K139" s="53">
        <f>+新用户!K8</f>
        <v>70254</v>
      </c>
      <c r="L139" s="53">
        <f>+新用户!L8</f>
        <v>65679</v>
      </c>
      <c r="M139" s="53">
        <f>+新用户!M8</f>
        <v>76642</v>
      </c>
      <c r="N139" s="53">
        <f>+新用户!N8</f>
        <v>57750</v>
      </c>
      <c r="O139" s="53">
        <f>+新用户!O8</f>
        <v>61826</v>
      </c>
      <c r="P139" s="53">
        <f>+新用户!P8</f>
        <v>54280</v>
      </c>
      <c r="Q139" s="53">
        <f>+新用户!Q8</f>
        <v>57945</v>
      </c>
      <c r="R139" s="53">
        <f>+新用户!R8</f>
        <v>59456</v>
      </c>
    </row>
    <row r="140" spans="1:19">
      <c r="A140" s="465"/>
      <c r="B140" s="73" t="s">
        <v>47</v>
      </c>
      <c r="C140" s="54"/>
      <c r="D140" s="54"/>
      <c r="E140" s="54"/>
      <c r="F140" s="54"/>
      <c r="G140" s="54"/>
      <c r="H140" s="54"/>
      <c r="I140" s="54"/>
      <c r="J140" s="54"/>
      <c r="K140" s="20">
        <f t="shared" ref="K140:Q142" si="71">K146+K143</f>
        <v>379698</v>
      </c>
      <c r="L140" s="20">
        <f t="shared" si="71"/>
        <v>322336</v>
      </c>
      <c r="M140" s="20">
        <f t="shared" si="71"/>
        <v>350372</v>
      </c>
      <c r="N140" s="20">
        <f t="shared" si="71"/>
        <v>284957</v>
      </c>
      <c r="O140" s="20">
        <f t="shared" si="71"/>
        <v>321522</v>
      </c>
      <c r="P140" s="20">
        <f t="shared" si="71"/>
        <v>297748</v>
      </c>
      <c r="Q140" s="20">
        <f t="shared" si="71"/>
        <v>289059</v>
      </c>
      <c r="R140" s="20">
        <f>R146+R143</f>
        <v>283045</v>
      </c>
    </row>
    <row r="141" spans="1:19">
      <c r="A141" s="465"/>
      <c r="B141" s="73" t="s">
        <v>34</v>
      </c>
      <c r="C141" s="54"/>
      <c r="D141" s="54"/>
      <c r="E141" s="54"/>
      <c r="F141" s="54"/>
      <c r="G141" s="54"/>
      <c r="H141" s="54"/>
      <c r="I141" s="54"/>
      <c r="J141" s="54"/>
      <c r="K141" s="20">
        <f t="shared" si="71"/>
        <v>386183</v>
      </c>
      <c r="L141" s="20">
        <f t="shared" si="71"/>
        <v>377560</v>
      </c>
      <c r="M141" s="20">
        <f t="shared" si="71"/>
        <v>426497</v>
      </c>
      <c r="N141" s="20">
        <f t="shared" si="71"/>
        <v>403162</v>
      </c>
      <c r="O141" s="20">
        <f t="shared" si="71"/>
        <v>406422</v>
      </c>
      <c r="P141" s="20">
        <f t="shared" si="71"/>
        <v>425741</v>
      </c>
      <c r="Q141" s="20">
        <f t="shared" si="71"/>
        <v>425264</v>
      </c>
      <c r="R141" s="20">
        <f>R147+R144</f>
        <v>422196</v>
      </c>
    </row>
    <row r="142" spans="1:19">
      <c r="A142" s="465"/>
      <c r="B142" s="73" t="s">
        <v>48</v>
      </c>
      <c r="C142" s="54"/>
      <c r="D142" s="54"/>
      <c r="E142" s="54"/>
      <c r="F142" s="54"/>
      <c r="G142" s="54"/>
      <c r="H142" s="54"/>
      <c r="I142" s="54"/>
      <c r="J142" s="54"/>
      <c r="K142" s="20">
        <f t="shared" si="71"/>
        <v>558843</v>
      </c>
      <c r="L142" s="20">
        <f t="shared" si="71"/>
        <v>511134</v>
      </c>
      <c r="M142" s="20">
        <f t="shared" si="71"/>
        <v>595381</v>
      </c>
      <c r="N142" s="20">
        <f t="shared" si="71"/>
        <v>497649</v>
      </c>
      <c r="O142" s="20">
        <f t="shared" si="71"/>
        <v>474184</v>
      </c>
      <c r="P142" s="20">
        <f t="shared" si="71"/>
        <v>444447</v>
      </c>
      <c r="Q142" s="20">
        <f t="shared" si="71"/>
        <v>425385</v>
      </c>
      <c r="R142" s="20">
        <f>R148+R145</f>
        <v>430964</v>
      </c>
    </row>
    <row r="143" spans="1:19">
      <c r="A143" s="465"/>
      <c r="B143" s="76" t="s">
        <v>36</v>
      </c>
      <c r="C143" s="49"/>
      <c r="D143" s="49"/>
      <c r="E143" s="49"/>
      <c r="F143" s="49"/>
      <c r="G143" s="49"/>
      <c r="H143" s="49"/>
      <c r="I143" s="49"/>
      <c r="J143" s="49"/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</row>
    <row r="144" spans="1:19">
      <c r="A144" s="465"/>
      <c r="B144" s="76" t="s">
        <v>37</v>
      </c>
      <c r="C144" s="49"/>
      <c r="D144" s="49"/>
      <c r="E144" s="49"/>
      <c r="F144" s="49"/>
      <c r="G144" s="49"/>
      <c r="H144" s="49"/>
      <c r="I144" s="49"/>
      <c r="J144" s="49"/>
      <c r="K144" s="13">
        <v>342637</v>
      </c>
      <c r="L144" s="13">
        <v>330162</v>
      </c>
      <c r="M144" s="13">
        <v>362342</v>
      </c>
      <c r="N144" s="13">
        <v>343787</v>
      </c>
      <c r="O144" s="13">
        <v>340806</v>
      </c>
      <c r="P144" s="13">
        <v>354289</v>
      </c>
      <c r="Q144" s="13">
        <v>353261</v>
      </c>
      <c r="R144" s="13">
        <v>341559</v>
      </c>
    </row>
    <row r="145" spans="1:19">
      <c r="A145" s="465"/>
      <c r="B145" s="76" t="s">
        <v>38</v>
      </c>
      <c r="C145" s="49"/>
      <c r="D145" s="49"/>
      <c r="E145" s="49"/>
      <c r="F145" s="49"/>
      <c r="G145" s="49"/>
      <c r="H145" s="49"/>
      <c r="I145" s="49"/>
      <c r="J145" s="49"/>
      <c r="K145" s="13">
        <v>180551</v>
      </c>
      <c r="L145" s="13">
        <v>158577</v>
      </c>
      <c r="M145" s="13">
        <v>199163</v>
      </c>
      <c r="N145" s="13">
        <v>159263</v>
      </c>
      <c r="O145" s="13">
        <v>150476</v>
      </c>
      <c r="P145" s="13">
        <v>140135</v>
      </c>
      <c r="Q145" s="13">
        <v>135191</v>
      </c>
      <c r="R145" s="13">
        <v>136214</v>
      </c>
    </row>
    <row r="146" spans="1:19">
      <c r="A146" s="465"/>
      <c r="B146" s="77" t="s">
        <v>39</v>
      </c>
      <c r="C146" s="49"/>
      <c r="D146" s="49"/>
      <c r="E146" s="49"/>
      <c r="F146" s="49"/>
      <c r="G146" s="49"/>
      <c r="H146" s="49"/>
      <c r="I146" s="49"/>
      <c r="J146" s="49"/>
      <c r="K146" s="78">
        <v>379698</v>
      </c>
      <c r="L146" s="78">
        <v>322336</v>
      </c>
      <c r="M146" s="78">
        <v>350372</v>
      </c>
      <c r="N146" s="78">
        <v>284957</v>
      </c>
      <c r="O146" s="78">
        <v>321522</v>
      </c>
      <c r="P146" s="78">
        <v>297748</v>
      </c>
      <c r="Q146" s="78">
        <v>289059</v>
      </c>
      <c r="R146" s="78">
        <v>283045</v>
      </c>
    </row>
    <row r="147" spans="1:19">
      <c r="A147" s="465"/>
      <c r="B147" s="77" t="s">
        <v>40</v>
      </c>
      <c r="C147" s="49"/>
      <c r="D147" s="49"/>
      <c r="E147" s="49"/>
      <c r="F147" s="49"/>
      <c r="G147" s="49"/>
      <c r="H147" s="49"/>
      <c r="I147" s="49"/>
      <c r="J147" s="49"/>
      <c r="K147" s="78">
        <v>43546</v>
      </c>
      <c r="L147" s="78">
        <v>47398</v>
      </c>
      <c r="M147" s="78">
        <v>64155</v>
      </c>
      <c r="N147" s="78">
        <v>59375</v>
      </c>
      <c r="O147" s="78">
        <v>65616</v>
      </c>
      <c r="P147" s="78">
        <v>71452</v>
      </c>
      <c r="Q147" s="78">
        <v>72003</v>
      </c>
      <c r="R147" s="78">
        <v>80637</v>
      </c>
    </row>
    <row r="148" spans="1:19">
      <c r="A148" s="466"/>
      <c r="B148" s="77" t="s">
        <v>41</v>
      </c>
      <c r="C148" s="49"/>
      <c r="D148" s="49"/>
      <c r="E148" s="49"/>
      <c r="F148" s="49"/>
      <c r="G148" s="49"/>
      <c r="H148" s="49"/>
      <c r="I148" s="49"/>
      <c r="J148" s="49"/>
      <c r="K148" s="78">
        <v>378292</v>
      </c>
      <c r="L148" s="78">
        <v>352557</v>
      </c>
      <c r="M148" s="78">
        <v>396218</v>
      </c>
      <c r="N148" s="78">
        <v>338386</v>
      </c>
      <c r="O148" s="78">
        <v>323708</v>
      </c>
      <c r="P148" s="78">
        <v>304312</v>
      </c>
      <c r="Q148" s="78">
        <v>290194</v>
      </c>
      <c r="R148" s="78">
        <v>294750</v>
      </c>
    </row>
    <row r="149" spans="1:19">
      <c r="A149" s="467" t="s">
        <v>60</v>
      </c>
      <c r="B149" s="19" t="s">
        <v>49</v>
      </c>
      <c r="C149" s="54"/>
      <c r="D149" s="54"/>
      <c r="E149" s="54"/>
      <c r="F149" s="54"/>
      <c r="G149" s="54"/>
      <c r="H149" s="54"/>
      <c r="I149" s="54"/>
      <c r="J149" s="54"/>
      <c r="K149" s="20">
        <f t="shared" ref="K149:Q149" si="72">K123</f>
        <v>1441922</v>
      </c>
      <c r="L149" s="20">
        <f t="shared" si="72"/>
        <v>1358635</v>
      </c>
      <c r="M149" s="20">
        <f t="shared" si="72"/>
        <v>1461014</v>
      </c>
      <c r="N149" s="20">
        <f t="shared" si="72"/>
        <v>1408589</v>
      </c>
      <c r="O149" s="20">
        <f t="shared" si="72"/>
        <v>1458645</v>
      </c>
      <c r="P149" s="20">
        <f t="shared" si="72"/>
        <v>1371988</v>
      </c>
      <c r="Q149" s="20">
        <f t="shared" si="72"/>
        <v>1462618</v>
      </c>
      <c r="R149" s="20">
        <f>R123</f>
        <v>1528286</v>
      </c>
      <c r="S149" s="8"/>
    </row>
    <row r="150" spans="1:19">
      <c r="A150" s="468"/>
      <c r="B150" s="19" t="s">
        <v>50</v>
      </c>
      <c r="C150" s="54"/>
      <c r="D150" s="54"/>
      <c r="E150" s="54"/>
      <c r="F150" s="54"/>
      <c r="G150" s="54"/>
      <c r="H150" s="54"/>
      <c r="I150" s="54"/>
      <c r="J150" s="54"/>
      <c r="K150" s="20">
        <f t="shared" ref="K150:Q150" si="73">K137</f>
        <v>727318</v>
      </c>
      <c r="L150" s="20">
        <f t="shared" si="73"/>
        <v>662285</v>
      </c>
      <c r="M150" s="20">
        <f t="shared" si="73"/>
        <v>740143</v>
      </c>
      <c r="N150" s="20">
        <f>N137</f>
        <v>630690</v>
      </c>
      <c r="O150" s="20">
        <f t="shared" si="73"/>
        <v>652775</v>
      </c>
      <c r="P150" s="20">
        <f t="shared" si="73"/>
        <v>617800</v>
      </c>
      <c r="Q150" s="20">
        <f t="shared" si="73"/>
        <v>601325</v>
      </c>
      <c r="R150" s="20">
        <f>R137</f>
        <v>609080</v>
      </c>
    </row>
    <row r="151" spans="1:19">
      <c r="A151" s="468"/>
      <c r="B151" s="142" t="s">
        <v>51</v>
      </c>
      <c r="C151" s="143"/>
      <c r="D151" s="143"/>
      <c r="E151" s="143"/>
      <c r="F151" s="143"/>
      <c r="G151" s="143"/>
      <c r="H151" s="143"/>
      <c r="I151" s="143"/>
      <c r="J151" s="143"/>
      <c r="K151" s="75">
        <v>642520</v>
      </c>
      <c r="L151" s="75">
        <v>582847</v>
      </c>
      <c r="M151" s="75">
        <v>653911</v>
      </c>
      <c r="N151" s="75">
        <v>561355</v>
      </c>
      <c r="O151" s="75">
        <v>588602</v>
      </c>
      <c r="P151" s="75">
        <v>559012</v>
      </c>
      <c r="Q151" s="75">
        <v>546486</v>
      </c>
      <c r="R151" s="75">
        <v>558949</v>
      </c>
    </row>
    <row r="152" spans="1:19">
      <c r="A152" s="468"/>
      <c r="B152" s="79" t="s">
        <v>52</v>
      </c>
      <c r="C152" s="54"/>
      <c r="D152" s="54"/>
      <c r="E152" s="54"/>
      <c r="F152" s="54"/>
      <c r="G152" s="54"/>
      <c r="H152" s="54"/>
      <c r="I152" s="54"/>
      <c r="J152" s="54"/>
      <c r="K152" s="20">
        <f t="shared" ref="K152:R152" si="74">+K149-K151</f>
        <v>799402</v>
      </c>
      <c r="L152" s="20">
        <f t="shared" si="74"/>
        <v>775788</v>
      </c>
      <c r="M152" s="20">
        <f t="shared" si="74"/>
        <v>807103</v>
      </c>
      <c r="N152" s="20">
        <f t="shared" si="74"/>
        <v>847234</v>
      </c>
      <c r="O152" s="20">
        <f t="shared" si="74"/>
        <v>870043</v>
      </c>
      <c r="P152" s="20">
        <f t="shared" si="74"/>
        <v>812976</v>
      </c>
      <c r="Q152" s="20">
        <f t="shared" si="74"/>
        <v>916132</v>
      </c>
      <c r="R152" s="20">
        <f t="shared" si="74"/>
        <v>969337</v>
      </c>
    </row>
    <row r="153" spans="1:19">
      <c r="A153" s="468"/>
      <c r="B153" s="79" t="s">
        <v>53</v>
      </c>
      <c r="C153" s="54"/>
      <c r="D153" s="54"/>
      <c r="E153" s="54"/>
      <c r="F153" s="54"/>
      <c r="G153" s="54"/>
      <c r="H153" s="54"/>
      <c r="I153" s="54"/>
      <c r="J153" s="54"/>
      <c r="K153" s="20">
        <f t="shared" ref="K153:R153" si="75">+K150-K151</f>
        <v>84798</v>
      </c>
      <c r="L153" s="20">
        <f t="shared" si="75"/>
        <v>79438</v>
      </c>
      <c r="M153" s="20">
        <f t="shared" si="75"/>
        <v>86232</v>
      </c>
      <c r="N153" s="20">
        <f t="shared" si="75"/>
        <v>69335</v>
      </c>
      <c r="O153" s="20">
        <f t="shared" si="75"/>
        <v>64173</v>
      </c>
      <c r="P153" s="20">
        <f t="shared" si="75"/>
        <v>58788</v>
      </c>
      <c r="Q153" s="20">
        <f t="shared" si="75"/>
        <v>54839</v>
      </c>
      <c r="R153" s="20">
        <f t="shared" si="75"/>
        <v>50131</v>
      </c>
    </row>
    <row r="154" spans="1:19" s="33" customFormat="1">
      <c r="A154" s="468"/>
      <c r="B154" s="80" t="s">
        <v>54</v>
      </c>
      <c r="C154" s="81"/>
      <c r="D154" s="81"/>
      <c r="E154" s="81"/>
      <c r="F154" s="81"/>
      <c r="G154" s="81"/>
      <c r="H154" s="81"/>
      <c r="I154" s="81"/>
      <c r="J154" s="81"/>
      <c r="K154" s="82">
        <f t="shared" ref="K154:R154" si="76">K151/K149</f>
        <v>0.44559969263247251</v>
      </c>
      <c r="L154" s="82">
        <f t="shared" si="76"/>
        <v>0.42899454231636902</v>
      </c>
      <c r="M154" s="82">
        <f t="shared" si="76"/>
        <v>0.44757339765395815</v>
      </c>
      <c r="N154" s="82">
        <f t="shared" si="76"/>
        <v>0.39852291903457998</v>
      </c>
      <c r="O154" s="82">
        <f t="shared" si="76"/>
        <v>0.40352656060933262</v>
      </c>
      <c r="P154" s="82">
        <f t="shared" si="76"/>
        <v>0.40744671236191571</v>
      </c>
      <c r="Q154" s="82">
        <f t="shared" si="76"/>
        <v>0.37363549470880297</v>
      </c>
      <c r="R154" s="82">
        <f t="shared" si="76"/>
        <v>0.36573586357527321</v>
      </c>
    </row>
    <row r="155" spans="1:19" s="33" customFormat="1">
      <c r="A155" s="468"/>
      <c r="B155" s="80" t="s">
        <v>55</v>
      </c>
      <c r="C155" s="81"/>
      <c r="D155" s="81"/>
      <c r="E155" s="81"/>
      <c r="F155" s="81"/>
      <c r="G155" s="81"/>
      <c r="H155" s="81"/>
      <c r="I155" s="81"/>
      <c r="J155" s="81"/>
      <c r="K155" s="82">
        <f t="shared" ref="K155:R155" si="77">K151/K150</f>
        <v>0.88341000772701894</v>
      </c>
      <c r="L155" s="82">
        <f t="shared" si="77"/>
        <v>0.88005465924790682</v>
      </c>
      <c r="M155" s="82">
        <f t="shared" si="77"/>
        <v>0.88349278450245428</v>
      </c>
      <c r="N155" s="82">
        <f t="shared" si="77"/>
        <v>0.89006484960915822</v>
      </c>
      <c r="O155" s="82">
        <f t="shared" si="77"/>
        <v>0.90169200720003062</v>
      </c>
      <c r="P155" s="82">
        <f t="shared" si="77"/>
        <v>0.90484299125930723</v>
      </c>
      <c r="Q155" s="82">
        <f t="shared" si="77"/>
        <v>0.90880305990936683</v>
      </c>
      <c r="R155" s="82">
        <f t="shared" si="77"/>
        <v>0.91769389899520593</v>
      </c>
    </row>
    <row r="156" spans="1:19" s="33" customFormat="1">
      <c r="A156" s="468"/>
      <c r="B156" s="80" t="s">
        <v>56</v>
      </c>
      <c r="C156" s="81"/>
      <c r="D156" s="81"/>
      <c r="E156" s="81"/>
      <c r="F156" s="81"/>
      <c r="G156" s="81"/>
      <c r="H156" s="81"/>
      <c r="I156" s="81"/>
      <c r="J156" s="81"/>
      <c r="K156" s="82">
        <f t="shared" ref="K156:R156" si="78">+K151/K149</f>
        <v>0.44559969263247251</v>
      </c>
      <c r="L156" s="82">
        <f t="shared" si="78"/>
        <v>0.42899454231636902</v>
      </c>
      <c r="M156" s="82">
        <f t="shared" si="78"/>
        <v>0.44757339765395815</v>
      </c>
      <c r="N156" s="82">
        <f t="shared" si="78"/>
        <v>0.39852291903457998</v>
      </c>
      <c r="O156" s="82">
        <f t="shared" si="78"/>
        <v>0.40352656060933262</v>
      </c>
      <c r="P156" s="82">
        <f t="shared" si="78"/>
        <v>0.40744671236191571</v>
      </c>
      <c r="Q156" s="82">
        <f t="shared" si="78"/>
        <v>0.37363549470880297</v>
      </c>
      <c r="R156" s="82">
        <f t="shared" si="78"/>
        <v>0.36573586357527321</v>
      </c>
    </row>
    <row r="157" spans="1:19" s="33" customFormat="1">
      <c r="A157" s="469"/>
      <c r="B157" s="80" t="s">
        <v>57</v>
      </c>
      <c r="C157" s="81"/>
      <c r="D157" s="81"/>
      <c r="E157" s="81"/>
      <c r="F157" s="81"/>
      <c r="G157" s="81"/>
      <c r="H157" s="81"/>
      <c r="I157" s="81"/>
      <c r="J157" s="81"/>
      <c r="K157" s="82">
        <f t="shared" ref="K157:R157" si="79">K153/K150</f>
        <v>0.116589992272981</v>
      </c>
      <c r="L157" s="82">
        <f t="shared" si="79"/>
        <v>0.11994534075209314</v>
      </c>
      <c r="M157" s="82">
        <f t="shared" si="79"/>
        <v>0.11650721549754574</v>
      </c>
      <c r="N157" s="82">
        <f t="shared" si="79"/>
        <v>0.10993515039084177</v>
      </c>
      <c r="O157" s="82">
        <f t="shared" si="79"/>
        <v>9.8307992799969365E-2</v>
      </c>
      <c r="P157" s="82">
        <f t="shared" si="79"/>
        <v>9.5157008740692786E-2</v>
      </c>
      <c r="Q157" s="82">
        <f t="shared" si="79"/>
        <v>9.1196940090633186E-2</v>
      </c>
      <c r="R157" s="82">
        <f t="shared" si="79"/>
        <v>8.2306101004794116E-2</v>
      </c>
    </row>
  </sheetData>
  <mergeCells count="20">
    <mergeCell ref="A3:A8"/>
    <mergeCell ref="A9:A14"/>
    <mergeCell ref="A15:A20"/>
    <mergeCell ref="A39:A44"/>
    <mergeCell ref="A45:A50"/>
    <mergeCell ref="A135:A148"/>
    <mergeCell ref="A149:A157"/>
    <mergeCell ref="A87:A92"/>
    <mergeCell ref="A21:A26"/>
    <mergeCell ref="A27:A32"/>
    <mergeCell ref="A33:A38"/>
    <mergeCell ref="A93:A106"/>
    <mergeCell ref="A107:A120"/>
    <mergeCell ref="A75:A80"/>
    <mergeCell ref="A81:A86"/>
    <mergeCell ref="A121:A134"/>
    <mergeCell ref="A51:A56"/>
    <mergeCell ref="A57:A62"/>
    <mergeCell ref="A63:A68"/>
    <mergeCell ref="A69:A74"/>
  </mergeCells>
  <phoneticPr fontId="6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5"/>
  <sheetViews>
    <sheetView showGridLines="0" tabSelected="1" topLeftCell="A172" workbookViewId="0">
      <selection activeCell="L166" sqref="L166"/>
    </sheetView>
  </sheetViews>
  <sheetFormatPr defaultRowHeight="16.5" outlineLevelRow="1"/>
  <cols>
    <col min="1" max="1" width="4.125" style="252" customWidth="1"/>
    <col min="2" max="2" width="12.875" style="149" customWidth="1"/>
    <col min="3" max="3" width="19.75" style="149" bestFit="1" customWidth="1"/>
    <col min="4" max="17" width="12.875" style="150" customWidth="1"/>
    <col min="18" max="18" width="9.625" style="147" bestFit="1" customWidth="1"/>
    <col min="19" max="16384" width="9" style="147"/>
  </cols>
  <sheetData>
    <row r="1" spans="1:17">
      <c r="B1" s="145"/>
      <c r="C1" s="146"/>
      <c r="D1" s="145">
        <v>6</v>
      </c>
      <c r="E1" s="145">
        <f>D1+1</f>
        <v>7</v>
      </c>
      <c r="F1" s="145">
        <f t="shared" ref="F1:P1" si="0">E1+1</f>
        <v>8</v>
      </c>
      <c r="G1" s="145">
        <f t="shared" si="0"/>
        <v>9</v>
      </c>
      <c r="H1" s="145">
        <f t="shared" si="0"/>
        <v>10</v>
      </c>
      <c r="I1" s="145">
        <f t="shared" si="0"/>
        <v>11</v>
      </c>
      <c r="J1" s="145">
        <f t="shared" si="0"/>
        <v>12</v>
      </c>
      <c r="K1" s="145">
        <f t="shared" si="0"/>
        <v>13</v>
      </c>
      <c r="L1" s="145">
        <f t="shared" si="0"/>
        <v>14</v>
      </c>
      <c r="M1" s="145">
        <f t="shared" si="0"/>
        <v>15</v>
      </c>
      <c r="N1" s="145">
        <f t="shared" si="0"/>
        <v>16</v>
      </c>
      <c r="O1" s="145">
        <f t="shared" si="0"/>
        <v>17</v>
      </c>
      <c r="P1" s="145">
        <f t="shared" si="0"/>
        <v>18</v>
      </c>
      <c r="Q1" s="145"/>
    </row>
    <row r="2" spans="1:17" ht="21">
      <c r="B2" s="148" t="s">
        <v>211</v>
      </c>
    </row>
    <row r="3" spans="1:17" outlineLevel="1">
      <c r="A3" s="252">
        <v>2</v>
      </c>
      <c r="B3" s="245" t="s">
        <v>212</v>
      </c>
      <c r="C3" s="246" t="s">
        <v>213</v>
      </c>
      <c r="D3" s="151">
        <f ca="1">OFFSET(用户!$A$1,$A3-1,D$1-1)</f>
        <v>42583</v>
      </c>
      <c r="E3" s="151">
        <f ca="1">OFFSET(用户!$A$1,$A3-1,E$1-1)</f>
        <v>42614</v>
      </c>
      <c r="F3" s="151">
        <f ca="1">OFFSET(用户!$A$1,$A3-1,F$1-1)</f>
        <v>42644</v>
      </c>
      <c r="G3" s="151">
        <f ca="1">OFFSET(用户!$A$1,$A3-1,G$1-1)</f>
        <v>42675</v>
      </c>
      <c r="H3" s="151">
        <f ca="1">OFFSET(用户!$A$1,$A3-1,H$1-1)</f>
        <v>42705</v>
      </c>
      <c r="I3" s="151">
        <f ca="1">OFFSET(用户!$A$1,$A3-1,I$1-1)</f>
        <v>42736</v>
      </c>
      <c r="J3" s="151">
        <f ca="1">OFFSET(用户!$A$1,$A3-1,J$1-1)</f>
        <v>42767</v>
      </c>
      <c r="K3" s="151">
        <f ca="1">OFFSET(用户!$A$1,$A3-1,K$1-1)</f>
        <v>42795</v>
      </c>
      <c r="L3" s="151">
        <f ca="1">OFFSET(用户!$A$1,$A3-1,L$1-1)</f>
        <v>42826</v>
      </c>
      <c r="M3" s="151">
        <f ca="1">OFFSET(用户!$A$1,$A3-1,M$1-1)</f>
        <v>42856</v>
      </c>
      <c r="N3" s="151">
        <f ca="1">OFFSET(用户!$A$1,$A3-1,N$1-1)</f>
        <v>42887</v>
      </c>
      <c r="O3" s="151">
        <f ca="1">OFFSET(用户!$A$1,$A3-1,O$1-1)</f>
        <v>42917</v>
      </c>
      <c r="P3" s="151">
        <f ca="1">OFFSET(用户!$A$1,$A3-1,P$1-1)</f>
        <v>42948</v>
      </c>
      <c r="Q3" s="152" t="s">
        <v>214</v>
      </c>
    </row>
    <row r="4" spans="1:17" s="155" customFormat="1" outlineLevel="1">
      <c r="A4" s="252">
        <v>3</v>
      </c>
      <c r="B4" s="491" t="s">
        <v>285</v>
      </c>
      <c r="C4" s="167" t="s">
        <v>216</v>
      </c>
      <c r="D4" s="168">
        <f ca="1">OFFSET(用户!$A$1,$A4-1,D$1-1)</f>
        <v>4024937</v>
      </c>
      <c r="E4" s="168">
        <f ca="1">OFFSET(用户!$A$1,$A4-1,E$1-1)</f>
        <v>4460851</v>
      </c>
      <c r="F4" s="168">
        <f ca="1">OFFSET(用户!$A$1,$A4-1,F$1-1)</f>
        <v>4645564</v>
      </c>
      <c r="G4" s="168">
        <f ca="1">OFFSET(用户!$A$1,$A4-1,G$1-1)</f>
        <v>4487441</v>
      </c>
      <c r="H4" s="168">
        <f ca="1">OFFSET(用户!$A$1,$A4-1,H$1-1)</f>
        <v>4733977</v>
      </c>
      <c r="I4" s="168">
        <f ca="1">OFFSET(用户!$A$1,$A4-1,I$1-1)</f>
        <v>4668046</v>
      </c>
      <c r="J4" s="168">
        <f ca="1">OFFSET(用户!$A$1,$A4-1,J$1-1)</f>
        <v>3830265</v>
      </c>
      <c r="K4" s="168">
        <f ca="1">OFFSET(用户!$A$1,$A4-1,K$1-1)</f>
        <v>4439393</v>
      </c>
      <c r="L4" s="168">
        <f ca="1">OFFSET(用户!$A$1,$A4-1,L$1-1)</f>
        <v>3943361</v>
      </c>
      <c r="M4" s="168">
        <f ca="1">OFFSET(用户!$A$1,$A4-1,M$1-1)</f>
        <v>4485257</v>
      </c>
      <c r="N4" s="168">
        <f ca="1">OFFSET(用户!$A$1,$A4-1,N$1-1)</f>
        <v>4041283</v>
      </c>
      <c r="O4" s="168">
        <f ca="1">OFFSET(用户!$A$1,$A4-1,O$1-1)</f>
        <v>4911083</v>
      </c>
      <c r="P4" s="153">
        <f ca="1">OFFSET(用户!$A$1,$A4-1,P$1-1)</f>
        <v>6725489</v>
      </c>
      <c r="Q4" s="154">
        <f ca="1">IFERROR((P4-O4)/O4,"")</f>
        <v>0.36945130025291772</v>
      </c>
    </row>
    <row r="5" spans="1:17" outlineLevel="1">
      <c r="A5" s="252">
        <v>39</v>
      </c>
      <c r="B5" s="492"/>
      <c r="C5" s="257" t="s">
        <v>282</v>
      </c>
      <c r="D5" s="156">
        <f ca="1">OFFSET(用户!$A$1,$A5-1,D$1-1)</f>
        <v>4024937</v>
      </c>
      <c r="E5" s="156">
        <f ca="1">OFFSET(用户!$A$1,$A5-1,E$1-1)</f>
        <v>4460851</v>
      </c>
      <c r="F5" s="156">
        <f ca="1">OFFSET(用户!$A$1,$A5-1,F$1-1)</f>
        <v>4645564</v>
      </c>
      <c r="G5" s="156">
        <f ca="1">OFFSET(用户!$A$1,$A5-1,G$1-1)</f>
        <v>4487441</v>
      </c>
      <c r="H5" s="156">
        <f ca="1">OFFSET(用户!$A$1,$A5-1,H$1-1)</f>
        <v>4733977</v>
      </c>
      <c r="I5" s="156">
        <f ca="1">OFFSET(用户!$A$1,$A5-1,I$1-1)</f>
        <v>4668046</v>
      </c>
      <c r="J5" s="156">
        <f ca="1">OFFSET(用户!$A$1,$A5-1,J$1-1)</f>
        <v>3830265</v>
      </c>
      <c r="K5" s="156">
        <f ca="1">OFFSET(用户!$A$1,$A5-1,K$1-1)</f>
        <v>4439393</v>
      </c>
      <c r="L5" s="156">
        <f ca="1">OFFSET(用户!$A$1,$A5-1,L$1-1)</f>
        <v>3943361</v>
      </c>
      <c r="M5" s="156">
        <f ca="1">OFFSET(用户!$A$1,$A5-1,M$1-1)</f>
        <v>4485257</v>
      </c>
      <c r="N5" s="156">
        <f ca="1">OFFSET(用户!$A$1,$A5-1,N$1-1)</f>
        <v>3964340</v>
      </c>
      <c r="O5" s="156">
        <f ca="1">OFFSET(用户!$A$1,$A5-1,O$1-1)</f>
        <v>4536459</v>
      </c>
      <c r="P5" s="157">
        <f ca="1">OFFSET(用户!$A$1,$A5-1,P$1-1)</f>
        <v>4912268</v>
      </c>
      <c r="Q5" s="154">
        <f ca="1">IFERROR((P5-O5)/O5,"")</f>
        <v>8.2841925828052235E-2</v>
      </c>
    </row>
    <row r="6" spans="1:17" outlineLevel="1">
      <c r="A6" s="252">
        <v>21</v>
      </c>
      <c r="B6" s="492"/>
      <c r="C6" s="172" t="s">
        <v>286</v>
      </c>
      <c r="D6" s="156">
        <f ca="1">OFFSET(用户!$A$1,$A6-1,D$1-1)</f>
        <v>0</v>
      </c>
      <c r="E6" s="156">
        <f ca="1">OFFSET(用户!$A$1,$A6-1,E$1-1)</f>
        <v>0</v>
      </c>
      <c r="F6" s="156">
        <f ca="1">OFFSET(用户!$A$1,$A6-1,F$1-1)</f>
        <v>0</v>
      </c>
      <c r="G6" s="156">
        <f ca="1">OFFSET(用户!$A$1,$A6-1,G$1-1)</f>
        <v>0</v>
      </c>
      <c r="H6" s="156">
        <f ca="1">OFFSET(用户!$A$1,$A6-1,H$1-1)</f>
        <v>0</v>
      </c>
      <c r="I6" s="156">
        <f ca="1">OFFSET(用户!$A$1,$A6-1,I$1-1)</f>
        <v>0</v>
      </c>
      <c r="J6" s="156">
        <f ca="1">OFFSET(用户!$A$1,$A6-1,J$1-1)</f>
        <v>0</v>
      </c>
      <c r="K6" s="156">
        <f ca="1">OFFSET(用户!$A$1,$A6-1,K$1-1)</f>
        <v>0</v>
      </c>
      <c r="L6" s="156">
        <f ca="1">OFFSET(用户!$A$1,$A6-1,L$1-1)</f>
        <v>0</v>
      </c>
      <c r="M6" s="156">
        <f ca="1">OFFSET(用户!$A$1,$A6-1,M$1-1)</f>
        <v>0</v>
      </c>
      <c r="N6" s="156">
        <f ca="1">OFFSET(用户!$A$1,$A6-1,N$1-1)</f>
        <v>76943</v>
      </c>
      <c r="O6" s="156">
        <f ca="1">OFFSET(用户!$A$1,$A6-1,O$1-1)</f>
        <v>374624</v>
      </c>
      <c r="P6" s="157">
        <f ca="1">OFFSET(用户!$A$1,$A6-1,P$1-1)</f>
        <v>1813221</v>
      </c>
      <c r="Q6" s="154">
        <f t="shared" ref="Q6:Q12" ca="1" si="1">IFERROR((P6-O6)/O6,"")</f>
        <v>3.8401090159733493</v>
      </c>
    </row>
    <row r="7" spans="1:17" s="155" customFormat="1" outlineLevel="1">
      <c r="A7" s="258">
        <v>9</v>
      </c>
      <c r="B7" s="492"/>
      <c r="C7" s="167" t="s">
        <v>217</v>
      </c>
      <c r="D7" s="168">
        <f ca="1">OFFSET(用户!$A$1,$A7-1,D$1-1)</f>
        <v>1444436</v>
      </c>
      <c r="E7" s="168">
        <f ca="1">OFFSET(用户!$A$1,$A7-1,E$1-1)</f>
        <v>1457426</v>
      </c>
      <c r="F7" s="168">
        <f ca="1">OFFSET(用户!$A$1,$A7-1,F$1-1)</f>
        <v>1494432</v>
      </c>
      <c r="G7" s="168">
        <f ca="1">OFFSET(用户!$A$1,$A7-1,G$1-1)</f>
        <v>1483069</v>
      </c>
      <c r="H7" s="168">
        <f ca="1">OFFSET(用户!$A$1,$A7-1,H$1-1)</f>
        <v>1659453</v>
      </c>
      <c r="I7" s="168">
        <f ca="1">OFFSET(用户!$A$1,$A7-1,I$1-1)</f>
        <v>1539116</v>
      </c>
      <c r="J7" s="168">
        <f ca="1">OFFSET(用户!$A$1,$A7-1,J$1-1)</f>
        <v>1450015</v>
      </c>
      <c r="K7" s="168">
        <f ca="1">OFFSET(用户!$A$1,$A7-1,K$1-1)</f>
        <v>1559602</v>
      </c>
      <c r="L7" s="168">
        <f ca="1">OFFSET(用户!$A$1,$A7-1,L$1-1)</f>
        <v>1488495</v>
      </c>
      <c r="M7" s="168">
        <f ca="1">OFFSET(用户!$A$1,$A7-1,M$1-1)</f>
        <v>1532903</v>
      </c>
      <c r="N7" s="168">
        <f ca="1">OFFSET(用户!$A$1,$A7-1,N$1-1)</f>
        <v>1520576</v>
      </c>
      <c r="O7" s="168">
        <f ca="1">OFFSET(用户!$A$1,$A7-1,O$1-1)</f>
        <v>1909431</v>
      </c>
      <c r="P7" s="259">
        <f ca="1">OFFSET(用户!$A$1,$A7-1,P$1-1)</f>
        <v>2752354</v>
      </c>
      <c r="Q7" s="154">
        <f t="shared" ca="1" si="1"/>
        <v>0.44145245363671165</v>
      </c>
    </row>
    <row r="8" spans="1:17" s="159" customFormat="1" outlineLevel="1">
      <c r="A8" s="252">
        <v>45</v>
      </c>
      <c r="B8" s="492"/>
      <c r="C8" s="257" t="s">
        <v>561</v>
      </c>
      <c r="D8" s="156">
        <f ca="1">OFFSET(用户!$A$1,$A8-1,D$1-1)</f>
        <v>1444436</v>
      </c>
      <c r="E8" s="156">
        <f ca="1">OFFSET(用户!$A$1,$A8-1,E$1-1)</f>
        <v>1457426</v>
      </c>
      <c r="F8" s="156">
        <f ca="1">OFFSET(用户!$A$1,$A8-1,F$1-1)</f>
        <v>1494432</v>
      </c>
      <c r="G8" s="156">
        <f ca="1">OFFSET(用户!$A$1,$A8-1,G$1-1)</f>
        <v>1483069</v>
      </c>
      <c r="H8" s="156">
        <f ca="1">OFFSET(用户!$A$1,$A8-1,H$1-1)</f>
        <v>1659453</v>
      </c>
      <c r="I8" s="156">
        <f ca="1">OFFSET(用户!$A$1,$A8-1,I$1-1)</f>
        <v>1539116</v>
      </c>
      <c r="J8" s="156">
        <f ca="1">OFFSET(用户!$A$1,$A8-1,J$1-1)</f>
        <v>1450015</v>
      </c>
      <c r="K8" s="156">
        <f ca="1">OFFSET(用户!$A$1,$A8-1,K$1-1)</f>
        <v>1559602</v>
      </c>
      <c r="L8" s="156">
        <f ca="1">OFFSET(用户!$A$1,$A8-1,L$1-1)</f>
        <v>1488495</v>
      </c>
      <c r="M8" s="156">
        <f ca="1">OFFSET(用户!$A$1,$A8-1,M$1-1)</f>
        <v>1532903</v>
      </c>
      <c r="N8" s="156">
        <f ca="1">OFFSET(用户!$A$1,$A8-1,N$1-1)</f>
        <v>1443633</v>
      </c>
      <c r="O8" s="156">
        <f ca="1">OFFSET(用户!$A$1,$A8-1,O$1-1)</f>
        <v>1534807</v>
      </c>
      <c r="P8" s="157">
        <f ca="1">OFFSET(用户!$A$1,$A8-1,P$1-1)</f>
        <v>1683642</v>
      </c>
      <c r="Q8" s="154">
        <f ca="1">IFERROR((P8-O8)/O8,"")</f>
        <v>9.6973104761706189E-2</v>
      </c>
    </row>
    <row r="9" spans="1:17" s="159" customFormat="1" outlineLevel="1">
      <c r="A9" s="252">
        <v>27</v>
      </c>
      <c r="B9" s="492"/>
      <c r="C9" s="257" t="s">
        <v>562</v>
      </c>
      <c r="D9" s="156">
        <f ca="1">OFFSET(用户!$A$1,$A9-1,D$1-1)</f>
        <v>0</v>
      </c>
      <c r="E9" s="156">
        <f ca="1">OFFSET(用户!$A$1,$A9-1,E$1-1)</f>
        <v>0</v>
      </c>
      <c r="F9" s="156">
        <f ca="1">OFFSET(用户!$A$1,$A9-1,F$1-1)</f>
        <v>0</v>
      </c>
      <c r="G9" s="156">
        <f ca="1">OFFSET(用户!$A$1,$A9-1,G$1-1)</f>
        <v>0</v>
      </c>
      <c r="H9" s="156">
        <f ca="1">OFFSET(用户!$A$1,$A9-1,H$1-1)</f>
        <v>0</v>
      </c>
      <c r="I9" s="156">
        <f ca="1">OFFSET(用户!$A$1,$A9-1,I$1-1)</f>
        <v>0</v>
      </c>
      <c r="J9" s="156">
        <f ca="1">OFFSET(用户!$A$1,$A9-1,J$1-1)</f>
        <v>0</v>
      </c>
      <c r="K9" s="156">
        <f ca="1">OFFSET(用户!$A$1,$A9-1,K$1-1)</f>
        <v>0</v>
      </c>
      <c r="L9" s="156">
        <f ca="1">OFFSET(用户!$A$1,$A9-1,L$1-1)</f>
        <v>0</v>
      </c>
      <c r="M9" s="156">
        <f ca="1">OFFSET(用户!$A$1,$A9-1,M$1-1)</f>
        <v>0</v>
      </c>
      <c r="N9" s="156">
        <f ca="1">OFFSET(用户!$A$1,$A9-1,N$1-1)</f>
        <v>76943</v>
      </c>
      <c r="O9" s="156">
        <f ca="1">OFFSET(用户!$A$1,$A9-1,O$1-1)</f>
        <v>374624</v>
      </c>
      <c r="P9" s="157">
        <f ca="1">OFFSET(用户!$A$1,$A9-1,P$1-1)</f>
        <v>1068712</v>
      </c>
      <c r="Q9" s="154">
        <f t="shared" ca="1" si="1"/>
        <v>1.8527590330571453</v>
      </c>
    </row>
    <row r="10" spans="1:17" s="155" customFormat="1" outlineLevel="1">
      <c r="A10" s="258">
        <v>15</v>
      </c>
      <c r="B10" s="492"/>
      <c r="C10" s="167" t="s">
        <v>218</v>
      </c>
      <c r="D10" s="168">
        <f ca="1">OFFSET(用户!$A$1,$A10-1,D$1-1)</f>
        <v>2580501</v>
      </c>
      <c r="E10" s="168">
        <f ca="1">OFFSET(用户!$A$1,$A10-1,E$1-1)</f>
        <v>3003425</v>
      </c>
      <c r="F10" s="168">
        <f ca="1">OFFSET(用户!$A$1,$A10-1,F$1-1)</f>
        <v>3151132</v>
      </c>
      <c r="G10" s="168">
        <f ca="1">OFFSET(用户!$A$1,$A10-1,G$1-1)</f>
        <v>3004372</v>
      </c>
      <c r="H10" s="168">
        <f ca="1">OFFSET(用户!$A$1,$A10-1,H$1-1)</f>
        <v>3074524</v>
      </c>
      <c r="I10" s="168">
        <f ca="1">OFFSET(用户!$A$1,$A10-1,I$1-1)</f>
        <v>3128930</v>
      </c>
      <c r="J10" s="168">
        <f ca="1">OFFSET(用户!$A$1,$A10-1,J$1-1)</f>
        <v>2380250</v>
      </c>
      <c r="K10" s="168">
        <f ca="1">OFFSET(用户!$A$1,$A10-1,K$1-1)</f>
        <v>2879791</v>
      </c>
      <c r="L10" s="168">
        <f ca="1">OFFSET(用户!$A$1,$A10-1,L$1-1)</f>
        <v>2454866</v>
      </c>
      <c r="M10" s="168">
        <f ca="1">OFFSET(用户!$A$1,$A10-1,M$1-1)</f>
        <v>2952354</v>
      </c>
      <c r="N10" s="168">
        <f ca="1">OFFSET(用户!$A$1,$A10-1,N$1-1)</f>
        <v>2520707</v>
      </c>
      <c r="O10" s="168">
        <f ca="1">OFFSET(用户!$A$1,$A10-1,O$1-1)</f>
        <v>3001652</v>
      </c>
      <c r="P10" s="153">
        <f ca="1">OFFSET(用户!$A$1,$A10-1,P$1-1)</f>
        <v>3973135</v>
      </c>
      <c r="Q10" s="251">
        <f t="shared" ca="1" si="1"/>
        <v>0.32364944370633236</v>
      </c>
    </row>
    <row r="11" spans="1:17" s="159" customFormat="1" outlineLevel="1">
      <c r="A11" s="252">
        <v>51</v>
      </c>
      <c r="B11" s="492"/>
      <c r="C11" s="257" t="s">
        <v>563</v>
      </c>
      <c r="D11" s="156">
        <f ca="1">OFFSET(用户!$A$1,$A11-1,D$1-1)</f>
        <v>2580501</v>
      </c>
      <c r="E11" s="156">
        <f ca="1">OFFSET(用户!$A$1,$A11-1,E$1-1)</f>
        <v>3003425</v>
      </c>
      <c r="F11" s="156">
        <f ca="1">OFFSET(用户!$A$1,$A11-1,F$1-1)</f>
        <v>3151132</v>
      </c>
      <c r="G11" s="156">
        <f ca="1">OFFSET(用户!$A$1,$A11-1,G$1-1)</f>
        <v>3004372</v>
      </c>
      <c r="H11" s="156">
        <f ca="1">OFFSET(用户!$A$1,$A11-1,H$1-1)</f>
        <v>3074524</v>
      </c>
      <c r="I11" s="156">
        <f ca="1">OFFSET(用户!$A$1,$A11-1,I$1-1)</f>
        <v>3128930</v>
      </c>
      <c r="J11" s="156">
        <f ca="1">OFFSET(用户!$A$1,$A11-1,J$1-1)</f>
        <v>2380250</v>
      </c>
      <c r="K11" s="156">
        <f ca="1">OFFSET(用户!$A$1,$A11-1,K$1-1)</f>
        <v>2879791</v>
      </c>
      <c r="L11" s="156">
        <f ca="1">OFFSET(用户!$A$1,$A11-1,L$1-1)</f>
        <v>2454866</v>
      </c>
      <c r="M11" s="156">
        <f ca="1">OFFSET(用户!$A$1,$A11-1,M$1-1)</f>
        <v>2952354</v>
      </c>
      <c r="N11" s="156">
        <f ca="1">OFFSET(用户!$A$1,$A11-1,N$1-1)</f>
        <v>2520707</v>
      </c>
      <c r="O11" s="156">
        <f ca="1">OFFSET(用户!$A$1,$A11-1,O$1-1)</f>
        <v>3001652</v>
      </c>
      <c r="P11" s="157">
        <f ca="1">OFFSET(用户!$A$1,$A11-1,P$1-1)</f>
        <v>3228626</v>
      </c>
      <c r="Q11" s="154">
        <f ca="1">IFERROR((P11-O11)/O11,"")</f>
        <v>7.5616360590768011E-2</v>
      </c>
    </row>
    <row r="12" spans="1:17" s="159" customFormat="1" outlineLevel="1">
      <c r="A12" s="252">
        <v>33</v>
      </c>
      <c r="B12" s="492"/>
      <c r="C12" s="257" t="s">
        <v>287</v>
      </c>
      <c r="D12" s="156">
        <f ca="1">OFFSET(用户!$A$1,$A12-1,D$1-1)</f>
        <v>0</v>
      </c>
      <c r="E12" s="156">
        <f ca="1">OFFSET(用户!$A$1,$A12-1,E$1-1)</f>
        <v>0</v>
      </c>
      <c r="F12" s="156">
        <f ca="1">OFFSET(用户!$A$1,$A12-1,F$1-1)</f>
        <v>0</v>
      </c>
      <c r="G12" s="156">
        <f ca="1">OFFSET(用户!$A$1,$A12-1,G$1-1)</f>
        <v>0</v>
      </c>
      <c r="H12" s="156">
        <f ca="1">OFFSET(用户!$A$1,$A12-1,H$1-1)</f>
        <v>0</v>
      </c>
      <c r="I12" s="156">
        <f ca="1">OFFSET(用户!$A$1,$A12-1,I$1-1)</f>
        <v>0</v>
      </c>
      <c r="J12" s="156">
        <f ca="1">OFFSET(用户!$A$1,$A12-1,J$1-1)</f>
        <v>0</v>
      </c>
      <c r="K12" s="156">
        <f ca="1">OFFSET(用户!$A$1,$A12-1,K$1-1)</f>
        <v>0</v>
      </c>
      <c r="L12" s="156">
        <f ca="1">OFFSET(用户!$A$1,$A12-1,L$1-1)</f>
        <v>0</v>
      </c>
      <c r="M12" s="156">
        <f ca="1">OFFSET(用户!$A$1,$A12-1,M$1-1)</f>
        <v>0</v>
      </c>
      <c r="N12" s="156">
        <f ca="1">OFFSET(用户!$A$1,$A12-1,N$1-1)</f>
        <v>0</v>
      </c>
      <c r="O12" s="156">
        <f ca="1">OFFSET(用户!$A$1,$A12-1,O$1-1)</f>
        <v>0</v>
      </c>
      <c r="P12" s="157">
        <f ca="1">OFFSET(用户!$A$1,$A12-1,P$1-1)</f>
        <v>744509</v>
      </c>
      <c r="Q12" s="154" t="str">
        <f t="shared" ca="1" si="1"/>
        <v/>
      </c>
    </row>
    <row r="13" spans="1:17" s="249" customFormat="1" outlineLevel="1">
      <c r="A13" s="252"/>
      <c r="B13" s="492"/>
      <c r="C13" s="262" t="s">
        <v>288</v>
      </c>
      <c r="D13" s="266">
        <f t="shared" ref="D13:P13" ca="1" si="2">+D7/D4</f>
        <v>0.35887170407884644</v>
      </c>
      <c r="E13" s="266">
        <f t="shared" ca="1" si="2"/>
        <v>0.32671479051867008</v>
      </c>
      <c r="F13" s="266">
        <f t="shared" ca="1" si="2"/>
        <v>0.32169011125452152</v>
      </c>
      <c r="G13" s="266">
        <f t="shared" ca="1" si="2"/>
        <v>0.33049325885287406</v>
      </c>
      <c r="H13" s="266">
        <f t="shared" ca="1" si="2"/>
        <v>0.35054099333393468</v>
      </c>
      <c r="I13" s="266">
        <f t="shared" ca="1" si="2"/>
        <v>0.32971311765136846</v>
      </c>
      <c r="J13" s="266">
        <f t="shared" ca="1" si="2"/>
        <v>0.37856780144454755</v>
      </c>
      <c r="K13" s="266">
        <f t="shared" ca="1" si="2"/>
        <v>0.35130973986759001</v>
      </c>
      <c r="L13" s="266">
        <f t="shared" ca="1" si="2"/>
        <v>0.3774686111669715</v>
      </c>
      <c r="M13" s="266">
        <f t="shared" ca="1" si="2"/>
        <v>0.34176480857172731</v>
      </c>
      <c r="N13" s="266">
        <f t="shared" ca="1" si="2"/>
        <v>0.3762607073050811</v>
      </c>
      <c r="O13" s="266">
        <f t="shared" ca="1" si="2"/>
        <v>0.38880039290722634</v>
      </c>
      <c r="P13" s="266">
        <f t="shared" ca="1" si="2"/>
        <v>0.40924221272237604</v>
      </c>
      <c r="Q13" s="263">
        <f ca="1">+P13-O13</f>
        <v>2.0441819815149698E-2</v>
      </c>
    </row>
    <row r="14" spans="1:17" s="249" customFormat="1" outlineLevel="1">
      <c r="A14" s="252"/>
      <c r="B14" s="493"/>
      <c r="C14" s="260" t="s">
        <v>289</v>
      </c>
      <c r="D14" s="247">
        <f t="shared" ref="D14:P14" ca="1" si="3">+D8/D5</f>
        <v>0.35887170407884644</v>
      </c>
      <c r="E14" s="247">
        <f t="shared" ca="1" si="3"/>
        <v>0.32671479051867008</v>
      </c>
      <c r="F14" s="247">
        <f t="shared" ca="1" si="3"/>
        <v>0.32169011125452152</v>
      </c>
      <c r="G14" s="247">
        <f t="shared" ca="1" si="3"/>
        <v>0.33049325885287406</v>
      </c>
      <c r="H14" s="247">
        <f t="shared" ca="1" si="3"/>
        <v>0.35054099333393468</v>
      </c>
      <c r="I14" s="247">
        <f t="shared" ca="1" si="3"/>
        <v>0.32971311765136846</v>
      </c>
      <c r="J14" s="247">
        <f t="shared" ca="1" si="3"/>
        <v>0.37856780144454755</v>
      </c>
      <c r="K14" s="247">
        <f t="shared" ca="1" si="3"/>
        <v>0.35130973986759001</v>
      </c>
      <c r="L14" s="247">
        <f t="shared" ca="1" si="3"/>
        <v>0.3774686111669715</v>
      </c>
      <c r="M14" s="247">
        <f t="shared" ca="1" si="3"/>
        <v>0.34176480857172731</v>
      </c>
      <c r="N14" s="247">
        <f t="shared" ca="1" si="3"/>
        <v>0.36415468905290665</v>
      </c>
      <c r="O14" s="247">
        <f t="shared" ca="1" si="3"/>
        <v>0.33832709608970346</v>
      </c>
      <c r="P14" s="247">
        <f t="shared" ca="1" si="3"/>
        <v>0.34274229337650147</v>
      </c>
      <c r="Q14" s="248">
        <f ca="1">+P14-O14</f>
        <v>4.4151972867980116E-3</v>
      </c>
    </row>
    <row r="15" spans="1:17" s="273" customFormat="1" outlineLevel="1">
      <c r="A15" s="252">
        <f>+A7+1</f>
        <v>10</v>
      </c>
      <c r="B15" s="488" t="s">
        <v>219</v>
      </c>
      <c r="C15" s="270" t="s">
        <v>220</v>
      </c>
      <c r="D15" s="271">
        <f ca="1">OFFSET(用户!$A$1,$A15-1,D$1-1)</f>
        <v>847732</v>
      </c>
      <c r="E15" s="271">
        <f ca="1">OFFSET(用户!$A$1,$A15-1,E$1-1)</f>
        <v>878269</v>
      </c>
      <c r="F15" s="271">
        <f ca="1">OFFSET(用户!$A$1,$A15-1,F$1-1)</f>
        <v>860307</v>
      </c>
      <c r="G15" s="271">
        <f ca="1">OFFSET(用户!$A$1,$A15-1,G$1-1)</f>
        <v>807778</v>
      </c>
      <c r="H15" s="271">
        <f ca="1">OFFSET(用户!$A$1,$A15-1,H$1-1)</f>
        <v>900513</v>
      </c>
      <c r="I15" s="271">
        <f ca="1">OFFSET(用户!$A$1,$A15-1,I$1-1)</f>
        <v>789935</v>
      </c>
      <c r="J15" s="271">
        <f ca="1">OFFSET(用户!$A$1,$A15-1,J$1-1)</f>
        <v>671039</v>
      </c>
      <c r="K15" s="271">
        <f ca="1">OFFSET(用户!$A$1,$A15-1,K$1-1)</f>
        <v>688687</v>
      </c>
      <c r="L15" s="271">
        <f ca="1">OFFSET(用户!$A$1,$A15-1,L$1-1)</f>
        <v>617570</v>
      </c>
      <c r="M15" s="271">
        <f ca="1">OFFSET(用户!$A$1,$A15-1,M$1-1)</f>
        <v>619033</v>
      </c>
      <c r="N15" s="271">
        <f ca="1">OFFSET(用户!$A$1,$A15-1,N$1-1)</f>
        <v>574079</v>
      </c>
      <c r="O15" s="271">
        <f ca="1">OFFSET(用户!$A$1,$A15-1,O$1-1)</f>
        <v>572444</v>
      </c>
      <c r="P15" s="271">
        <f ca="1">OFFSET(用户!$A$1,$A15-1,P$1-1)</f>
        <v>582328</v>
      </c>
      <c r="Q15" s="272">
        <f ca="1">IFERROR((P15-O15)/O15,"")</f>
        <v>1.7266317753352294E-2</v>
      </c>
    </row>
    <row r="16" spans="1:17" s="269" customFormat="1" outlineLevel="1">
      <c r="A16" s="252">
        <f>+A8+1</f>
        <v>46</v>
      </c>
      <c r="B16" s="489"/>
      <c r="C16" s="171" t="s">
        <v>278</v>
      </c>
      <c r="D16" s="171">
        <f ca="1">OFFSET(用户!$A$1,$A16-1,D$1-1)</f>
        <v>847732</v>
      </c>
      <c r="E16" s="171">
        <f ca="1">OFFSET(用户!$A$1,$A16-1,E$1-1)</f>
        <v>878269</v>
      </c>
      <c r="F16" s="171">
        <f ca="1">OFFSET(用户!$A$1,$A16-1,F$1-1)</f>
        <v>860307</v>
      </c>
      <c r="G16" s="171">
        <f ca="1">OFFSET(用户!$A$1,$A16-1,G$1-1)</f>
        <v>807778</v>
      </c>
      <c r="H16" s="171">
        <f ca="1">OFFSET(用户!$A$1,$A16-1,H$1-1)</f>
        <v>900513</v>
      </c>
      <c r="I16" s="171">
        <f ca="1">OFFSET(用户!$A$1,$A16-1,I$1-1)</f>
        <v>789935</v>
      </c>
      <c r="J16" s="171">
        <f ca="1">OFFSET(用户!$A$1,$A16-1,J$1-1)</f>
        <v>671039</v>
      </c>
      <c r="K16" s="171">
        <f ca="1">OFFSET(用户!$A$1,$A16-1,K$1-1)</f>
        <v>688687</v>
      </c>
      <c r="L16" s="171">
        <f ca="1">OFFSET(用户!$A$1,$A16-1,L$1-1)</f>
        <v>617570</v>
      </c>
      <c r="M16" s="171">
        <f ca="1">OFFSET(用户!$A$1,$A16-1,M$1-1)</f>
        <v>619033</v>
      </c>
      <c r="N16" s="171">
        <f ca="1">OFFSET(用户!$A$1,$A16-1,N$1-1)</f>
        <v>574079</v>
      </c>
      <c r="O16" s="171">
        <f ca="1">OFFSET(用户!$A$1,$A16-1,O$1-1)</f>
        <v>572444</v>
      </c>
      <c r="P16" s="171">
        <f ca="1">OFFSET(用户!$A$1,$A16-1,P$1-1)</f>
        <v>582328</v>
      </c>
      <c r="Q16" s="268">
        <f ca="1">IFERROR((P16-O16)/O16,"")</f>
        <v>1.7266317753352294E-2</v>
      </c>
    </row>
    <row r="17" spans="1:17" s="269" customFormat="1" outlineLevel="1">
      <c r="A17" s="252">
        <f>+A9+1</f>
        <v>28</v>
      </c>
      <c r="B17" s="490"/>
      <c r="C17" s="171" t="s">
        <v>279</v>
      </c>
      <c r="D17" s="171">
        <f ca="1">OFFSET(用户!$A$1,$A17-1,D$1-1)</f>
        <v>0</v>
      </c>
      <c r="E17" s="171">
        <f ca="1">OFFSET(用户!$A$1,$A17-1,E$1-1)</f>
        <v>0</v>
      </c>
      <c r="F17" s="171">
        <f ca="1">OFFSET(用户!$A$1,$A17-1,F$1-1)</f>
        <v>0</v>
      </c>
      <c r="G17" s="171">
        <f ca="1">OFFSET(用户!$A$1,$A17-1,G$1-1)</f>
        <v>0</v>
      </c>
      <c r="H17" s="171">
        <f ca="1">OFFSET(用户!$A$1,$A17-1,H$1-1)</f>
        <v>0</v>
      </c>
      <c r="I17" s="171">
        <f ca="1">OFFSET(用户!$A$1,$A17-1,I$1-1)</f>
        <v>0</v>
      </c>
      <c r="J17" s="171">
        <f ca="1">OFFSET(用户!$A$1,$A17-1,J$1-1)</f>
        <v>0</v>
      </c>
      <c r="K17" s="171">
        <f ca="1">OFFSET(用户!$A$1,$A17-1,K$1-1)</f>
        <v>0</v>
      </c>
      <c r="L17" s="171">
        <f ca="1">OFFSET(用户!$A$1,$A17-1,L$1-1)</f>
        <v>0</v>
      </c>
      <c r="M17" s="171">
        <f ca="1">OFFSET(用户!$A$1,$A17-1,M$1-1)</f>
        <v>0</v>
      </c>
      <c r="N17" s="171">
        <f ca="1">OFFSET(用户!$A$1,$A17-1,N$1-1)</f>
        <v>0</v>
      </c>
      <c r="O17" s="171">
        <f ca="1">OFFSET(用户!$A$1,$A17-1,O$1-1)</f>
        <v>0</v>
      </c>
      <c r="P17" s="171">
        <f ca="1">OFFSET(用户!$A$1,$A17-1,P$1-1)</f>
        <v>0</v>
      </c>
      <c r="Q17" s="268" t="str">
        <f ca="1">IFERROR((P17-O17)/O17,"")</f>
        <v/>
      </c>
    </row>
    <row r="18" spans="1:17" s="155" customFormat="1" outlineLevel="1">
      <c r="A18" s="252">
        <f t="shared" ref="A18:A26" si="4">+A4+2</f>
        <v>5</v>
      </c>
      <c r="B18" s="491" t="s">
        <v>221</v>
      </c>
      <c r="C18" s="167" t="s">
        <v>222</v>
      </c>
      <c r="D18" s="168">
        <f ca="1">OFFSET(用户!$A$1,$A18-1,D$1-1)</f>
        <v>1301057</v>
      </c>
      <c r="E18" s="168">
        <f ca="1">OFFSET(用户!$A$1,$A18-1,E$1-1)</f>
        <v>1591239</v>
      </c>
      <c r="F18" s="168">
        <f ca="1">OFFSET(用户!$A$1,$A18-1,F$1-1)</f>
        <v>1724810</v>
      </c>
      <c r="G18" s="168">
        <f ca="1">OFFSET(用户!$A$1,$A18-1,G$1-1)</f>
        <v>1512345</v>
      </c>
      <c r="H18" s="168">
        <f ca="1">OFFSET(用户!$A$1,$A18-1,H$1-1)</f>
        <v>1462504</v>
      </c>
      <c r="I18" s="168">
        <f ca="1">OFFSET(用户!$A$1,$A18-1,I$1-1)</f>
        <v>1414535</v>
      </c>
      <c r="J18" s="168">
        <f ca="1">OFFSET(用户!$A$1,$A18-1,J$1-1)</f>
        <v>1362057</v>
      </c>
      <c r="K18" s="168">
        <f ca="1">OFFSET(用户!$A$1,$A18-1,K$1-1)</f>
        <v>1443691</v>
      </c>
      <c r="L18" s="168">
        <f ca="1">OFFSET(用户!$A$1,$A18-1,L$1-1)</f>
        <v>1376854</v>
      </c>
      <c r="M18" s="168">
        <f ca="1">OFFSET(用户!$A$1,$A18-1,M$1-1)</f>
        <v>1470665</v>
      </c>
      <c r="N18" s="168">
        <f ca="1">OFFSET(用户!$A$1,$A18-1,N$1-1)</f>
        <v>1425969</v>
      </c>
      <c r="O18" s="168">
        <f ca="1">OFFSET(用户!$A$1,$A18-1,O$1-1)</f>
        <v>1516406</v>
      </c>
      <c r="P18" s="153">
        <f ca="1">OFFSET(用户!$A$1,$A18-1,P$1-1)</f>
        <v>1602602</v>
      </c>
      <c r="Q18" s="154">
        <f ca="1">IFERROR((P18-O18)/O18,"")</f>
        <v>5.6842296851898504E-2</v>
      </c>
    </row>
    <row r="19" spans="1:17" outlineLevel="1">
      <c r="A19" s="252">
        <f t="shared" si="4"/>
        <v>41</v>
      </c>
      <c r="B19" s="492"/>
      <c r="C19" s="172" t="s">
        <v>282</v>
      </c>
      <c r="D19" s="156">
        <f ca="1">OFFSET(用户!$A$1,$A19-1,D$1-1)</f>
        <v>1301057</v>
      </c>
      <c r="E19" s="156">
        <f ca="1">OFFSET(用户!$A$1,$A19-1,E$1-1)</f>
        <v>1591239</v>
      </c>
      <c r="F19" s="156">
        <f ca="1">OFFSET(用户!$A$1,$A19-1,F$1-1)</f>
        <v>1724810</v>
      </c>
      <c r="G19" s="156">
        <f ca="1">OFFSET(用户!$A$1,$A19-1,G$1-1)</f>
        <v>1512345</v>
      </c>
      <c r="H19" s="156">
        <f ca="1">OFFSET(用户!$A$1,$A19-1,H$1-1)</f>
        <v>1462504</v>
      </c>
      <c r="I19" s="156">
        <f ca="1">OFFSET(用户!$A$1,$A19-1,I$1-1)</f>
        <v>1414535</v>
      </c>
      <c r="J19" s="156">
        <f ca="1">OFFSET(用户!$A$1,$A19-1,J$1-1)</f>
        <v>1362057</v>
      </c>
      <c r="K19" s="156">
        <f ca="1">OFFSET(用户!$A$1,$A19-1,K$1-1)</f>
        <v>1443691</v>
      </c>
      <c r="L19" s="156">
        <f ca="1">OFFSET(用户!$A$1,$A19-1,L$1-1)</f>
        <v>1376854</v>
      </c>
      <c r="M19" s="156">
        <f ca="1">OFFSET(用户!$A$1,$A19-1,M$1-1)</f>
        <v>1470665</v>
      </c>
      <c r="N19" s="156">
        <f ca="1">OFFSET(用户!$A$1,$A19-1,N$1-1)</f>
        <v>1425969</v>
      </c>
      <c r="O19" s="156">
        <f ca="1">OFFSET(用户!$A$1,$A19-1,O$1-1)</f>
        <v>1516406</v>
      </c>
      <c r="P19" s="157">
        <f ca="1">OFFSET(用户!$A$1,$A19-1,P$1-1)</f>
        <v>1602602</v>
      </c>
      <c r="Q19" s="154">
        <f ca="1">IFERROR((P19-O19)/O19,"")</f>
        <v>5.6842296851898504E-2</v>
      </c>
    </row>
    <row r="20" spans="1:17" outlineLevel="1">
      <c r="A20" s="252">
        <f t="shared" si="4"/>
        <v>23</v>
      </c>
      <c r="B20" s="492"/>
      <c r="C20" s="172" t="s">
        <v>283</v>
      </c>
      <c r="D20" s="156">
        <f ca="1">OFFSET(用户!$A$1,$A20-1,D$1-1)</f>
        <v>0</v>
      </c>
      <c r="E20" s="156">
        <f ca="1">OFFSET(用户!$A$1,$A20-1,E$1-1)</f>
        <v>0</v>
      </c>
      <c r="F20" s="156">
        <f ca="1">OFFSET(用户!$A$1,$A20-1,F$1-1)</f>
        <v>0</v>
      </c>
      <c r="G20" s="156">
        <f ca="1">OFFSET(用户!$A$1,$A20-1,G$1-1)</f>
        <v>0</v>
      </c>
      <c r="H20" s="156">
        <f ca="1">OFFSET(用户!$A$1,$A20-1,H$1-1)</f>
        <v>0</v>
      </c>
      <c r="I20" s="156">
        <f ca="1">OFFSET(用户!$A$1,$A20-1,I$1-1)</f>
        <v>0</v>
      </c>
      <c r="J20" s="156">
        <f ca="1">OFFSET(用户!$A$1,$A20-1,J$1-1)</f>
        <v>0</v>
      </c>
      <c r="K20" s="156">
        <f ca="1">OFFSET(用户!$A$1,$A20-1,K$1-1)</f>
        <v>0</v>
      </c>
      <c r="L20" s="156">
        <f ca="1">OFFSET(用户!$A$1,$A20-1,L$1-1)</f>
        <v>0</v>
      </c>
      <c r="M20" s="156">
        <f ca="1">OFFSET(用户!$A$1,$A20-1,M$1-1)</f>
        <v>0</v>
      </c>
      <c r="N20" s="156">
        <f ca="1">OFFSET(用户!$A$1,$A20-1,N$1-1)</f>
        <v>0</v>
      </c>
      <c r="O20" s="156">
        <f ca="1">OFFSET(用户!$A$1,$A20-1,O$1-1)</f>
        <v>0</v>
      </c>
      <c r="P20" s="157">
        <f ca="1">OFFSET(用户!$A$1,$A20-1,P$1-1)</f>
        <v>0</v>
      </c>
      <c r="Q20" s="154" t="str">
        <f t="shared" ref="Q20:Q26" ca="1" si="5">IFERROR((P20-O20)/O20,"")</f>
        <v/>
      </c>
    </row>
    <row r="21" spans="1:17" s="155" customFormat="1" outlineLevel="1">
      <c r="A21" s="252">
        <f t="shared" si="4"/>
        <v>11</v>
      </c>
      <c r="B21" s="492"/>
      <c r="C21" s="167" t="s">
        <v>220</v>
      </c>
      <c r="D21" s="168">
        <f ca="1">OFFSET(用户!$A$1,$A21-1,D$1-1)</f>
        <v>736706</v>
      </c>
      <c r="E21" s="168">
        <f ca="1">OFFSET(用户!$A$1,$A21-1,E$1-1)</f>
        <v>723020</v>
      </c>
      <c r="F21" s="168">
        <f ca="1">OFFSET(用户!$A$1,$A21-1,F$1-1)</f>
        <v>742017</v>
      </c>
      <c r="G21" s="168">
        <f ca="1">OFFSET(用户!$A$1,$A21-1,G$1-1)</f>
        <v>747272</v>
      </c>
      <c r="H21" s="168">
        <f ca="1">OFFSET(用户!$A$1,$A21-1,H$1-1)</f>
        <v>819279</v>
      </c>
      <c r="I21" s="168">
        <f ca="1">OFFSET(用户!$A$1,$A21-1,I$1-1)</f>
        <v>779479</v>
      </c>
      <c r="J21" s="168">
        <f ca="1">OFFSET(用户!$A$1,$A21-1,J$1-1)</f>
        <v>758611</v>
      </c>
      <c r="K21" s="168">
        <f ca="1">OFFSET(用户!$A$1,$A21-1,K$1-1)</f>
        <v>787830</v>
      </c>
      <c r="L21" s="168">
        <f ca="1">OFFSET(用户!$A$1,$A21-1,L$1-1)</f>
        <v>764158</v>
      </c>
      <c r="M21" s="168">
        <f ca="1">OFFSET(用户!$A$1,$A21-1,M$1-1)</f>
        <v>805794</v>
      </c>
      <c r="N21" s="168">
        <f ca="1">OFFSET(用户!$A$1,$A21-1,N$1-1)</f>
        <v>767759</v>
      </c>
      <c r="O21" s="168">
        <f ca="1">OFFSET(用户!$A$1,$A21-1,O$1-1)</f>
        <v>805148</v>
      </c>
      <c r="P21" s="259">
        <f ca="1">OFFSET(用户!$A$1,$A21-1,P$1-1)</f>
        <v>885576</v>
      </c>
      <c r="Q21" s="154">
        <f t="shared" ca="1" si="5"/>
        <v>9.9892193733326043E-2</v>
      </c>
    </row>
    <row r="22" spans="1:17" s="159" customFormat="1" outlineLevel="1">
      <c r="A22" s="252">
        <f t="shared" si="4"/>
        <v>47</v>
      </c>
      <c r="B22" s="492"/>
      <c r="C22" s="257" t="s">
        <v>278</v>
      </c>
      <c r="D22" s="156">
        <f ca="1">OFFSET(用户!$A$1,$A22-1,D$1-1)</f>
        <v>736706</v>
      </c>
      <c r="E22" s="156">
        <f ca="1">OFFSET(用户!$A$1,$A22-1,E$1-1)</f>
        <v>723020</v>
      </c>
      <c r="F22" s="156">
        <f ca="1">OFFSET(用户!$A$1,$A22-1,F$1-1)</f>
        <v>742017</v>
      </c>
      <c r="G22" s="156">
        <f ca="1">OFFSET(用户!$A$1,$A22-1,G$1-1)</f>
        <v>747272</v>
      </c>
      <c r="H22" s="156">
        <f ca="1">OFFSET(用户!$A$1,$A22-1,H$1-1)</f>
        <v>819279</v>
      </c>
      <c r="I22" s="156">
        <f ca="1">OFFSET(用户!$A$1,$A22-1,I$1-1)</f>
        <v>779479</v>
      </c>
      <c r="J22" s="156">
        <f ca="1">OFFSET(用户!$A$1,$A22-1,J$1-1)</f>
        <v>758611</v>
      </c>
      <c r="K22" s="156">
        <f ca="1">OFFSET(用户!$A$1,$A22-1,K$1-1)</f>
        <v>787830</v>
      </c>
      <c r="L22" s="156">
        <f ca="1">OFFSET(用户!$A$1,$A22-1,L$1-1)</f>
        <v>764158</v>
      </c>
      <c r="M22" s="156">
        <f ca="1">OFFSET(用户!$A$1,$A22-1,M$1-1)</f>
        <v>805794</v>
      </c>
      <c r="N22" s="156">
        <f ca="1">OFFSET(用户!$A$1,$A22-1,N$1-1)</f>
        <v>767759</v>
      </c>
      <c r="O22" s="156">
        <f ca="1">OFFSET(用户!$A$1,$A22-1,O$1-1)</f>
        <v>805148</v>
      </c>
      <c r="P22" s="157">
        <f ca="1">OFFSET(用户!$A$1,$A22-1,P$1-1)</f>
        <v>885576</v>
      </c>
      <c r="Q22" s="154">
        <f ca="1">IFERROR((P22-O22)/O22,"")</f>
        <v>9.9892193733326043E-2</v>
      </c>
    </row>
    <row r="23" spans="1:17" s="159" customFormat="1" outlineLevel="1">
      <c r="A23" s="252">
        <f t="shared" si="4"/>
        <v>29</v>
      </c>
      <c r="B23" s="492"/>
      <c r="C23" s="257" t="s">
        <v>279</v>
      </c>
      <c r="D23" s="156">
        <f ca="1">OFFSET(用户!$A$1,$A23-1,D$1-1)</f>
        <v>0</v>
      </c>
      <c r="E23" s="156">
        <f ca="1">OFFSET(用户!$A$1,$A23-1,E$1-1)</f>
        <v>0</v>
      </c>
      <c r="F23" s="156">
        <f ca="1">OFFSET(用户!$A$1,$A23-1,F$1-1)</f>
        <v>0</v>
      </c>
      <c r="G23" s="156">
        <f ca="1">OFFSET(用户!$A$1,$A23-1,G$1-1)</f>
        <v>0</v>
      </c>
      <c r="H23" s="156">
        <f ca="1">OFFSET(用户!$A$1,$A23-1,H$1-1)</f>
        <v>0</v>
      </c>
      <c r="I23" s="156">
        <f ca="1">OFFSET(用户!$A$1,$A23-1,I$1-1)</f>
        <v>0</v>
      </c>
      <c r="J23" s="156">
        <f ca="1">OFFSET(用户!$A$1,$A23-1,J$1-1)</f>
        <v>0</v>
      </c>
      <c r="K23" s="156">
        <f ca="1">OFFSET(用户!$A$1,$A23-1,K$1-1)</f>
        <v>0</v>
      </c>
      <c r="L23" s="156">
        <f ca="1">OFFSET(用户!$A$1,$A23-1,L$1-1)</f>
        <v>0</v>
      </c>
      <c r="M23" s="156">
        <f ca="1">OFFSET(用户!$A$1,$A23-1,M$1-1)</f>
        <v>0</v>
      </c>
      <c r="N23" s="156">
        <f ca="1">OFFSET(用户!$A$1,$A23-1,N$1-1)</f>
        <v>0</v>
      </c>
      <c r="O23" s="156">
        <f ca="1">OFFSET(用户!$A$1,$A23-1,O$1-1)</f>
        <v>0</v>
      </c>
      <c r="P23" s="157">
        <f ca="1">OFFSET(用户!$A$1,$A23-1,P$1-1)</f>
        <v>0</v>
      </c>
      <c r="Q23" s="154" t="str">
        <f t="shared" ca="1" si="5"/>
        <v/>
      </c>
    </row>
    <row r="24" spans="1:17" s="155" customFormat="1" outlineLevel="1">
      <c r="A24" s="258">
        <f t="shared" si="4"/>
        <v>17</v>
      </c>
      <c r="B24" s="492"/>
      <c r="C24" s="167" t="s">
        <v>223</v>
      </c>
      <c r="D24" s="168">
        <f ca="1">OFFSET(用户!$A$1,$A24-1,D$1-1)</f>
        <v>564351</v>
      </c>
      <c r="E24" s="168">
        <f ca="1">OFFSET(用户!$A$1,$A24-1,E$1-1)</f>
        <v>868219</v>
      </c>
      <c r="F24" s="168">
        <f ca="1">OFFSET(用户!$A$1,$A24-1,F$1-1)</f>
        <v>982793</v>
      </c>
      <c r="G24" s="168">
        <f ca="1">OFFSET(用户!$A$1,$A24-1,G$1-1)</f>
        <v>765073</v>
      </c>
      <c r="H24" s="168">
        <f ca="1">OFFSET(用户!$A$1,$A24-1,H$1-1)</f>
        <v>643225</v>
      </c>
      <c r="I24" s="168">
        <f ca="1">OFFSET(用户!$A$1,$A24-1,I$1-1)</f>
        <v>635056</v>
      </c>
      <c r="J24" s="168">
        <f ca="1">OFFSET(用户!$A$1,$A24-1,J$1-1)</f>
        <v>603446</v>
      </c>
      <c r="K24" s="168">
        <f ca="1">OFFSET(用户!$A$1,$A24-1,K$1-1)</f>
        <v>655861</v>
      </c>
      <c r="L24" s="168">
        <f ca="1">OFFSET(用户!$A$1,$A24-1,L$1-1)</f>
        <v>612696</v>
      </c>
      <c r="M24" s="168">
        <f ca="1">OFFSET(用户!$A$1,$A24-1,M$1-1)</f>
        <v>664871</v>
      </c>
      <c r="N24" s="168">
        <f ca="1">OFFSET(用户!$A$1,$A24-1,N$1-1)</f>
        <v>658210</v>
      </c>
      <c r="O24" s="168">
        <f ca="1">OFFSET(用户!$A$1,$A24-1,O$1-1)</f>
        <v>711258</v>
      </c>
      <c r="P24" s="153">
        <f ca="1">OFFSET(用户!$A$1,$A24-1,P$1-1)</f>
        <v>717026</v>
      </c>
      <c r="Q24" s="251">
        <f t="shared" ca="1" si="5"/>
        <v>8.1095748659417537E-3</v>
      </c>
    </row>
    <row r="25" spans="1:17" s="159" customFormat="1" outlineLevel="1">
      <c r="A25" s="252">
        <f t="shared" si="4"/>
        <v>53</v>
      </c>
      <c r="B25" s="492"/>
      <c r="C25" s="257" t="s">
        <v>280</v>
      </c>
      <c r="D25" s="156">
        <f ca="1">OFFSET(用户!$A$1,$A25-1,D$1-1)</f>
        <v>564351</v>
      </c>
      <c r="E25" s="156">
        <f ca="1">OFFSET(用户!$A$1,$A25-1,E$1-1)</f>
        <v>868219</v>
      </c>
      <c r="F25" s="156">
        <f ca="1">OFFSET(用户!$A$1,$A25-1,F$1-1)</f>
        <v>982793</v>
      </c>
      <c r="G25" s="156">
        <f ca="1">OFFSET(用户!$A$1,$A25-1,G$1-1)</f>
        <v>765073</v>
      </c>
      <c r="H25" s="156">
        <f ca="1">OFFSET(用户!$A$1,$A25-1,H$1-1)</f>
        <v>643225</v>
      </c>
      <c r="I25" s="156">
        <f ca="1">OFFSET(用户!$A$1,$A25-1,I$1-1)</f>
        <v>635056</v>
      </c>
      <c r="J25" s="156">
        <f ca="1">OFFSET(用户!$A$1,$A25-1,J$1-1)</f>
        <v>603446</v>
      </c>
      <c r="K25" s="156">
        <f ca="1">OFFSET(用户!$A$1,$A25-1,K$1-1)</f>
        <v>655861</v>
      </c>
      <c r="L25" s="156">
        <f ca="1">OFFSET(用户!$A$1,$A25-1,L$1-1)</f>
        <v>612696</v>
      </c>
      <c r="M25" s="156">
        <f ca="1">OFFSET(用户!$A$1,$A25-1,M$1-1)</f>
        <v>664871</v>
      </c>
      <c r="N25" s="156">
        <f ca="1">OFFSET(用户!$A$1,$A25-1,N$1-1)</f>
        <v>658210</v>
      </c>
      <c r="O25" s="156">
        <f ca="1">OFFSET(用户!$A$1,$A25-1,O$1-1)</f>
        <v>711258</v>
      </c>
      <c r="P25" s="157">
        <f ca="1">OFFSET(用户!$A$1,$A25-1,P$1-1)</f>
        <v>717026</v>
      </c>
      <c r="Q25" s="154">
        <f ca="1">IFERROR((P25-O25)/O25,"")</f>
        <v>8.1095748659417537E-3</v>
      </c>
    </row>
    <row r="26" spans="1:17" s="159" customFormat="1" outlineLevel="1">
      <c r="A26" s="252">
        <f t="shared" si="4"/>
        <v>35</v>
      </c>
      <c r="B26" s="492"/>
      <c r="C26" s="257" t="s">
        <v>281</v>
      </c>
      <c r="D26" s="156">
        <f ca="1">OFFSET(用户!$A$1,$A26-1,D$1-1)</f>
        <v>0</v>
      </c>
      <c r="E26" s="156">
        <f ca="1">OFFSET(用户!$A$1,$A26-1,E$1-1)</f>
        <v>0</v>
      </c>
      <c r="F26" s="156">
        <f ca="1">OFFSET(用户!$A$1,$A26-1,F$1-1)</f>
        <v>0</v>
      </c>
      <c r="G26" s="156">
        <f ca="1">OFFSET(用户!$A$1,$A26-1,G$1-1)</f>
        <v>0</v>
      </c>
      <c r="H26" s="156">
        <f ca="1">OFFSET(用户!$A$1,$A26-1,H$1-1)</f>
        <v>0</v>
      </c>
      <c r="I26" s="156">
        <f ca="1">OFFSET(用户!$A$1,$A26-1,I$1-1)</f>
        <v>0</v>
      </c>
      <c r="J26" s="156">
        <f ca="1">OFFSET(用户!$A$1,$A26-1,J$1-1)</f>
        <v>0</v>
      </c>
      <c r="K26" s="156">
        <f ca="1">OFFSET(用户!$A$1,$A26-1,K$1-1)</f>
        <v>0</v>
      </c>
      <c r="L26" s="156">
        <f ca="1">OFFSET(用户!$A$1,$A26-1,L$1-1)</f>
        <v>0</v>
      </c>
      <c r="M26" s="156">
        <f ca="1">OFFSET(用户!$A$1,$A26-1,M$1-1)</f>
        <v>0</v>
      </c>
      <c r="N26" s="156">
        <f ca="1">OFFSET(用户!$A$1,$A26-1,N$1-1)</f>
        <v>0</v>
      </c>
      <c r="O26" s="156">
        <f ca="1">OFFSET(用户!$A$1,$A26-1,O$1-1)</f>
        <v>0</v>
      </c>
      <c r="P26" s="157">
        <f ca="1">OFFSET(用户!$A$1,$A26-1,P$1-1)</f>
        <v>0</v>
      </c>
      <c r="Q26" s="154" t="str">
        <f t="shared" ca="1" si="5"/>
        <v/>
      </c>
    </row>
    <row r="27" spans="1:17" s="267" customFormat="1" outlineLevel="1">
      <c r="A27" s="258"/>
      <c r="B27" s="492"/>
      <c r="C27" s="262" t="s">
        <v>224</v>
      </c>
      <c r="D27" s="266">
        <f t="shared" ref="D27:P27" ca="1" si="6">+D21/D18</f>
        <v>0.56623652922200951</v>
      </c>
      <c r="E27" s="266">
        <f t="shared" ca="1" si="6"/>
        <v>0.45437548979128844</v>
      </c>
      <c r="F27" s="266">
        <f t="shared" ca="1" si="6"/>
        <v>0.4302021671952273</v>
      </c>
      <c r="G27" s="266">
        <f t="shared" ca="1" si="6"/>
        <v>0.49411476878622274</v>
      </c>
      <c r="H27" s="266">
        <f t="shared" ca="1" si="6"/>
        <v>0.56018923708926605</v>
      </c>
      <c r="I27" s="266">
        <f t="shared" ca="1" si="6"/>
        <v>0.55104963822033393</v>
      </c>
      <c r="J27" s="266">
        <f t="shared" ca="1" si="6"/>
        <v>0.55695980417853286</v>
      </c>
      <c r="K27" s="266">
        <f t="shared" ca="1" si="6"/>
        <v>0.54570541757204272</v>
      </c>
      <c r="L27" s="266">
        <f t="shared" ca="1" si="6"/>
        <v>0.5550029269624811</v>
      </c>
      <c r="M27" s="266">
        <f t="shared" ca="1" si="6"/>
        <v>0.54791131902914669</v>
      </c>
      <c r="N27" s="266">
        <f t="shared" ca="1" si="6"/>
        <v>0.53841212536878436</v>
      </c>
      <c r="O27" s="266">
        <f t="shared" ca="1" si="6"/>
        <v>0.53095806795805345</v>
      </c>
      <c r="P27" s="266">
        <f t="shared" ca="1" si="6"/>
        <v>0.55258635643784293</v>
      </c>
      <c r="Q27" s="263">
        <f ca="1">+P27-O27</f>
        <v>2.1628288479789481E-2</v>
      </c>
    </row>
    <row r="28" spans="1:17" s="250" customFormat="1" outlineLevel="1">
      <c r="A28" s="252"/>
      <c r="B28" s="493"/>
      <c r="C28" s="260" t="s">
        <v>284</v>
      </c>
      <c r="D28" s="247">
        <f t="shared" ref="D28:P28" ca="1" si="7">+D22/D19</f>
        <v>0.56623652922200951</v>
      </c>
      <c r="E28" s="247">
        <f t="shared" ca="1" si="7"/>
        <v>0.45437548979128844</v>
      </c>
      <c r="F28" s="247">
        <f ca="1">+F22/F19</f>
        <v>0.4302021671952273</v>
      </c>
      <c r="G28" s="247">
        <f t="shared" ca="1" si="7"/>
        <v>0.49411476878622274</v>
      </c>
      <c r="H28" s="247">
        <f t="shared" ca="1" si="7"/>
        <v>0.56018923708926605</v>
      </c>
      <c r="I28" s="247">
        <f t="shared" ca="1" si="7"/>
        <v>0.55104963822033393</v>
      </c>
      <c r="J28" s="247">
        <f t="shared" ca="1" si="7"/>
        <v>0.55695980417853286</v>
      </c>
      <c r="K28" s="247">
        <f t="shared" ca="1" si="7"/>
        <v>0.54570541757204272</v>
      </c>
      <c r="L28" s="247">
        <f t="shared" ca="1" si="7"/>
        <v>0.5550029269624811</v>
      </c>
      <c r="M28" s="247">
        <f t="shared" ca="1" si="7"/>
        <v>0.54791131902914669</v>
      </c>
      <c r="N28" s="247">
        <f t="shared" ca="1" si="7"/>
        <v>0.53841212536878436</v>
      </c>
      <c r="O28" s="247">
        <f t="shared" ca="1" si="7"/>
        <v>0.53095806795805345</v>
      </c>
      <c r="P28" s="247">
        <f t="shared" ca="1" si="7"/>
        <v>0.55258635643784293</v>
      </c>
      <c r="Q28" s="248">
        <f ca="1">+P28-O28</f>
        <v>2.1628288479789481E-2</v>
      </c>
    </row>
    <row r="29" spans="1:17" s="155" customFormat="1" outlineLevel="1">
      <c r="A29" s="252">
        <f t="shared" ref="A29:A39" si="8">+A4+3</f>
        <v>6</v>
      </c>
      <c r="B29" s="491" t="s">
        <v>290</v>
      </c>
      <c r="C29" s="167" t="s">
        <v>291</v>
      </c>
      <c r="D29" s="168">
        <f ca="1">OFFSET(用户!$A$1,$A29-1,D$1-1)</f>
        <v>2063069</v>
      </c>
      <c r="E29" s="168">
        <f ca="1">OFFSET(用户!$A$1,$A29-1,E$1-1)</f>
        <v>2186530</v>
      </c>
      <c r="F29" s="168">
        <f ca="1">OFFSET(用户!$A$1,$A29-1,F$1-1)</f>
        <v>2292388</v>
      </c>
      <c r="G29" s="168">
        <f ca="1">OFFSET(用户!$A$1,$A29-1,G$1-1)</f>
        <v>2366680</v>
      </c>
      <c r="H29" s="168">
        <f ca="1">OFFSET(用户!$A$1,$A29-1,H$1-1)</f>
        <v>2627910</v>
      </c>
      <c r="I29" s="168">
        <f ca="1">OFFSET(用户!$A$1,$A29-1,I$1-1)</f>
        <v>2707324</v>
      </c>
      <c r="J29" s="168">
        <f ca="1">OFFSET(用户!$A$1,$A29-1,J$1-1)</f>
        <v>2038790</v>
      </c>
      <c r="K29" s="168">
        <f ca="1">OFFSET(用户!$A$1,$A29-1,K$1-1)</f>
        <v>2571119</v>
      </c>
      <c r="L29" s="168">
        <f ca="1">OFFSET(用户!$A$1,$A29-1,L$1-1)</f>
        <v>2190975</v>
      </c>
      <c r="M29" s="168">
        <f ca="1">OFFSET(用户!$A$1,$A29-1,M$1-1)</f>
        <v>2629078</v>
      </c>
      <c r="N29" s="168">
        <f ca="1">OFFSET(用户!$A$1,$A29-1,N$1-1)</f>
        <v>2202125</v>
      </c>
      <c r="O29" s="168">
        <f ca="1">OFFSET(用户!$A$1,$A29-1,O$1-1)</f>
        <v>2660533</v>
      </c>
      <c r="P29" s="153">
        <f ca="1">OFFSET(用户!$A$1,$A29-1,P$1-1)</f>
        <v>3956568</v>
      </c>
      <c r="Q29" s="154">
        <f ca="1">IFERROR((P29-O29)/O29,"")</f>
        <v>0.48713359315595783</v>
      </c>
    </row>
    <row r="30" spans="1:17" outlineLevel="1">
      <c r="A30" s="252">
        <f t="shared" si="8"/>
        <v>42</v>
      </c>
      <c r="B30" s="492"/>
      <c r="C30" s="172" t="s">
        <v>293</v>
      </c>
      <c r="D30" s="156">
        <f ca="1">OFFSET(用户!$A$1,$A30-1,D$1-1)</f>
        <v>2063069</v>
      </c>
      <c r="E30" s="156">
        <f ca="1">OFFSET(用户!$A$1,$A30-1,E$1-1)</f>
        <v>2186530</v>
      </c>
      <c r="F30" s="156">
        <f ca="1">OFFSET(用户!$A$1,$A30-1,F$1-1)</f>
        <v>2292388</v>
      </c>
      <c r="G30" s="156">
        <f ca="1">OFFSET(用户!$A$1,$A30-1,G$1-1)</f>
        <v>2366680</v>
      </c>
      <c r="H30" s="156">
        <f ca="1">OFFSET(用户!$A$1,$A30-1,H$1-1)</f>
        <v>2627910</v>
      </c>
      <c r="I30" s="156">
        <f ca="1">OFFSET(用户!$A$1,$A30-1,I$1-1)</f>
        <v>2707324</v>
      </c>
      <c r="J30" s="156">
        <f ca="1">OFFSET(用户!$A$1,$A30-1,J$1-1)</f>
        <v>2038790</v>
      </c>
      <c r="K30" s="156">
        <f ca="1">OFFSET(用户!$A$1,$A30-1,K$1-1)</f>
        <v>2571119</v>
      </c>
      <c r="L30" s="156">
        <f ca="1">OFFSET(用户!$A$1,$A30-1,L$1-1)</f>
        <v>2190975</v>
      </c>
      <c r="M30" s="156">
        <f ca="1">OFFSET(用户!$A$1,$A30-1,M$1-1)</f>
        <v>2629078</v>
      </c>
      <c r="N30" s="156">
        <f ca="1">OFFSET(用户!$A$1,$A30-1,N$1-1)</f>
        <v>2202125</v>
      </c>
      <c r="O30" s="156">
        <f ca="1">OFFSET(用户!$A$1,$A30-1,O$1-1)</f>
        <v>2660533</v>
      </c>
      <c r="P30" s="157">
        <f ca="1">OFFSET(用户!$A$1,$A30-1,P$1-1)</f>
        <v>3212059</v>
      </c>
      <c r="Q30" s="154">
        <f ca="1">IFERROR((P30-O30)/O30,"")</f>
        <v>0.20729906375902873</v>
      </c>
    </row>
    <row r="31" spans="1:17" outlineLevel="1">
      <c r="A31" s="252">
        <f t="shared" si="8"/>
        <v>24</v>
      </c>
      <c r="B31" s="492"/>
      <c r="C31" s="172" t="s">
        <v>292</v>
      </c>
      <c r="D31" s="156">
        <f ca="1">OFFSET(用户!$A$1,$A31-1,D$1-1)</f>
        <v>0</v>
      </c>
      <c r="E31" s="156">
        <f ca="1">OFFSET(用户!$A$1,$A31-1,E$1-1)</f>
        <v>0</v>
      </c>
      <c r="F31" s="156">
        <f ca="1">OFFSET(用户!$A$1,$A31-1,F$1-1)</f>
        <v>0</v>
      </c>
      <c r="G31" s="156">
        <f ca="1">OFFSET(用户!$A$1,$A31-1,G$1-1)</f>
        <v>0</v>
      </c>
      <c r="H31" s="156">
        <f ca="1">OFFSET(用户!$A$1,$A31-1,H$1-1)</f>
        <v>0</v>
      </c>
      <c r="I31" s="156">
        <f ca="1">OFFSET(用户!$A$1,$A31-1,I$1-1)</f>
        <v>0</v>
      </c>
      <c r="J31" s="156">
        <f ca="1">OFFSET(用户!$A$1,$A31-1,J$1-1)</f>
        <v>0</v>
      </c>
      <c r="K31" s="156">
        <f ca="1">OFFSET(用户!$A$1,$A31-1,K$1-1)</f>
        <v>0</v>
      </c>
      <c r="L31" s="156">
        <f ca="1">OFFSET(用户!$A$1,$A31-1,L$1-1)</f>
        <v>0</v>
      </c>
      <c r="M31" s="156">
        <f ca="1">OFFSET(用户!$A$1,$A31-1,M$1-1)</f>
        <v>0</v>
      </c>
      <c r="N31" s="156">
        <f ca="1">OFFSET(用户!$A$1,$A31-1,N$1-1)</f>
        <v>0</v>
      </c>
      <c r="O31" s="156">
        <f ca="1">OFFSET(用户!$A$1,$A31-1,O$1-1)</f>
        <v>0</v>
      </c>
      <c r="P31" s="157">
        <f ca="1">OFFSET(用户!$A$1,$A31-1,P$1-1)</f>
        <v>744509</v>
      </c>
      <c r="Q31" s="154" t="str">
        <f t="shared" ref="Q31:Q37" ca="1" si="9">IFERROR((P31-O31)/O31,"")</f>
        <v/>
      </c>
    </row>
    <row r="32" spans="1:17" s="155" customFormat="1" outlineLevel="1">
      <c r="A32" s="252">
        <f t="shared" si="8"/>
        <v>12</v>
      </c>
      <c r="B32" s="492"/>
      <c r="C32" s="167" t="s">
        <v>294</v>
      </c>
      <c r="D32" s="168">
        <f ca="1">OFFSET(用户!$A$1,$A32-1,D$1-1)</f>
        <v>182318</v>
      </c>
      <c r="E32" s="168">
        <f ca="1">OFFSET(用户!$A$1,$A32-1,E$1-1)</f>
        <v>171888</v>
      </c>
      <c r="F32" s="168">
        <f ca="1">OFFSET(用户!$A$1,$A32-1,F$1-1)</f>
        <v>203599</v>
      </c>
      <c r="G32" s="168">
        <f ca="1">OFFSET(用户!$A$1,$A32-1,G$1-1)</f>
        <v>217222</v>
      </c>
      <c r="H32" s="168">
        <f ca="1">OFFSET(用户!$A$1,$A32-1,H$1-1)</f>
        <v>248587</v>
      </c>
      <c r="I32" s="168">
        <f ca="1">OFFSET(用户!$A$1,$A32-1,I$1-1)</f>
        <v>220977</v>
      </c>
      <c r="J32" s="168">
        <f ca="1">OFFSET(用户!$A$1,$A32-1,J$1-1)</f>
        <v>267567</v>
      </c>
      <c r="K32" s="168">
        <f ca="1">OFFSET(用户!$A$1,$A32-1,K$1-1)</f>
        <v>349443</v>
      </c>
      <c r="L32" s="168">
        <f ca="1">OFFSET(用户!$A$1,$A32-1,L$1-1)</f>
        <v>350516</v>
      </c>
      <c r="M32" s="168">
        <f ca="1">OFFSET(用户!$A$1,$A32-1,M$1-1)</f>
        <v>368980</v>
      </c>
      <c r="N32" s="168">
        <f ca="1">OFFSET(用户!$A$1,$A32-1,N$1-1)</f>
        <v>353501</v>
      </c>
      <c r="O32" s="168">
        <f ca="1">OFFSET(用户!$A$1,$A32-1,O$1-1)</f>
        <v>375859</v>
      </c>
      <c r="P32" s="259">
        <f ca="1">OFFSET(用户!$A$1,$A32-1,P$1-1)</f>
        <v>440578</v>
      </c>
      <c r="Q32" s="154">
        <f t="shared" ca="1" si="9"/>
        <v>0.17218957108915844</v>
      </c>
    </row>
    <row r="33" spans="1:17" outlineLevel="1">
      <c r="A33" s="252">
        <f t="shared" si="8"/>
        <v>48</v>
      </c>
      <c r="B33" s="492"/>
      <c r="C33" s="257" t="s">
        <v>296</v>
      </c>
      <c r="D33" s="156">
        <f ca="1">OFFSET(用户!$A$1,$A33-1,D$1-1)</f>
        <v>182318</v>
      </c>
      <c r="E33" s="156">
        <f ca="1">OFFSET(用户!$A$1,$A33-1,E$1-1)</f>
        <v>171888</v>
      </c>
      <c r="F33" s="156">
        <f ca="1">OFFSET(用户!$A$1,$A33-1,F$1-1)</f>
        <v>203599</v>
      </c>
      <c r="G33" s="156">
        <f ca="1">OFFSET(用户!$A$1,$A33-1,G$1-1)</f>
        <v>217222</v>
      </c>
      <c r="H33" s="156">
        <f ca="1">OFFSET(用户!$A$1,$A33-1,H$1-1)</f>
        <v>248587</v>
      </c>
      <c r="I33" s="156">
        <f ca="1">OFFSET(用户!$A$1,$A33-1,I$1-1)</f>
        <v>220977</v>
      </c>
      <c r="J33" s="156">
        <f ca="1">OFFSET(用户!$A$1,$A33-1,J$1-1)</f>
        <v>267567</v>
      </c>
      <c r="K33" s="156">
        <f ca="1">OFFSET(用户!$A$1,$A33-1,K$1-1)</f>
        <v>349443</v>
      </c>
      <c r="L33" s="156">
        <f ca="1">OFFSET(用户!$A$1,$A33-1,L$1-1)</f>
        <v>350516</v>
      </c>
      <c r="M33" s="156">
        <f ca="1">OFFSET(用户!$A$1,$A33-1,M$1-1)</f>
        <v>368980</v>
      </c>
      <c r="N33" s="156">
        <f ca="1">OFFSET(用户!$A$1,$A33-1,N$1-1)</f>
        <v>353501</v>
      </c>
      <c r="O33" s="156">
        <f ca="1">OFFSET(用户!$A$1,$A33-1,O$1-1)</f>
        <v>375859</v>
      </c>
      <c r="P33" s="157">
        <f ca="1">OFFSET(用户!$A$1,$A33-1,P$1-1)</f>
        <v>440578</v>
      </c>
      <c r="Q33" s="154">
        <f ca="1">IFERROR((P33-O33)/O33,"")</f>
        <v>0.17218957108915844</v>
      </c>
    </row>
    <row r="34" spans="1:17" outlineLevel="1">
      <c r="A34" s="252">
        <f t="shared" si="8"/>
        <v>30</v>
      </c>
      <c r="B34" s="492"/>
      <c r="C34" s="257" t="s">
        <v>295</v>
      </c>
      <c r="D34" s="156">
        <f ca="1">OFFSET(用户!$A$1,$A34-1,D$1-1)</f>
        <v>0</v>
      </c>
      <c r="E34" s="156">
        <f ca="1">OFFSET(用户!$A$1,$A34-1,E$1-1)</f>
        <v>0</v>
      </c>
      <c r="F34" s="156">
        <f ca="1">OFFSET(用户!$A$1,$A34-1,F$1-1)</f>
        <v>0</v>
      </c>
      <c r="G34" s="156">
        <f ca="1">OFFSET(用户!$A$1,$A34-1,G$1-1)</f>
        <v>0</v>
      </c>
      <c r="H34" s="156">
        <f ca="1">OFFSET(用户!$A$1,$A34-1,H$1-1)</f>
        <v>0</v>
      </c>
      <c r="I34" s="156">
        <f ca="1">OFFSET(用户!$A$1,$A34-1,I$1-1)</f>
        <v>0</v>
      </c>
      <c r="J34" s="156">
        <f ca="1">OFFSET(用户!$A$1,$A34-1,J$1-1)</f>
        <v>0</v>
      </c>
      <c r="K34" s="156">
        <f ca="1">OFFSET(用户!$A$1,$A34-1,K$1-1)</f>
        <v>0</v>
      </c>
      <c r="L34" s="156">
        <f ca="1">OFFSET(用户!$A$1,$A34-1,L$1-1)</f>
        <v>0</v>
      </c>
      <c r="M34" s="156">
        <f ca="1">OFFSET(用户!$A$1,$A34-1,M$1-1)</f>
        <v>0</v>
      </c>
      <c r="N34" s="156">
        <f ca="1">OFFSET(用户!$A$1,$A34-1,N$1-1)</f>
        <v>0</v>
      </c>
      <c r="O34" s="156">
        <f ca="1">OFFSET(用户!$A$1,$A34-1,O$1-1)</f>
        <v>0</v>
      </c>
      <c r="P34" s="157">
        <f ca="1">OFFSET(用户!$A$1,$A34-1,P$1-1)</f>
        <v>0</v>
      </c>
      <c r="Q34" s="154" t="str">
        <f t="shared" ca="1" si="9"/>
        <v/>
      </c>
    </row>
    <row r="35" spans="1:17" s="155" customFormat="1" outlineLevel="1">
      <c r="A35" s="252">
        <f t="shared" si="8"/>
        <v>18</v>
      </c>
      <c r="B35" s="492"/>
      <c r="C35" s="167" t="s">
        <v>297</v>
      </c>
      <c r="D35" s="168">
        <f ca="1">OFFSET(用户!$A$1,$A35-1,D$1-1)</f>
        <v>1880751</v>
      </c>
      <c r="E35" s="168">
        <f ca="1">OFFSET(用户!$A$1,$A35-1,E$1-1)</f>
        <v>2014642</v>
      </c>
      <c r="F35" s="168">
        <f ca="1">OFFSET(用户!$A$1,$A35-1,F$1-1)</f>
        <v>2088789</v>
      </c>
      <c r="G35" s="168">
        <f ca="1">OFFSET(用户!$A$1,$A35-1,G$1-1)</f>
        <v>2149458</v>
      </c>
      <c r="H35" s="168">
        <f ca="1">OFFSET(用户!$A$1,$A35-1,H$1-1)</f>
        <v>2379323</v>
      </c>
      <c r="I35" s="168">
        <f ca="1">OFFSET(用户!$A$1,$A35-1,I$1-1)</f>
        <v>2486347</v>
      </c>
      <c r="J35" s="168">
        <f ca="1">OFFSET(用户!$A$1,$A35-1,J$1-1)</f>
        <v>1771223</v>
      </c>
      <c r="K35" s="168">
        <f ca="1">OFFSET(用户!$A$1,$A35-1,K$1-1)</f>
        <v>2221676</v>
      </c>
      <c r="L35" s="168">
        <f ca="1">OFFSET(用户!$A$1,$A35-1,L$1-1)</f>
        <v>1840459</v>
      </c>
      <c r="M35" s="168">
        <f ca="1">OFFSET(用户!$A$1,$A35-1,M$1-1)</f>
        <v>2260098</v>
      </c>
      <c r="N35" s="168">
        <f ca="1">OFFSET(用户!$A$1,$A35-1,N$1-1)</f>
        <v>1848624</v>
      </c>
      <c r="O35" s="168">
        <f ca="1">OFFSET(用户!$A$1,$A35-1,O$1-1)</f>
        <v>2284674</v>
      </c>
      <c r="P35" s="153">
        <f ca="1">OFFSET(用户!$A$1,$A35-1,P$1-1)</f>
        <v>3515990</v>
      </c>
      <c r="Q35" s="251">
        <f t="shared" ca="1" si="9"/>
        <v>0.5389460378154608</v>
      </c>
    </row>
    <row r="36" spans="1:17" outlineLevel="1">
      <c r="A36" s="252">
        <f t="shared" si="8"/>
        <v>54</v>
      </c>
      <c r="B36" s="492"/>
      <c r="C36" s="257" t="s">
        <v>299</v>
      </c>
      <c r="D36" s="156">
        <f ca="1">OFFSET(用户!$A$1,$A36-1,D$1-1)</f>
        <v>1880751</v>
      </c>
      <c r="E36" s="156">
        <f ca="1">OFFSET(用户!$A$1,$A36-1,E$1-1)</f>
        <v>2014642</v>
      </c>
      <c r="F36" s="156">
        <f ca="1">OFFSET(用户!$A$1,$A36-1,F$1-1)</f>
        <v>2088789</v>
      </c>
      <c r="G36" s="156">
        <f ca="1">OFFSET(用户!$A$1,$A36-1,G$1-1)</f>
        <v>2149458</v>
      </c>
      <c r="H36" s="156">
        <f ca="1">OFFSET(用户!$A$1,$A36-1,H$1-1)</f>
        <v>2379323</v>
      </c>
      <c r="I36" s="156">
        <f ca="1">OFFSET(用户!$A$1,$A36-1,I$1-1)</f>
        <v>2486347</v>
      </c>
      <c r="J36" s="156">
        <f ca="1">OFFSET(用户!$A$1,$A36-1,J$1-1)</f>
        <v>1771223</v>
      </c>
      <c r="K36" s="156">
        <f ca="1">OFFSET(用户!$A$1,$A36-1,K$1-1)</f>
        <v>2221676</v>
      </c>
      <c r="L36" s="156">
        <f ca="1">OFFSET(用户!$A$1,$A36-1,L$1-1)</f>
        <v>1840459</v>
      </c>
      <c r="M36" s="156">
        <f ca="1">OFFSET(用户!$A$1,$A36-1,M$1-1)</f>
        <v>2260098</v>
      </c>
      <c r="N36" s="156">
        <f ca="1">OFFSET(用户!$A$1,$A36-1,N$1-1)</f>
        <v>1848624</v>
      </c>
      <c r="O36" s="156">
        <f ca="1">OFFSET(用户!$A$1,$A36-1,O$1-1)</f>
        <v>2284674</v>
      </c>
      <c r="P36" s="157">
        <f ca="1">OFFSET(用户!$A$1,$A36-1,P$1-1)</f>
        <v>2771481</v>
      </c>
      <c r="Q36" s="154">
        <f ca="1">IFERROR((P36-O36)/O36,"")</f>
        <v>0.21307503827679572</v>
      </c>
    </row>
    <row r="37" spans="1:17" outlineLevel="1">
      <c r="A37" s="252">
        <f t="shared" si="8"/>
        <v>36</v>
      </c>
      <c r="B37" s="492"/>
      <c r="C37" s="257" t="s">
        <v>298</v>
      </c>
      <c r="D37" s="156">
        <f ca="1">OFFSET(用户!$A$1,$A37-1,D$1-1)</f>
        <v>0</v>
      </c>
      <c r="E37" s="156">
        <f ca="1">OFFSET(用户!$A$1,$A37-1,E$1-1)</f>
        <v>0</v>
      </c>
      <c r="F37" s="156">
        <f ca="1">OFFSET(用户!$A$1,$A37-1,F$1-1)</f>
        <v>0</v>
      </c>
      <c r="G37" s="156">
        <f ca="1">OFFSET(用户!$A$1,$A37-1,G$1-1)</f>
        <v>0</v>
      </c>
      <c r="H37" s="156">
        <f ca="1">OFFSET(用户!$A$1,$A37-1,H$1-1)</f>
        <v>0</v>
      </c>
      <c r="I37" s="156">
        <f ca="1">OFFSET(用户!$A$1,$A37-1,I$1-1)</f>
        <v>0</v>
      </c>
      <c r="J37" s="156">
        <f ca="1">OFFSET(用户!$A$1,$A37-1,J$1-1)</f>
        <v>0</v>
      </c>
      <c r="K37" s="156">
        <f ca="1">OFFSET(用户!$A$1,$A37-1,K$1-1)</f>
        <v>0</v>
      </c>
      <c r="L37" s="156">
        <f ca="1">OFFSET(用户!$A$1,$A37-1,L$1-1)</f>
        <v>0</v>
      </c>
      <c r="M37" s="156">
        <f ca="1">OFFSET(用户!$A$1,$A37-1,M$1-1)</f>
        <v>0</v>
      </c>
      <c r="N37" s="156">
        <f ca="1">OFFSET(用户!$A$1,$A37-1,N$1-1)</f>
        <v>0</v>
      </c>
      <c r="O37" s="156">
        <f ca="1">OFFSET(用户!$A$1,$A37-1,O$1-1)</f>
        <v>0</v>
      </c>
      <c r="P37" s="157">
        <f ca="1">OFFSET(用户!$A$1,$A37-1,P$1-1)</f>
        <v>744509</v>
      </c>
      <c r="Q37" s="154" t="str">
        <f t="shared" ca="1" si="9"/>
        <v/>
      </c>
    </row>
    <row r="38" spans="1:17" s="264" customFormat="1" outlineLevel="1">
      <c r="A38" s="258">
        <f t="shared" si="8"/>
        <v>3</v>
      </c>
      <c r="B38" s="492"/>
      <c r="C38" s="262" t="s">
        <v>300</v>
      </c>
      <c r="D38" s="266">
        <f t="shared" ref="D38:P38" ca="1" si="10">+D32/D29</f>
        <v>8.8372226038004542E-2</v>
      </c>
      <c r="E38" s="266">
        <f t="shared" ca="1" si="10"/>
        <v>7.8612230337566827E-2</v>
      </c>
      <c r="F38" s="266">
        <f t="shared" ca="1" si="10"/>
        <v>8.8815244190773981E-2</v>
      </c>
      <c r="G38" s="266">
        <f t="shared" ca="1" si="10"/>
        <v>9.178342657224467E-2</v>
      </c>
      <c r="H38" s="266">
        <f t="shared" ca="1" si="10"/>
        <v>9.459494427130305E-2</v>
      </c>
      <c r="I38" s="266">
        <f t="shared" ca="1" si="10"/>
        <v>8.1621926300657038E-2</v>
      </c>
      <c r="J38" s="266">
        <f t="shared" ca="1" si="10"/>
        <v>0.13123813634557752</v>
      </c>
      <c r="K38" s="266">
        <f t="shared" ca="1" si="10"/>
        <v>0.13591086215768308</v>
      </c>
      <c r="L38" s="266">
        <f t="shared" ca="1" si="10"/>
        <v>0.15998174328780565</v>
      </c>
      <c r="M38" s="266">
        <f t="shared" ca="1" si="10"/>
        <v>0.14034577901454426</v>
      </c>
      <c r="N38" s="266">
        <f t="shared" ca="1" si="10"/>
        <v>0.1605272180280411</v>
      </c>
      <c r="O38" s="266">
        <f t="shared" ca="1" si="10"/>
        <v>0.14127206841636619</v>
      </c>
      <c r="P38" s="266">
        <f t="shared" ca="1" si="10"/>
        <v>0.11135357714059256</v>
      </c>
      <c r="Q38" s="263">
        <f ca="1">+P38-O38</f>
        <v>-2.9918491275773632E-2</v>
      </c>
    </row>
    <row r="39" spans="1:17" s="249" customFormat="1" outlineLevel="1">
      <c r="A39" s="252">
        <f t="shared" si="8"/>
        <v>3</v>
      </c>
      <c r="B39" s="493"/>
      <c r="C39" s="260" t="s">
        <v>301</v>
      </c>
      <c r="D39" s="247">
        <f t="shared" ref="D39:P39" ca="1" si="11">+D33/D30</f>
        <v>8.8372226038004542E-2</v>
      </c>
      <c r="E39" s="247">
        <f t="shared" ca="1" si="11"/>
        <v>7.8612230337566827E-2</v>
      </c>
      <c r="F39" s="247">
        <f t="shared" ca="1" si="11"/>
        <v>8.8815244190773981E-2</v>
      </c>
      <c r="G39" s="247">
        <f t="shared" ca="1" si="11"/>
        <v>9.178342657224467E-2</v>
      </c>
      <c r="H39" s="247">
        <f t="shared" ca="1" si="11"/>
        <v>9.459494427130305E-2</v>
      </c>
      <c r="I39" s="247">
        <f t="shared" ca="1" si="11"/>
        <v>8.1621926300657038E-2</v>
      </c>
      <c r="J39" s="247">
        <f t="shared" ca="1" si="11"/>
        <v>0.13123813634557752</v>
      </c>
      <c r="K39" s="247">
        <f t="shared" ca="1" si="11"/>
        <v>0.13591086215768308</v>
      </c>
      <c r="L39" s="247">
        <f t="shared" ca="1" si="11"/>
        <v>0.15998174328780565</v>
      </c>
      <c r="M39" s="247">
        <f t="shared" ca="1" si="11"/>
        <v>0.14034577901454426</v>
      </c>
      <c r="N39" s="247">
        <f t="shared" ca="1" si="11"/>
        <v>0.1605272180280411</v>
      </c>
      <c r="O39" s="247">
        <f t="shared" ca="1" si="11"/>
        <v>0.14127206841636619</v>
      </c>
      <c r="P39" s="247">
        <f t="shared" ca="1" si="11"/>
        <v>0.13716373204850846</v>
      </c>
      <c r="Q39" s="248">
        <f ca="1">+P39-O39</f>
        <v>-4.1083363678577345E-3</v>
      </c>
    </row>
    <row r="40" spans="1:17" s="155" customFormat="1" outlineLevel="1">
      <c r="A40" s="258">
        <f t="shared" ref="A40:A48" si="12">+A4+4</f>
        <v>7</v>
      </c>
      <c r="B40" s="491" t="s">
        <v>302</v>
      </c>
      <c r="C40" s="167" t="s">
        <v>303</v>
      </c>
      <c r="D40" s="168">
        <f ca="1">OFFSET(用户!$A$1,$A40-1,D$1-1)</f>
        <v>3666254</v>
      </c>
      <c r="E40" s="168">
        <f ca="1">OFFSET(用户!$A$1,$A40-1,E$1-1)</f>
        <v>4138931</v>
      </c>
      <c r="F40" s="168">
        <f ca="1">OFFSET(用户!$A$1,$A40-1,F$1-1)</f>
        <v>4348819</v>
      </c>
      <c r="G40" s="168">
        <f ca="1">OFFSET(用户!$A$1,$A40-1,G$1-1)</f>
        <v>4194207</v>
      </c>
      <c r="H40" s="168">
        <f ca="1">OFFSET(用户!$A$1,$A40-1,H$1-1)</f>
        <v>4479015</v>
      </c>
      <c r="I40" s="168">
        <f ca="1">OFFSET(用户!$A$1,$A40-1,I$1-1)</f>
        <v>4438757</v>
      </c>
      <c r="J40" s="168">
        <f ca="1">OFFSET(用户!$A$1,$A40-1,J$1-1)</f>
        <v>3611663</v>
      </c>
      <c r="K40" s="168">
        <f ca="1">OFFSET(用户!$A$1,$A40-1,K$1-1)</f>
        <v>4195399</v>
      </c>
      <c r="L40" s="168">
        <f ca="1">OFFSET(用户!$A$1,$A40-1,L$1-1)</f>
        <v>3727241</v>
      </c>
      <c r="M40" s="168">
        <f ca="1">OFFSET(用户!$A$1,$A40-1,M$1-1)</f>
        <v>4283658</v>
      </c>
      <c r="N40" s="168">
        <f ca="1">OFFSET(用户!$A$1,$A40-1,N$1-1)</f>
        <v>3839637</v>
      </c>
      <c r="O40" s="168">
        <f ca="1">OFFSET(用户!$A$1,$A40-1,O$1-1)</f>
        <v>4721084</v>
      </c>
      <c r="P40" s="153">
        <f ca="1">OFFSET(用户!$A$1,$A40-1,P$1-1)</f>
        <v>6429719</v>
      </c>
      <c r="Q40" s="154">
        <f ca="1">IFERROR((P40-O40)/O40,"")</f>
        <v>0.36191582272206974</v>
      </c>
    </row>
    <row r="41" spans="1:17" outlineLevel="1">
      <c r="A41" s="252">
        <f t="shared" si="12"/>
        <v>43</v>
      </c>
      <c r="B41" s="492"/>
      <c r="C41" s="172" t="s">
        <v>305</v>
      </c>
      <c r="D41" s="156">
        <f ca="1">OFFSET(用户!$A$1,$A41-1,D$1-1)</f>
        <v>3666254</v>
      </c>
      <c r="E41" s="156">
        <f ca="1">OFFSET(用户!$A$1,$A41-1,E$1-1)</f>
        <v>4138931</v>
      </c>
      <c r="F41" s="156">
        <f ca="1">OFFSET(用户!$A$1,$A41-1,F$1-1)</f>
        <v>4348819</v>
      </c>
      <c r="G41" s="156">
        <f ca="1">OFFSET(用户!$A$1,$A41-1,G$1-1)</f>
        <v>4194207</v>
      </c>
      <c r="H41" s="156">
        <f ca="1">OFFSET(用户!$A$1,$A41-1,H$1-1)</f>
        <v>4479015</v>
      </c>
      <c r="I41" s="156">
        <f ca="1">OFFSET(用户!$A$1,$A41-1,I$1-1)</f>
        <v>4438757</v>
      </c>
      <c r="J41" s="156">
        <f ca="1">OFFSET(用户!$A$1,$A41-1,J$1-1)</f>
        <v>3611663</v>
      </c>
      <c r="K41" s="156">
        <f ca="1">OFFSET(用户!$A$1,$A41-1,K$1-1)</f>
        <v>4195399</v>
      </c>
      <c r="L41" s="156">
        <f ca="1">OFFSET(用户!$A$1,$A41-1,L$1-1)</f>
        <v>3727241</v>
      </c>
      <c r="M41" s="156">
        <f ca="1">OFFSET(用户!$A$1,$A41-1,M$1-1)</f>
        <v>4283658</v>
      </c>
      <c r="N41" s="156">
        <f ca="1">OFFSET(用户!$A$1,$A41-1,N$1-1)</f>
        <v>3762694</v>
      </c>
      <c r="O41" s="156">
        <f ca="1">OFFSET(用户!$A$1,$A41-1,O$1-1)</f>
        <v>4346460</v>
      </c>
      <c r="P41" s="157">
        <f ca="1">OFFSET(用户!$A$1,$A41-1,P$1-1)</f>
        <v>4616498</v>
      </c>
      <c r="Q41" s="154">
        <f ca="1">IFERROR((P41-O41)/O41,"")</f>
        <v>6.2128260699511786E-2</v>
      </c>
    </row>
    <row r="42" spans="1:17" outlineLevel="1">
      <c r="A42" s="252">
        <f t="shared" si="12"/>
        <v>25</v>
      </c>
      <c r="B42" s="492"/>
      <c r="C42" s="172" t="s">
        <v>304</v>
      </c>
      <c r="D42" s="156">
        <f ca="1">OFFSET(用户!$A$1,$A42-1,D$1-1)</f>
        <v>0</v>
      </c>
      <c r="E42" s="156">
        <f ca="1">OFFSET(用户!$A$1,$A42-1,E$1-1)</f>
        <v>0</v>
      </c>
      <c r="F42" s="156">
        <f ca="1">OFFSET(用户!$A$1,$A42-1,F$1-1)</f>
        <v>0</v>
      </c>
      <c r="G42" s="156">
        <f ca="1">OFFSET(用户!$A$1,$A42-1,G$1-1)</f>
        <v>0</v>
      </c>
      <c r="H42" s="156">
        <f ca="1">OFFSET(用户!$A$1,$A42-1,H$1-1)</f>
        <v>0</v>
      </c>
      <c r="I42" s="156">
        <f ca="1">OFFSET(用户!$A$1,$A42-1,I$1-1)</f>
        <v>0</v>
      </c>
      <c r="J42" s="156">
        <f ca="1">OFFSET(用户!$A$1,$A42-1,J$1-1)</f>
        <v>0</v>
      </c>
      <c r="K42" s="156">
        <f ca="1">OFFSET(用户!$A$1,$A42-1,K$1-1)</f>
        <v>0</v>
      </c>
      <c r="L42" s="156">
        <f ca="1">OFFSET(用户!$A$1,$A42-1,L$1-1)</f>
        <v>0</v>
      </c>
      <c r="M42" s="156">
        <f ca="1">OFFSET(用户!$A$1,$A42-1,M$1-1)</f>
        <v>0</v>
      </c>
      <c r="N42" s="156">
        <f ca="1">OFFSET(用户!$A$1,$A42-1,N$1-1)</f>
        <v>76943</v>
      </c>
      <c r="O42" s="156">
        <f ca="1">OFFSET(用户!$A$1,$A42-1,O$1-1)</f>
        <v>374624</v>
      </c>
      <c r="P42" s="157">
        <f ca="1">OFFSET(用户!$A$1,$A42-1,P$1-1)</f>
        <v>1813221</v>
      </c>
      <c r="Q42" s="154">
        <f t="shared" ref="Q42:Q48" ca="1" si="13">IFERROR((P42-O42)/O42,"")</f>
        <v>3.8401090159733493</v>
      </c>
    </row>
    <row r="43" spans="1:17" s="155" customFormat="1" outlineLevel="1">
      <c r="A43" s="258">
        <f t="shared" si="12"/>
        <v>13</v>
      </c>
      <c r="B43" s="492"/>
      <c r="C43" s="167" t="s">
        <v>306</v>
      </c>
      <c r="D43" s="168">
        <f ca="1">OFFSET(用户!$A$1,$A43-1,D$1-1)</f>
        <v>1348103</v>
      </c>
      <c r="E43" s="168">
        <f ca="1">OFFSET(用户!$A$1,$A43-1,E$1-1)</f>
        <v>1362077</v>
      </c>
      <c r="F43" s="168">
        <f ca="1">OFFSET(用户!$A$1,$A43-1,F$1-1)</f>
        <v>1394299</v>
      </c>
      <c r="G43" s="168">
        <f ca="1">OFFSET(用户!$A$1,$A43-1,G$1-1)</f>
        <v>1385186</v>
      </c>
      <c r="H43" s="168">
        <f ca="1">OFFSET(用户!$A$1,$A43-1,H$1-1)</f>
        <v>1558259</v>
      </c>
      <c r="I43" s="168">
        <f ca="1">OFFSET(用户!$A$1,$A43-1,I$1-1)</f>
        <v>1441922</v>
      </c>
      <c r="J43" s="168">
        <f ca="1">OFFSET(用户!$A$1,$A43-1,J$1-1)</f>
        <v>1358635</v>
      </c>
      <c r="K43" s="168">
        <f ca="1">OFFSET(用户!$A$1,$A43-1,K$1-1)</f>
        <v>1461014</v>
      </c>
      <c r="L43" s="168">
        <f ca="1">OFFSET(用户!$A$1,$A43-1,L$1-1)</f>
        <v>1408589</v>
      </c>
      <c r="M43" s="168">
        <f ca="1">OFFSET(用户!$A$1,$A43-1,M$1-1)</f>
        <v>1458645</v>
      </c>
      <c r="N43" s="168">
        <f ca="1">OFFSET(用户!$A$1,$A43-1,N$1-1)</f>
        <v>1448931</v>
      </c>
      <c r="O43" s="168">
        <f ca="1">OFFSET(用户!$A$1,$A43-1,O$1-1)</f>
        <v>1837242</v>
      </c>
      <c r="P43" s="259">
        <f ca="1">OFFSET(用户!$A$1,$A43-1,P$1-1)</f>
        <v>2596998</v>
      </c>
      <c r="Q43" s="154">
        <f t="shared" ca="1" si="13"/>
        <v>0.41353071614953285</v>
      </c>
    </row>
    <row r="44" spans="1:17" outlineLevel="1">
      <c r="A44" s="252">
        <f t="shared" si="12"/>
        <v>49</v>
      </c>
      <c r="B44" s="492"/>
      <c r="C44" s="257" t="s">
        <v>308</v>
      </c>
      <c r="D44" s="156">
        <f ca="1">OFFSET(用户!$A$1,$A44-1,D$1-1)</f>
        <v>1348103</v>
      </c>
      <c r="E44" s="156">
        <f ca="1">OFFSET(用户!$A$1,$A44-1,E$1-1)</f>
        <v>1362077</v>
      </c>
      <c r="F44" s="156">
        <f ca="1">OFFSET(用户!$A$1,$A44-1,F$1-1)</f>
        <v>1394299</v>
      </c>
      <c r="G44" s="156">
        <f ca="1">OFFSET(用户!$A$1,$A44-1,G$1-1)</f>
        <v>1385186</v>
      </c>
      <c r="H44" s="156">
        <f ca="1">OFFSET(用户!$A$1,$A44-1,H$1-1)</f>
        <v>1558259</v>
      </c>
      <c r="I44" s="156">
        <f ca="1">OFFSET(用户!$A$1,$A44-1,I$1-1)</f>
        <v>1441922</v>
      </c>
      <c r="J44" s="156">
        <f ca="1">OFFSET(用户!$A$1,$A44-1,J$1-1)</f>
        <v>1358635</v>
      </c>
      <c r="K44" s="156">
        <f ca="1">OFFSET(用户!$A$1,$A44-1,K$1-1)</f>
        <v>1461014</v>
      </c>
      <c r="L44" s="156">
        <f ca="1">OFFSET(用户!$A$1,$A44-1,L$1-1)</f>
        <v>1408589</v>
      </c>
      <c r="M44" s="156">
        <f ca="1">OFFSET(用户!$A$1,$A44-1,M$1-1)</f>
        <v>1458645</v>
      </c>
      <c r="N44" s="156">
        <f ca="1">OFFSET(用户!$A$1,$A44-1,N$1-1)</f>
        <v>1371988</v>
      </c>
      <c r="O44" s="156">
        <f ca="1">OFFSET(用户!$A$1,$A44-1,O$1-1)</f>
        <v>1462618</v>
      </c>
      <c r="P44" s="157">
        <f ca="1">OFFSET(用户!$A$1,$A44-1,P$1-1)</f>
        <v>1528286</v>
      </c>
      <c r="Q44" s="154">
        <f ca="1">IFERROR((P44-O44)/O44,"")</f>
        <v>4.4897574076074545E-2</v>
      </c>
    </row>
    <row r="45" spans="1:17" outlineLevel="1">
      <c r="A45" s="252">
        <f t="shared" si="12"/>
        <v>31</v>
      </c>
      <c r="B45" s="492"/>
      <c r="C45" s="257" t="s">
        <v>307</v>
      </c>
      <c r="D45" s="156">
        <f ca="1">OFFSET(用户!$A$1,$A45-1,D$1-1)</f>
        <v>0</v>
      </c>
      <c r="E45" s="156">
        <f ca="1">OFFSET(用户!$A$1,$A45-1,E$1-1)</f>
        <v>0</v>
      </c>
      <c r="F45" s="156">
        <f ca="1">OFFSET(用户!$A$1,$A45-1,F$1-1)</f>
        <v>0</v>
      </c>
      <c r="G45" s="156">
        <f ca="1">OFFSET(用户!$A$1,$A45-1,G$1-1)</f>
        <v>0</v>
      </c>
      <c r="H45" s="156">
        <f ca="1">OFFSET(用户!$A$1,$A45-1,H$1-1)</f>
        <v>0</v>
      </c>
      <c r="I45" s="156">
        <f ca="1">OFFSET(用户!$A$1,$A45-1,I$1-1)</f>
        <v>0</v>
      </c>
      <c r="J45" s="156">
        <f ca="1">OFFSET(用户!$A$1,$A45-1,J$1-1)</f>
        <v>0</v>
      </c>
      <c r="K45" s="156">
        <f ca="1">OFFSET(用户!$A$1,$A45-1,K$1-1)</f>
        <v>0</v>
      </c>
      <c r="L45" s="156">
        <f ca="1">OFFSET(用户!$A$1,$A45-1,L$1-1)</f>
        <v>0</v>
      </c>
      <c r="M45" s="156">
        <f ca="1">OFFSET(用户!$A$1,$A45-1,M$1-1)</f>
        <v>0</v>
      </c>
      <c r="N45" s="156">
        <f ca="1">OFFSET(用户!$A$1,$A45-1,N$1-1)</f>
        <v>76943</v>
      </c>
      <c r="O45" s="156">
        <f ca="1">OFFSET(用户!$A$1,$A45-1,O$1-1)</f>
        <v>374624</v>
      </c>
      <c r="P45" s="157">
        <f ca="1">OFFSET(用户!$A$1,$A45-1,P$1-1)</f>
        <v>1068712</v>
      </c>
      <c r="Q45" s="154">
        <f t="shared" ca="1" si="13"/>
        <v>1.8527590330571453</v>
      </c>
    </row>
    <row r="46" spans="1:17" s="155" customFormat="1" outlineLevel="1">
      <c r="A46" s="258">
        <f t="shared" si="12"/>
        <v>19</v>
      </c>
      <c r="B46" s="492"/>
      <c r="C46" s="167" t="s">
        <v>309</v>
      </c>
      <c r="D46" s="168">
        <f ca="1">OFFSET(用户!$A$1,$A46-1,D$1-1)</f>
        <v>2318151</v>
      </c>
      <c r="E46" s="168">
        <f ca="1">OFFSET(用户!$A$1,$A46-1,E$1-1)</f>
        <v>2776854</v>
      </c>
      <c r="F46" s="168">
        <f ca="1">OFFSET(用户!$A$1,$A46-1,F$1-1)</f>
        <v>2954520</v>
      </c>
      <c r="G46" s="168">
        <f ca="1">OFFSET(用户!$A$1,$A46-1,G$1-1)</f>
        <v>2809021</v>
      </c>
      <c r="H46" s="168">
        <f ca="1">OFFSET(用户!$A$1,$A46-1,H$1-1)</f>
        <v>2920756</v>
      </c>
      <c r="I46" s="168">
        <f ca="1">OFFSET(用户!$A$1,$A46-1,I$1-1)</f>
        <v>2996835</v>
      </c>
      <c r="J46" s="168">
        <f ca="1">OFFSET(用户!$A$1,$A46-1,J$1-1)</f>
        <v>2253028</v>
      </c>
      <c r="K46" s="168">
        <f ca="1">OFFSET(用户!$A$1,$A46-1,K$1-1)</f>
        <v>2734385</v>
      </c>
      <c r="L46" s="168">
        <f ca="1">OFFSET(用户!$A$1,$A46-1,L$1-1)</f>
        <v>2318652</v>
      </c>
      <c r="M46" s="168">
        <f ca="1">OFFSET(用户!$A$1,$A46-1,M$1-1)</f>
        <v>2825013</v>
      </c>
      <c r="N46" s="168">
        <f ca="1">OFFSET(用户!$A$1,$A46-1,N$1-1)</f>
        <v>2390706</v>
      </c>
      <c r="O46" s="168">
        <f ca="1">OFFSET(用户!$A$1,$A46-1,O$1-1)</f>
        <v>2883842</v>
      </c>
      <c r="P46" s="153">
        <f ca="1">OFFSET(用户!$A$1,$A46-1,P$1-1)</f>
        <v>3832721</v>
      </c>
      <c r="Q46" s="251">
        <f t="shared" ca="1" si="13"/>
        <v>0.32903293592367405</v>
      </c>
    </row>
    <row r="47" spans="1:17" outlineLevel="1">
      <c r="A47" s="258">
        <f t="shared" si="12"/>
        <v>55</v>
      </c>
      <c r="B47" s="492"/>
      <c r="C47" s="257" t="s">
        <v>311</v>
      </c>
      <c r="D47" s="156">
        <f ca="1">OFFSET(用户!$A$1,$A47-1,D$1-1)</f>
        <v>2318151</v>
      </c>
      <c r="E47" s="156">
        <f ca="1">OFFSET(用户!$A$1,$A47-1,E$1-1)</f>
        <v>2776854</v>
      </c>
      <c r="F47" s="156">
        <f ca="1">OFFSET(用户!$A$1,$A47-1,F$1-1)</f>
        <v>2954520</v>
      </c>
      <c r="G47" s="156">
        <f ca="1">OFFSET(用户!$A$1,$A47-1,G$1-1)</f>
        <v>2809021</v>
      </c>
      <c r="H47" s="156">
        <f ca="1">OFFSET(用户!$A$1,$A47-1,H$1-1)</f>
        <v>2920756</v>
      </c>
      <c r="I47" s="156">
        <f ca="1">OFFSET(用户!$A$1,$A47-1,I$1-1)</f>
        <v>2996835</v>
      </c>
      <c r="J47" s="156">
        <f ca="1">OFFSET(用户!$A$1,$A47-1,J$1-1)</f>
        <v>2253028</v>
      </c>
      <c r="K47" s="156">
        <f ca="1">OFFSET(用户!$A$1,$A47-1,K$1-1)</f>
        <v>2734385</v>
      </c>
      <c r="L47" s="156">
        <f ca="1">OFFSET(用户!$A$1,$A47-1,L$1-1)</f>
        <v>2318652</v>
      </c>
      <c r="M47" s="156">
        <f ca="1">OFFSET(用户!$A$1,$A47-1,M$1-1)</f>
        <v>2825013</v>
      </c>
      <c r="N47" s="156">
        <f ca="1">OFFSET(用户!$A$1,$A47-1,N$1-1)</f>
        <v>2390706</v>
      </c>
      <c r="O47" s="156">
        <f ca="1">OFFSET(用户!$A$1,$A47-1,O$1-1)</f>
        <v>2883842</v>
      </c>
      <c r="P47" s="157">
        <f ca="1">OFFSET(用户!$A$1,$A47-1,P$1-1)</f>
        <v>3088212</v>
      </c>
      <c r="Q47" s="154">
        <f ca="1">IFERROR((P47-O47)/O47,"")</f>
        <v>7.0867266653304867E-2</v>
      </c>
    </row>
    <row r="48" spans="1:17" outlineLevel="1">
      <c r="A48" s="252">
        <f t="shared" si="12"/>
        <v>37</v>
      </c>
      <c r="B48" s="492"/>
      <c r="C48" s="257" t="s">
        <v>310</v>
      </c>
      <c r="D48" s="156">
        <f ca="1">OFFSET(用户!$A$1,$A48-1,D$1-1)</f>
        <v>0</v>
      </c>
      <c r="E48" s="156">
        <f ca="1">OFFSET(用户!$A$1,$A48-1,E$1-1)</f>
        <v>0</v>
      </c>
      <c r="F48" s="156">
        <f ca="1">OFFSET(用户!$A$1,$A48-1,F$1-1)</f>
        <v>0</v>
      </c>
      <c r="G48" s="156">
        <f ca="1">OFFSET(用户!$A$1,$A48-1,G$1-1)</f>
        <v>0</v>
      </c>
      <c r="H48" s="156">
        <f ca="1">OFFSET(用户!$A$1,$A48-1,H$1-1)</f>
        <v>0</v>
      </c>
      <c r="I48" s="156">
        <f ca="1">OFFSET(用户!$A$1,$A48-1,I$1-1)</f>
        <v>0</v>
      </c>
      <c r="J48" s="156">
        <f ca="1">OFFSET(用户!$A$1,$A48-1,J$1-1)</f>
        <v>0</v>
      </c>
      <c r="K48" s="156">
        <f ca="1">OFFSET(用户!$A$1,$A48-1,K$1-1)</f>
        <v>0</v>
      </c>
      <c r="L48" s="156">
        <f ca="1">OFFSET(用户!$A$1,$A48-1,L$1-1)</f>
        <v>0</v>
      </c>
      <c r="M48" s="156">
        <f ca="1">OFFSET(用户!$A$1,$A48-1,M$1-1)</f>
        <v>0</v>
      </c>
      <c r="N48" s="156">
        <f ca="1">OFFSET(用户!$A$1,$A48-1,N$1-1)</f>
        <v>0</v>
      </c>
      <c r="O48" s="156">
        <f ca="1">OFFSET(用户!$A$1,$A48-1,O$1-1)</f>
        <v>0</v>
      </c>
      <c r="P48" s="157">
        <f ca="1">OFFSET(用户!$A$1,$A48-1,P$1-1)</f>
        <v>744509</v>
      </c>
      <c r="Q48" s="154" t="str">
        <f t="shared" ca="1" si="13"/>
        <v/>
      </c>
    </row>
    <row r="49" spans="1:17" s="264" customFormat="1" outlineLevel="1">
      <c r="A49" s="258"/>
      <c r="B49" s="492"/>
      <c r="C49" s="262" t="s">
        <v>312</v>
      </c>
      <c r="D49" s="266">
        <f t="shared" ref="D49:P49" ca="1" si="14">+D43/D40</f>
        <v>0.36770583816614999</v>
      </c>
      <c r="E49" s="266">
        <f t="shared" ca="1" si="14"/>
        <v>0.32908908121444885</v>
      </c>
      <c r="F49" s="266">
        <f t="shared" ca="1" si="14"/>
        <v>0.32061555102661204</v>
      </c>
      <c r="G49" s="266">
        <f t="shared" ca="1" si="14"/>
        <v>0.33026171574268987</v>
      </c>
      <c r="H49" s="266">
        <f t="shared" ca="1" si="14"/>
        <v>0.34790216152435299</v>
      </c>
      <c r="I49" s="266">
        <f t="shared" ca="1" si="14"/>
        <v>0.32484815005642348</v>
      </c>
      <c r="J49" s="266">
        <f t="shared" ca="1" si="14"/>
        <v>0.37617989275300601</v>
      </c>
      <c r="K49" s="266">
        <f t="shared" ca="1" si="14"/>
        <v>0.34824196697382059</v>
      </c>
      <c r="L49" s="266">
        <f t="shared" ca="1" si="14"/>
        <v>0.37791733885734785</v>
      </c>
      <c r="M49" s="266">
        <f t="shared" ca="1" si="14"/>
        <v>0.34051387855893256</v>
      </c>
      <c r="N49" s="266">
        <f t="shared" ca="1" si="14"/>
        <v>0.37736145369992008</v>
      </c>
      <c r="O49" s="266">
        <f t="shared" ca="1" si="14"/>
        <v>0.38915681229141441</v>
      </c>
      <c r="P49" s="266">
        <f t="shared" ca="1" si="14"/>
        <v>0.40390536507116409</v>
      </c>
      <c r="Q49" s="263">
        <f ca="1">+P49-O49</f>
        <v>1.474855277974968E-2</v>
      </c>
    </row>
    <row r="50" spans="1:17" s="249" customFormat="1" outlineLevel="1">
      <c r="A50" s="258"/>
      <c r="B50" s="493"/>
      <c r="C50" s="260" t="s">
        <v>313</v>
      </c>
      <c r="D50" s="247">
        <f t="shared" ref="D50:P50" ca="1" si="15">+D44/D41</f>
        <v>0.36770583816614999</v>
      </c>
      <c r="E50" s="247">
        <f t="shared" ca="1" si="15"/>
        <v>0.32908908121444885</v>
      </c>
      <c r="F50" s="247">
        <f t="shared" ca="1" si="15"/>
        <v>0.32061555102661204</v>
      </c>
      <c r="G50" s="247">
        <f t="shared" ca="1" si="15"/>
        <v>0.33026171574268987</v>
      </c>
      <c r="H50" s="247">
        <f t="shared" ca="1" si="15"/>
        <v>0.34790216152435299</v>
      </c>
      <c r="I50" s="247">
        <f t="shared" ca="1" si="15"/>
        <v>0.32484815005642348</v>
      </c>
      <c r="J50" s="247">
        <f t="shared" ca="1" si="15"/>
        <v>0.37617989275300601</v>
      </c>
      <c r="K50" s="247">
        <f t="shared" ca="1" si="15"/>
        <v>0.34824196697382059</v>
      </c>
      <c r="L50" s="247">
        <f t="shared" ca="1" si="15"/>
        <v>0.37791733885734785</v>
      </c>
      <c r="M50" s="247">
        <f t="shared" ca="1" si="15"/>
        <v>0.34051387855893256</v>
      </c>
      <c r="N50" s="247">
        <f t="shared" ca="1" si="15"/>
        <v>0.36462917260877448</v>
      </c>
      <c r="O50" s="247">
        <f t="shared" ca="1" si="15"/>
        <v>0.33650787077299688</v>
      </c>
      <c r="P50" s="247">
        <f t="shared" ca="1" si="15"/>
        <v>0.33104877333424598</v>
      </c>
      <c r="Q50" s="248">
        <f ca="1">+P50-O50</f>
        <v>-5.4590974387508928E-3</v>
      </c>
    </row>
    <row r="51" spans="1:17" s="155" customFormat="1" outlineLevel="1">
      <c r="A51" s="252">
        <f t="shared" ref="A51:A59" si="16">+A4+5</f>
        <v>8</v>
      </c>
      <c r="B51" s="491" t="s">
        <v>314</v>
      </c>
      <c r="C51" s="167" t="s">
        <v>315</v>
      </c>
      <c r="D51" s="168">
        <f ca="1">OFFSET(用户!$A$1,$A51-1,D$1-1)</f>
        <v>1232330</v>
      </c>
      <c r="E51" s="168">
        <f ca="1">OFFSET(用户!$A$1,$A51-1,E$1-1)</f>
        <v>1177180</v>
      </c>
      <c r="F51" s="168">
        <f ca="1">OFFSET(用户!$A$1,$A51-1,F$1-1)</f>
        <v>1275038</v>
      </c>
      <c r="G51" s="168">
        <f ca="1">OFFSET(用户!$A$1,$A51-1,G$1-1)</f>
        <v>1250767</v>
      </c>
      <c r="H51" s="168">
        <f ca="1">OFFSET(用户!$A$1,$A51-1,H$1-1)</f>
        <v>1225531</v>
      </c>
      <c r="I51" s="168">
        <f ca="1">OFFSET(用户!$A$1,$A51-1,I$1-1)</f>
        <v>1256080</v>
      </c>
      <c r="J51" s="168">
        <f ca="1">OFFSET(用户!$A$1,$A51-1,J$1-1)</f>
        <v>1154843</v>
      </c>
      <c r="K51" s="168">
        <f ca="1">OFFSET(用户!$A$1,$A51-1,K$1-1)</f>
        <v>1302210</v>
      </c>
      <c r="L51" s="168">
        <f ca="1">OFFSET(用户!$A$1,$A51-1,L$1-1)</f>
        <v>1134147</v>
      </c>
      <c r="M51" s="168">
        <f ca="1">OFFSET(用户!$A$1,$A51-1,M$1-1)</f>
        <v>1170999</v>
      </c>
      <c r="N51" s="168">
        <f ca="1">OFFSET(用户!$A$1,$A51-1,N$1-1)</f>
        <v>1124578</v>
      </c>
      <c r="O51" s="168">
        <f ca="1">OFFSET(用户!$A$1,$A51-1,O$1-1)</f>
        <v>1089873</v>
      </c>
      <c r="P51" s="153">
        <f ca="1">OFFSET(用户!$A$1,$A51-1,P$1-1)</f>
        <v>1085820</v>
      </c>
      <c r="Q51" s="154">
        <f ca="1">IFERROR((P51-O51)/O51,"")</f>
        <v>-3.7187819131219877E-3</v>
      </c>
    </row>
    <row r="52" spans="1:17" outlineLevel="1">
      <c r="A52" s="252">
        <f t="shared" si="16"/>
        <v>44</v>
      </c>
      <c r="B52" s="492"/>
      <c r="C52" s="172" t="s">
        <v>317</v>
      </c>
      <c r="D52" s="156">
        <f ca="1">OFFSET(用户!$A$1,$A52-1,D$1-1)</f>
        <v>1232330</v>
      </c>
      <c r="E52" s="156">
        <f ca="1">OFFSET(用户!$A$1,$A52-1,E$1-1)</f>
        <v>1177180</v>
      </c>
      <c r="F52" s="156">
        <f ca="1">OFFSET(用户!$A$1,$A52-1,F$1-1)</f>
        <v>1275038</v>
      </c>
      <c r="G52" s="156">
        <f ca="1">OFFSET(用户!$A$1,$A52-1,G$1-1)</f>
        <v>1250767</v>
      </c>
      <c r="H52" s="156">
        <f ca="1">OFFSET(用户!$A$1,$A52-1,H$1-1)</f>
        <v>1225531</v>
      </c>
      <c r="I52" s="156">
        <f ca="1">OFFSET(用户!$A$1,$A52-1,I$1-1)</f>
        <v>1256080</v>
      </c>
      <c r="J52" s="156">
        <f ca="1">OFFSET(用户!$A$1,$A52-1,J$1-1)</f>
        <v>1154843</v>
      </c>
      <c r="K52" s="156">
        <f ca="1">OFFSET(用户!$A$1,$A52-1,K$1-1)</f>
        <v>1302210</v>
      </c>
      <c r="L52" s="156">
        <f ca="1">OFFSET(用户!$A$1,$A52-1,L$1-1)</f>
        <v>1134147</v>
      </c>
      <c r="M52" s="156">
        <f ca="1">OFFSET(用户!$A$1,$A52-1,M$1-1)</f>
        <v>1170999</v>
      </c>
      <c r="N52" s="156">
        <f ca="1">OFFSET(用户!$A$1,$A52-1,N$1-1)</f>
        <v>1124578</v>
      </c>
      <c r="O52" s="156">
        <f ca="1">OFFSET(用户!$A$1,$A52-1,O$1-1)</f>
        <v>1089873</v>
      </c>
      <c r="P52" s="157">
        <f ca="1">OFFSET(用户!$A$1,$A52-1,P$1-1)</f>
        <v>1085820</v>
      </c>
      <c r="Q52" s="154">
        <f ca="1">IFERROR((P52-O52)/O52,"")</f>
        <v>-3.7187819131219877E-3</v>
      </c>
    </row>
    <row r="53" spans="1:17" outlineLevel="1">
      <c r="A53" s="252">
        <f t="shared" si="16"/>
        <v>26</v>
      </c>
      <c r="B53" s="492"/>
      <c r="C53" s="172" t="s">
        <v>316</v>
      </c>
      <c r="D53" s="156">
        <f ca="1">OFFSET(用户!$A$1,$A53-1,D$1-1)</f>
        <v>0</v>
      </c>
      <c r="E53" s="156">
        <f ca="1">OFFSET(用户!$A$1,$A53-1,E$1-1)</f>
        <v>0</v>
      </c>
      <c r="F53" s="156">
        <f ca="1">OFFSET(用户!$A$1,$A53-1,F$1-1)</f>
        <v>0</v>
      </c>
      <c r="G53" s="156">
        <f ca="1">OFFSET(用户!$A$1,$A53-1,G$1-1)</f>
        <v>0</v>
      </c>
      <c r="H53" s="156">
        <f ca="1">OFFSET(用户!$A$1,$A53-1,H$1-1)</f>
        <v>0</v>
      </c>
      <c r="I53" s="156">
        <f ca="1">OFFSET(用户!$A$1,$A53-1,I$1-1)</f>
        <v>0</v>
      </c>
      <c r="J53" s="156">
        <f ca="1">OFFSET(用户!$A$1,$A53-1,J$1-1)</f>
        <v>0</v>
      </c>
      <c r="K53" s="156">
        <f ca="1">OFFSET(用户!$A$1,$A53-1,K$1-1)</f>
        <v>0</v>
      </c>
      <c r="L53" s="156">
        <f ca="1">OFFSET(用户!$A$1,$A53-1,L$1-1)</f>
        <v>0</v>
      </c>
      <c r="M53" s="156">
        <f ca="1">OFFSET(用户!$A$1,$A53-1,M$1-1)</f>
        <v>0</v>
      </c>
      <c r="N53" s="156">
        <f ca="1">OFFSET(用户!$A$1,$A53-1,N$1-1)</f>
        <v>0</v>
      </c>
      <c r="O53" s="156">
        <f ca="1">OFFSET(用户!$A$1,$A53-1,O$1-1)</f>
        <v>0</v>
      </c>
      <c r="P53" s="157">
        <f ca="1">OFFSET(用户!$A$1,$A53-1,P$1-1)</f>
        <v>0</v>
      </c>
      <c r="Q53" s="154" t="str">
        <f t="shared" ref="Q53:Q59" ca="1" si="17">IFERROR((P53-O53)/O53,"")</f>
        <v/>
      </c>
    </row>
    <row r="54" spans="1:17" s="155" customFormat="1" outlineLevel="1">
      <c r="A54" s="252">
        <f t="shared" si="16"/>
        <v>14</v>
      </c>
      <c r="B54" s="492"/>
      <c r="C54" s="167" t="s">
        <v>318</v>
      </c>
      <c r="D54" s="168">
        <f ca="1">OFFSET(用户!$A$1,$A54-1,D$1-1)</f>
        <v>689705</v>
      </c>
      <c r="E54" s="168">
        <f ca="1">OFFSET(用户!$A$1,$A54-1,E$1-1)</f>
        <v>644802</v>
      </c>
      <c r="F54" s="168">
        <f ca="1">OFFSET(用户!$A$1,$A54-1,F$1-1)</f>
        <v>684925</v>
      </c>
      <c r="G54" s="168">
        <f ca="1">OFFSET(用户!$A$1,$A54-1,G$1-1)</f>
        <v>678872</v>
      </c>
      <c r="H54" s="168">
        <f ca="1">OFFSET(用户!$A$1,$A54-1,H$1-1)</f>
        <v>731364</v>
      </c>
      <c r="I54" s="168">
        <f ca="1">OFFSET(用户!$A$1,$A54-1,I$1-1)</f>
        <v>727318</v>
      </c>
      <c r="J54" s="168">
        <f ca="1">OFFSET(用户!$A$1,$A54-1,J$1-1)</f>
        <v>662285</v>
      </c>
      <c r="K54" s="168">
        <f ca="1">OFFSET(用户!$A$1,$A54-1,K$1-1)</f>
        <v>740143</v>
      </c>
      <c r="L54" s="168">
        <f ca="1">OFFSET(用户!$A$1,$A54-1,L$1-1)</f>
        <v>630690</v>
      </c>
      <c r="M54" s="168">
        <f ca="1">OFFSET(用户!$A$1,$A54-1,M$1-1)</f>
        <v>652775</v>
      </c>
      <c r="N54" s="168">
        <f ca="1">OFFSET(用户!$A$1,$A54-1,N$1-1)</f>
        <v>617800</v>
      </c>
      <c r="O54" s="168">
        <f ca="1">OFFSET(用户!$A$1,$A54-1,O$1-1)</f>
        <v>601325</v>
      </c>
      <c r="P54" s="259">
        <f ca="1">OFFSET(用户!$A$1,$A54-1,P$1-1)</f>
        <v>609080</v>
      </c>
      <c r="Q54" s="154">
        <f t="shared" ca="1" si="17"/>
        <v>1.2896520184592359E-2</v>
      </c>
    </row>
    <row r="55" spans="1:17" outlineLevel="1">
      <c r="A55" s="252">
        <f t="shared" si="16"/>
        <v>50</v>
      </c>
      <c r="B55" s="492"/>
      <c r="C55" s="257" t="s">
        <v>320</v>
      </c>
      <c r="D55" s="156">
        <f ca="1">OFFSET(用户!$A$1,$A55-1,D$1-1)</f>
        <v>689705</v>
      </c>
      <c r="E55" s="156">
        <f ca="1">OFFSET(用户!$A$1,$A55-1,E$1-1)</f>
        <v>644802</v>
      </c>
      <c r="F55" s="156">
        <f ca="1">OFFSET(用户!$A$1,$A55-1,F$1-1)</f>
        <v>684925</v>
      </c>
      <c r="G55" s="156">
        <f ca="1">OFFSET(用户!$A$1,$A55-1,G$1-1)</f>
        <v>678872</v>
      </c>
      <c r="H55" s="156">
        <f ca="1">OFFSET(用户!$A$1,$A55-1,H$1-1)</f>
        <v>731364</v>
      </c>
      <c r="I55" s="156">
        <f ca="1">OFFSET(用户!$A$1,$A55-1,I$1-1)</f>
        <v>727318</v>
      </c>
      <c r="J55" s="156">
        <f ca="1">OFFSET(用户!$A$1,$A55-1,J$1-1)</f>
        <v>662285</v>
      </c>
      <c r="K55" s="156">
        <f ca="1">OFFSET(用户!$A$1,$A55-1,K$1-1)</f>
        <v>740143</v>
      </c>
      <c r="L55" s="156">
        <f ca="1">OFFSET(用户!$A$1,$A55-1,L$1-1)</f>
        <v>630690</v>
      </c>
      <c r="M55" s="156">
        <f ca="1">OFFSET(用户!$A$1,$A55-1,M$1-1)</f>
        <v>652775</v>
      </c>
      <c r="N55" s="156">
        <f ca="1">OFFSET(用户!$A$1,$A55-1,N$1-1)</f>
        <v>617800</v>
      </c>
      <c r="O55" s="156">
        <f ca="1">OFFSET(用户!$A$1,$A55-1,O$1-1)</f>
        <v>601325</v>
      </c>
      <c r="P55" s="157">
        <f ca="1">OFFSET(用户!$A$1,$A55-1,P$1-1)</f>
        <v>609080</v>
      </c>
      <c r="Q55" s="154">
        <f ca="1">IFERROR((P55-O55)/O55,"")</f>
        <v>1.2896520184592359E-2</v>
      </c>
    </row>
    <row r="56" spans="1:17" outlineLevel="1">
      <c r="A56" s="252">
        <f t="shared" si="16"/>
        <v>32</v>
      </c>
      <c r="B56" s="492"/>
      <c r="C56" s="257" t="s">
        <v>319</v>
      </c>
      <c r="D56" s="156">
        <f ca="1">OFFSET(用户!$A$1,$A56-1,D$1-1)</f>
        <v>0</v>
      </c>
      <c r="E56" s="156">
        <f ca="1">OFFSET(用户!$A$1,$A56-1,E$1-1)</f>
        <v>0</v>
      </c>
      <c r="F56" s="156">
        <f ca="1">OFFSET(用户!$A$1,$A56-1,F$1-1)</f>
        <v>0</v>
      </c>
      <c r="G56" s="156">
        <f ca="1">OFFSET(用户!$A$1,$A56-1,G$1-1)</f>
        <v>0</v>
      </c>
      <c r="H56" s="156">
        <f ca="1">OFFSET(用户!$A$1,$A56-1,H$1-1)</f>
        <v>0</v>
      </c>
      <c r="I56" s="156">
        <f ca="1">OFFSET(用户!$A$1,$A56-1,I$1-1)</f>
        <v>0</v>
      </c>
      <c r="J56" s="156">
        <f ca="1">OFFSET(用户!$A$1,$A56-1,J$1-1)</f>
        <v>0</v>
      </c>
      <c r="K56" s="156">
        <f ca="1">OFFSET(用户!$A$1,$A56-1,K$1-1)</f>
        <v>0</v>
      </c>
      <c r="L56" s="156">
        <f ca="1">OFFSET(用户!$A$1,$A56-1,L$1-1)</f>
        <v>0</v>
      </c>
      <c r="M56" s="156">
        <f ca="1">OFFSET(用户!$A$1,$A56-1,M$1-1)</f>
        <v>0</v>
      </c>
      <c r="N56" s="156">
        <f ca="1">OFFSET(用户!$A$1,$A56-1,N$1-1)</f>
        <v>0</v>
      </c>
      <c r="O56" s="156">
        <f ca="1">OFFSET(用户!$A$1,$A56-1,O$1-1)</f>
        <v>0</v>
      </c>
      <c r="P56" s="157">
        <f ca="1">OFFSET(用户!$A$1,$A56-1,P$1-1)</f>
        <v>0</v>
      </c>
      <c r="Q56" s="154" t="str">
        <f t="shared" ca="1" si="17"/>
        <v/>
      </c>
    </row>
    <row r="57" spans="1:17" s="155" customFormat="1" outlineLevel="1">
      <c r="A57" s="252">
        <f t="shared" si="16"/>
        <v>20</v>
      </c>
      <c r="B57" s="492"/>
      <c r="C57" s="167" t="s">
        <v>321</v>
      </c>
      <c r="D57" s="168">
        <f ca="1">OFFSET(用户!$A$1,$A57-1,D$1-1)</f>
        <v>542625</v>
      </c>
      <c r="E57" s="168">
        <f ca="1">OFFSET(用户!$A$1,$A57-1,E$1-1)</f>
        <v>532378</v>
      </c>
      <c r="F57" s="168">
        <f ca="1">OFFSET(用户!$A$1,$A57-1,F$1-1)</f>
        <v>590113</v>
      </c>
      <c r="G57" s="168">
        <f ca="1">OFFSET(用户!$A$1,$A57-1,G$1-1)</f>
        <v>571895</v>
      </c>
      <c r="H57" s="168">
        <f ca="1">OFFSET(用户!$A$1,$A57-1,H$1-1)</f>
        <v>494167</v>
      </c>
      <c r="I57" s="168">
        <f ca="1">OFFSET(用户!$A$1,$A57-1,I$1-1)</f>
        <v>528762</v>
      </c>
      <c r="J57" s="168">
        <f ca="1">OFFSET(用户!$A$1,$A57-1,J$1-1)</f>
        <v>492558</v>
      </c>
      <c r="K57" s="168">
        <f ca="1">OFFSET(用户!$A$1,$A57-1,K$1-1)</f>
        <v>562067</v>
      </c>
      <c r="L57" s="168">
        <f ca="1">OFFSET(用户!$A$1,$A57-1,L$1-1)</f>
        <v>503457</v>
      </c>
      <c r="M57" s="168">
        <f ca="1">OFFSET(用户!$A$1,$A57-1,M$1-1)</f>
        <v>518224</v>
      </c>
      <c r="N57" s="168">
        <f ca="1">OFFSET(用户!$A$1,$A57-1,N$1-1)</f>
        <v>506778</v>
      </c>
      <c r="O57" s="168">
        <f ca="1">OFFSET(用户!$A$1,$A57-1,O$1-1)</f>
        <v>488548</v>
      </c>
      <c r="P57" s="153">
        <f ca="1">OFFSET(用户!$A$1,$A57-1,P$1-1)</f>
        <v>476740</v>
      </c>
      <c r="Q57" s="154">
        <f t="shared" ca="1" si="17"/>
        <v>-2.4169580061733954E-2</v>
      </c>
    </row>
    <row r="58" spans="1:17" outlineLevel="1">
      <c r="A58" s="252">
        <f t="shared" si="16"/>
        <v>56</v>
      </c>
      <c r="B58" s="492"/>
      <c r="C58" s="257" t="s">
        <v>323</v>
      </c>
      <c r="D58" s="156">
        <f ca="1">OFFSET(用户!$A$1,$A58-1,D$1-1)</f>
        <v>542625</v>
      </c>
      <c r="E58" s="156">
        <f ca="1">OFFSET(用户!$A$1,$A58-1,E$1-1)</f>
        <v>532378</v>
      </c>
      <c r="F58" s="156">
        <f ca="1">OFFSET(用户!$A$1,$A58-1,F$1-1)</f>
        <v>590113</v>
      </c>
      <c r="G58" s="156">
        <f ca="1">OFFSET(用户!$A$1,$A58-1,G$1-1)</f>
        <v>571895</v>
      </c>
      <c r="H58" s="156">
        <f ca="1">OFFSET(用户!$A$1,$A58-1,H$1-1)</f>
        <v>494167</v>
      </c>
      <c r="I58" s="156">
        <f ca="1">OFFSET(用户!$A$1,$A58-1,I$1-1)</f>
        <v>528762</v>
      </c>
      <c r="J58" s="156">
        <f ca="1">OFFSET(用户!$A$1,$A58-1,J$1-1)</f>
        <v>492558</v>
      </c>
      <c r="K58" s="156">
        <f ca="1">OFFSET(用户!$A$1,$A58-1,K$1-1)</f>
        <v>562067</v>
      </c>
      <c r="L58" s="156">
        <f ca="1">OFFSET(用户!$A$1,$A58-1,L$1-1)</f>
        <v>503457</v>
      </c>
      <c r="M58" s="156">
        <f ca="1">OFFSET(用户!$A$1,$A58-1,M$1-1)</f>
        <v>518224</v>
      </c>
      <c r="N58" s="156">
        <f ca="1">OFFSET(用户!$A$1,$A58-1,N$1-1)</f>
        <v>506778</v>
      </c>
      <c r="O58" s="156">
        <f ca="1">OFFSET(用户!$A$1,$A58-1,O$1-1)</f>
        <v>488548</v>
      </c>
      <c r="P58" s="157">
        <f ca="1">OFFSET(用户!$A$1,$A58-1,P$1-1)</f>
        <v>476740</v>
      </c>
      <c r="Q58" s="154">
        <f ca="1">IFERROR((P58-O58)/O58,"")</f>
        <v>-2.4169580061733954E-2</v>
      </c>
    </row>
    <row r="59" spans="1:17" outlineLevel="1">
      <c r="A59" s="252">
        <f t="shared" si="16"/>
        <v>38</v>
      </c>
      <c r="B59" s="492"/>
      <c r="C59" s="257" t="s">
        <v>322</v>
      </c>
      <c r="D59" s="156">
        <f ca="1">OFFSET(用户!$A$1,$A59-1,D$1-1)</f>
        <v>0</v>
      </c>
      <c r="E59" s="156">
        <f ca="1">OFFSET(用户!$A$1,$A59-1,E$1-1)</f>
        <v>0</v>
      </c>
      <c r="F59" s="156">
        <f ca="1">OFFSET(用户!$A$1,$A59-1,F$1-1)</f>
        <v>0</v>
      </c>
      <c r="G59" s="156">
        <f ca="1">OFFSET(用户!$A$1,$A59-1,G$1-1)</f>
        <v>0</v>
      </c>
      <c r="H59" s="156">
        <f ca="1">OFFSET(用户!$A$1,$A59-1,H$1-1)</f>
        <v>0</v>
      </c>
      <c r="I59" s="156">
        <f ca="1">OFFSET(用户!$A$1,$A59-1,I$1-1)</f>
        <v>0</v>
      </c>
      <c r="J59" s="156">
        <f ca="1">OFFSET(用户!$A$1,$A59-1,J$1-1)</f>
        <v>0</v>
      </c>
      <c r="K59" s="156">
        <f ca="1">OFFSET(用户!$A$1,$A59-1,K$1-1)</f>
        <v>0</v>
      </c>
      <c r="L59" s="156">
        <f ca="1">OFFSET(用户!$A$1,$A59-1,L$1-1)</f>
        <v>0</v>
      </c>
      <c r="M59" s="156">
        <f ca="1">OFFSET(用户!$A$1,$A59-1,M$1-1)</f>
        <v>0</v>
      </c>
      <c r="N59" s="156">
        <f ca="1">OFFSET(用户!$A$1,$A59-1,N$1-1)</f>
        <v>0</v>
      </c>
      <c r="O59" s="156">
        <f ca="1">OFFSET(用户!$A$1,$A59-1,O$1-1)</f>
        <v>0</v>
      </c>
      <c r="P59" s="157">
        <f ca="1">OFFSET(用户!$A$1,$A59-1,P$1-1)</f>
        <v>0</v>
      </c>
      <c r="Q59" s="154" t="str">
        <f t="shared" ca="1" si="17"/>
        <v/>
      </c>
    </row>
    <row r="60" spans="1:17" s="264" customFormat="1" outlineLevel="1">
      <c r="A60" s="252"/>
      <c r="B60" s="492"/>
      <c r="C60" s="262" t="s">
        <v>324</v>
      </c>
      <c r="D60" s="266">
        <f t="shared" ref="D60:P60" ca="1" si="18">+D54/D51</f>
        <v>0.55967557391283174</v>
      </c>
      <c r="E60" s="266">
        <f t="shared" ca="1" si="18"/>
        <v>0.54775140590224092</v>
      </c>
      <c r="F60" s="266">
        <f t="shared" ca="1" si="18"/>
        <v>0.53718006835874699</v>
      </c>
      <c r="G60" s="266">
        <f t="shared" ca="1" si="18"/>
        <v>0.54276455966618886</v>
      </c>
      <c r="H60" s="266">
        <f t="shared" ca="1" si="18"/>
        <v>0.59677315384106966</v>
      </c>
      <c r="I60" s="266">
        <f t="shared" ca="1" si="18"/>
        <v>0.5790379593656455</v>
      </c>
      <c r="J60" s="266">
        <f t="shared" ca="1" si="18"/>
        <v>0.57348488062879543</v>
      </c>
      <c r="K60" s="266">
        <f t="shared" ca="1" si="18"/>
        <v>0.56837453252547587</v>
      </c>
      <c r="L60" s="266">
        <f t="shared" ca="1" si="18"/>
        <v>0.55609193517242472</v>
      </c>
      <c r="M60" s="266">
        <f t="shared" ca="1" si="18"/>
        <v>0.5574513727167999</v>
      </c>
      <c r="N60" s="266">
        <f t="shared" ca="1" si="18"/>
        <v>0.54936162720593862</v>
      </c>
      <c r="O60" s="266">
        <f t="shared" ca="1" si="18"/>
        <v>0.55173859706589667</v>
      </c>
      <c r="P60" s="266">
        <f t="shared" ca="1" si="18"/>
        <v>0.56094011898841434</v>
      </c>
      <c r="Q60" s="263">
        <f ca="1">+P60-O60</f>
        <v>9.2015219225176637E-3</v>
      </c>
    </row>
    <row r="61" spans="1:17" s="249" customFormat="1" outlineLevel="1">
      <c r="A61" s="252"/>
      <c r="B61" s="493"/>
      <c r="C61" s="260" t="s">
        <v>325</v>
      </c>
      <c r="D61" s="247">
        <f t="shared" ref="D61:P61" ca="1" si="19">+D55/D52</f>
        <v>0.55967557391283174</v>
      </c>
      <c r="E61" s="247">
        <f t="shared" ca="1" si="19"/>
        <v>0.54775140590224092</v>
      </c>
      <c r="F61" s="247">
        <f t="shared" ca="1" si="19"/>
        <v>0.53718006835874699</v>
      </c>
      <c r="G61" s="247">
        <f t="shared" ca="1" si="19"/>
        <v>0.54276455966618886</v>
      </c>
      <c r="H61" s="247">
        <f t="shared" ca="1" si="19"/>
        <v>0.59677315384106966</v>
      </c>
      <c r="I61" s="247">
        <f t="shared" ca="1" si="19"/>
        <v>0.5790379593656455</v>
      </c>
      <c r="J61" s="247">
        <f t="shared" ca="1" si="19"/>
        <v>0.57348488062879543</v>
      </c>
      <c r="K61" s="247">
        <f t="shared" ca="1" si="19"/>
        <v>0.56837453252547587</v>
      </c>
      <c r="L61" s="247">
        <f t="shared" ca="1" si="19"/>
        <v>0.55609193517242472</v>
      </c>
      <c r="M61" s="247">
        <f t="shared" ca="1" si="19"/>
        <v>0.5574513727167999</v>
      </c>
      <c r="N61" s="247">
        <f t="shared" ca="1" si="19"/>
        <v>0.54936162720593862</v>
      </c>
      <c r="O61" s="247">
        <f t="shared" ca="1" si="19"/>
        <v>0.55173859706589667</v>
      </c>
      <c r="P61" s="247">
        <f t="shared" ca="1" si="19"/>
        <v>0.56094011898841434</v>
      </c>
      <c r="Q61" s="248">
        <f ca="1">+P61-O61</f>
        <v>9.2015219225176637E-3</v>
      </c>
    </row>
    <row r="62" spans="1:17" s="178" customFormat="1" ht="20.25" customHeight="1" outlineLevel="1">
      <c r="A62" s="253"/>
      <c r="B62" s="173" t="s">
        <v>229</v>
      </c>
      <c r="C62" s="174"/>
      <c r="D62" s="175"/>
      <c r="E62" s="175"/>
      <c r="F62" s="176"/>
      <c r="G62" s="176"/>
      <c r="H62" s="176"/>
      <c r="I62" s="176"/>
      <c r="J62" s="176"/>
      <c r="K62" s="176"/>
      <c r="L62" s="176"/>
      <c r="M62" s="177"/>
      <c r="N62" s="177"/>
      <c r="O62" s="177"/>
      <c r="P62" s="177"/>
      <c r="Q62" s="177"/>
    </row>
    <row r="63" spans="1:17" s="178" customFormat="1" ht="20.25" customHeight="1" outlineLevel="1">
      <c r="A63" s="253"/>
      <c r="B63" s="179" t="str">
        <f ca="1">"视频语音用户："&amp;TEXT(P4/10000,"0")&amp;"万人("&amp;IF(Q4&gt;0,"+","")&amp;TEXT(Q4,"0.0%")&amp;")"</f>
        <v>视频语音用户：673万人(+36.9%)</v>
      </c>
      <c r="C63" s="180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7"/>
      <c r="O63" s="177"/>
      <c r="P63" s="177"/>
      <c r="Q63" s="177"/>
    </row>
    <row r="64" spans="1:17" s="178" customFormat="1" ht="20.25" customHeight="1" outlineLevel="1">
      <c r="A64" s="253"/>
      <c r="B64" s="176" t="str">
        <f ca="1">"登录用户："&amp;TEXT(P7/10000,"0")&amp;"万人("&amp;IF(Q7&gt;0,"+","")&amp;TEXT(Q7,"0.0%")&amp;")，手游内置："&amp;TEXT(P9/10000,"0.0")&amp;"万人"</f>
        <v>登录用户：275万人(+44.1%)，手游内置：106.9万人</v>
      </c>
      <c r="C64" s="180"/>
      <c r="D64" s="176"/>
      <c r="E64" s="176"/>
      <c r="F64" s="176"/>
      <c r="G64" s="176"/>
      <c r="H64" s="176"/>
      <c r="I64" s="176"/>
      <c r="J64" s="176"/>
      <c r="K64" s="176"/>
      <c r="L64" s="176"/>
      <c r="M64" s="177"/>
      <c r="N64" s="177"/>
      <c r="O64" s="177"/>
      <c r="P64" s="177"/>
      <c r="Q64" s="177"/>
    </row>
    <row r="65" spans="1:17" s="178" customFormat="1" ht="20.25" customHeight="1" outlineLevel="1">
      <c r="A65" s="253"/>
      <c r="B65" s="176" t="str">
        <f ca="1">"匿名用户："&amp;TEXT(P10/10000,0)&amp;"万人("&amp;IF(Q10&gt;0,"+","")&amp;TEXT(Q10,"00.0%")&amp;")，MC盒子内置："&amp;TEXT(P12/10000,"0.0")&amp;"万人"</f>
        <v>匿名用户：397万人(+32.4%)，MC盒子内置：74.5万人</v>
      </c>
      <c r="C65" s="180"/>
      <c r="D65" s="176"/>
      <c r="E65" s="176"/>
      <c r="F65" s="176"/>
      <c r="G65" s="176"/>
      <c r="H65" s="176"/>
      <c r="I65" s="176"/>
      <c r="J65" s="176"/>
      <c r="K65" s="176"/>
      <c r="L65" s="176"/>
      <c r="M65" s="177"/>
      <c r="N65" s="177"/>
      <c r="O65" s="177"/>
      <c r="P65" s="177"/>
      <c r="Q65" s="177"/>
    </row>
    <row r="66" spans="1:17" s="178" customFormat="1" ht="20.25" customHeight="1" outlineLevel="1">
      <c r="A66" s="253"/>
      <c r="B66" s="176" t="str">
        <f ca="1">"登录率(除内置)："&amp;TEXT(P14,"00.0%")&amp;" ("&amp;IF(Q14&gt;0,"+","")&amp;TEXT(Q14,"0.0%")&amp;")"</f>
        <v>登录率(除内置)：34.3% (+0.4%)</v>
      </c>
      <c r="C66" s="180"/>
      <c r="D66" s="176"/>
      <c r="E66" s="176"/>
      <c r="F66" s="176"/>
      <c r="G66" s="176"/>
      <c r="H66" s="176"/>
      <c r="I66" s="176"/>
      <c r="J66" s="176"/>
      <c r="K66" s="176"/>
      <c r="L66" s="176"/>
      <c r="M66" s="177"/>
      <c r="N66" s="177"/>
      <c r="O66" s="177"/>
      <c r="P66" s="177"/>
      <c r="Q66" s="177"/>
    </row>
    <row r="67" spans="1:17" s="178" customFormat="1" ht="20.25" customHeight="1" outlineLevel="1">
      <c r="A67" s="253"/>
      <c r="B67" s="181" t="s">
        <v>230</v>
      </c>
      <c r="C67" s="180"/>
      <c r="D67" s="176"/>
      <c r="E67" s="176"/>
      <c r="F67" s="176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</row>
    <row r="68" spans="1:17" ht="20.25" customHeight="1" outlineLevel="1">
      <c r="F68" s="182"/>
      <c r="G68" s="182"/>
      <c r="H68" s="182"/>
      <c r="I68" s="182"/>
      <c r="J68" s="182"/>
      <c r="K68" s="182"/>
      <c r="L68" s="182"/>
    </row>
    <row r="69" spans="1:17" ht="16.5" customHeight="1" outlineLevel="1">
      <c r="J69" s="183"/>
      <c r="K69" s="183"/>
      <c r="L69" s="184"/>
      <c r="M69" s="185"/>
      <c r="N69" s="185"/>
      <c r="O69" s="185"/>
    </row>
    <row r="70" spans="1:17" ht="16.5" customHeight="1" outlineLevel="1">
      <c r="L70" s="186"/>
    </row>
    <row r="71" spans="1:17" ht="16.5" customHeight="1" outlineLevel="1">
      <c r="B71" s="150"/>
      <c r="L71" s="184"/>
      <c r="M71" s="185"/>
      <c r="N71" s="185"/>
      <c r="O71" s="184"/>
      <c r="P71" s="185"/>
    </row>
    <row r="72" spans="1:17" ht="16.5" customHeight="1" outlineLevel="1">
      <c r="L72" s="187"/>
      <c r="M72" s="185"/>
      <c r="N72" s="185"/>
      <c r="O72" s="184"/>
      <c r="P72" s="185"/>
    </row>
    <row r="73" spans="1:17" ht="16.5" customHeight="1" outlineLevel="1">
      <c r="L73" s="187"/>
      <c r="M73" s="185"/>
      <c r="N73" s="185"/>
      <c r="O73" s="184"/>
      <c r="P73" s="185"/>
    </row>
    <row r="74" spans="1:17" ht="16.5" customHeight="1" outlineLevel="1">
      <c r="L74" s="187"/>
      <c r="M74" s="185"/>
      <c r="N74" s="185"/>
      <c r="O74" s="184"/>
      <c r="P74" s="185"/>
    </row>
    <row r="75" spans="1:17" ht="16.5" customHeight="1" outlineLevel="1">
      <c r="M75" s="185"/>
      <c r="N75" s="185"/>
      <c r="O75" s="186"/>
      <c r="P75" s="188"/>
      <c r="Q75" s="188"/>
    </row>
    <row r="76" spans="1:17" ht="16.5" customHeight="1" outlineLevel="1">
      <c r="O76" s="186"/>
      <c r="P76" s="188"/>
      <c r="Q76" s="188"/>
    </row>
    <row r="77" spans="1:17" ht="16.5" customHeight="1" outlineLevel="1">
      <c r="O77" s="186"/>
      <c r="P77" s="188"/>
      <c r="Q77" s="188"/>
    </row>
    <row r="78" spans="1:17" ht="16.5" customHeight="1" outlineLevel="1">
      <c r="O78" s="186"/>
      <c r="P78" s="188"/>
      <c r="Q78" s="188"/>
    </row>
    <row r="79" spans="1:17" ht="16.5" customHeight="1" outlineLevel="1">
      <c r="O79" s="189"/>
      <c r="P79" s="188"/>
      <c r="Q79" s="188"/>
    </row>
    <row r="80" spans="1:17" ht="16.5" customHeight="1" outlineLevel="1"/>
    <row r="81" spans="1:5" ht="16.5" customHeight="1" outlineLevel="1"/>
    <row r="82" spans="1:5" ht="16.5" customHeight="1" outlineLevel="1"/>
    <row r="83" spans="1:5" ht="16.5" customHeight="1" outlineLevel="1"/>
    <row r="84" spans="1:5" s="150" customFormat="1" ht="16.5" customHeight="1" outlineLevel="1">
      <c r="A84" s="252"/>
      <c r="B84" s="149"/>
      <c r="C84" s="149"/>
    </row>
    <row r="85" spans="1:5" s="150" customFormat="1" ht="16.5" customHeight="1" outlineLevel="1">
      <c r="A85" s="252"/>
      <c r="B85" s="173" t="s">
        <v>231</v>
      </c>
      <c r="C85" s="174"/>
      <c r="D85" s="175"/>
      <c r="E85" s="175"/>
    </row>
    <row r="86" spans="1:5" s="150" customFormat="1" ht="16.5" customHeight="1" outlineLevel="1">
      <c r="A86" s="252"/>
      <c r="B86" s="149"/>
      <c r="C86" s="149"/>
    </row>
    <row r="87" spans="1:5" s="150" customFormat="1" ht="16.5" customHeight="1" outlineLevel="1">
      <c r="A87" s="252"/>
      <c r="B87" s="149"/>
      <c r="C87" s="149"/>
    </row>
    <row r="88" spans="1:5" s="150" customFormat="1" ht="16.5" customHeight="1" outlineLevel="1">
      <c r="A88" s="252"/>
      <c r="B88" s="149"/>
      <c r="C88" s="149"/>
    </row>
    <row r="89" spans="1:5" s="150" customFormat="1" ht="16.5" customHeight="1" outlineLevel="1">
      <c r="A89" s="252"/>
      <c r="B89" s="149"/>
      <c r="C89" s="149"/>
    </row>
    <row r="90" spans="1:5" s="150" customFormat="1" ht="16.5" customHeight="1" outlineLevel="1">
      <c r="A90" s="252"/>
      <c r="B90" s="149"/>
      <c r="C90" s="149"/>
    </row>
    <row r="91" spans="1:5" s="150" customFormat="1" ht="16.5" customHeight="1" outlineLevel="1">
      <c r="A91" s="252"/>
      <c r="B91" s="149"/>
      <c r="C91" s="149"/>
    </row>
    <row r="92" spans="1:5" s="150" customFormat="1" ht="16.5" customHeight="1" outlineLevel="1">
      <c r="A92" s="252"/>
      <c r="B92" s="149"/>
      <c r="C92" s="149"/>
    </row>
    <row r="93" spans="1:5" s="150" customFormat="1" ht="16.5" customHeight="1" outlineLevel="1">
      <c r="A93" s="252"/>
      <c r="B93" s="149"/>
      <c r="C93" s="149"/>
    </row>
    <row r="94" spans="1:5" s="150" customFormat="1" ht="16.5" customHeight="1" outlineLevel="1">
      <c r="A94" s="252"/>
      <c r="B94" s="149"/>
      <c r="C94" s="149"/>
    </row>
    <row r="95" spans="1:5" s="150" customFormat="1" ht="16.5" customHeight="1" outlineLevel="1">
      <c r="A95" s="252"/>
      <c r="B95" s="149"/>
      <c r="C95" s="149"/>
    </row>
    <row r="96" spans="1:5" s="150" customFormat="1" ht="16.5" customHeight="1" outlineLevel="1">
      <c r="A96" s="252"/>
      <c r="B96" s="149"/>
      <c r="C96" s="149"/>
    </row>
    <row r="97" spans="1:5" s="150" customFormat="1" ht="16.5" customHeight="1" outlineLevel="1">
      <c r="A97" s="252"/>
      <c r="B97" s="149"/>
      <c r="C97" s="149"/>
    </row>
    <row r="98" spans="1:5" s="150" customFormat="1" ht="16.5" customHeight="1" outlineLevel="1">
      <c r="A98" s="252"/>
      <c r="B98" s="149"/>
      <c r="C98" s="149"/>
    </row>
    <row r="99" spans="1:5" s="150" customFormat="1" ht="16.5" customHeight="1" outlineLevel="1">
      <c r="A99" s="252"/>
      <c r="B99" s="149"/>
      <c r="C99" s="149"/>
    </row>
    <row r="100" spans="1:5" s="150" customFormat="1" outlineLevel="1">
      <c r="A100" s="252"/>
      <c r="B100" s="149"/>
      <c r="C100" s="149"/>
    </row>
    <row r="101" spans="1:5" s="150" customFormat="1" outlineLevel="1">
      <c r="A101" s="252"/>
      <c r="B101" s="173" t="s">
        <v>232</v>
      </c>
      <c r="C101" s="174"/>
      <c r="D101" s="175"/>
      <c r="E101" s="175"/>
    </row>
    <row r="102" spans="1:5" s="150" customFormat="1" outlineLevel="1">
      <c r="A102" s="252"/>
      <c r="B102" s="149"/>
      <c r="C102" s="149"/>
    </row>
    <row r="103" spans="1:5" s="150" customFormat="1" outlineLevel="1">
      <c r="A103" s="252"/>
      <c r="B103" s="149"/>
      <c r="C103" s="149"/>
    </row>
    <row r="104" spans="1:5" s="150" customFormat="1" outlineLevel="1">
      <c r="A104" s="252"/>
      <c r="B104" s="149"/>
      <c r="C104" s="149"/>
    </row>
    <row r="105" spans="1:5" s="150" customFormat="1" outlineLevel="1">
      <c r="A105" s="252"/>
      <c r="B105" s="149"/>
      <c r="C105" s="149"/>
    </row>
    <row r="106" spans="1:5" s="150" customFormat="1" outlineLevel="1">
      <c r="A106" s="252"/>
      <c r="B106" s="149"/>
      <c r="C106" s="149"/>
    </row>
    <row r="107" spans="1:5" s="150" customFormat="1" outlineLevel="1">
      <c r="A107" s="252"/>
      <c r="B107" s="149"/>
      <c r="C107" s="149"/>
    </row>
    <row r="108" spans="1:5" s="150" customFormat="1" outlineLevel="1">
      <c r="A108" s="252"/>
      <c r="B108" s="149"/>
      <c r="C108" s="149"/>
    </row>
    <row r="109" spans="1:5" s="150" customFormat="1" outlineLevel="1">
      <c r="A109" s="252"/>
      <c r="B109" s="149"/>
      <c r="C109" s="149"/>
    </row>
    <row r="110" spans="1:5" s="150" customFormat="1" outlineLevel="1">
      <c r="A110" s="252"/>
      <c r="B110" s="149"/>
      <c r="C110" s="149"/>
    </row>
    <row r="111" spans="1:5" s="150" customFormat="1" outlineLevel="1">
      <c r="A111" s="252"/>
      <c r="B111" s="149"/>
      <c r="C111" s="149"/>
    </row>
    <row r="112" spans="1:5" s="150" customFormat="1" outlineLevel="1">
      <c r="A112" s="252"/>
      <c r="B112" s="149"/>
      <c r="C112" s="149"/>
    </row>
    <row r="113" spans="1:17" s="150" customFormat="1" outlineLevel="1">
      <c r="A113" s="252"/>
      <c r="B113" s="149"/>
      <c r="C113" s="149"/>
    </row>
    <row r="114" spans="1:17" s="150" customFormat="1" outlineLevel="1">
      <c r="A114" s="252"/>
      <c r="B114" s="149"/>
      <c r="C114" s="149"/>
    </row>
    <row r="115" spans="1:17" s="150" customFormat="1" outlineLevel="1">
      <c r="A115" s="252"/>
      <c r="B115" s="149"/>
      <c r="C115" s="149"/>
    </row>
    <row r="116" spans="1:17" outlineLevel="1"/>
    <row r="117" spans="1:17" outlineLevel="1">
      <c r="D117" s="182"/>
      <c r="E117" s="182"/>
    </row>
    <row r="118" spans="1:17" outlineLevel="1">
      <c r="D118" s="182"/>
      <c r="E118" s="182"/>
    </row>
    <row r="119" spans="1:17" outlineLevel="1">
      <c r="B119" s="173" t="s">
        <v>233</v>
      </c>
      <c r="C119" s="173"/>
      <c r="D119" s="173"/>
      <c r="E119" s="173"/>
    </row>
    <row r="120" spans="1:17" s="178" customFormat="1" ht="20.25" customHeight="1" outlineLevel="1">
      <c r="A120" s="253"/>
      <c r="B120" s="179" t="str">
        <f ca="1">"视频语音用户："&amp;TEXT(P18/10000,"0")&amp;"万("&amp;IF(Q18&gt;0,"+","")&amp;TEXT(Q18,"0.0%")&amp;")"</f>
        <v>视频语音用户：160万(+5.7%)</v>
      </c>
      <c r="C120" s="180"/>
      <c r="D120" s="176"/>
      <c r="E120" s="176"/>
      <c r="F120" s="176"/>
      <c r="G120" s="176"/>
      <c r="H120" s="176"/>
      <c r="I120" s="176"/>
      <c r="J120" s="176"/>
      <c r="K120" s="176"/>
      <c r="L120" s="176"/>
      <c r="M120" s="177"/>
      <c r="N120" s="177"/>
      <c r="O120" s="177"/>
      <c r="P120" s="177"/>
      <c r="Q120" s="177"/>
    </row>
    <row r="121" spans="1:17" s="178" customFormat="1" ht="20.25" customHeight="1" outlineLevel="1">
      <c r="A121" s="253"/>
      <c r="B121" s="179" t="str">
        <f ca="1">"视频语音用户："&amp;TEXT(P18/10000,"0")&amp;"万("&amp;IF(Q18&gt;0,"+","")&amp;TEXT(Q18,"0.0%")&amp;")"</f>
        <v>视频语音用户：160万(+5.7%)</v>
      </c>
      <c r="C121" s="180"/>
      <c r="D121" s="176"/>
      <c r="E121" s="176"/>
      <c r="F121" s="176"/>
      <c r="G121" s="176"/>
      <c r="H121" s="176"/>
      <c r="I121" s="176"/>
      <c r="J121" s="176"/>
      <c r="K121" s="176"/>
      <c r="L121" s="176"/>
      <c r="M121" s="177"/>
      <c r="N121" s="177"/>
      <c r="O121" s="177"/>
      <c r="P121" s="177"/>
      <c r="Q121" s="177"/>
    </row>
    <row r="122" spans="1:17" s="178" customFormat="1" ht="20.25" customHeight="1" outlineLevel="1">
      <c r="A122" s="253"/>
      <c r="B122" s="179" t="str">
        <f ca="1">"登录率："&amp;TEXT(P28,"0.0%")&amp;"("&amp;IF(Q28&gt;0,"+","")&amp;TEXT(Q28,"0.0%")&amp;")"</f>
        <v>登录率：55.3%(+2.2%)</v>
      </c>
      <c r="C122" s="180"/>
      <c r="D122" s="176"/>
      <c r="E122" s="176"/>
      <c r="F122" s="176"/>
      <c r="G122" s="176"/>
      <c r="H122" s="176"/>
      <c r="I122" s="176"/>
      <c r="J122" s="176"/>
      <c r="K122" s="176"/>
      <c r="L122" s="176"/>
      <c r="M122" s="177"/>
      <c r="N122" s="177"/>
      <c r="O122" s="177"/>
      <c r="P122" s="177"/>
      <c r="Q122" s="177"/>
    </row>
    <row r="123" spans="1:17" s="178" customFormat="1" ht="20.25" customHeight="1" outlineLevel="1">
      <c r="A123" s="253"/>
      <c r="B123" s="179" t="str">
        <f ca="1">"用户数多于终端数"&amp;TEXT((P18-终端!Q2)/10000,"0")&amp;"万，主要由于部分用户"</f>
        <v>用户数多于终端数156万，主要由于部分用户</v>
      </c>
      <c r="C123" s="180"/>
      <c r="D123" s="176"/>
      <c r="E123" s="176"/>
      <c r="F123" s="176"/>
      <c r="G123" s="176"/>
      <c r="H123" s="176"/>
      <c r="I123" s="176"/>
      <c r="J123" s="176"/>
      <c r="K123" s="176"/>
      <c r="L123" s="176"/>
      <c r="M123" s="177"/>
      <c r="N123" s="177"/>
      <c r="O123" s="177"/>
      <c r="P123" s="177"/>
      <c r="Q123" s="177"/>
    </row>
    <row r="124" spans="1:17" s="178" customFormat="1" ht="20.25" customHeight="1" outlineLevel="1">
      <c r="A124" s="253"/>
      <c r="B124" s="179" t="s">
        <v>234</v>
      </c>
      <c r="C124" s="180"/>
      <c r="D124" s="176"/>
      <c r="E124" s="176"/>
      <c r="F124" s="176"/>
      <c r="G124" s="176"/>
      <c r="H124" s="176"/>
      <c r="I124" s="176"/>
      <c r="J124" s="176"/>
      <c r="K124" s="176"/>
      <c r="L124" s="176"/>
      <c r="M124" s="177"/>
      <c r="N124" s="177"/>
      <c r="O124" s="177"/>
      <c r="P124" s="177"/>
      <c r="Q124" s="177"/>
    </row>
    <row r="125" spans="1:17" outlineLevel="1">
      <c r="B125" s="190"/>
      <c r="C125" s="191"/>
      <c r="D125" s="182"/>
      <c r="E125" s="182"/>
    </row>
    <row r="126" spans="1:17" outlineLevel="1"/>
    <row r="127" spans="1:17" outlineLevel="1"/>
    <row r="128" spans="1:17" outlineLevel="1"/>
    <row r="129" spans="1:17" outlineLevel="1"/>
    <row r="130" spans="1:17" outlineLevel="1"/>
    <row r="131" spans="1:17" outlineLevel="1"/>
    <row r="132" spans="1:17" outlineLevel="1"/>
    <row r="133" spans="1:17" outlineLevel="1"/>
    <row r="134" spans="1:17" outlineLevel="1"/>
    <row r="135" spans="1:17" outlineLevel="1"/>
    <row r="136" spans="1:17" outlineLevel="1"/>
    <row r="137" spans="1:17" outlineLevel="1"/>
    <row r="138" spans="1:17" outlineLevel="1"/>
    <row r="139" spans="1:17" outlineLevel="1"/>
    <row r="140" spans="1:17" outlineLevel="1"/>
    <row r="141" spans="1:17" outlineLevel="1">
      <c r="C141" s="191"/>
    </row>
    <row r="142" spans="1:17" outlineLevel="1">
      <c r="B142" s="173" t="s">
        <v>235</v>
      </c>
      <c r="C142" s="174"/>
      <c r="D142" s="175"/>
      <c r="E142" s="175"/>
    </row>
    <row r="143" spans="1:17" s="178" customFormat="1" ht="20.25" outlineLevel="1">
      <c r="A143" s="253"/>
      <c r="B143" s="179" t="str">
        <f ca="1">"视频语音用户："&amp;TEXT(P29/10000,"0")&amp;"万("&amp;IF(Q29&gt;0,"+","")&amp;TEXT(Q29,"0.0%")&amp;")"</f>
        <v>视频语音用户：396万(+48.7%)</v>
      </c>
      <c r="C143" s="180"/>
      <c r="D143" s="176"/>
      <c r="E143" s="176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</row>
    <row r="144" spans="1:17" s="178" customFormat="1" ht="20.25" outlineLevel="1">
      <c r="A144" s="253"/>
      <c r="B144" s="176" t="str">
        <f ca="1">"登录率："&amp;TEXT(P39,"0.0%")&amp;"("&amp;IF(Q39&gt;0,"+","")&amp;TEXT(Q39,"0.0%")&amp;")"</f>
        <v>登录率：13.7%(-0.4%)</v>
      </c>
      <c r="C144" s="180"/>
      <c r="D144" s="176"/>
      <c r="E144" s="176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</row>
    <row r="145" spans="1:17" ht="20.25" outlineLevel="1">
      <c r="B145" s="176"/>
      <c r="C145" s="180"/>
      <c r="D145" s="176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</row>
    <row r="146" spans="1:17" ht="20.25" outlineLevel="1">
      <c r="B146" s="176"/>
      <c r="C146" s="180"/>
      <c r="D146" s="176"/>
      <c r="E146" s="182"/>
    </row>
    <row r="147" spans="1:17" ht="20.25" outlineLevel="1">
      <c r="B147" s="176"/>
      <c r="C147" s="180"/>
      <c r="D147" s="176"/>
      <c r="E147" s="182"/>
    </row>
    <row r="148" spans="1:17" s="150" customFormat="1" outlineLevel="1">
      <c r="A148" s="252"/>
      <c r="B148" s="149"/>
      <c r="C148" s="149"/>
    </row>
    <row r="149" spans="1:17" s="150" customFormat="1" outlineLevel="1">
      <c r="A149" s="252"/>
      <c r="B149" s="149"/>
      <c r="C149" s="149"/>
    </row>
    <row r="150" spans="1:17" s="150" customFormat="1" outlineLevel="1">
      <c r="A150" s="252"/>
      <c r="B150" s="149"/>
      <c r="C150" s="149"/>
    </row>
    <row r="151" spans="1:17" s="150" customFormat="1" outlineLevel="1">
      <c r="A151" s="252"/>
      <c r="B151" s="149"/>
      <c r="C151" s="149"/>
    </row>
    <row r="152" spans="1:17" s="150" customFormat="1" outlineLevel="1">
      <c r="A152" s="252"/>
      <c r="B152" s="149"/>
      <c r="C152" s="149"/>
    </row>
    <row r="153" spans="1:17" s="150" customFormat="1" outlineLevel="1">
      <c r="A153" s="252"/>
      <c r="B153" s="149"/>
      <c r="C153" s="149"/>
    </row>
    <row r="154" spans="1:17" s="150" customFormat="1" outlineLevel="1">
      <c r="A154" s="252"/>
      <c r="B154" s="149"/>
      <c r="C154" s="149"/>
    </row>
    <row r="155" spans="1:17" s="150" customFormat="1" outlineLevel="1">
      <c r="A155" s="252"/>
      <c r="B155" s="149"/>
      <c r="C155" s="149"/>
    </row>
    <row r="156" spans="1:17" s="150" customFormat="1" outlineLevel="1">
      <c r="A156" s="252"/>
      <c r="B156" s="149"/>
      <c r="C156" s="149"/>
    </row>
    <row r="157" spans="1:17" s="150" customFormat="1" outlineLevel="1">
      <c r="A157" s="252"/>
      <c r="B157" s="149"/>
      <c r="C157" s="149"/>
    </row>
    <row r="158" spans="1:17" s="150" customFormat="1" outlineLevel="1">
      <c r="A158" s="252"/>
      <c r="B158" s="149"/>
      <c r="C158" s="149"/>
    </row>
    <row r="159" spans="1:17" s="150" customFormat="1" outlineLevel="1">
      <c r="A159" s="252"/>
      <c r="B159" s="149"/>
      <c r="C159" s="149"/>
    </row>
    <row r="160" spans="1:17" s="150" customFormat="1" outlineLevel="1">
      <c r="A160" s="252"/>
    </row>
    <row r="161" spans="1:17" s="150" customFormat="1">
      <c r="A161" s="252"/>
    </row>
    <row r="162" spans="1:17" s="150" customFormat="1" ht="21">
      <c r="A162" s="252"/>
      <c r="B162" s="192" t="s">
        <v>566</v>
      </c>
    </row>
    <row r="163" spans="1:17" s="150" customFormat="1" outlineLevel="1">
      <c r="A163" s="252">
        <v>2</v>
      </c>
      <c r="B163" s="151" t="s">
        <v>236</v>
      </c>
      <c r="C163" s="151" t="s">
        <v>237</v>
      </c>
      <c r="D163" s="151">
        <f ca="1">OFFSET(用户!$A$1,$A163-1,K$1-1)</f>
        <v>42795</v>
      </c>
      <c r="E163" s="151">
        <f ca="1">OFFSET(用户!$A$1,$A163-1,L$1-1)</f>
        <v>42826</v>
      </c>
      <c r="F163" s="151">
        <f ca="1">OFFSET(用户!$A$1,$A163-1,M$1-1)</f>
        <v>42856</v>
      </c>
      <c r="G163" s="151">
        <f ca="1">OFFSET(用户!$A$1,$A163-1,N$1-1)</f>
        <v>42887</v>
      </c>
      <c r="H163" s="151">
        <f ca="1">OFFSET(用户!$A$1,$A163-1,O$1-1)</f>
        <v>42917</v>
      </c>
      <c r="I163" s="151">
        <f ca="1">OFFSET(用户!$A$1,$A163-1,P$1-1)</f>
        <v>42948</v>
      </c>
      <c r="J163" s="152" t="s">
        <v>238</v>
      </c>
    </row>
    <row r="164" spans="1:17" outlineLevel="1">
      <c r="A164" s="252">
        <v>49</v>
      </c>
      <c r="B164" s="565" t="s">
        <v>564</v>
      </c>
      <c r="C164" s="167" t="s">
        <v>239</v>
      </c>
      <c r="D164" s="168">
        <f ca="1">OFFSET(用户!$A$1,$A164-1,K$1-1)</f>
        <v>1461014</v>
      </c>
      <c r="E164" s="168">
        <f ca="1">OFFSET(用户!$A$1,$A164-1,L$1-1)</f>
        <v>1408589</v>
      </c>
      <c r="F164" s="168">
        <f ca="1">OFFSET(用户!$A$1,$A164-1,M$1-1)</f>
        <v>1458645</v>
      </c>
      <c r="G164" s="168">
        <f ca="1">OFFSET(用户!$A$1,$A164-1,N$1-1)</f>
        <v>1371988</v>
      </c>
      <c r="H164" s="168">
        <f ca="1">OFFSET(用户!$A$1,$A164-1,O$1-1)</f>
        <v>1462618</v>
      </c>
      <c r="I164" s="153">
        <f ca="1">OFFSET(用户!$A$1,$A164-1,P$1-1)</f>
        <v>1528286</v>
      </c>
      <c r="J164" s="169">
        <f ca="1">(I164-H164)/H164</f>
        <v>4.4897574076074545E-2</v>
      </c>
      <c r="Q164" s="147"/>
    </row>
    <row r="165" spans="1:17" outlineLevel="1">
      <c r="A165" s="252">
        <v>61</v>
      </c>
      <c r="B165" s="499"/>
      <c r="C165" s="170" t="s">
        <v>240</v>
      </c>
      <c r="D165" s="162">
        <f ca="1">OFFSET(用户!$A$1,$A165-1,K$1-1)</f>
        <v>0.34824196697382059</v>
      </c>
      <c r="E165" s="162">
        <f ca="1">OFFSET(用户!$A$1,$A165-1,L$1-1)</f>
        <v>0.37791733885734785</v>
      </c>
      <c r="F165" s="162">
        <f ca="1">OFFSET(用户!$A$1,$A165-1,M$1-1)</f>
        <v>0.34051387855893256</v>
      </c>
      <c r="G165" s="162">
        <f ca="1">OFFSET(用户!$A$1,$A165-1,N$1-1)</f>
        <v>0.36462917260877448</v>
      </c>
      <c r="H165" s="162">
        <f ca="1">OFFSET(用户!$A$1,$A165-1,O$1-1)</f>
        <v>0.33650787077299688</v>
      </c>
      <c r="I165" s="158">
        <f ca="1">OFFSET(用户!$A$1,$A165-1,P$1-1)</f>
        <v>0.33104877333424598</v>
      </c>
      <c r="J165" s="169">
        <f t="shared" ref="J165:J172" ca="1" si="20">(I165-H165)/H165</f>
        <v>-1.622279272758383E-2</v>
      </c>
      <c r="K165" s="193"/>
    </row>
    <row r="166" spans="1:17" outlineLevel="1">
      <c r="A166" s="252">
        <v>50</v>
      </c>
      <c r="B166" s="499"/>
      <c r="C166" s="160" t="s">
        <v>227</v>
      </c>
      <c r="D166" s="161">
        <f ca="1">OFFSET(用户!$A$1,$A166-1,K$1-1)</f>
        <v>740143</v>
      </c>
      <c r="E166" s="161">
        <f ca="1">OFFSET(用户!$A$1,$A166-1,L$1-1)</f>
        <v>630690</v>
      </c>
      <c r="F166" s="161">
        <f ca="1">OFFSET(用户!$A$1,$A166-1,M$1-1)</f>
        <v>652775</v>
      </c>
      <c r="G166" s="161">
        <f ca="1">OFFSET(用户!$A$1,$A166-1,N$1-1)</f>
        <v>617800</v>
      </c>
      <c r="H166" s="161">
        <f ca="1">OFFSET(用户!$A$1,$A166-1,O$1-1)</f>
        <v>601325</v>
      </c>
      <c r="I166" s="153">
        <f ca="1">OFFSET(用户!$A$1,$A166-1,P$1-1)</f>
        <v>609080</v>
      </c>
      <c r="J166" s="169">
        <f t="shared" ca="1" si="20"/>
        <v>1.2896520184592359E-2</v>
      </c>
      <c r="K166" s="193"/>
    </row>
    <row r="167" spans="1:17" outlineLevel="1">
      <c r="A167" s="252">
        <v>62</v>
      </c>
      <c r="B167" s="500"/>
      <c r="C167" s="165" t="s">
        <v>228</v>
      </c>
      <c r="D167" s="166">
        <f ca="1">OFFSET(用户!$A$1,$A167-1,K$1-1)</f>
        <v>0.56837453252547587</v>
      </c>
      <c r="E167" s="166">
        <f ca="1">OFFSET(用户!$A$1,$A167-1,L$1-1)</f>
        <v>0.55609193517242472</v>
      </c>
      <c r="F167" s="166">
        <f ca="1">OFFSET(用户!$A$1,$A167-1,M$1-1)</f>
        <v>0.5574513727167999</v>
      </c>
      <c r="G167" s="166">
        <f ca="1">OFFSET(用户!$A$1,$A167-1,N$1-1)</f>
        <v>0.54936162720593862</v>
      </c>
      <c r="H167" s="166">
        <f ca="1">OFFSET(用户!$A$1,$A167-1,O$1-1)</f>
        <v>0.55173859706589667</v>
      </c>
      <c r="I167" s="158">
        <f ca="1">OFFSET(用户!$A$1,$A167-1,P$1-1)</f>
        <v>0.56094011898841434</v>
      </c>
      <c r="J167" s="169">
        <f t="shared" ca="1" si="20"/>
        <v>1.6677321418966606E-2</v>
      </c>
      <c r="K167" s="193"/>
    </row>
    <row r="168" spans="1:17" ht="16.5" customHeight="1" outlineLevel="1">
      <c r="A168" s="252">
        <v>149</v>
      </c>
      <c r="B168" s="566" t="s">
        <v>565</v>
      </c>
      <c r="C168" s="194" t="s">
        <v>241</v>
      </c>
      <c r="D168" s="195">
        <f ca="1">OFFSET(用户!$A$1,$A168-1,K$1-1)</f>
        <v>1461014</v>
      </c>
      <c r="E168" s="195">
        <f ca="1">OFFSET(用户!$A$1,$A168-1,L$1-1)</f>
        <v>1408589</v>
      </c>
      <c r="F168" s="195">
        <f ca="1">OFFSET(用户!$A$1,$A168-1,M$1-1)</f>
        <v>1458645</v>
      </c>
      <c r="G168" s="195">
        <f ca="1">OFFSET(用户!$A$1,$A168-1,N$1-1)</f>
        <v>1371988</v>
      </c>
      <c r="H168" s="195">
        <f ca="1">OFFSET(用户!$A$1,$A168-1,O$1-1)</f>
        <v>1462618</v>
      </c>
      <c r="I168" s="195">
        <f ca="1">OFFSET(用户!$A$1,$A168-1,P$1-1)</f>
        <v>1528286</v>
      </c>
      <c r="J168" s="169">
        <f t="shared" ca="1" si="20"/>
        <v>4.4897574076074545E-2</v>
      </c>
      <c r="K168" s="193"/>
    </row>
    <row r="169" spans="1:17" ht="16.5" customHeight="1" outlineLevel="1">
      <c r="A169" s="252">
        <f>+A168+1</f>
        <v>150</v>
      </c>
      <c r="B169" s="496"/>
      <c r="C169" s="194" t="s">
        <v>242</v>
      </c>
      <c r="D169" s="195">
        <f ca="1">OFFSET(用户!$A$1,$A169-1,K$1-1)</f>
        <v>740143</v>
      </c>
      <c r="E169" s="195">
        <f ca="1">OFFSET(用户!$A$1,$A169-1,L$1-1)</f>
        <v>630690</v>
      </c>
      <c r="F169" s="195">
        <f ca="1">OFFSET(用户!$A$1,$A169-1,M$1-1)</f>
        <v>652775</v>
      </c>
      <c r="G169" s="195">
        <f ca="1">OFFSET(用户!$A$1,$A169-1,N$1-1)</f>
        <v>617800</v>
      </c>
      <c r="H169" s="195">
        <f ca="1">OFFSET(用户!$A$1,$A169-1,O$1-1)</f>
        <v>601325</v>
      </c>
      <c r="I169" s="157">
        <f ca="1">OFFSET(用户!$A$1,$A169-1,P$1-1)</f>
        <v>609080</v>
      </c>
      <c r="J169" s="169">
        <f t="shared" ca="1" si="20"/>
        <v>1.2896520184592359E-2</v>
      </c>
      <c r="K169" s="193"/>
      <c r="L169" s="196"/>
    </row>
    <row r="170" spans="1:17" outlineLevel="1">
      <c r="A170" s="252">
        <f t="shared" ref="A170:A176" si="21">+A169+1</f>
        <v>151</v>
      </c>
      <c r="B170" s="496"/>
      <c r="C170" s="194" t="s">
        <v>243</v>
      </c>
      <c r="D170" s="195">
        <f ca="1">OFFSET(用户!$A$1,$A170-1,K$1-1)</f>
        <v>653911</v>
      </c>
      <c r="E170" s="195">
        <f ca="1">OFFSET(用户!$A$1,$A170-1,L$1-1)</f>
        <v>561355</v>
      </c>
      <c r="F170" s="195">
        <f ca="1">OFFSET(用户!$A$1,$A170-1,M$1-1)</f>
        <v>588602</v>
      </c>
      <c r="G170" s="195">
        <f ca="1">OFFSET(用户!$A$1,$A170-1,N$1-1)</f>
        <v>559012</v>
      </c>
      <c r="H170" s="195">
        <f ca="1">OFFSET(用户!$A$1,$A170-1,O$1-1)</f>
        <v>546486</v>
      </c>
      <c r="I170" s="195">
        <f ca="1">OFFSET(用户!$A$1,$A170-1,P$1-1)</f>
        <v>558949</v>
      </c>
      <c r="J170" s="169">
        <f t="shared" ca="1" si="20"/>
        <v>2.2805707739996999E-2</v>
      </c>
      <c r="K170" s="193"/>
    </row>
    <row r="171" spans="1:17" outlineLevel="1">
      <c r="A171" s="252">
        <f t="shared" si="21"/>
        <v>152</v>
      </c>
      <c r="B171" s="496"/>
      <c r="C171" s="194" t="s">
        <v>244</v>
      </c>
      <c r="D171" s="195">
        <f ca="1">OFFSET(用户!$A$1,$A171-1,K$1-1)</f>
        <v>807103</v>
      </c>
      <c r="E171" s="195">
        <f ca="1">OFFSET(用户!$A$1,$A171-1,L$1-1)</f>
        <v>847234</v>
      </c>
      <c r="F171" s="195">
        <f ca="1">OFFSET(用户!$A$1,$A171-1,M$1-1)</f>
        <v>870043</v>
      </c>
      <c r="G171" s="195">
        <f ca="1">OFFSET(用户!$A$1,$A171-1,N$1-1)</f>
        <v>812976</v>
      </c>
      <c r="H171" s="195">
        <f ca="1">OFFSET(用户!$A$1,$A171-1,O$1-1)</f>
        <v>916132</v>
      </c>
      <c r="I171" s="195">
        <f ca="1">OFFSET(用户!$A$1,$A171-1,P$1-1)</f>
        <v>969337</v>
      </c>
      <c r="J171" s="169">
        <f t="shared" ca="1" si="20"/>
        <v>5.8075692149166275E-2</v>
      </c>
      <c r="K171" s="193"/>
    </row>
    <row r="172" spans="1:17" outlineLevel="1">
      <c r="A172" s="252">
        <f t="shared" si="21"/>
        <v>153</v>
      </c>
      <c r="B172" s="496"/>
      <c r="C172" s="194" t="s">
        <v>245</v>
      </c>
      <c r="D172" s="195">
        <f ca="1">OFFSET(用户!$A$1,$A172-1,K$1-1)</f>
        <v>86232</v>
      </c>
      <c r="E172" s="195">
        <f ca="1">OFFSET(用户!$A$1,$A172-1,L$1-1)</f>
        <v>69335</v>
      </c>
      <c r="F172" s="195">
        <f ca="1">OFFSET(用户!$A$1,$A172-1,M$1-1)</f>
        <v>64173</v>
      </c>
      <c r="G172" s="195">
        <f ca="1">OFFSET(用户!$A$1,$A172-1,N$1-1)</f>
        <v>58788</v>
      </c>
      <c r="H172" s="195">
        <f ca="1">OFFSET(用户!$A$1,$A172-1,O$1-1)</f>
        <v>54839</v>
      </c>
      <c r="I172" s="157">
        <f ca="1">OFFSET(用户!$A$1,$A172-1,P$1-1)</f>
        <v>50131</v>
      </c>
      <c r="J172" s="169">
        <f t="shared" ca="1" si="20"/>
        <v>-8.5851310198945999E-2</v>
      </c>
      <c r="K172" s="193"/>
    </row>
    <row r="173" spans="1:17" outlineLevel="1">
      <c r="A173" s="252">
        <f t="shared" si="21"/>
        <v>154</v>
      </c>
      <c r="B173" s="496"/>
      <c r="C173" s="197" t="s">
        <v>246</v>
      </c>
      <c r="D173" s="198">
        <f ca="1">OFFSET(用户!$A$1,$A173-1,K$1-1)</f>
        <v>0.44757339765395815</v>
      </c>
      <c r="E173" s="198">
        <f ca="1">OFFSET(用户!$A$1,$A173-1,L$1-1)</f>
        <v>0.39852291903457998</v>
      </c>
      <c r="F173" s="198">
        <f ca="1">OFFSET(用户!$A$1,$A173-1,M$1-1)</f>
        <v>0.40352656060933262</v>
      </c>
      <c r="G173" s="198">
        <f ca="1">OFFSET(用户!$A$1,$A173-1,N$1-1)</f>
        <v>0.40744671236191571</v>
      </c>
      <c r="H173" s="198">
        <f ca="1">OFFSET(用户!$A$1,$A173-1,O$1-1)</f>
        <v>0.37363549470880297</v>
      </c>
      <c r="I173" s="199">
        <f ca="1">OFFSET(用户!$A$1,$A173-1,P$1-1)</f>
        <v>0.36573586357527321</v>
      </c>
      <c r="J173" s="169">
        <f ca="1">+I173-H173</f>
        <v>-7.8996311335297609E-3</v>
      </c>
      <c r="K173" s="193"/>
    </row>
    <row r="174" spans="1:17" outlineLevel="1">
      <c r="A174" s="252">
        <f t="shared" si="21"/>
        <v>155</v>
      </c>
      <c r="B174" s="496"/>
      <c r="C174" s="197" t="s">
        <v>247</v>
      </c>
      <c r="D174" s="198">
        <f ca="1">OFFSET(用户!$A$1,$A174-1,K$1-1)</f>
        <v>0.88349278450245428</v>
      </c>
      <c r="E174" s="198">
        <f ca="1">OFFSET(用户!$A$1,$A174-1,L$1-1)</f>
        <v>0.89006484960915822</v>
      </c>
      <c r="F174" s="198">
        <f ca="1">OFFSET(用户!$A$1,$A174-1,M$1-1)</f>
        <v>0.90169200720003062</v>
      </c>
      <c r="G174" s="198">
        <f ca="1">OFFSET(用户!$A$1,$A174-1,N$1-1)</f>
        <v>0.90484299125930723</v>
      </c>
      <c r="H174" s="198">
        <f ca="1">OFFSET(用户!$A$1,$A174-1,O$1-1)</f>
        <v>0.90880305990936683</v>
      </c>
      <c r="I174" s="199">
        <f ca="1">OFFSET(用户!$A$1,$A174-1,P$1-1)</f>
        <v>0.91769389899520593</v>
      </c>
      <c r="J174" s="169">
        <f ca="1">+I174-H174</f>
        <v>8.8908390858390973E-3</v>
      </c>
      <c r="K174" s="193"/>
    </row>
    <row r="175" spans="1:17" outlineLevel="1">
      <c r="A175" s="252">
        <f t="shared" si="21"/>
        <v>156</v>
      </c>
      <c r="B175" s="496"/>
      <c r="C175" s="197" t="s">
        <v>248</v>
      </c>
      <c r="D175" s="198">
        <f ca="1">OFFSET(用户!$A$1,$A175-1,K$1-1)</f>
        <v>0.44757339765395815</v>
      </c>
      <c r="E175" s="198">
        <f ca="1">OFFSET(用户!$A$1,$A175-1,L$1-1)</f>
        <v>0.39852291903457998</v>
      </c>
      <c r="F175" s="198">
        <f ca="1">OFFSET(用户!$A$1,$A175-1,M$1-1)</f>
        <v>0.40352656060933262</v>
      </c>
      <c r="G175" s="198">
        <f ca="1">OFFSET(用户!$A$1,$A175-1,N$1-1)</f>
        <v>0.40744671236191571</v>
      </c>
      <c r="H175" s="198">
        <f ca="1">OFFSET(用户!$A$1,$A175-1,O$1-1)</f>
        <v>0.37363549470880297</v>
      </c>
      <c r="I175" s="199">
        <f ca="1">OFFSET(用户!$A$1,$A175-1,P$1-1)</f>
        <v>0.36573586357527321</v>
      </c>
      <c r="J175" s="169">
        <f ca="1">+I175-H175</f>
        <v>-7.8996311335297609E-3</v>
      </c>
      <c r="K175" s="193"/>
    </row>
    <row r="176" spans="1:17" outlineLevel="1">
      <c r="A176" s="252">
        <f t="shared" si="21"/>
        <v>157</v>
      </c>
      <c r="B176" s="496"/>
      <c r="C176" s="197" t="s">
        <v>249</v>
      </c>
      <c r="D176" s="199">
        <f ca="1">OFFSET(用户!$A$1,$A176-1,K$1-1)</f>
        <v>0.11650721549754574</v>
      </c>
      <c r="E176" s="198">
        <f ca="1">OFFSET(用户!$A$1,$A176-1,L$1-1)</f>
        <v>0.10993515039084177</v>
      </c>
      <c r="F176" s="198">
        <f ca="1">OFFSET(用户!$A$1,$A176-1,M$1-1)</f>
        <v>9.8307992799969365E-2</v>
      </c>
      <c r="G176" s="198">
        <f ca="1">OFFSET(用户!$A$1,$A176-1,N$1-1)</f>
        <v>9.5157008740692786E-2</v>
      </c>
      <c r="H176" s="198">
        <f ca="1">OFFSET(用户!$A$1,$A176-1,O$1-1)</f>
        <v>9.1196940090633186E-2</v>
      </c>
      <c r="I176" s="199">
        <f ca="1">OFFSET(用户!$A$1,$A176-1,P$1-1)</f>
        <v>8.2306101004794116E-2</v>
      </c>
      <c r="J176" s="169">
        <f ca="1">+I176-H176</f>
        <v>-8.8908390858390696E-3</v>
      </c>
      <c r="K176" s="193"/>
    </row>
    <row r="177" spans="1:17" outlineLevel="1">
      <c r="C177" s="200"/>
    </row>
    <row r="178" spans="1:17" outlineLevel="1">
      <c r="B178" s="173" t="s">
        <v>250</v>
      </c>
      <c r="C178" s="201"/>
      <c r="D178" s="202"/>
      <c r="E178" s="202"/>
    </row>
    <row r="179" spans="1:17" s="178" customFormat="1" ht="20.25" customHeight="1" outlineLevel="1">
      <c r="A179" s="253"/>
      <c r="B179" s="177" t="str">
        <f ca="1">"游戏活跃："&amp;TEXT(I164/10000,"0")&amp;"万人("&amp;IF(J164&gt;0,"+","")&amp;TEXT(J164,"00.0%")&amp;")，登录率："&amp;TEXT(I165,"00.0%")</f>
        <v>游戏活跃：153万人(+04.5%)，登录率：33.1%</v>
      </c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</row>
    <row r="180" spans="1:17" s="178" customFormat="1" ht="20.25" customHeight="1" outlineLevel="1">
      <c r="A180" s="253"/>
      <c r="B180" s="177" t="str">
        <f ca="1">"娱乐活跃："&amp;TEXT(I166/10000,"0")&amp;"万人("&amp;IF(J166&gt;0,"+","")&amp;TEXT(J166,"0.0%")&amp;")，登录率："&amp;TEXT(I167,"00.0%")</f>
        <v>娱乐活跃：61万人(+1.3%)，登录率：56.1%</v>
      </c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</row>
    <row r="181" spans="1:17" s="178" customFormat="1" ht="20.25" customHeight="1" outlineLevel="1">
      <c r="A181" s="253"/>
      <c r="B181" s="203" t="s">
        <v>251</v>
      </c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</row>
    <row r="182" spans="1:17" s="178" customFormat="1" ht="20.25" customHeight="1" outlineLevel="1">
      <c r="A182" s="253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</row>
    <row r="183" spans="1:17" s="178" customFormat="1" ht="20.25" customHeight="1" outlineLevel="1">
      <c r="A183" s="253"/>
      <c r="B183" s="177" t="str">
        <f ca="1">"游戏登录视频语音用户是娱乐："&amp;TEXT(I168/I169,"0.00")&amp;"倍"</f>
        <v>游戏登录视频语音用户是娱乐：2.51倍</v>
      </c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</row>
    <row r="184" spans="1:17" s="178" customFormat="1" ht="20.25" customHeight="1" outlineLevel="1">
      <c r="A184" s="253"/>
      <c r="B184" s="177" t="str">
        <f ca="1">"模板交叉用户：占娱乐"&amp;TEXT(I174,"0%")&amp;"，占游戏"&amp;TEXT(I173,"0%")</f>
        <v>模板交叉用户：占娱乐92%，占游戏37%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</row>
    <row r="185" spans="1:17" s="178" customFormat="1" ht="20.25" customHeight="1" outlineLevel="1">
      <c r="A185" s="253"/>
      <c r="B185" s="177" t="str">
        <f ca="1">"纯娱乐用户：占娱乐"&amp;TEXT(I176,"0.0%")&amp;"("&amp;TEXT(J176,"0.0%")&amp;")"</f>
        <v>纯娱乐用户：占娱乐8.2%(-0.9%)</v>
      </c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</row>
    <row r="186" spans="1:17" s="205" customFormat="1" ht="20.25" customHeight="1" outlineLevel="1">
      <c r="A186" s="254"/>
      <c r="B186" s="203" t="str">
        <f ca="1">"*注：以"&amp;TEXT(I163,"yy/m")&amp;"数据为依据"</f>
        <v>*注：以17/8数据为依据</v>
      </c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</row>
    <row r="187" spans="1:17" outlineLevel="1"/>
    <row r="188" spans="1:17" outlineLevel="1"/>
    <row r="189" spans="1:17" outlineLevel="1"/>
    <row r="190" spans="1:17" outlineLevel="1"/>
    <row r="191" spans="1:17" outlineLevel="1"/>
    <row r="192" spans="1:17" outlineLevel="1"/>
    <row r="193" spans="1:17" outlineLevel="1"/>
    <row r="194" spans="1:17" outlineLevel="1"/>
    <row r="195" spans="1:17" outlineLevel="1"/>
    <row r="196" spans="1:17" outlineLevel="1"/>
    <row r="197" spans="1:17" outlineLevel="1"/>
    <row r="198" spans="1:17" outlineLevel="1"/>
    <row r="199" spans="1:17" outlineLevel="1"/>
    <row r="200" spans="1:17" ht="20.25" outlineLevel="1">
      <c r="N200" s="186"/>
    </row>
    <row r="201" spans="1:17" ht="20.25" outlineLevel="1">
      <c r="N201" s="186"/>
    </row>
    <row r="202" spans="1:17" ht="20.25">
      <c r="B202" s="150"/>
      <c r="C202" s="150"/>
      <c r="N202" s="186"/>
    </row>
    <row r="203" spans="1:17">
      <c r="B203" s="150"/>
      <c r="C203" s="150"/>
      <c r="N203" s="189"/>
      <c r="O203" s="188"/>
      <c r="P203" s="188"/>
      <c r="Q203" s="188"/>
    </row>
    <row r="204" spans="1:17" ht="21">
      <c r="B204" s="192" t="s">
        <v>252</v>
      </c>
      <c r="C204" s="150"/>
    </row>
    <row r="205" spans="1:17" ht="16.350000000000001" customHeight="1" outlineLevel="1">
      <c r="A205" s="252">
        <v>2</v>
      </c>
      <c r="B205" s="151" t="s">
        <v>212</v>
      </c>
      <c r="C205" s="151" t="s">
        <v>213</v>
      </c>
      <c r="D205" s="151">
        <f ca="1">OFFSET(用户!$A$1,$A205-1,K$1-1)</f>
        <v>42795</v>
      </c>
      <c r="E205" s="151">
        <f ca="1">OFFSET(用户!$A$1,$A205-1,L$1-1)</f>
        <v>42826</v>
      </c>
      <c r="F205" s="151">
        <f ca="1">OFFSET(用户!$A$1,$A205-1,M$1-1)</f>
        <v>42856</v>
      </c>
      <c r="G205" s="151">
        <f ca="1">OFFSET(用户!$A$1,$A205-1,N$1-1)</f>
        <v>42887</v>
      </c>
      <c r="H205" s="151">
        <f ca="1">OFFSET(用户!$A$1,$A205-1,O$1-1)</f>
        <v>42917</v>
      </c>
      <c r="I205" s="151">
        <f ca="1">OFFSET(用户!$A$1,$A205-1,P$1-1)</f>
        <v>42948</v>
      </c>
      <c r="J205" s="152" t="s">
        <v>214</v>
      </c>
    </row>
    <row r="206" spans="1:17" ht="16.350000000000001" customHeight="1" outlineLevel="1">
      <c r="A206" s="252">
        <v>40</v>
      </c>
      <c r="B206" s="496" t="s">
        <v>253</v>
      </c>
      <c r="C206" s="206" t="s">
        <v>215</v>
      </c>
      <c r="D206" s="207">
        <f ca="1">OFFSET(用户!$A$1,$A206-1,K$1-1)</f>
        <v>688687</v>
      </c>
      <c r="E206" s="207">
        <f ca="1">OFFSET(用户!$A$1,$A206-1,L$1-1)</f>
        <v>617570</v>
      </c>
      <c r="F206" s="207">
        <f ca="1">OFFSET(用户!$A$1,$A206-1,M$1-1)</f>
        <v>619033</v>
      </c>
      <c r="G206" s="207">
        <f ca="1">OFFSET(用户!$A$1,$A206-1,N$1-1)</f>
        <v>574079</v>
      </c>
      <c r="H206" s="207">
        <f ca="1">OFFSET(用户!$A$1,$A206-1,O$1-1)</f>
        <v>572444</v>
      </c>
      <c r="I206" s="207">
        <f ca="1">OFFSET(用户!$A$1,$A206-1,P$1-1)</f>
        <v>582328</v>
      </c>
      <c r="J206" s="169">
        <f ca="1">(I206-H206)/H206</f>
        <v>1.7266317753352294E-2</v>
      </c>
      <c r="K206" s="208"/>
      <c r="N206" s="186"/>
    </row>
    <row r="207" spans="1:17" ht="16.350000000000001" customHeight="1" outlineLevel="1">
      <c r="A207" s="252">
        <f>+A206+1</f>
        <v>41</v>
      </c>
      <c r="B207" s="496"/>
      <c r="C207" s="209" t="s">
        <v>2</v>
      </c>
      <c r="D207" s="163">
        <f ca="1">OFFSET(用户!$A$1,$A207-1,K$1-1)</f>
        <v>1443691</v>
      </c>
      <c r="E207" s="163">
        <f ca="1">OFFSET(用户!$A$1,$A207-1,L$1-1)</f>
        <v>1376854</v>
      </c>
      <c r="F207" s="163">
        <f ca="1">OFFSET(用户!$A$1,$A207-1,M$1-1)</f>
        <v>1470665</v>
      </c>
      <c r="G207" s="163">
        <f ca="1">OFFSET(用户!$A$1,$A207-1,N$1-1)</f>
        <v>1425969</v>
      </c>
      <c r="H207" s="163">
        <f ca="1">OFFSET(用户!$A$1,$A207-1,O$1-1)</f>
        <v>1516406</v>
      </c>
      <c r="I207" s="164">
        <f ca="1">OFFSET(用户!$A$1,$A207-1,P$1-1)</f>
        <v>1602602</v>
      </c>
      <c r="J207" s="169">
        <f t="shared" ref="J207:J213" ca="1" si="22">(I207-H207)/H207</f>
        <v>5.6842296851898504E-2</v>
      </c>
      <c r="M207" s="186"/>
      <c r="Q207" s="147"/>
    </row>
    <row r="208" spans="1:17" ht="16.350000000000001" customHeight="1" outlineLevel="1">
      <c r="A208" s="252">
        <f>+A207+1</f>
        <v>42</v>
      </c>
      <c r="B208" s="496"/>
      <c r="C208" s="209" t="s">
        <v>3</v>
      </c>
      <c r="D208" s="163">
        <f ca="1">OFFSET(用户!$A$1,$A208-1,K$1-1)</f>
        <v>2571119</v>
      </c>
      <c r="E208" s="163">
        <f ca="1">OFFSET(用户!$A$1,$A208-1,L$1-1)</f>
        <v>2190975</v>
      </c>
      <c r="F208" s="163">
        <f ca="1">OFFSET(用户!$A$1,$A208-1,M$1-1)</f>
        <v>2629078</v>
      </c>
      <c r="G208" s="163">
        <f ca="1">OFFSET(用户!$A$1,$A208-1,N$1-1)</f>
        <v>2202125</v>
      </c>
      <c r="H208" s="163">
        <f ca="1">OFFSET(用户!$A$1,$A208-1,O$1-1)</f>
        <v>2660533</v>
      </c>
      <c r="I208" s="164">
        <f ca="1">OFFSET(用户!$A$1,$A208-1,P$1-1)</f>
        <v>3212059</v>
      </c>
      <c r="J208" s="169">
        <f t="shared" ca="1" si="22"/>
        <v>0.20729906375902873</v>
      </c>
      <c r="M208" s="186"/>
      <c r="Q208" s="147"/>
    </row>
    <row r="209" spans="1:17" ht="16.350000000000001" customHeight="1" outlineLevel="1">
      <c r="A209" s="252">
        <f>+A208+1</f>
        <v>43</v>
      </c>
      <c r="B209" s="496"/>
      <c r="C209" s="209" t="s">
        <v>4</v>
      </c>
      <c r="D209" s="163">
        <f ca="1">OFFSET(用户!$A$1,$A209-1,K$1-1)</f>
        <v>4195399</v>
      </c>
      <c r="E209" s="163">
        <f ca="1">OFFSET(用户!$A$1,$A209-1,L$1-1)</f>
        <v>3727241</v>
      </c>
      <c r="F209" s="163">
        <f ca="1">OFFSET(用户!$A$1,$A209-1,M$1-1)</f>
        <v>4283658</v>
      </c>
      <c r="G209" s="163">
        <f ca="1">OFFSET(用户!$A$1,$A209-1,N$1-1)</f>
        <v>3762694</v>
      </c>
      <c r="H209" s="163">
        <f ca="1">OFFSET(用户!$A$1,$A209-1,O$1-1)</f>
        <v>4346460</v>
      </c>
      <c r="I209" s="164">
        <f ca="1">OFFSET(用户!$A$1,$A209-1,P$1-1)</f>
        <v>4616498</v>
      </c>
      <c r="J209" s="169">
        <f t="shared" ca="1" si="22"/>
        <v>6.2128260699511786E-2</v>
      </c>
      <c r="M209" s="189"/>
      <c r="Q209" s="147"/>
    </row>
    <row r="210" spans="1:17" ht="16.350000000000001" customHeight="1" outlineLevel="1">
      <c r="A210" s="252">
        <f>+A206+6</f>
        <v>46</v>
      </c>
      <c r="B210" s="496" t="s">
        <v>254</v>
      </c>
      <c r="C210" s="206" t="s">
        <v>215</v>
      </c>
      <c r="D210" s="207">
        <f ca="1">OFFSET(用户!$A$1,$A210-1,K$1-1)</f>
        <v>688687</v>
      </c>
      <c r="E210" s="207">
        <f ca="1">OFFSET(用户!$A$1,$A210-1,L$1-1)</f>
        <v>617570</v>
      </c>
      <c r="F210" s="207">
        <f ca="1">OFFSET(用户!$A$1,$A210-1,M$1-1)</f>
        <v>619033</v>
      </c>
      <c r="G210" s="207">
        <f ca="1">OFFSET(用户!$A$1,$A210-1,N$1-1)</f>
        <v>574079</v>
      </c>
      <c r="H210" s="207">
        <f ca="1">OFFSET(用户!$A$1,$A210-1,O$1-1)</f>
        <v>572444</v>
      </c>
      <c r="I210" s="207">
        <f ca="1">OFFSET(用户!$A$1,$A210-1,P$1-1)</f>
        <v>582328</v>
      </c>
      <c r="J210" s="169">
        <f t="shared" ca="1" si="22"/>
        <v>1.7266317753352294E-2</v>
      </c>
      <c r="K210" s="208"/>
    </row>
    <row r="211" spans="1:17" ht="16.350000000000001" customHeight="1" outlineLevel="1">
      <c r="A211" s="252">
        <f>+A207+6</f>
        <v>47</v>
      </c>
      <c r="B211" s="496"/>
      <c r="C211" s="209" t="s">
        <v>2</v>
      </c>
      <c r="D211" s="163">
        <f ca="1">OFFSET(用户!$A$1,$A211-1,K$1-1)</f>
        <v>787830</v>
      </c>
      <c r="E211" s="163">
        <f ca="1">OFFSET(用户!$A$1,$A211-1,L$1-1)</f>
        <v>764158</v>
      </c>
      <c r="F211" s="163">
        <f ca="1">OFFSET(用户!$A$1,$A211-1,M$1-1)</f>
        <v>805794</v>
      </c>
      <c r="G211" s="163">
        <f ca="1">OFFSET(用户!$A$1,$A211-1,N$1-1)</f>
        <v>767759</v>
      </c>
      <c r="H211" s="163">
        <f ca="1">OFFSET(用户!$A$1,$A211-1,O$1-1)</f>
        <v>805148</v>
      </c>
      <c r="I211" s="163">
        <f ca="1">OFFSET(用户!$A$1,$A211-1,P$1-1)</f>
        <v>885576</v>
      </c>
      <c r="J211" s="169">
        <f t="shared" ca="1" si="22"/>
        <v>9.9892193733326043E-2</v>
      </c>
      <c r="K211" s="208"/>
    </row>
    <row r="212" spans="1:17" ht="16.350000000000001" customHeight="1" outlineLevel="1">
      <c r="A212" s="252">
        <f>+A208+6</f>
        <v>48</v>
      </c>
      <c r="B212" s="496"/>
      <c r="C212" s="209" t="s">
        <v>3</v>
      </c>
      <c r="D212" s="163">
        <f ca="1">OFFSET(用户!$A$1,$A212-1,K$1-1)</f>
        <v>349443</v>
      </c>
      <c r="E212" s="163">
        <f ca="1">OFFSET(用户!$A$1,$A212-1,L$1-1)</f>
        <v>350516</v>
      </c>
      <c r="F212" s="163">
        <f ca="1">OFFSET(用户!$A$1,$A212-1,M$1-1)</f>
        <v>368980</v>
      </c>
      <c r="G212" s="163">
        <f ca="1">OFFSET(用户!$A$1,$A212-1,N$1-1)</f>
        <v>353501</v>
      </c>
      <c r="H212" s="163">
        <f ca="1">OFFSET(用户!$A$1,$A212-1,O$1-1)</f>
        <v>375859</v>
      </c>
      <c r="I212" s="163">
        <f ca="1">OFFSET(用户!$A$1,$A212-1,P$1-1)</f>
        <v>440578</v>
      </c>
      <c r="J212" s="169">
        <f t="shared" ca="1" si="22"/>
        <v>0.17218957108915844</v>
      </c>
      <c r="K212" s="208"/>
    </row>
    <row r="213" spans="1:17" ht="16.350000000000001" customHeight="1" outlineLevel="1">
      <c r="A213" s="252">
        <f>+A209+6</f>
        <v>49</v>
      </c>
      <c r="B213" s="496"/>
      <c r="C213" s="209" t="s">
        <v>4</v>
      </c>
      <c r="D213" s="163">
        <f ca="1">OFFSET(用户!$A$1,$A213-1,K$1-1)</f>
        <v>1461014</v>
      </c>
      <c r="E213" s="163">
        <f ca="1">OFFSET(用户!$A$1,$A213-1,L$1-1)</f>
        <v>1408589</v>
      </c>
      <c r="F213" s="163">
        <f ca="1">OFFSET(用户!$A$1,$A213-1,M$1-1)</f>
        <v>1458645</v>
      </c>
      <c r="G213" s="163">
        <f ca="1">OFFSET(用户!$A$1,$A213-1,N$1-1)</f>
        <v>1371988</v>
      </c>
      <c r="H213" s="163">
        <f ca="1">OFFSET(用户!$A$1,$A213-1,O$1-1)</f>
        <v>1462618</v>
      </c>
      <c r="I213" s="163">
        <f ca="1">OFFSET(用户!$A$1,$A213-1,P$1-1)</f>
        <v>1528286</v>
      </c>
      <c r="J213" s="169">
        <f t="shared" ca="1" si="22"/>
        <v>4.4897574076074545E-2</v>
      </c>
      <c r="K213" s="208"/>
    </row>
    <row r="214" spans="1:17" ht="16.350000000000001" customHeight="1" outlineLevel="1">
      <c r="A214" s="252">
        <v>24</v>
      </c>
      <c r="B214" s="497" t="s">
        <v>224</v>
      </c>
      <c r="C214" s="274" t="s">
        <v>215</v>
      </c>
      <c r="D214" s="275">
        <f t="shared" ref="D214:I214" ca="1" si="23">+D210/D206</f>
        <v>1</v>
      </c>
      <c r="E214" s="275">
        <f t="shared" ca="1" si="23"/>
        <v>1</v>
      </c>
      <c r="F214" s="275">
        <f t="shared" ca="1" si="23"/>
        <v>1</v>
      </c>
      <c r="G214" s="275">
        <f t="shared" ca="1" si="23"/>
        <v>1</v>
      </c>
      <c r="H214" s="275">
        <f t="shared" ca="1" si="23"/>
        <v>1</v>
      </c>
      <c r="I214" s="275">
        <f t="shared" ca="1" si="23"/>
        <v>1</v>
      </c>
      <c r="J214" s="169">
        <f ca="1">I214-H214</f>
        <v>0</v>
      </c>
      <c r="K214" s="208"/>
    </row>
    <row r="215" spans="1:17" ht="16.350000000000001" customHeight="1" outlineLevel="1">
      <c r="A215" s="252">
        <v>25</v>
      </c>
      <c r="B215" s="497"/>
      <c r="C215" s="276" t="s">
        <v>2</v>
      </c>
      <c r="D215" s="247">
        <f t="shared" ref="D215:I215" ca="1" si="24">+D211/D207</f>
        <v>0.54570541757204272</v>
      </c>
      <c r="E215" s="247">
        <f t="shared" ca="1" si="24"/>
        <v>0.5550029269624811</v>
      </c>
      <c r="F215" s="247">
        <f t="shared" ca="1" si="24"/>
        <v>0.54791131902914669</v>
      </c>
      <c r="G215" s="247">
        <f t="shared" ca="1" si="24"/>
        <v>0.53841212536878436</v>
      </c>
      <c r="H215" s="247">
        <f t="shared" ca="1" si="24"/>
        <v>0.53095806795805345</v>
      </c>
      <c r="I215" s="247">
        <f t="shared" ca="1" si="24"/>
        <v>0.55258635643784293</v>
      </c>
      <c r="J215" s="169">
        <f ca="1">I215-H215</f>
        <v>2.1628288479789481E-2</v>
      </c>
      <c r="K215" s="208"/>
    </row>
    <row r="216" spans="1:17" ht="16.350000000000001" customHeight="1" outlineLevel="1">
      <c r="A216" s="252">
        <v>26</v>
      </c>
      <c r="B216" s="497"/>
      <c r="C216" s="276" t="s">
        <v>3</v>
      </c>
      <c r="D216" s="247">
        <f t="shared" ref="D216:I216" ca="1" si="25">+D212/D208</f>
        <v>0.13591086215768308</v>
      </c>
      <c r="E216" s="247">
        <f t="shared" ca="1" si="25"/>
        <v>0.15998174328780565</v>
      </c>
      <c r="F216" s="247">
        <f t="shared" ca="1" si="25"/>
        <v>0.14034577901454426</v>
      </c>
      <c r="G216" s="247">
        <f t="shared" ca="1" si="25"/>
        <v>0.1605272180280411</v>
      </c>
      <c r="H216" s="247">
        <f t="shared" ca="1" si="25"/>
        <v>0.14127206841636619</v>
      </c>
      <c r="I216" s="247">
        <f t="shared" ca="1" si="25"/>
        <v>0.13716373204850846</v>
      </c>
      <c r="J216" s="169">
        <f ca="1">I216-H216</f>
        <v>-4.1083363678577345E-3</v>
      </c>
      <c r="K216" s="208"/>
    </row>
    <row r="217" spans="1:17" ht="16.350000000000001" customHeight="1" outlineLevel="1">
      <c r="A217" s="252">
        <v>27</v>
      </c>
      <c r="B217" s="497"/>
      <c r="C217" s="276" t="s">
        <v>4</v>
      </c>
      <c r="D217" s="247">
        <f t="shared" ref="D217:I217" ca="1" si="26">+D213/D209</f>
        <v>0.34824196697382059</v>
      </c>
      <c r="E217" s="247">
        <f t="shared" ca="1" si="26"/>
        <v>0.37791733885734785</v>
      </c>
      <c r="F217" s="247">
        <f t="shared" ca="1" si="26"/>
        <v>0.34051387855893256</v>
      </c>
      <c r="G217" s="247">
        <f t="shared" ca="1" si="26"/>
        <v>0.36462917260877448</v>
      </c>
      <c r="H217" s="247">
        <f t="shared" ca="1" si="26"/>
        <v>0.33650787077299688</v>
      </c>
      <c r="I217" s="247">
        <f t="shared" ca="1" si="26"/>
        <v>0.33104877333424598</v>
      </c>
      <c r="J217" s="169">
        <f ca="1">I217-H217</f>
        <v>-5.4590974387508928E-3</v>
      </c>
      <c r="K217" s="208"/>
    </row>
    <row r="218" spans="1:17" outlineLevel="1">
      <c r="B218" s="150"/>
      <c r="C218" s="150"/>
    </row>
    <row r="219" spans="1:17" outlineLevel="1">
      <c r="B219" s="150"/>
      <c r="C219" s="150"/>
    </row>
    <row r="220" spans="1:17" outlineLevel="1">
      <c r="C220" s="150"/>
    </row>
    <row r="221" spans="1:17" outlineLevel="1">
      <c r="B221" s="173" t="s">
        <v>255</v>
      </c>
      <c r="C221" s="174"/>
      <c r="D221" s="175"/>
      <c r="E221" s="175"/>
      <c r="F221" s="175"/>
    </row>
    <row r="222" spans="1:17" s="178" customFormat="1" ht="20.25" customHeight="1" outlineLevel="1">
      <c r="A222" s="253"/>
      <c r="B222" s="192" t="s">
        <v>326</v>
      </c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</row>
    <row r="223" spans="1:17" s="178" customFormat="1" ht="20.25" customHeight="1" outlineLevel="1">
      <c r="A223" s="253"/>
      <c r="B223" s="177" t="str">
        <f ca="1">"PC："&amp;TEXT(I207/10000,"0")&amp;"万人("&amp;IF(J207&gt;0,"+","")&amp;TEXT(J207,"0.0%"&amp;")")</f>
        <v>PC：160万人(+5.7%)</v>
      </c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</row>
    <row r="224" spans="1:17" s="178" customFormat="1" ht="20.25" customHeight="1" outlineLevel="1">
      <c r="A224" s="253"/>
      <c r="B224" s="177" t="str">
        <f ca="1">"手机："&amp;TEXT(I208/10000,"0")&amp;"万人("&amp;IF(J208&gt;0,"+","")&amp;TEXT(J208,"0.0%"&amp;")")</f>
        <v>手机：321万人(+20.7%)</v>
      </c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</row>
    <row r="225" spans="1:17" s="178" customFormat="1" ht="20.25" customHeight="1" outlineLevel="1">
      <c r="A225" s="253"/>
      <c r="B225" s="177" t="str">
        <f ca="1">"Web："&amp;TEXT(I209/10000,"0")&amp;"万人("&amp;IF(J209&gt;0,"+","")&amp;TEXT(J209,"00.0%"&amp;")")</f>
        <v>Web：462万人(+06.2%)</v>
      </c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</row>
    <row r="226" spans="1:17" outlineLevel="1">
      <c r="B226" s="150"/>
      <c r="C226" s="150"/>
    </row>
    <row r="227" spans="1:17" outlineLevel="1">
      <c r="B227" s="150"/>
      <c r="C227" s="150"/>
    </row>
    <row r="228" spans="1:17" outlineLevel="1">
      <c r="B228" s="150"/>
      <c r="C228" s="150"/>
    </row>
    <row r="229" spans="1:17" outlineLevel="1">
      <c r="B229" s="150"/>
      <c r="C229" s="150"/>
    </row>
    <row r="230" spans="1:17" outlineLevel="1">
      <c r="B230" s="150"/>
      <c r="C230" s="150"/>
    </row>
    <row r="231" spans="1:17" outlineLevel="1">
      <c r="B231" s="150"/>
      <c r="C231" s="150"/>
    </row>
    <row r="232" spans="1:17" outlineLevel="1">
      <c r="B232" s="150"/>
      <c r="C232" s="150"/>
      <c r="L232" s="211"/>
      <c r="M232" s="188"/>
    </row>
    <row r="233" spans="1:17" ht="20.25" outlineLevel="1">
      <c r="B233" s="150"/>
      <c r="C233" s="150"/>
      <c r="L233" s="186"/>
      <c r="M233" s="188"/>
    </row>
    <row r="234" spans="1:17" ht="20.25" outlineLevel="1">
      <c r="B234" s="150"/>
      <c r="C234" s="150"/>
      <c r="L234" s="186"/>
      <c r="M234" s="188"/>
    </row>
    <row r="235" spans="1:17" outlineLevel="1">
      <c r="B235" s="150"/>
      <c r="C235" s="150"/>
    </row>
    <row r="236" spans="1:17" outlineLevel="1">
      <c r="B236" s="150"/>
      <c r="C236" s="150"/>
    </row>
    <row r="237" spans="1:17" outlineLevel="1">
      <c r="B237" s="150"/>
      <c r="C237" s="150"/>
    </row>
    <row r="238" spans="1:17" outlineLevel="1">
      <c r="B238" s="150"/>
      <c r="C238" s="150"/>
    </row>
    <row r="239" spans="1:17" outlineLevel="1">
      <c r="B239" s="150"/>
      <c r="C239" s="150"/>
    </row>
    <row r="240" spans="1:17" outlineLevel="1">
      <c r="C240" s="191"/>
    </row>
    <row r="241" spans="1:17" outlineLevel="1">
      <c r="B241" s="173" t="s">
        <v>256</v>
      </c>
      <c r="C241" s="174"/>
      <c r="D241" s="175"/>
      <c r="E241" s="175"/>
      <c r="F241" s="175"/>
    </row>
    <row r="242" spans="1:17" s="178" customFormat="1" ht="20.25" customHeight="1" outlineLevel="1">
      <c r="A242" s="253"/>
      <c r="B242" s="212" t="s">
        <v>327</v>
      </c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</row>
    <row r="243" spans="1:17" s="178" customFormat="1" ht="20.25" customHeight="1" outlineLevel="1">
      <c r="A243" s="253"/>
      <c r="B243" s="177" t="str">
        <f ca="1">"PC："&amp;TEXT(I211/10000,"0")&amp;"万人("&amp;IF(J211&gt;0,"+","")&amp;TEXT(J211,"0.0%")&amp;")，登录率："&amp;TEXT(100%,"0%")</f>
        <v>PC：89万人(+10.0%)，登录率：100%</v>
      </c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</row>
    <row r="244" spans="1:17" s="178" customFormat="1" ht="20.25" customHeight="1" outlineLevel="1">
      <c r="A244" s="253"/>
      <c r="B244" s="177" t="str">
        <f ca="1">"手机："&amp;TEXT(I212/10000,"0")&amp;"万人("&amp;IF(J212&gt;0,"+","")&amp;TEXT(J212,"0.0%")&amp;")，登录率："&amp;TEXT(I216,"00.0%")</f>
        <v>手机：44万人(+17.2%)，登录率：13.7%</v>
      </c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</row>
    <row r="245" spans="1:17" s="178" customFormat="1" ht="20.25" customHeight="1" outlineLevel="1">
      <c r="A245" s="253"/>
      <c r="B245" s="177" t="str">
        <f ca="1">"Web："&amp;TEXT(I213/10000,"0")&amp;"万人("&amp;IF(J213&gt;0,"+","")&amp;TEXT(J213,"0.0%")&amp;")，登录率："&amp;TEXT(I217,"0.0%")</f>
        <v>Web：153万人(+4.5%)，登录率：33.1%</v>
      </c>
      <c r="C245" s="177"/>
      <c r="D245" s="177"/>
      <c r="E245" s="177"/>
      <c r="F245" s="177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</row>
    <row r="246" spans="1:17" outlineLevel="1">
      <c r="B246" s="150"/>
      <c r="C246" s="150"/>
    </row>
    <row r="247" spans="1:17" outlineLevel="1">
      <c r="B247" s="150"/>
      <c r="C247" s="150"/>
      <c r="L247" s="188"/>
    </row>
    <row r="248" spans="1:17" outlineLevel="1">
      <c r="B248" s="150"/>
      <c r="C248" s="150"/>
      <c r="L248" s="188"/>
    </row>
    <row r="249" spans="1:17" outlineLevel="1">
      <c r="B249" s="150"/>
      <c r="C249" s="150"/>
      <c r="L249" s="188"/>
    </row>
    <row r="250" spans="1:17" outlineLevel="1">
      <c r="B250" s="150"/>
      <c r="C250" s="150"/>
    </row>
    <row r="251" spans="1:17" outlineLevel="1">
      <c r="B251" s="150"/>
      <c r="C251" s="150"/>
    </row>
    <row r="252" spans="1:17" outlineLevel="1">
      <c r="B252" s="150"/>
      <c r="C252" s="150"/>
    </row>
    <row r="253" spans="1:17" outlineLevel="1">
      <c r="B253" s="150"/>
      <c r="C253" s="150"/>
    </row>
    <row r="254" spans="1:17" outlineLevel="1">
      <c r="B254" s="150"/>
      <c r="C254" s="150"/>
    </row>
    <row r="255" spans="1:17" outlineLevel="1">
      <c r="B255" s="150"/>
      <c r="C255" s="150"/>
    </row>
    <row r="256" spans="1:17" outlineLevel="1">
      <c r="B256" s="150"/>
      <c r="C256" s="150"/>
    </row>
    <row r="257" spans="1:17" outlineLevel="1">
      <c r="B257" s="150"/>
      <c r="C257" s="150"/>
    </row>
    <row r="258" spans="1:17" outlineLevel="1">
      <c r="B258" s="150"/>
      <c r="C258" s="150"/>
    </row>
    <row r="259" spans="1:17" outlineLevel="1">
      <c r="B259" s="150"/>
      <c r="C259" s="150"/>
    </row>
    <row r="260" spans="1:17">
      <c r="B260" s="150"/>
      <c r="C260" s="150"/>
    </row>
    <row r="261" spans="1:17" ht="21">
      <c r="B261" s="192" t="s">
        <v>257</v>
      </c>
      <c r="K261" s="147"/>
    </row>
    <row r="262" spans="1:17" s="213" customFormat="1" outlineLevel="1">
      <c r="A262" s="252">
        <v>2</v>
      </c>
      <c r="B262" s="151" t="s">
        <v>212</v>
      </c>
      <c r="C262" s="151" t="s">
        <v>213</v>
      </c>
      <c r="D262" s="151">
        <f ca="1">OFFSET(用户!$A$1,$A262-1,K$1-1)</f>
        <v>42795</v>
      </c>
      <c r="E262" s="151">
        <f ca="1">OFFSET(用户!$A$1,$A262-1,L$1-1)</f>
        <v>42826</v>
      </c>
      <c r="F262" s="151">
        <f ca="1">OFFSET(用户!$A$1,$A262-1,M$1-1)</f>
        <v>42856</v>
      </c>
      <c r="G262" s="151">
        <f ca="1">OFFSET(用户!$A$1,$A262-1,N$1-1)</f>
        <v>42887</v>
      </c>
      <c r="H262" s="151">
        <f ca="1">OFFSET(用户!$A$1,$A262-1,O$1-1)</f>
        <v>42917</v>
      </c>
      <c r="I262" s="151">
        <f ca="1">OFFSET(用户!$A$1,$A262-1,P$1-1)</f>
        <v>42948</v>
      </c>
      <c r="J262" s="152" t="s">
        <v>214</v>
      </c>
      <c r="L262" s="214"/>
      <c r="M262" s="214"/>
      <c r="N262" s="214"/>
      <c r="O262" s="214"/>
      <c r="P262" s="214"/>
      <c r="Q262" s="214"/>
    </row>
    <row r="263" spans="1:17" s="213" customFormat="1" ht="16.5" customHeight="1" outlineLevel="1">
      <c r="A263" s="252">
        <v>87</v>
      </c>
      <c r="B263" s="498" t="s">
        <v>258</v>
      </c>
      <c r="C263" s="206" t="s">
        <v>259</v>
      </c>
      <c r="D263" s="215">
        <f ca="1">OFFSET(用户!$A$1,$A263-1,K$1-1)/60</f>
        <v>15.035183587558793</v>
      </c>
      <c r="E263" s="215">
        <f ca="1">OFFSET(用户!$A$1,$A263-1,L$1-1)/60</f>
        <v>13.361916369613436</v>
      </c>
      <c r="F263" s="215">
        <f ca="1">OFFSET(用户!$A$1,$A263-1,M$1-1)/60</f>
        <v>14.414518240057463</v>
      </c>
      <c r="G263" s="215">
        <f ca="1">OFFSET(用户!$A$1,$A263-1,N$1-1)/60</f>
        <v>14.123567849839374</v>
      </c>
      <c r="H263" s="215">
        <f ca="1">OFFSET(用户!$A$1,$A263-1,O$1-1)/60</f>
        <v>11.650466463464946</v>
      </c>
      <c r="I263" s="215">
        <f ca="1">OFFSET(用户!$A$1,$A263-1,P$1-1)/60</f>
        <v>11.020559482697543</v>
      </c>
      <c r="J263" s="169">
        <f t="shared" ref="J263:J268" ca="1" si="27">(I263-H263)/H263</f>
        <v>-5.4067103900324327E-2</v>
      </c>
      <c r="K263" s="216"/>
      <c r="L263" s="214"/>
      <c r="M263" s="214"/>
      <c r="N263" s="214"/>
      <c r="O263" s="214"/>
      <c r="P263" s="214"/>
      <c r="Q263" s="214"/>
    </row>
    <row r="264" spans="1:17" s="213" customFormat="1" outlineLevel="1">
      <c r="A264" s="252">
        <f>+A263+1</f>
        <v>88</v>
      </c>
      <c r="B264" s="499"/>
      <c r="C264" s="217" t="s">
        <v>260</v>
      </c>
      <c r="D264" s="218">
        <f ca="1">OFFSET(用户!$A$1,$A264-1,K$1-1)/60</f>
        <v>15.080149403639799</v>
      </c>
      <c r="E264" s="218">
        <f ca="1">OFFSET(用户!$A$1,$A264-1,L$1-1)/60</f>
        <v>14.20832511236082</v>
      </c>
      <c r="F264" s="218">
        <f ca="1">OFFSET(用户!$A$1,$A264-1,M$1-1)/60</f>
        <v>15.124867811805945</v>
      </c>
      <c r="G264" s="218">
        <f ca="1">OFFSET(用户!$A$1,$A264-1,N$1-1)/60</f>
        <v>14.561304341196889</v>
      </c>
      <c r="H264" s="219">
        <f ca="1">OFFSET(用户!$A$1,$A264-1,O$1-1)/60</f>
        <v>13.458176399262287</v>
      </c>
      <c r="I264" s="219">
        <f ca="1">OFFSET(用户!$A$1,$A264-1,P$1-1)/60</f>
        <v>11.020912573158544</v>
      </c>
      <c r="J264" s="169">
        <f t="shared" ca="1" si="27"/>
        <v>-0.181099114307741</v>
      </c>
      <c r="K264" s="216"/>
      <c r="L264" s="214"/>
      <c r="M264" s="214"/>
      <c r="N264" s="214"/>
      <c r="O264" s="214"/>
      <c r="P264" s="214"/>
      <c r="Q264" s="214"/>
    </row>
    <row r="265" spans="1:17" s="213" customFormat="1" outlineLevel="1">
      <c r="A265" s="252">
        <f>+A264+1</f>
        <v>89</v>
      </c>
      <c r="B265" s="499"/>
      <c r="C265" s="209" t="s">
        <v>261</v>
      </c>
      <c r="D265" s="218">
        <f ca="1">OFFSET(用户!$A$1,$A265-1,K$1-1)/60</f>
        <v>14.05161279357503</v>
      </c>
      <c r="E265" s="218">
        <f ca="1">OFFSET(用户!$A$1,$A265-1,L$1-1)/60</f>
        <v>11.929587868425036</v>
      </c>
      <c r="F265" s="218">
        <f ca="1">OFFSET(用户!$A$1,$A265-1,M$1-1)/60</f>
        <v>12.934327474370411</v>
      </c>
      <c r="G265" s="218">
        <f ca="1">OFFSET(用户!$A$1,$A265-1,N$1-1)/60</f>
        <v>13.644485251525051</v>
      </c>
      <c r="H265" s="220">
        <f ca="1">OFFSET(用户!$A$1,$A265-1,O$1-1)/60</f>
        <v>12.670325153392715</v>
      </c>
      <c r="I265" s="220">
        <f ca="1">OFFSET(用户!$A$1,$A265-1,P$1-1)/60</f>
        <v>10.336797831144336</v>
      </c>
      <c r="J265" s="169">
        <f t="shared" ca="1" si="27"/>
        <v>-0.1841726470313616</v>
      </c>
      <c r="K265" s="216"/>
      <c r="L265" s="214"/>
      <c r="M265" s="214"/>
      <c r="N265" s="214"/>
      <c r="O265" s="214"/>
      <c r="P265" s="214"/>
      <c r="Q265" s="214"/>
    </row>
    <row r="266" spans="1:17" s="213" customFormat="1" outlineLevel="1">
      <c r="A266" s="252">
        <f>+A265+1</f>
        <v>90</v>
      </c>
      <c r="B266" s="499"/>
      <c r="C266" s="209" t="s">
        <v>262</v>
      </c>
      <c r="D266" s="221">
        <f ca="1">OFFSET(用户!$A$1,$A266-1,K$1-1)/60</f>
        <v>7.0706424314212688</v>
      </c>
      <c r="E266" s="221">
        <f ca="1">OFFSET(用户!$A$1,$A266-1,L$1-1)/60</f>
        <v>6.5191009426772277</v>
      </c>
      <c r="F266" s="221">
        <f ca="1">OFFSET(用户!$A$1,$A266-1,M$1-1)/60</f>
        <v>7.0238781007297346</v>
      </c>
      <c r="G266" s="221">
        <f ca="1">OFFSET(用户!$A$1,$A266-1,N$1-1)/60</f>
        <v>6.8442456361592203</v>
      </c>
      <c r="H266" s="220">
        <f ca="1">OFFSET(用户!$A$1,$A266-1,O$1-1)/60</f>
        <v>6.3969284718529478</v>
      </c>
      <c r="I266" s="220">
        <f ca="1">OFFSET(用户!$A$1,$A266-1,P$1-1)/60</f>
        <v>5.8361034367737323</v>
      </c>
      <c r="J266" s="169">
        <f t="shared" ca="1" si="27"/>
        <v>-8.7670987341330345E-2</v>
      </c>
      <c r="K266" s="216"/>
      <c r="L266" s="214"/>
      <c r="M266" s="214"/>
      <c r="N266" s="214"/>
      <c r="O266" s="214"/>
      <c r="P266" s="214"/>
      <c r="Q266" s="214"/>
    </row>
    <row r="267" spans="1:17" s="213" customFormat="1" outlineLevel="1">
      <c r="A267" s="252">
        <f>+A266+1</f>
        <v>91</v>
      </c>
      <c r="B267" s="499"/>
      <c r="C267" s="194" t="s">
        <v>263</v>
      </c>
      <c r="D267" s="222">
        <f ca="1">OFFSET(用户!$A$1,$A267-1,K$1-1)/60</f>
        <v>14.770944053941671</v>
      </c>
      <c r="E267" s="222">
        <f ca="1">OFFSET(用户!$A$1,$A267-1,L$1-1)/60</f>
        <v>13.135395236328993</v>
      </c>
      <c r="F267" s="222">
        <f ca="1">OFFSET(用户!$A$1,$A267-1,M$1-1)/60</f>
        <v>14.095916723331364</v>
      </c>
      <c r="G267" s="222">
        <f ca="1">OFFSET(用户!$A$1,$A267-1,N$1-1)/60</f>
        <v>14.17450798207391</v>
      </c>
      <c r="H267" s="220">
        <f ca="1">OFFSET(用户!$A$1,$A267-1,O$1-1)/60</f>
        <v>12.933703639328863</v>
      </c>
      <c r="I267" s="220">
        <f ca="1">OFFSET(用户!$A$1,$A267-1,P$1-1)/60</f>
        <v>11.00820639494003</v>
      </c>
      <c r="J267" s="169">
        <f t="shared" ca="1" si="27"/>
        <v>-0.14887439035898212</v>
      </c>
      <c r="K267" s="216"/>
      <c r="L267" s="214"/>
      <c r="M267" s="214"/>
      <c r="N267" s="214"/>
      <c r="O267" s="214"/>
      <c r="P267" s="214"/>
      <c r="Q267" s="214"/>
    </row>
    <row r="268" spans="1:17" s="213" customFormat="1" outlineLevel="1">
      <c r="A268" s="252">
        <f>+A267+1</f>
        <v>92</v>
      </c>
      <c r="B268" s="500"/>
      <c r="C268" s="194" t="s">
        <v>264</v>
      </c>
      <c r="D268" s="222">
        <f ca="1">OFFSET(用户!$A$1,$A268-1,K$1-1)/60</f>
        <v>2.7485878394049235</v>
      </c>
      <c r="E268" s="222">
        <f ca="1">OFFSET(用户!$A$1,$A268-1,L$1-1)/60</f>
        <v>2.3078062873240794</v>
      </c>
      <c r="F268" s="222">
        <f ca="1">OFFSET(用户!$A$1,$A268-1,M$1-1)/60</f>
        <v>2.2763899734791688</v>
      </c>
      <c r="G268" s="222">
        <f ca="1">OFFSET(用户!$A$1,$A268-1,N$1-1)/60</f>
        <v>1.9813541016693244</v>
      </c>
      <c r="H268" s="220">
        <f ca="1">OFFSET(用户!$A$1,$A268-1,O$1-1)/60</f>
        <v>1.7966658825088941</v>
      </c>
      <c r="I268" s="220">
        <f ca="1">OFFSET(用户!$A$1,$A268-1,P$1-1)/60</f>
        <v>1.1131962398198825</v>
      </c>
      <c r="J268" s="169">
        <f t="shared" ca="1" si="27"/>
        <v>-0.38040998570897516</v>
      </c>
      <c r="K268" s="216"/>
      <c r="L268" s="214"/>
      <c r="M268" s="214"/>
      <c r="N268" s="214"/>
      <c r="O268" s="214"/>
      <c r="P268" s="214"/>
      <c r="Q268" s="214"/>
    </row>
    <row r="269" spans="1:17" s="213" customFormat="1" outlineLevel="1">
      <c r="A269" s="252"/>
      <c r="B269" s="223"/>
      <c r="C269" s="223"/>
      <c r="D269" s="223"/>
      <c r="E269" s="223"/>
      <c r="F269" s="223"/>
      <c r="G269" s="224"/>
      <c r="H269" s="224"/>
      <c r="I269" s="224"/>
      <c r="J269" s="225"/>
      <c r="K269" s="216"/>
      <c r="L269" s="223"/>
      <c r="M269" s="223"/>
      <c r="N269" s="223"/>
      <c r="O269" s="223"/>
      <c r="P269" s="223"/>
      <c r="Q269" s="223"/>
    </row>
    <row r="270" spans="1:17" s="213" customFormat="1" outlineLevel="1">
      <c r="A270" s="252"/>
      <c r="B270" s="173" t="s">
        <v>265</v>
      </c>
      <c r="C270" s="173"/>
      <c r="D270" s="173"/>
      <c r="E270" s="173"/>
      <c r="F270" s="173"/>
      <c r="G270" s="224"/>
      <c r="H270" s="224"/>
      <c r="I270" s="224"/>
      <c r="J270" s="225"/>
      <c r="K270" s="216"/>
      <c r="L270" s="223"/>
      <c r="M270" s="223"/>
      <c r="N270" s="223"/>
      <c r="O270" s="223"/>
      <c r="P270" s="223"/>
      <c r="Q270" s="223"/>
    </row>
    <row r="271" spans="1:17" s="178" customFormat="1" ht="20.25" customHeight="1" outlineLevel="1">
      <c r="A271" s="253"/>
      <c r="B271" s="226" t="s">
        <v>266</v>
      </c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</row>
    <row r="272" spans="1:17" s="178" customFormat="1" ht="20.25" customHeight="1" outlineLevel="1">
      <c r="A272" s="253"/>
      <c r="B272" s="177" t="str">
        <f ca="1">"游戏："&amp;TEXT(I267,"0.0")&amp;"h("&amp;IF(J267&gt;0,"+","")&amp;TEXT(J267,"0.0%"&amp;")")</f>
        <v>游戏：11.0h(-14.9%)</v>
      </c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</row>
    <row r="273" spans="1:17" s="178" customFormat="1" ht="20.25" customHeight="1" outlineLevel="1">
      <c r="A273" s="253"/>
      <c r="B273" s="177" t="str">
        <f ca="1">"娱乐："&amp;TEXT(I268,"0.0")&amp;"h("&amp;IF(J268&gt;0,"+","")&amp;TEXT(J268,"0%")&amp;")"</f>
        <v>娱乐：1.1h(-38%)</v>
      </c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</row>
    <row r="274" spans="1:17" s="213" customFormat="1" outlineLevel="1">
      <c r="A274" s="255"/>
      <c r="B274" s="150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</row>
    <row r="275" spans="1:17" s="213" customFormat="1" outlineLevel="1">
      <c r="A275" s="255"/>
      <c r="B275" s="150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</row>
    <row r="276" spans="1:17" s="213" customFormat="1" outlineLevel="1">
      <c r="A276" s="255"/>
      <c r="B276" s="150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</row>
    <row r="277" spans="1:17" s="213" customFormat="1" ht="20.25" outlineLevel="1">
      <c r="A277" s="255"/>
      <c r="B277" s="150"/>
      <c r="C277" s="214"/>
      <c r="D277" s="214"/>
      <c r="E277" s="214"/>
      <c r="F277" s="214"/>
      <c r="G277" s="214"/>
      <c r="H277" s="214"/>
      <c r="I277" s="214"/>
      <c r="J277" s="186"/>
      <c r="K277" s="186"/>
      <c r="L277" s="214"/>
      <c r="M277" s="214"/>
      <c r="N277" s="214"/>
      <c r="O277" s="214"/>
      <c r="P277" s="214"/>
      <c r="Q277" s="214"/>
    </row>
    <row r="278" spans="1:17" s="213" customFormat="1" ht="20.25" outlineLevel="1">
      <c r="A278" s="255"/>
      <c r="B278" s="150"/>
      <c r="C278" s="214"/>
      <c r="D278" s="214"/>
      <c r="E278" s="214"/>
      <c r="F278" s="214"/>
      <c r="G278" s="214"/>
      <c r="H278" s="214"/>
      <c r="I278" s="214"/>
      <c r="J278" s="186"/>
      <c r="K278" s="186"/>
      <c r="L278" s="214"/>
      <c r="M278" s="214"/>
      <c r="N278" s="214"/>
      <c r="O278" s="214"/>
      <c r="P278" s="214"/>
      <c r="Q278" s="214"/>
    </row>
    <row r="279" spans="1:17" s="213" customFormat="1" outlineLevel="1">
      <c r="A279" s="255"/>
      <c r="B279" s="150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</row>
    <row r="280" spans="1:17" outlineLevel="1">
      <c r="B280" s="150"/>
      <c r="C280" s="150"/>
      <c r="O280" s="214"/>
    </row>
    <row r="281" spans="1:17" outlineLevel="1">
      <c r="B281" s="150"/>
      <c r="C281" s="150"/>
    </row>
    <row r="282" spans="1:17" outlineLevel="1">
      <c r="B282" s="150"/>
      <c r="C282" s="150"/>
    </row>
    <row r="283" spans="1:17" outlineLevel="1">
      <c r="B283" s="150"/>
      <c r="C283" s="150"/>
    </row>
    <row r="284" spans="1:17" outlineLevel="1">
      <c r="B284" s="150"/>
      <c r="C284" s="150"/>
    </row>
    <row r="285" spans="1:17" outlineLevel="1">
      <c r="B285" s="150"/>
      <c r="C285" s="150"/>
    </row>
    <row r="286" spans="1:17" outlineLevel="1">
      <c r="B286" s="150"/>
      <c r="C286" s="150"/>
    </row>
    <row r="287" spans="1:17" outlineLevel="1"/>
    <row r="288" spans="1:17" outlineLevel="1">
      <c r="B288" s="173" t="s">
        <v>267</v>
      </c>
      <c r="C288" s="173"/>
      <c r="D288" s="173"/>
      <c r="E288" s="173"/>
      <c r="F288" s="173"/>
    </row>
    <row r="289" spans="1:17" s="229" customFormat="1" ht="20.25" customHeight="1" outlineLevel="1">
      <c r="A289" s="256"/>
      <c r="B289" s="227" t="s">
        <v>268</v>
      </c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</row>
    <row r="290" spans="1:17" s="229" customFormat="1" ht="20.25" customHeight="1" outlineLevel="1">
      <c r="A290" s="256"/>
      <c r="B290" s="228" t="str">
        <f ca="1">"PC："&amp;TEXT(I264,"0.0")&amp;"h("&amp;IF(J264&gt;0,"+","")&amp;TEXT(J264,"0.0%"&amp;")")</f>
        <v>PC：11.0h(-18.1%)</v>
      </c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</row>
    <row r="291" spans="1:17" s="229" customFormat="1" ht="20.25" customHeight="1" outlineLevel="1">
      <c r="A291" s="256"/>
      <c r="B291" s="228" t="str">
        <f ca="1">"手机："&amp;TEXT(I265,"0.0")&amp;"h("&amp;IF(J265&gt;0,"+","")&amp;TEXT(J265,"0.0%"&amp;")")</f>
        <v>手机：10.3h(-18.4%)</v>
      </c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</row>
    <row r="292" spans="1:17" s="229" customFormat="1" ht="20.25" customHeight="1" outlineLevel="1">
      <c r="A292" s="256"/>
      <c r="B292" s="228" t="str">
        <f ca="1">"Web："&amp;TEXT(I266,"0.0")&amp;"h("&amp;IF(J266&gt;0,"+","")&amp;TEXT(J266,"0.0%"&amp;")")</f>
        <v>Web：5.8h(-8.8%)</v>
      </c>
      <c r="C292" s="230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</row>
    <row r="293" spans="1:17" outlineLevel="1"/>
    <row r="294" spans="1:17" outlineLevel="1"/>
    <row r="295" spans="1:17" outlineLevel="1"/>
    <row r="296" spans="1:17" ht="20.25" outlineLevel="1">
      <c r="J296" s="186"/>
      <c r="K296" s="186"/>
      <c r="L296" s="188"/>
    </row>
    <row r="297" spans="1:17" ht="20.25" outlineLevel="1">
      <c r="J297" s="186"/>
      <c r="K297" s="186"/>
      <c r="L297" s="188"/>
    </row>
    <row r="298" spans="1:17" ht="20.25" outlineLevel="1">
      <c r="J298" s="186"/>
      <c r="K298" s="186"/>
      <c r="L298" s="188"/>
    </row>
    <row r="299" spans="1:17" outlineLevel="1"/>
    <row r="300" spans="1:17" outlineLevel="1"/>
    <row r="301" spans="1:17" outlineLevel="1"/>
    <row r="302" spans="1:17" outlineLevel="1"/>
    <row r="303" spans="1:17" outlineLevel="1"/>
    <row r="304" spans="1:17" outlineLevel="1"/>
    <row r="305" spans="1:17" outlineLevel="1"/>
    <row r="306" spans="1:17" outlineLevel="1"/>
    <row r="307" spans="1:17" outlineLevel="1">
      <c r="B307" s="231">
        <v>0</v>
      </c>
    </row>
    <row r="309" spans="1:17" ht="21">
      <c r="B309" s="192" t="s">
        <v>269</v>
      </c>
      <c r="C309" s="150"/>
    </row>
    <row r="310" spans="1:17" outlineLevel="1">
      <c r="A310" s="252">
        <v>2</v>
      </c>
      <c r="B310" s="232" t="s">
        <v>212</v>
      </c>
      <c r="C310" s="232" t="s">
        <v>213</v>
      </c>
      <c r="D310" s="232">
        <f ca="1">OFFSET(用户!$A$1,$A310-1,K$1-1)</f>
        <v>42795</v>
      </c>
      <c r="E310" s="232">
        <f ca="1">OFFSET(用户!$A$1,$A310-1,L$1-1)</f>
        <v>42826</v>
      </c>
      <c r="F310" s="232">
        <f ca="1">OFFSET(用户!$A$1,$A310-1,M$1-1)</f>
        <v>42856</v>
      </c>
      <c r="G310" s="232">
        <f ca="1">OFFSET(用户!$A$1,$A310-1,N$1-1)</f>
        <v>42887</v>
      </c>
      <c r="H310" s="232">
        <f ca="1">OFFSET(用户!$A$1,$A310-1,O$1-1)</f>
        <v>42917</v>
      </c>
      <c r="I310" s="232">
        <f ca="1">OFFSET(用户!$A$1,$A310-1,P$1-1)</f>
        <v>42948</v>
      </c>
      <c r="J310" s="152" t="s">
        <v>214</v>
      </c>
    </row>
    <row r="311" spans="1:17" outlineLevel="1">
      <c r="A311" s="252">
        <v>67</v>
      </c>
      <c r="B311" s="494" t="s">
        <v>225</v>
      </c>
      <c r="C311" s="233" t="s">
        <v>270</v>
      </c>
      <c r="D311" s="234">
        <f ca="1">OFFSET(用户!$A$1,$A311-1,K$1-1)</f>
        <v>0.67483870967741943</v>
      </c>
      <c r="E311" s="234">
        <f ca="1">OFFSET(用户!$A$1,$A311-1,L$1-1)</f>
        <v>0.65866666666666673</v>
      </c>
      <c r="F311" s="234">
        <f ca="1">OFFSET(用户!$A$1,$A311-1,M$1-1)</f>
        <v>0.67096774193548392</v>
      </c>
      <c r="G311" s="234">
        <f ca="1">OFFSET(用户!$A$1,$A311-1,N$1-1)</f>
        <v>0.68</v>
      </c>
      <c r="H311" s="234">
        <f ca="1">OFFSET(用户!$A$1,$A311-1,O$1-1)</f>
        <v>0.65700000000000003</v>
      </c>
      <c r="I311" s="235">
        <f ca="1">OFFSET(用户!$A$1,$A311-1,P$1-1)</f>
        <v>0.68300000000000005</v>
      </c>
      <c r="J311" s="169">
        <f ca="1">+I311-H311</f>
        <v>2.6000000000000023E-2</v>
      </c>
      <c r="Q311" s="147"/>
    </row>
    <row r="312" spans="1:17" outlineLevel="1">
      <c r="A312" s="252">
        <v>73</v>
      </c>
      <c r="B312" s="495"/>
      <c r="C312" s="233" t="s">
        <v>271</v>
      </c>
      <c r="D312" s="234">
        <f ca="1">OFFSET(用户!$A$1,$A312-1,K$1-1)</f>
        <v>0.56225806451612914</v>
      </c>
      <c r="E312" s="234">
        <f ca="1">OFFSET(用户!$A$1,$A312-1,L$1-1)</f>
        <v>0.54500000000000004</v>
      </c>
      <c r="F312" s="234">
        <f ca="1">OFFSET(用户!$A$1,$A312-1,M$1-1)</f>
        <v>0.55967741935483883</v>
      </c>
      <c r="G312" s="234">
        <f ca="1">OFFSET(用户!$A$1,$A312-1,N$1-1)</f>
        <v>0.57199999999999995</v>
      </c>
      <c r="H312" s="234">
        <f ca="1">OFFSET(用户!$A$1,$A312-1,O$1-1)</f>
        <v>0.55200000000000005</v>
      </c>
      <c r="I312" s="235">
        <f ca="1">OFFSET(用户!$A$1,$A312-1,P$1-1)</f>
        <v>0.57299999999999995</v>
      </c>
      <c r="J312" s="169">
        <f ca="1">+I312-H312</f>
        <v>2.0999999999999908E-2</v>
      </c>
      <c r="Q312" s="147"/>
    </row>
    <row r="313" spans="1:17" outlineLevel="1">
      <c r="A313" s="252">
        <f>+A311+1</f>
        <v>68</v>
      </c>
      <c r="B313" s="494" t="s">
        <v>226</v>
      </c>
      <c r="C313" s="233" t="s">
        <v>270</v>
      </c>
      <c r="D313" s="234">
        <f ca="1">OFFSET(用户!$A$1,$A313-1,K$1-1)</f>
        <v>0.36225806451612896</v>
      </c>
      <c r="E313" s="234">
        <f ca="1">OFFSET(用户!$A$1,$A313-1,L$1-1)</f>
        <v>0.33633333333333326</v>
      </c>
      <c r="F313" s="234">
        <f ca="1">OFFSET(用户!$A$1,$A313-1,M$1-1)</f>
        <v>0.33516129032258063</v>
      </c>
      <c r="G313" s="234">
        <f ca="1">OFFSET(用户!$A$1,$A313-1,N$1-1)</f>
        <v>0.33700000000000002</v>
      </c>
      <c r="H313" s="234">
        <f ca="1">OFFSET(用户!$A$1,$A313-1,O$1-1)</f>
        <v>0.32500000000000001</v>
      </c>
      <c r="I313" s="235">
        <f ca="1">OFFSET(用户!$A$1,$A313-1,P$1-1)</f>
        <v>0.32400000000000001</v>
      </c>
      <c r="J313" s="169">
        <f t="shared" ref="J313:J322" ca="1" si="28">+I313-H313</f>
        <v>-1.0000000000000009E-3</v>
      </c>
      <c r="Q313" s="147"/>
    </row>
    <row r="314" spans="1:17" outlineLevel="1">
      <c r="A314" s="252">
        <f>+A312+1</f>
        <v>74</v>
      </c>
      <c r="B314" s="495"/>
      <c r="C314" s="233" t="s">
        <v>271</v>
      </c>
      <c r="D314" s="234">
        <f ca="1">OFFSET(用户!$A$1,$A314-1,K$1-1)</f>
        <v>0.28870967741935483</v>
      </c>
      <c r="E314" s="234">
        <f ca="1">OFFSET(用户!$A$1,$A314-1,L$1-1)</f>
        <v>0.25266666666666665</v>
      </c>
      <c r="F314" s="234">
        <f ca="1">OFFSET(用户!$A$1,$A314-1,M$1-1)</f>
        <v>0.2587096774193548</v>
      </c>
      <c r="G314" s="234">
        <f ca="1">OFFSET(用户!$A$1,$A314-1,N$1-1)</f>
        <v>0.26200000000000001</v>
      </c>
      <c r="H314" s="234">
        <f ca="1">OFFSET(用户!$A$1,$A314-1,O$1-1)</f>
        <v>0.248</v>
      </c>
      <c r="I314" s="235">
        <f ca="1">OFFSET(用户!$A$1,$A314-1,P$1-1)</f>
        <v>0.246</v>
      </c>
      <c r="J314" s="169">
        <f t="shared" ca="1" si="28"/>
        <v>-2.0000000000000018E-3</v>
      </c>
      <c r="Q314" s="147"/>
    </row>
    <row r="315" spans="1:17" outlineLevel="1">
      <c r="A315" s="252">
        <v>63</v>
      </c>
      <c r="B315" s="496" t="s">
        <v>270</v>
      </c>
      <c r="C315" s="206" t="s">
        <v>215</v>
      </c>
      <c r="D315" s="236">
        <f ca="1">OFFSET(用户!$A$1,$A315-1,K$1-1)</f>
        <v>0.67400000000000004</v>
      </c>
      <c r="E315" s="236">
        <f ca="1">OFFSET(用户!$A$1,$A315-1,L$1-1)</f>
        <v>0.65800000000000003</v>
      </c>
      <c r="F315" s="236">
        <f ca="1">OFFSET(用户!$A$1,$A315-1,M$1-1)</f>
        <v>0.67100000000000004</v>
      </c>
      <c r="G315" s="236">
        <f ca="1">OFFSET(用户!$A$1,$A315-1,N$1-1)</f>
        <v>0.68</v>
      </c>
      <c r="H315" s="236">
        <f ca="1">OFFSET(用户!$A$1,$A315-1,O$1-1)</f>
        <v>0.65800000000000003</v>
      </c>
      <c r="I315" s="237">
        <f ca="1">OFFSET(用户!$A$1,$A315-1,P$1-1)</f>
        <v>0.68200000000000005</v>
      </c>
      <c r="J315" s="169">
        <f t="shared" ca="1" si="28"/>
        <v>2.4000000000000021E-2</v>
      </c>
      <c r="Q315" s="147"/>
    </row>
    <row r="316" spans="1:17" outlineLevel="1">
      <c r="A316" s="252">
        <f>+A315+1</f>
        <v>64</v>
      </c>
      <c r="B316" s="496"/>
      <c r="C316" s="209" t="s">
        <v>2</v>
      </c>
      <c r="D316" s="238">
        <f ca="1">OFFSET(用户!$A$1,$A316-1,K$1-1)</f>
        <v>0.56000000000000005</v>
      </c>
      <c r="E316" s="238">
        <f ca="1">OFFSET(用户!$A$1,$A316-1,L$1-1)</f>
        <v>0.55600000000000005</v>
      </c>
      <c r="F316" s="238">
        <f ca="1">OFFSET(用户!$A$1,$A316-1,M$1-1)</f>
        <v>0.56799999999999995</v>
      </c>
      <c r="G316" s="238">
        <f ca="1">OFFSET(用户!$A$1,$A316-1,N$1-1)</f>
        <v>0.58299999999999996</v>
      </c>
      <c r="H316" s="238">
        <f ca="1">OFFSET(用户!$A$1,$A316-1,O$1-1)</f>
        <v>0.57599999999999996</v>
      </c>
      <c r="I316" s="238">
        <f ca="1">OFFSET(用户!$A$1,$A316-1,P$1-1)</f>
        <v>0.59699999999999998</v>
      </c>
      <c r="J316" s="169">
        <f t="shared" ca="1" si="28"/>
        <v>2.1000000000000019E-2</v>
      </c>
      <c r="K316" s="239"/>
    </row>
    <row r="317" spans="1:17" outlineLevel="1">
      <c r="A317" s="252">
        <f>+A316+1</f>
        <v>65</v>
      </c>
      <c r="B317" s="496"/>
      <c r="C317" s="209" t="s">
        <v>3</v>
      </c>
      <c r="D317" s="238">
        <f ca="1">OFFSET(用户!$A$1,$A317-1,K$1-1)</f>
        <v>0.71299999999999997</v>
      </c>
      <c r="E317" s="238">
        <f ca="1">OFFSET(用户!$A$1,$A317-1,L$1-1)</f>
        <v>0.69299999999999995</v>
      </c>
      <c r="F317" s="238">
        <f ca="1">OFFSET(用户!$A$1,$A317-1,M$1-1)</f>
        <v>0.70399999999999996</v>
      </c>
      <c r="G317" s="238">
        <f ca="1">OFFSET(用户!$A$1,$A317-1,N$1-1)</f>
        <v>0.71299999999999997</v>
      </c>
      <c r="H317" s="238">
        <f ca="1">OFFSET(用户!$A$1,$A317-1,O$1-1)</f>
        <v>0.70599999999999996</v>
      </c>
      <c r="I317" s="238">
        <f ca="1">OFFSET(用户!$A$1,$A317-1,P$1-1)</f>
        <v>0.69499999999999995</v>
      </c>
      <c r="J317" s="169">
        <f t="shared" ca="1" si="28"/>
        <v>-1.100000000000001E-2</v>
      </c>
      <c r="K317" s="239"/>
    </row>
    <row r="318" spans="1:17" outlineLevel="1">
      <c r="A318" s="252">
        <f>+A317+1</f>
        <v>66</v>
      </c>
      <c r="B318" s="496"/>
      <c r="C318" s="209" t="s">
        <v>4</v>
      </c>
      <c r="D318" s="238">
        <f ca="1">OFFSET(用户!$A$1,$A318-1,K$1-1)</f>
        <v>0.501</v>
      </c>
      <c r="E318" s="238">
        <f ca="1">OFFSET(用户!$A$1,$A318-1,L$1-1)</f>
        <v>0.48499999999999999</v>
      </c>
      <c r="F318" s="238">
        <f ca="1">OFFSET(用户!$A$1,$A318-1,M$1-1)</f>
        <v>0.497</v>
      </c>
      <c r="G318" s="238">
        <f ca="1">OFFSET(用户!$A$1,$A318-1,N$1-1)</f>
        <v>0.50800000000000001</v>
      </c>
      <c r="H318" s="238">
        <f ca="1">OFFSET(用户!$A$1,$A318-1,O$1-1)</f>
        <v>0.505</v>
      </c>
      <c r="I318" s="238">
        <f ca="1">OFFSET(用户!$A$1,$A318-1,P$1-1)</f>
        <v>0.52600000000000002</v>
      </c>
      <c r="J318" s="169">
        <f t="shared" ca="1" si="28"/>
        <v>2.1000000000000019E-2</v>
      </c>
      <c r="K318" s="239"/>
    </row>
    <row r="319" spans="1:17" outlineLevel="1">
      <c r="A319" s="252">
        <f>+A315+6</f>
        <v>69</v>
      </c>
      <c r="B319" s="496" t="s">
        <v>271</v>
      </c>
      <c r="C319" s="206" t="s">
        <v>215</v>
      </c>
      <c r="D319" s="236">
        <f ca="1">OFFSET(用户!$A$1,$A319-1,K$1-1)</f>
        <v>0.56100000000000005</v>
      </c>
      <c r="E319" s="236">
        <f ca="1">OFFSET(用户!$A$1,$A319-1,L$1-1)</f>
        <v>0.54500000000000004</v>
      </c>
      <c r="F319" s="236">
        <f ca="1">OFFSET(用户!$A$1,$A319-1,M$1-1)</f>
        <v>0.56000000000000005</v>
      </c>
      <c r="G319" s="236">
        <f ca="1">OFFSET(用户!$A$1,$A319-1,N$1-1)</f>
        <v>0.57199999999999995</v>
      </c>
      <c r="H319" s="236">
        <f ca="1">OFFSET(用户!$A$1,$A319-1,O$1-1)</f>
        <v>0.55400000000000005</v>
      </c>
      <c r="I319" s="236">
        <f ca="1">OFFSET(用户!$A$1,$A319-1,P$1-1)</f>
        <v>0.57299999999999995</v>
      </c>
      <c r="J319" s="169">
        <f t="shared" ca="1" si="28"/>
        <v>1.8999999999999906E-2</v>
      </c>
      <c r="K319" s="239"/>
    </row>
    <row r="320" spans="1:17" outlineLevel="1">
      <c r="A320" s="252">
        <f>+A316+6</f>
        <v>70</v>
      </c>
      <c r="B320" s="496"/>
      <c r="C320" s="209" t="s">
        <v>2</v>
      </c>
      <c r="D320" s="238">
        <f ca="1">OFFSET(用户!$A$1,$A320-1,K$1-1)</f>
        <v>0.443</v>
      </c>
      <c r="E320" s="238">
        <f ca="1">OFFSET(用户!$A$1,$A320-1,L$1-1)</f>
        <v>0.436</v>
      </c>
      <c r="F320" s="238">
        <f ca="1">OFFSET(用户!$A$1,$A320-1,M$1-1)</f>
        <v>0.44900000000000001</v>
      </c>
      <c r="G320" s="238">
        <f ca="1">OFFSET(用户!$A$1,$A320-1,N$1-1)</f>
        <v>0.46500000000000002</v>
      </c>
      <c r="H320" s="238">
        <f ca="1">OFFSET(用户!$A$1,$A320-1,O$1-1)</f>
        <v>0.45500000000000002</v>
      </c>
      <c r="I320" s="238">
        <f ca="1">OFFSET(用户!$A$1,$A320-1,P$1-1)</f>
        <v>0.47099999999999997</v>
      </c>
      <c r="J320" s="169">
        <f t="shared" ca="1" si="28"/>
        <v>1.5999999999999959E-2</v>
      </c>
      <c r="K320" s="239"/>
    </row>
    <row r="321" spans="1:17" outlineLevel="1">
      <c r="A321" s="252">
        <f>+A317+6</f>
        <v>71</v>
      </c>
      <c r="B321" s="496"/>
      <c r="C321" s="209" t="s">
        <v>3</v>
      </c>
      <c r="D321" s="238">
        <f ca="1">OFFSET(用户!$A$1,$A321-1,K$1-1)</f>
        <v>0.59499999999999997</v>
      </c>
      <c r="E321" s="238">
        <f ca="1">OFFSET(用户!$A$1,$A321-1,L$1-1)</f>
        <v>0.57799999999999996</v>
      </c>
      <c r="F321" s="238">
        <f ca="1">OFFSET(用户!$A$1,$A321-1,M$1-1)</f>
        <v>0.59099999999999997</v>
      </c>
      <c r="G321" s="238">
        <f ca="1">OFFSET(用户!$A$1,$A321-1,N$1-1)</f>
        <v>0.60199999999999998</v>
      </c>
      <c r="H321" s="238">
        <f ca="1">OFFSET(用户!$A$1,$A321-1,O$1-1)</f>
        <v>0.58799999999999997</v>
      </c>
      <c r="I321" s="238">
        <f ca="1">OFFSET(用户!$A$1,$A321-1,P$1-1)</f>
        <v>0.46100000000000002</v>
      </c>
      <c r="J321" s="169">
        <f t="shared" ca="1" si="28"/>
        <v>-0.12699999999999995</v>
      </c>
      <c r="K321" s="239"/>
    </row>
    <row r="322" spans="1:17" outlineLevel="1">
      <c r="A322" s="252">
        <f>+A318+6</f>
        <v>72</v>
      </c>
      <c r="B322" s="496"/>
      <c r="C322" s="209" t="s">
        <v>4</v>
      </c>
      <c r="D322" s="238">
        <f ca="1">OFFSET(用户!$A$1,$A322-1,K$1-1)</f>
        <v>0.35599999999999998</v>
      </c>
      <c r="E322" s="238">
        <f ca="1">OFFSET(用户!$A$1,$A322-1,L$1-1)</f>
        <v>0.34200000000000003</v>
      </c>
      <c r="F322" s="238">
        <f ca="1">OFFSET(用户!$A$1,$A322-1,M$1-1)</f>
        <v>0.36099999999999999</v>
      </c>
      <c r="G322" s="238">
        <f ca="1">OFFSET(用户!$A$1,$A322-1,N$1-1)</f>
        <v>0.36799999999999999</v>
      </c>
      <c r="H322" s="238">
        <f ca="1">OFFSET(用户!$A$1,$A322-1,O$1-1)</f>
        <v>0.35699999999999998</v>
      </c>
      <c r="I322" s="238">
        <f ca="1">OFFSET(用户!$A$1,$A322-1,P$1-1)</f>
        <v>0.38300000000000001</v>
      </c>
      <c r="J322" s="169">
        <f t="shared" ca="1" si="28"/>
        <v>2.6000000000000023E-2</v>
      </c>
      <c r="K322" s="239"/>
    </row>
    <row r="323" spans="1:17" outlineLevel="1">
      <c r="B323" s="240"/>
      <c r="C323" s="241"/>
      <c r="D323" s="242"/>
      <c r="E323" s="242"/>
      <c r="F323" s="242"/>
      <c r="G323" s="242"/>
      <c r="H323" s="242"/>
      <c r="I323" s="242"/>
      <c r="J323" s="243"/>
      <c r="K323" s="243"/>
      <c r="L323" s="182"/>
      <c r="M323" s="182"/>
      <c r="N323" s="182"/>
      <c r="O323" s="182"/>
      <c r="P323" s="182"/>
      <c r="Q323" s="182"/>
    </row>
    <row r="324" spans="1:17" outlineLevel="1">
      <c r="B324" s="173" t="s">
        <v>272</v>
      </c>
      <c r="C324" s="173"/>
      <c r="D324" s="173"/>
      <c r="E324" s="173"/>
      <c r="F324" s="242"/>
      <c r="G324" s="242"/>
      <c r="H324" s="242"/>
      <c r="I324" s="242"/>
      <c r="J324" s="243"/>
      <c r="K324" s="243"/>
      <c r="L324" s="182"/>
      <c r="M324" s="182"/>
      <c r="N324" s="182"/>
      <c r="O324" s="182"/>
      <c r="P324" s="182"/>
      <c r="Q324" s="182"/>
    </row>
    <row r="325" spans="1:17" s="178" customFormat="1" ht="20.25" customHeight="1" outlineLevel="1">
      <c r="A325" s="253"/>
      <c r="B325" s="192" t="s">
        <v>225</v>
      </c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</row>
    <row r="326" spans="1:17" s="178" customFormat="1" ht="20.25" customHeight="1" outlineLevel="1">
      <c r="A326" s="253"/>
      <c r="B326" s="177" t="str">
        <f ca="1">"次日留存率："&amp;TEXT(I315,"0.0%")&amp;"("&amp;IF(J315&gt;0,"+","")&amp;TEXT(J315,"0.0%")&amp;")"</f>
        <v>次日留存率：68.2%(+2.4%)</v>
      </c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</row>
    <row r="327" spans="1:17" s="178" customFormat="1" ht="20.25" customHeight="1" outlineLevel="1">
      <c r="A327" s="253"/>
      <c r="B327" s="177" t="str">
        <f ca="1">"七日留存率："&amp;TEXT(I319,"0.0%")&amp;"("&amp;IF(J319&gt;0,"+","")&amp;TEXT(J319,"0.0%")&amp;")"</f>
        <v>七日留存率：57.3%(+1.9%)</v>
      </c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</row>
    <row r="328" spans="1:17" s="178" customFormat="1" ht="20.25" customHeight="1" outlineLevel="1">
      <c r="A328" s="253"/>
      <c r="B328" s="244" t="s">
        <v>273</v>
      </c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</row>
    <row r="329" spans="1:17" outlineLevel="1"/>
    <row r="330" spans="1:17" outlineLevel="1">
      <c r="B330" s="150"/>
      <c r="C330" s="150"/>
    </row>
    <row r="331" spans="1:17" outlineLevel="1">
      <c r="B331" s="150"/>
      <c r="C331" s="150"/>
    </row>
    <row r="332" spans="1:17" outlineLevel="1">
      <c r="B332" s="150"/>
      <c r="C332" s="150"/>
    </row>
    <row r="333" spans="1:17" outlineLevel="1"/>
    <row r="334" spans="1:17" outlineLevel="1"/>
    <row r="335" spans="1:17" outlineLevel="1"/>
    <row r="336" spans="1:17" outlineLevel="1"/>
    <row r="337" spans="1:17" outlineLevel="1">
      <c r="L337" s="188"/>
      <c r="M337" s="188"/>
    </row>
    <row r="338" spans="1:17" outlineLevel="1">
      <c r="L338" s="189"/>
      <c r="M338" s="188"/>
    </row>
    <row r="339" spans="1:17" outlineLevel="1">
      <c r="L339" s="188"/>
      <c r="M339" s="188"/>
    </row>
    <row r="340" spans="1:17" outlineLevel="1"/>
    <row r="341" spans="1:17" outlineLevel="1"/>
    <row r="342" spans="1:17" outlineLevel="1"/>
    <row r="343" spans="1:17" outlineLevel="1"/>
    <row r="344" spans="1:17" outlineLevel="1"/>
    <row r="345" spans="1:17" outlineLevel="1">
      <c r="B345" s="173" t="s">
        <v>274</v>
      </c>
      <c r="C345" s="173"/>
      <c r="D345" s="173"/>
      <c r="E345" s="173"/>
    </row>
    <row r="346" spans="1:17" s="178" customFormat="1" ht="20.25" customHeight="1" outlineLevel="1">
      <c r="A346" s="253"/>
      <c r="B346" s="192" t="s">
        <v>226</v>
      </c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</row>
    <row r="347" spans="1:17" s="178" customFormat="1" ht="20.25" customHeight="1" outlineLevel="1">
      <c r="A347" s="253"/>
      <c r="B347" s="177" t="str">
        <f ca="1">"次日留存率："&amp;TEXT(I313,"0.0%")&amp;"("&amp;IF(J313&gt;0,"+","")&amp;TEXT(J313,"0.0%")&amp;")"</f>
        <v>次日留存率：32.4%(-0.1%)</v>
      </c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</row>
    <row r="348" spans="1:17" s="178" customFormat="1" ht="20.25" customHeight="1" outlineLevel="1">
      <c r="A348" s="253"/>
      <c r="B348" s="177" t="str">
        <f ca="1">"七日留存率："&amp;TEXT(I314,"0.0%")&amp;"("&amp;IF(J314&gt;0,"+","")&amp;TEXT(J314,"0.0%")&amp;")"</f>
        <v>七日留存率：24.6%(-0.2%)</v>
      </c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</row>
    <row r="349" spans="1:17" outlineLevel="1"/>
    <row r="350" spans="1:17" outlineLevel="1"/>
    <row r="351" spans="1:17" outlineLevel="1"/>
    <row r="352" spans="1:17" outlineLevel="1"/>
    <row r="353" spans="1:13" outlineLevel="1"/>
    <row r="354" spans="1:13" outlineLevel="1"/>
    <row r="355" spans="1:13" outlineLevel="1"/>
    <row r="356" spans="1:13" s="150" customFormat="1" outlineLevel="1">
      <c r="A356" s="252"/>
      <c r="B356" s="149"/>
      <c r="C356" s="149"/>
    </row>
    <row r="357" spans="1:13" s="150" customFormat="1" outlineLevel="1">
      <c r="A357" s="252"/>
      <c r="B357" s="149"/>
      <c r="C357" s="149"/>
      <c r="L357" s="188"/>
      <c r="M357" s="211"/>
    </row>
    <row r="358" spans="1:13" s="150" customFormat="1" outlineLevel="1">
      <c r="A358" s="252"/>
      <c r="B358" s="149"/>
      <c r="C358" s="149"/>
      <c r="L358" s="188"/>
      <c r="M358" s="211"/>
    </row>
    <row r="359" spans="1:13" s="150" customFormat="1" outlineLevel="1">
      <c r="A359" s="252"/>
      <c r="B359" s="149"/>
      <c r="C359" s="149"/>
    </row>
    <row r="360" spans="1:13" s="150" customFormat="1" outlineLevel="1">
      <c r="A360" s="252"/>
      <c r="B360" s="149"/>
      <c r="C360" s="149"/>
    </row>
    <row r="361" spans="1:13" s="150" customFormat="1" outlineLevel="1">
      <c r="A361" s="252"/>
      <c r="B361" s="149"/>
      <c r="C361" s="149"/>
    </row>
    <row r="362" spans="1:13" s="150" customFormat="1" outlineLevel="1">
      <c r="A362" s="252"/>
      <c r="B362" s="149"/>
      <c r="C362" s="149"/>
    </row>
    <row r="363" spans="1:13" s="150" customFormat="1" outlineLevel="1">
      <c r="A363" s="252"/>
      <c r="B363" s="149"/>
      <c r="C363" s="149"/>
    </row>
    <row r="364" spans="1:13" s="150" customFormat="1" outlineLevel="1">
      <c r="A364" s="252"/>
      <c r="B364" s="149"/>
      <c r="C364" s="149"/>
    </row>
    <row r="365" spans="1:13" s="150" customFormat="1" outlineLevel="1">
      <c r="A365" s="252"/>
      <c r="B365" s="173" t="s">
        <v>275</v>
      </c>
      <c r="C365" s="173"/>
      <c r="D365" s="173"/>
      <c r="E365" s="173"/>
    </row>
    <row r="366" spans="1:13" s="150" customFormat="1" outlineLevel="1">
      <c r="A366" s="252"/>
      <c r="B366" s="149"/>
      <c r="C366" s="149"/>
    </row>
    <row r="367" spans="1:13" s="150" customFormat="1" outlineLevel="1">
      <c r="A367" s="252"/>
      <c r="B367" s="149"/>
      <c r="C367" s="149"/>
    </row>
    <row r="368" spans="1:13" s="150" customFormat="1" outlineLevel="1">
      <c r="A368" s="252"/>
      <c r="B368" s="149"/>
      <c r="C368" s="149"/>
    </row>
    <row r="369" spans="1:8" s="150" customFormat="1" outlineLevel="1">
      <c r="A369" s="252"/>
      <c r="B369" s="149"/>
      <c r="C369" s="149"/>
    </row>
    <row r="370" spans="1:8" s="150" customFormat="1" outlineLevel="1">
      <c r="A370" s="252"/>
      <c r="B370" s="149"/>
      <c r="C370" s="149"/>
    </row>
    <row r="371" spans="1:8" s="150" customFormat="1" outlineLevel="1">
      <c r="A371" s="252"/>
      <c r="B371" s="149"/>
      <c r="C371" s="149"/>
      <c r="H371" s="150" t="s">
        <v>276</v>
      </c>
    </row>
    <row r="372" spans="1:8" s="150" customFormat="1" outlineLevel="1">
      <c r="A372" s="252"/>
      <c r="B372" s="149"/>
      <c r="C372" s="149"/>
    </row>
    <row r="373" spans="1:8" s="150" customFormat="1" outlineLevel="1">
      <c r="A373" s="252"/>
      <c r="B373" s="149"/>
      <c r="C373" s="149"/>
    </row>
    <row r="374" spans="1:8" s="150" customFormat="1" outlineLevel="1">
      <c r="A374" s="252"/>
      <c r="B374" s="149"/>
      <c r="C374" s="149"/>
    </row>
    <row r="375" spans="1:8" s="150" customFormat="1" outlineLevel="1">
      <c r="A375" s="252"/>
      <c r="B375" s="149"/>
      <c r="C375" s="149"/>
    </row>
    <row r="376" spans="1:8" s="150" customFormat="1" outlineLevel="1">
      <c r="A376" s="252"/>
      <c r="B376" s="149"/>
      <c r="C376" s="149"/>
    </row>
    <row r="377" spans="1:8" s="150" customFormat="1" outlineLevel="1">
      <c r="A377" s="252"/>
      <c r="B377" s="149"/>
      <c r="C377" s="149"/>
    </row>
    <row r="378" spans="1:8" s="150" customFormat="1" outlineLevel="1">
      <c r="A378" s="252"/>
      <c r="B378" s="149"/>
      <c r="C378" s="149"/>
    </row>
    <row r="379" spans="1:8" s="150" customFormat="1" outlineLevel="1">
      <c r="A379" s="252"/>
      <c r="B379" s="149"/>
      <c r="C379" s="149"/>
    </row>
    <row r="380" spans="1:8" s="150" customFormat="1" outlineLevel="1">
      <c r="A380" s="252"/>
      <c r="B380" s="149"/>
      <c r="C380" s="149"/>
    </row>
    <row r="381" spans="1:8" s="150" customFormat="1" outlineLevel="1">
      <c r="A381" s="252"/>
      <c r="B381" s="173" t="s">
        <v>277</v>
      </c>
      <c r="C381" s="173"/>
      <c r="D381" s="173"/>
      <c r="E381" s="173"/>
    </row>
    <row r="382" spans="1:8" s="150" customFormat="1" outlineLevel="1">
      <c r="A382" s="252"/>
      <c r="B382" s="149"/>
      <c r="C382" s="149"/>
    </row>
    <row r="383" spans="1:8" s="150" customFormat="1" outlineLevel="1">
      <c r="A383" s="252"/>
      <c r="B383" s="149"/>
      <c r="C383" s="149"/>
    </row>
    <row r="384" spans="1:8" s="150" customFormat="1" outlineLevel="1">
      <c r="A384" s="252"/>
      <c r="B384" s="149"/>
      <c r="C384" s="149"/>
    </row>
    <row r="385" spans="1:17" s="150" customFormat="1" outlineLevel="1">
      <c r="A385" s="252"/>
      <c r="B385" s="149"/>
      <c r="C385" s="149"/>
      <c r="H385" s="150" t="s">
        <v>276</v>
      </c>
    </row>
    <row r="386" spans="1:17" s="150" customFormat="1" outlineLevel="1">
      <c r="A386" s="252"/>
      <c r="B386" s="149"/>
      <c r="C386" s="149"/>
    </row>
    <row r="387" spans="1:17" s="150" customFormat="1" outlineLevel="1">
      <c r="A387" s="252"/>
      <c r="B387" s="149"/>
      <c r="C387" s="149"/>
    </row>
    <row r="388" spans="1:17" s="144" customFormat="1" outlineLevel="1">
      <c r="A388" s="252"/>
      <c r="B388" s="149"/>
      <c r="C388" s="149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</row>
    <row r="389" spans="1:17" s="144" customFormat="1" outlineLevel="1">
      <c r="A389" s="252"/>
      <c r="B389" s="149"/>
      <c r="C389" s="149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</row>
    <row r="390" spans="1:17" s="144" customFormat="1" outlineLevel="1">
      <c r="A390" s="252"/>
      <c r="B390" s="149"/>
      <c r="C390" s="149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</row>
    <row r="391" spans="1:17" s="144" customFormat="1" outlineLevel="1">
      <c r="A391" s="252"/>
      <c r="B391" s="149"/>
      <c r="C391" s="149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</row>
    <row r="392" spans="1:17" s="144" customFormat="1" outlineLevel="1">
      <c r="A392" s="252"/>
      <c r="B392" s="149"/>
      <c r="C392" s="149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</row>
    <row r="393" spans="1:17" s="144" customFormat="1" outlineLevel="1">
      <c r="A393" s="252"/>
      <c r="B393" s="149"/>
      <c r="C393" s="149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</row>
    <row r="394" spans="1:17" s="144" customFormat="1" outlineLevel="1">
      <c r="A394" s="252"/>
      <c r="B394" s="149"/>
      <c r="C394" s="149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</row>
    <row r="395" spans="1:17" s="144" customFormat="1" outlineLevel="1">
      <c r="A395" s="252"/>
      <c r="B395" s="149"/>
      <c r="C395" s="149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</row>
  </sheetData>
  <mergeCells count="16">
    <mergeCell ref="B15:B17"/>
    <mergeCell ref="B4:B14"/>
    <mergeCell ref="B313:B314"/>
    <mergeCell ref="B315:B318"/>
    <mergeCell ref="B319:B322"/>
    <mergeCell ref="B168:B176"/>
    <mergeCell ref="B206:B209"/>
    <mergeCell ref="B210:B213"/>
    <mergeCell ref="B214:B217"/>
    <mergeCell ref="B263:B268"/>
    <mergeCell ref="B311:B312"/>
    <mergeCell ref="B164:B167"/>
    <mergeCell ref="B51:B61"/>
    <mergeCell ref="B40:B50"/>
    <mergeCell ref="B29:B39"/>
    <mergeCell ref="B18:B28"/>
  </mergeCells>
  <phoneticPr fontId="5" type="noConversion"/>
  <pageMargins left="0.7" right="0.7" top="0.75" bottom="0.75" header="0.3" footer="0.3"/>
  <pageSetup paperSize="256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38B300F7-9C6F-48F3-87E0-88D8AE6947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Q3</xm:sqref>
        </x14:conditionalFormatting>
        <x14:conditionalFormatting xmlns:xm="http://schemas.microsoft.com/office/excel/2006/main">
          <x14:cfRule type="iconSet" priority="29" id="{27A48DEF-E8C1-418E-8F9A-0ADE7B1DB0C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Q15:Q17</xm:sqref>
        </x14:conditionalFormatting>
        <x14:conditionalFormatting xmlns:xm="http://schemas.microsoft.com/office/excel/2006/main">
          <x14:cfRule type="iconSet" priority="28" id="{2329B15D-4215-4566-BC00-0246FD8FD3E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J163</xm:sqref>
        </x14:conditionalFormatting>
        <x14:conditionalFormatting xmlns:xm="http://schemas.microsoft.com/office/excel/2006/main">
          <x14:cfRule type="iconSet" priority="27" id="{6A309647-82D3-4058-882E-AD775CF6966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J164:J176</xm:sqref>
        </x14:conditionalFormatting>
        <x14:conditionalFormatting xmlns:xm="http://schemas.microsoft.com/office/excel/2006/main">
          <x14:cfRule type="iconSet" priority="26" id="{1B05EBC3-4455-48CA-9395-8C91DF62211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J205</xm:sqref>
        </x14:conditionalFormatting>
        <x14:conditionalFormatting xmlns:xm="http://schemas.microsoft.com/office/excel/2006/main">
          <x14:cfRule type="iconSet" priority="25" id="{50BDCBD4-B8B6-4E3F-BBD6-62633735061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J206:J217</xm:sqref>
        </x14:conditionalFormatting>
        <x14:conditionalFormatting xmlns:xm="http://schemas.microsoft.com/office/excel/2006/main">
          <x14:cfRule type="iconSet" priority="24" id="{357B220A-A717-424D-9B4F-FE701A9560F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J262</xm:sqref>
        </x14:conditionalFormatting>
        <x14:conditionalFormatting xmlns:xm="http://schemas.microsoft.com/office/excel/2006/main">
          <x14:cfRule type="iconSet" priority="23" id="{B2B7D763-A23F-45A9-A9A2-280F78E0FC1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J263:J268</xm:sqref>
        </x14:conditionalFormatting>
        <x14:conditionalFormatting xmlns:xm="http://schemas.microsoft.com/office/excel/2006/main">
          <x14:cfRule type="iconSet" priority="22" id="{CA6D6B44-33DA-4007-A3ED-3A38AE77122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J310</xm:sqref>
        </x14:conditionalFormatting>
        <x14:conditionalFormatting xmlns:xm="http://schemas.microsoft.com/office/excel/2006/main">
          <x14:cfRule type="iconSet" priority="21" id="{F443B8EB-7C6D-49BF-90E1-4122C30A65A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J311:J322</xm:sqref>
        </x14:conditionalFormatting>
        <x14:conditionalFormatting xmlns:xm="http://schemas.microsoft.com/office/excel/2006/main">
          <x14:cfRule type="iconSet" priority="16" id="{2D57E93B-62F6-44B3-A792-957F55DEFB6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Q18:Q26</xm:sqref>
        </x14:conditionalFormatting>
        <x14:conditionalFormatting xmlns:xm="http://schemas.microsoft.com/office/excel/2006/main">
          <x14:cfRule type="iconSet" priority="15" id="{2B3FDD0E-10B9-4ECE-B740-431D53274C9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Q27:Q28</xm:sqref>
        </x14:conditionalFormatting>
        <x14:conditionalFormatting xmlns:xm="http://schemas.microsoft.com/office/excel/2006/main">
          <x14:cfRule type="iconSet" priority="8" id="{CF34382C-E8E2-4630-8BDA-4EB677EF439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Q4:Q12</xm:sqref>
        </x14:conditionalFormatting>
        <x14:conditionalFormatting xmlns:xm="http://schemas.microsoft.com/office/excel/2006/main">
          <x14:cfRule type="iconSet" priority="7" id="{B1A9ACEF-DE9B-4DAE-AB8D-E890ACFB859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Q13:Q14</xm:sqref>
        </x14:conditionalFormatting>
        <x14:conditionalFormatting xmlns:xm="http://schemas.microsoft.com/office/excel/2006/main">
          <x14:cfRule type="iconSet" priority="6" id="{FC2EB447-F291-4B8E-A201-69862F3C51A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Q29:Q37</xm:sqref>
        </x14:conditionalFormatting>
        <x14:conditionalFormatting xmlns:xm="http://schemas.microsoft.com/office/excel/2006/main">
          <x14:cfRule type="iconSet" priority="5" id="{E04E4243-28E9-4477-8B3D-D9DD79E2291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Q38:Q39</xm:sqref>
        </x14:conditionalFormatting>
        <x14:conditionalFormatting xmlns:xm="http://schemas.microsoft.com/office/excel/2006/main">
          <x14:cfRule type="iconSet" priority="4" id="{DA08F873-A4E2-4A15-AE17-DBECCA75BE0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Q40:Q48</xm:sqref>
        </x14:conditionalFormatting>
        <x14:conditionalFormatting xmlns:xm="http://schemas.microsoft.com/office/excel/2006/main">
          <x14:cfRule type="iconSet" priority="3" id="{5B33ECF6-C487-4D8D-A622-C4BAA4417EE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Q49:Q50</xm:sqref>
        </x14:conditionalFormatting>
        <x14:conditionalFormatting xmlns:xm="http://schemas.microsoft.com/office/excel/2006/main">
          <x14:cfRule type="iconSet" priority="2" id="{4EEF6BD0-303E-4270-B37C-DC4B93E0D6B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Q51:Q59</xm:sqref>
        </x14:conditionalFormatting>
        <x14:conditionalFormatting xmlns:xm="http://schemas.microsoft.com/office/excel/2006/main">
          <x14:cfRule type="iconSet" priority="1" id="{5722FEF3-D58B-4B2B-BEA0-91C42F1D85F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Q60:Q61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showGridLines="0" workbookViewId="0">
      <pane xSplit="2" ySplit="2" topLeftCell="C48" activePane="bottomRight" state="frozen"/>
      <selection pane="topRight" activeCell="C1" sqref="C1"/>
      <selection pane="bottomLeft" activeCell="A2" sqref="A2"/>
      <selection pane="bottomRight" activeCell="M46" sqref="M46"/>
    </sheetView>
  </sheetViews>
  <sheetFormatPr defaultRowHeight="16.5"/>
  <cols>
    <col min="1" max="3" width="12.875" customWidth="1"/>
    <col min="4" max="10" width="12.875" hidden="1" customWidth="1"/>
    <col min="11" max="18" width="12.875" customWidth="1"/>
  </cols>
  <sheetData>
    <row r="1" spans="1:18" s="4" customFormat="1" ht="16.5" customHeight="1">
      <c r="A1" s="1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f>+P97-P113</f>
        <v>0</v>
      </c>
      <c r="Q1" s="3">
        <f>+Q97-Q113</f>
        <v>0</v>
      </c>
      <c r="R1" s="3"/>
    </row>
    <row r="2" spans="1:18" s="5" customFormat="1">
      <c r="A2" s="117" t="s">
        <v>126</v>
      </c>
      <c r="B2" s="117" t="s">
        <v>127</v>
      </c>
      <c r="C2" s="117">
        <v>42491</v>
      </c>
      <c r="D2" s="117">
        <v>42522</v>
      </c>
      <c r="E2" s="117">
        <v>42552</v>
      </c>
      <c r="F2" s="117">
        <v>42583</v>
      </c>
      <c r="G2" s="117">
        <v>42614</v>
      </c>
      <c r="H2" s="117">
        <v>42644</v>
      </c>
      <c r="I2" s="117">
        <v>42675</v>
      </c>
      <c r="J2" s="117">
        <v>42705</v>
      </c>
      <c r="K2" s="117">
        <v>42736</v>
      </c>
      <c r="L2" s="117">
        <v>42767</v>
      </c>
      <c r="M2" s="117">
        <v>42795</v>
      </c>
      <c r="N2" s="117">
        <v>42826</v>
      </c>
      <c r="O2" s="117">
        <v>42856</v>
      </c>
      <c r="P2" s="117">
        <v>42887</v>
      </c>
      <c r="Q2" s="117">
        <v>42917</v>
      </c>
      <c r="R2" s="117">
        <v>42948</v>
      </c>
    </row>
    <row r="3" spans="1:18" s="9" customFormat="1" ht="16.5" customHeight="1">
      <c r="A3" s="513" t="s">
        <v>28</v>
      </c>
      <c r="B3" s="6" t="s">
        <v>8</v>
      </c>
      <c r="C3" s="37"/>
      <c r="D3" s="37"/>
      <c r="E3" s="37"/>
      <c r="F3" s="37"/>
      <c r="G3" s="37"/>
      <c r="H3" s="37"/>
      <c r="I3" s="37"/>
      <c r="J3" s="37"/>
      <c r="K3" s="7">
        <v>314042</v>
      </c>
      <c r="L3" s="7">
        <v>293214</v>
      </c>
      <c r="M3" s="7">
        <v>330306</v>
      </c>
      <c r="N3" s="7">
        <v>289124</v>
      </c>
      <c r="O3" s="7">
        <v>312572</v>
      </c>
      <c r="P3" s="7">
        <v>279149</v>
      </c>
      <c r="Q3" s="7">
        <v>311232</v>
      </c>
      <c r="R3" s="7">
        <v>347502</v>
      </c>
    </row>
    <row r="4" spans="1:18" s="9" customFormat="1">
      <c r="A4" s="514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40">
        <v>125142</v>
      </c>
      <c r="L4" s="40">
        <v>93853</v>
      </c>
      <c r="M4" s="40">
        <v>104233</v>
      </c>
      <c r="N4" s="40">
        <v>88702</v>
      </c>
      <c r="O4" s="40">
        <v>88112</v>
      </c>
      <c r="P4" s="40">
        <v>75969</v>
      </c>
      <c r="Q4" s="40">
        <v>82098</v>
      </c>
      <c r="R4" s="40">
        <v>85271</v>
      </c>
    </row>
    <row r="5" spans="1:18" s="9" customFormat="1">
      <c r="A5" s="514"/>
      <c r="B5" s="38" t="s">
        <v>3</v>
      </c>
      <c r="C5" s="39"/>
      <c r="D5" s="39"/>
      <c r="E5" s="39"/>
      <c r="F5" s="39"/>
      <c r="G5" s="39"/>
      <c r="H5" s="39"/>
      <c r="I5" s="39"/>
      <c r="J5" s="39"/>
      <c r="K5" s="40">
        <v>113868</v>
      </c>
      <c r="L5" s="40">
        <v>108361</v>
      </c>
      <c r="M5" s="40">
        <v>113327</v>
      </c>
      <c r="N5" s="40">
        <v>96157</v>
      </c>
      <c r="O5" s="40">
        <v>113828</v>
      </c>
      <c r="P5" s="40">
        <v>106935</v>
      </c>
      <c r="Q5" s="40">
        <v>122762</v>
      </c>
      <c r="R5" s="40">
        <v>135931</v>
      </c>
    </row>
    <row r="6" spans="1:18" s="9" customFormat="1">
      <c r="A6" s="514"/>
      <c r="B6" s="38" t="s">
        <v>4</v>
      </c>
      <c r="C6" s="39"/>
      <c r="D6" s="39"/>
      <c r="E6" s="39"/>
      <c r="F6" s="39"/>
      <c r="G6" s="39"/>
      <c r="H6" s="39"/>
      <c r="I6" s="39"/>
      <c r="J6" s="39"/>
      <c r="K6" s="40">
        <v>75464</v>
      </c>
      <c r="L6" s="40">
        <v>91818</v>
      </c>
      <c r="M6" s="40">
        <v>114745</v>
      </c>
      <c r="N6" s="40">
        <v>105393</v>
      </c>
      <c r="O6" s="40">
        <v>110759</v>
      </c>
      <c r="P6" s="40">
        <v>96378</v>
      </c>
      <c r="Q6" s="40">
        <v>105599</v>
      </c>
      <c r="R6" s="40">
        <v>120162</v>
      </c>
    </row>
    <row r="7" spans="1:18" s="9" customFormat="1">
      <c r="A7" s="514"/>
      <c r="B7" s="41" t="s">
        <v>5</v>
      </c>
      <c r="C7" s="42"/>
      <c r="D7" s="42"/>
      <c r="E7" s="42"/>
      <c r="F7" s="42"/>
      <c r="G7" s="42"/>
      <c r="H7" s="42"/>
      <c r="I7" s="42"/>
      <c r="J7" s="42"/>
      <c r="K7" s="43">
        <v>276337</v>
      </c>
      <c r="L7" s="43">
        <v>257177</v>
      </c>
      <c r="M7" s="43">
        <v>286554</v>
      </c>
      <c r="N7" s="43">
        <v>256896</v>
      </c>
      <c r="O7" s="43">
        <v>280143</v>
      </c>
      <c r="P7" s="43">
        <v>248110</v>
      </c>
      <c r="Q7" s="43">
        <v>273628</v>
      </c>
      <c r="R7" s="43">
        <v>303056</v>
      </c>
    </row>
    <row r="8" spans="1:18" s="9" customFormat="1">
      <c r="A8" s="515"/>
      <c r="B8" s="41" t="s">
        <v>6</v>
      </c>
      <c r="C8" s="42"/>
      <c r="D8" s="42"/>
      <c r="E8" s="42"/>
      <c r="F8" s="42"/>
      <c r="G8" s="42"/>
      <c r="H8" s="42"/>
      <c r="I8" s="42"/>
      <c r="J8" s="42"/>
      <c r="K8" s="43">
        <v>70254</v>
      </c>
      <c r="L8" s="43">
        <v>65679</v>
      </c>
      <c r="M8" s="43">
        <v>76642</v>
      </c>
      <c r="N8" s="43">
        <v>57750</v>
      </c>
      <c r="O8" s="43">
        <v>61826</v>
      </c>
      <c r="P8" s="43">
        <v>54280</v>
      </c>
      <c r="Q8" s="43">
        <v>57945</v>
      </c>
      <c r="R8" s="43">
        <v>59456</v>
      </c>
    </row>
    <row r="9" spans="1:18" s="44" customFormat="1" ht="16.5" customHeight="1">
      <c r="A9" s="507" t="s">
        <v>14</v>
      </c>
      <c r="B9" s="31" t="s">
        <v>8</v>
      </c>
      <c r="C9" s="31"/>
      <c r="D9" s="31"/>
      <c r="E9" s="31"/>
      <c r="F9" s="31"/>
      <c r="G9" s="31"/>
      <c r="H9" s="31"/>
      <c r="I9" s="31"/>
      <c r="J9" s="31"/>
      <c r="K9" s="32">
        <v>0.29499999999999998</v>
      </c>
      <c r="L9" s="32">
        <v>0.34899999999999998</v>
      </c>
      <c r="M9" s="32">
        <v>0.318</v>
      </c>
      <c r="N9" s="32">
        <v>0.29599999999999999</v>
      </c>
      <c r="O9" s="32">
        <v>0.30599999999999999</v>
      </c>
      <c r="P9" s="32">
        <v>0.32100000000000001</v>
      </c>
      <c r="Q9" s="32">
        <v>0.313</v>
      </c>
      <c r="R9" s="32">
        <v>0.35599999999999998</v>
      </c>
    </row>
    <row r="10" spans="1:18" s="33" customFormat="1">
      <c r="A10" s="508"/>
      <c r="B10" s="35" t="s">
        <v>2</v>
      </c>
      <c r="C10" s="35"/>
      <c r="D10" s="35"/>
      <c r="E10" s="35"/>
      <c r="F10" s="35"/>
      <c r="G10" s="35"/>
      <c r="H10" s="35"/>
      <c r="I10" s="35"/>
      <c r="J10" s="35"/>
      <c r="K10" s="36">
        <v>0.14000000000000001</v>
      </c>
      <c r="L10" s="36">
        <v>0.16400000000000001</v>
      </c>
      <c r="M10" s="36">
        <v>0.16700000000000001</v>
      </c>
      <c r="N10" s="36">
        <v>0.16900000000000001</v>
      </c>
      <c r="O10" s="36">
        <v>0.183</v>
      </c>
      <c r="P10" s="36">
        <v>0.187</v>
      </c>
      <c r="Q10" s="36">
        <v>0.17299999999999999</v>
      </c>
      <c r="R10" s="36">
        <v>0.20899999999999999</v>
      </c>
    </row>
    <row r="11" spans="1:18" s="33" customFormat="1">
      <c r="A11" s="508"/>
      <c r="B11" s="35" t="s">
        <v>3</v>
      </c>
      <c r="C11" s="35"/>
      <c r="D11" s="35"/>
      <c r="E11" s="35"/>
      <c r="F11" s="35"/>
      <c r="G11" s="35"/>
      <c r="H11" s="35"/>
      <c r="I11" s="35"/>
      <c r="J11" s="35"/>
      <c r="K11" s="36">
        <v>0.49870967700000002</v>
      </c>
      <c r="L11" s="36">
        <v>0.55035714300000005</v>
      </c>
      <c r="M11" s="36">
        <v>0.52903225799999998</v>
      </c>
      <c r="N11" s="36">
        <v>0.49233333299999998</v>
      </c>
      <c r="O11" s="36">
        <v>0.49032258099999998</v>
      </c>
      <c r="P11" s="36">
        <v>0.499</v>
      </c>
      <c r="Q11" s="36">
        <v>0.46300000000000002</v>
      </c>
      <c r="R11" s="36">
        <v>0.48799999999999999</v>
      </c>
    </row>
    <row r="12" spans="1:18" s="33" customFormat="1">
      <c r="A12" s="508"/>
      <c r="B12" s="35" t="s">
        <v>4</v>
      </c>
      <c r="C12" s="35"/>
      <c r="D12" s="35"/>
      <c r="E12" s="35"/>
      <c r="F12" s="35"/>
      <c r="G12" s="35"/>
      <c r="H12" s="35"/>
      <c r="I12" s="35"/>
      <c r="J12" s="35"/>
      <c r="K12" s="36">
        <v>0.190967742</v>
      </c>
      <c r="L12" s="36">
        <v>0.24607142900000001</v>
      </c>
      <c r="M12" s="36">
        <v>0.21483870999999999</v>
      </c>
      <c r="N12" s="36">
        <v>0.19566666699999999</v>
      </c>
      <c r="O12" s="36">
        <v>0.190967742</v>
      </c>
      <c r="P12" s="36">
        <v>0.19900000000000001</v>
      </c>
      <c r="Q12" s="36">
        <v>0.218</v>
      </c>
      <c r="R12" s="36">
        <v>0.245</v>
      </c>
    </row>
    <row r="13" spans="1:18" s="33" customFormat="1">
      <c r="A13" s="508"/>
      <c r="B13" s="35" t="s">
        <v>5</v>
      </c>
      <c r="C13" s="35"/>
      <c r="D13" s="35"/>
      <c r="E13" s="35"/>
      <c r="F13" s="35"/>
      <c r="G13" s="35"/>
      <c r="H13" s="35"/>
      <c r="I13" s="35"/>
      <c r="J13" s="35"/>
      <c r="K13" s="36">
        <v>0.30354838709677417</v>
      </c>
      <c r="L13" s="36">
        <v>0.3635714285714286</v>
      </c>
      <c r="M13" s="36">
        <v>0.32870967741935481</v>
      </c>
      <c r="N13" s="36">
        <v>0.30166666666666669</v>
      </c>
      <c r="O13" s="36">
        <v>0.31290322580645158</v>
      </c>
      <c r="P13" s="36">
        <v>0.32900000000000001</v>
      </c>
      <c r="Q13" s="36">
        <v>0.317</v>
      </c>
      <c r="R13" s="36">
        <v>0.36399999999999999</v>
      </c>
    </row>
    <row r="14" spans="1:18" s="33" customFormat="1">
      <c r="A14" s="509"/>
      <c r="B14" s="35" t="s">
        <v>6</v>
      </c>
      <c r="C14" s="35"/>
      <c r="D14" s="35"/>
      <c r="E14" s="35"/>
      <c r="F14" s="35"/>
      <c r="G14" s="35"/>
      <c r="H14" s="35"/>
      <c r="I14" s="35"/>
      <c r="J14" s="35"/>
      <c r="K14" s="36">
        <v>0.14709677419354844</v>
      </c>
      <c r="L14" s="36">
        <v>0.15928571428571431</v>
      </c>
      <c r="M14" s="36">
        <v>0.16580645161290322</v>
      </c>
      <c r="N14" s="36">
        <v>0.15400000000000003</v>
      </c>
      <c r="O14" s="36">
        <v>0.14709677419354839</v>
      </c>
      <c r="P14" s="36">
        <v>0.13800000000000001</v>
      </c>
      <c r="Q14" s="36">
        <v>0.13200000000000001</v>
      </c>
      <c r="R14" s="36">
        <v>0.14899999999999999</v>
      </c>
    </row>
    <row r="15" spans="1:18" s="44" customFormat="1" ht="16.5" customHeight="1">
      <c r="A15" s="507" t="s">
        <v>15</v>
      </c>
      <c r="B15" s="31" t="s">
        <v>8</v>
      </c>
      <c r="C15" s="31"/>
      <c r="D15" s="31"/>
      <c r="E15" s="31"/>
      <c r="F15" s="31"/>
      <c r="G15" s="31"/>
      <c r="H15" s="31"/>
      <c r="I15" s="31"/>
      <c r="J15" s="31"/>
      <c r="K15" s="32">
        <v>0.109</v>
      </c>
      <c r="L15" s="32">
        <v>0.18</v>
      </c>
      <c r="M15" s="32">
        <v>0.16700000000000001</v>
      </c>
      <c r="N15" s="32">
        <v>0.14699999999999999</v>
      </c>
      <c r="O15" s="32">
        <v>0.154</v>
      </c>
      <c r="P15" s="32">
        <v>0.16200000000000001</v>
      </c>
      <c r="Q15" s="32">
        <v>0.15</v>
      </c>
      <c r="R15" s="32">
        <v>0.17100000000000001</v>
      </c>
    </row>
    <row r="16" spans="1:18" s="33" customFormat="1">
      <c r="A16" s="508"/>
      <c r="B16" s="35" t="s">
        <v>2</v>
      </c>
      <c r="C16" s="35"/>
      <c r="D16" s="35"/>
      <c r="E16" s="35"/>
      <c r="F16" s="35"/>
      <c r="G16" s="35"/>
      <c r="H16" s="35"/>
      <c r="I16" s="35"/>
      <c r="J16" s="35"/>
      <c r="K16" s="36">
        <v>3.7999999999999999E-2</v>
      </c>
      <c r="L16" s="36">
        <v>5.8999999999999997E-2</v>
      </c>
      <c r="M16" s="36">
        <v>6.5000000000000002E-2</v>
      </c>
      <c r="N16" s="36">
        <v>0.06</v>
      </c>
      <c r="O16" s="36">
        <v>6.9000000000000006E-2</v>
      </c>
      <c r="P16" s="36">
        <v>7.4999999999999997E-2</v>
      </c>
      <c r="Q16" s="36">
        <v>6.2E-2</v>
      </c>
      <c r="R16" s="36">
        <v>7.2999999999999995E-2</v>
      </c>
    </row>
    <row r="17" spans="1:18" s="33" customFormat="1">
      <c r="A17" s="508"/>
      <c r="B17" s="35" t="s">
        <v>3</v>
      </c>
      <c r="C17" s="35"/>
      <c r="D17" s="35"/>
      <c r="E17" s="35"/>
      <c r="F17" s="35"/>
      <c r="G17" s="35"/>
      <c r="H17" s="35"/>
      <c r="I17" s="35"/>
      <c r="J17" s="35"/>
      <c r="K17" s="36">
        <v>0.21096774200000001</v>
      </c>
      <c r="L17" s="36">
        <v>0.30678571399999999</v>
      </c>
      <c r="M17" s="36">
        <v>0.29548387100000001</v>
      </c>
      <c r="N17" s="36">
        <v>0.262333333</v>
      </c>
      <c r="O17" s="36">
        <v>0.26645161299999998</v>
      </c>
      <c r="P17" s="36">
        <v>0.27100000000000002</v>
      </c>
      <c r="Q17" s="36">
        <v>0.23499999999999999</v>
      </c>
      <c r="R17" s="36">
        <v>0.20200000000000001</v>
      </c>
    </row>
    <row r="18" spans="1:18" s="33" customFormat="1">
      <c r="A18" s="508"/>
      <c r="B18" s="35" t="s">
        <v>4</v>
      </c>
      <c r="C18" s="35"/>
      <c r="D18" s="35"/>
      <c r="E18" s="35"/>
      <c r="F18" s="35"/>
      <c r="G18" s="35"/>
      <c r="H18" s="35"/>
      <c r="I18" s="35"/>
      <c r="J18" s="35"/>
      <c r="K18" s="36">
        <v>4.3870968000000003E-2</v>
      </c>
      <c r="L18" s="36">
        <v>8.3214285999999998E-2</v>
      </c>
      <c r="M18" s="36">
        <v>0.09</v>
      </c>
      <c r="N18" s="36">
        <v>0.08</v>
      </c>
      <c r="O18" s="36">
        <v>7.9032257999999994E-2</v>
      </c>
      <c r="P18" s="36">
        <v>7.9000000000000001E-2</v>
      </c>
      <c r="Q18" s="36">
        <v>8.6999999999999994E-2</v>
      </c>
      <c r="R18" s="36">
        <v>9.9000000000000005E-2</v>
      </c>
    </row>
    <row r="19" spans="1:18" s="33" customFormat="1">
      <c r="A19" s="508"/>
      <c r="B19" s="35" t="s">
        <v>5</v>
      </c>
      <c r="C19" s="35"/>
      <c r="D19" s="35"/>
      <c r="E19" s="35"/>
      <c r="F19" s="35"/>
      <c r="G19" s="35"/>
      <c r="H19" s="35"/>
      <c r="I19" s="35"/>
      <c r="J19" s="35"/>
      <c r="K19" s="36">
        <v>0.11483870967741937</v>
      </c>
      <c r="L19" s="36">
        <v>0.19250000000000003</v>
      </c>
      <c r="M19" s="36">
        <v>0.17612903225806459</v>
      </c>
      <c r="N19" s="36">
        <v>0.1556666666666667</v>
      </c>
      <c r="O19" s="36">
        <v>0.15935483870967745</v>
      </c>
      <c r="P19" s="36">
        <v>0.16900000000000001</v>
      </c>
      <c r="Q19" s="36">
        <v>0.154</v>
      </c>
      <c r="R19" s="36">
        <v>0.17799999999999999</v>
      </c>
    </row>
    <row r="20" spans="1:18" s="33" customFormat="1">
      <c r="A20" s="509"/>
      <c r="B20" s="35" t="s">
        <v>6</v>
      </c>
      <c r="C20" s="35"/>
      <c r="D20" s="35"/>
      <c r="E20" s="35"/>
      <c r="F20" s="35"/>
      <c r="G20" s="35"/>
      <c r="H20" s="35"/>
      <c r="I20" s="35"/>
      <c r="J20" s="35"/>
      <c r="K20" s="36">
        <v>0.04</v>
      </c>
      <c r="L20" s="36">
        <v>5.7500000000000037E-2</v>
      </c>
      <c r="M20" s="36">
        <v>6.3870967741935514E-2</v>
      </c>
      <c r="N20" s="36">
        <v>5.1666666666666687E-2</v>
      </c>
      <c r="O20" s="36">
        <v>5.4516129032258082E-2</v>
      </c>
      <c r="P20" s="36">
        <v>4.8000000000000001E-2</v>
      </c>
      <c r="Q20" s="36">
        <v>4.3999999999999997E-2</v>
      </c>
      <c r="R20" s="36">
        <v>4.8000000000000001E-2</v>
      </c>
    </row>
    <row r="21" spans="1:18" s="48" customFormat="1" ht="16.5" customHeight="1">
      <c r="A21" s="510" t="s">
        <v>16</v>
      </c>
      <c r="B21" s="45" t="s">
        <v>8</v>
      </c>
      <c r="C21" s="46"/>
      <c r="D21" s="46"/>
      <c r="E21" s="46"/>
      <c r="F21" s="46"/>
      <c r="G21" s="46"/>
      <c r="H21" s="46"/>
      <c r="I21" s="46"/>
      <c r="J21" s="46"/>
      <c r="K21" s="47">
        <v>13659299.5</v>
      </c>
      <c r="L21" s="47">
        <v>14962900.699999999</v>
      </c>
      <c r="M21" s="47">
        <v>17432518.300000001</v>
      </c>
      <c r="N21" s="47">
        <v>13525186</v>
      </c>
      <c r="O21" s="47">
        <v>15166585.199999999</v>
      </c>
      <c r="P21" s="47">
        <v>13323784.800000001</v>
      </c>
      <c r="Q21" s="47">
        <v>13581850</v>
      </c>
      <c r="R21" s="47">
        <v>11707227</v>
      </c>
    </row>
    <row r="22" spans="1:18" s="4" customFormat="1">
      <c r="A22" s="511"/>
      <c r="B22" s="12" t="s">
        <v>2</v>
      </c>
      <c r="C22" s="49"/>
      <c r="D22" s="49"/>
      <c r="E22" s="49"/>
      <c r="F22" s="49"/>
      <c r="G22" s="49"/>
      <c r="H22" s="49"/>
      <c r="I22" s="49"/>
      <c r="J22" s="49"/>
      <c r="K22" s="13">
        <v>4442918.9000000004</v>
      </c>
      <c r="L22" s="13">
        <v>3935742.4</v>
      </c>
      <c r="M22" s="13">
        <v>4610870.7</v>
      </c>
      <c r="N22" s="13">
        <v>3844342.8</v>
      </c>
      <c r="O22" s="13">
        <v>4264988.4000000004</v>
      </c>
      <c r="P22" s="13">
        <v>3614672.1</v>
      </c>
      <c r="Q22" s="13">
        <v>3617812</v>
      </c>
      <c r="R22" s="13">
        <v>2863088</v>
      </c>
    </row>
    <row r="23" spans="1:18" s="4" customFormat="1">
      <c r="A23" s="511"/>
      <c r="B23" s="12" t="s">
        <v>3</v>
      </c>
      <c r="C23" s="49"/>
      <c r="D23" s="49"/>
      <c r="E23" s="49"/>
      <c r="F23" s="49"/>
      <c r="G23" s="49"/>
      <c r="H23" s="49"/>
      <c r="I23" s="49"/>
      <c r="J23" s="49"/>
      <c r="K23" s="13">
        <v>5030678.5999999996</v>
      </c>
      <c r="L23" s="13">
        <v>4981106.3</v>
      </c>
      <c r="M23" s="13">
        <v>5599360.7999999998</v>
      </c>
      <c r="N23" s="13">
        <v>4202399.5</v>
      </c>
      <c r="O23" s="13">
        <v>5039040</v>
      </c>
      <c r="P23" s="13">
        <v>4807615.9000000004</v>
      </c>
      <c r="Q23" s="13">
        <v>4819602</v>
      </c>
      <c r="R23" s="13">
        <v>4629229</v>
      </c>
    </row>
    <row r="24" spans="1:18" s="4" customFormat="1">
      <c r="A24" s="511"/>
      <c r="B24" s="12" t="s">
        <v>4</v>
      </c>
      <c r="C24" s="49"/>
      <c r="D24" s="49"/>
      <c r="E24" s="49"/>
      <c r="F24" s="49"/>
      <c r="G24" s="49"/>
      <c r="H24" s="49"/>
      <c r="I24" s="49"/>
      <c r="J24" s="49"/>
      <c r="K24" s="13">
        <v>3822264.2</v>
      </c>
      <c r="L24" s="13">
        <v>5763275</v>
      </c>
      <c r="M24" s="13">
        <v>6977188.5</v>
      </c>
      <c r="N24" s="13">
        <v>5304071.4000000004</v>
      </c>
      <c r="O24" s="13">
        <v>5626192.2999999998</v>
      </c>
      <c r="P24" s="13">
        <v>4726986.2</v>
      </c>
      <c r="Q24" s="13">
        <v>5049035</v>
      </c>
      <c r="R24" s="13">
        <v>4265054</v>
      </c>
    </row>
    <row r="25" spans="1:18" s="4" customFormat="1">
      <c r="A25" s="511"/>
      <c r="B25" s="15" t="s">
        <v>5</v>
      </c>
      <c r="C25" s="50"/>
      <c r="D25" s="50"/>
      <c r="E25" s="50"/>
      <c r="F25" s="50"/>
      <c r="G25" s="50"/>
      <c r="H25" s="50"/>
      <c r="I25" s="50"/>
      <c r="J25" s="50"/>
      <c r="K25" s="16">
        <v>12952353</v>
      </c>
      <c r="L25" s="16">
        <v>14318498.300000001</v>
      </c>
      <c r="M25" s="16">
        <v>16433211.5</v>
      </c>
      <c r="N25" s="16">
        <v>12879723.300000001</v>
      </c>
      <c r="O25" s="16">
        <v>14456162.6</v>
      </c>
      <c r="P25" s="16">
        <v>12592569.800000001</v>
      </c>
      <c r="Q25" s="16">
        <v>12585739</v>
      </c>
      <c r="R25" s="16">
        <v>11418807</v>
      </c>
    </row>
    <row r="26" spans="1:18" s="4" customFormat="1">
      <c r="A26" s="512"/>
      <c r="B26" s="15" t="s">
        <v>6</v>
      </c>
      <c r="C26" s="50"/>
      <c r="D26" s="50"/>
      <c r="E26" s="50"/>
      <c r="F26" s="50"/>
      <c r="G26" s="50"/>
      <c r="H26" s="50"/>
      <c r="I26" s="50"/>
      <c r="J26" s="50"/>
      <c r="K26" s="16">
        <v>618108.5</v>
      </c>
      <c r="L26" s="16">
        <v>590891.5</v>
      </c>
      <c r="M26" s="16">
        <v>804294.3</v>
      </c>
      <c r="N26" s="16">
        <v>551541.19999999995</v>
      </c>
      <c r="O26" s="16">
        <v>531790.1</v>
      </c>
      <c r="P26" s="16">
        <v>410668</v>
      </c>
      <c r="Q26" s="16">
        <v>347341</v>
      </c>
      <c r="R26" s="16">
        <v>202493</v>
      </c>
    </row>
    <row r="27" spans="1:18" s="48" customFormat="1" ht="16.5" customHeight="1">
      <c r="A27" s="510" t="s">
        <v>17</v>
      </c>
      <c r="B27" s="45" t="s">
        <v>8</v>
      </c>
      <c r="C27" s="46"/>
      <c r="D27" s="46"/>
      <c r="E27" s="46"/>
      <c r="F27" s="46"/>
      <c r="G27" s="46"/>
      <c r="H27" s="46"/>
      <c r="I27" s="46"/>
      <c r="J27" s="46"/>
      <c r="K27" s="47">
        <v>214435</v>
      </c>
      <c r="L27" s="47">
        <v>214390</v>
      </c>
      <c r="M27" s="47">
        <v>264611</v>
      </c>
      <c r="N27" s="47">
        <v>229772</v>
      </c>
      <c r="O27" s="47">
        <v>252758</v>
      </c>
      <c r="P27" s="47">
        <v>235305</v>
      </c>
      <c r="Q27" s="47">
        <v>247919</v>
      </c>
      <c r="R27" s="47">
        <v>248892</v>
      </c>
    </row>
    <row r="28" spans="1:18" s="4" customFormat="1">
      <c r="A28" s="511"/>
      <c r="B28" s="12" t="s">
        <v>2</v>
      </c>
      <c r="C28" s="49"/>
      <c r="D28" s="49"/>
      <c r="E28" s="49"/>
      <c r="F28" s="49"/>
      <c r="G28" s="49"/>
      <c r="H28" s="49"/>
      <c r="I28" s="49"/>
      <c r="J28" s="49"/>
      <c r="K28" s="13">
        <v>62333</v>
      </c>
      <c r="L28" s="13">
        <v>50593</v>
      </c>
      <c r="M28" s="13">
        <v>63331</v>
      </c>
      <c r="N28" s="13">
        <v>55348</v>
      </c>
      <c r="O28" s="13">
        <v>59092</v>
      </c>
      <c r="P28" s="13">
        <v>52696</v>
      </c>
      <c r="Q28" s="13">
        <v>54433</v>
      </c>
      <c r="R28" s="13">
        <v>48127</v>
      </c>
    </row>
    <row r="29" spans="1:18" s="4" customFormat="1">
      <c r="A29" s="511"/>
      <c r="B29" s="12" t="s">
        <v>3</v>
      </c>
      <c r="C29" s="49"/>
      <c r="D29" s="49"/>
      <c r="E29" s="49"/>
      <c r="F29" s="49"/>
      <c r="G29" s="49"/>
      <c r="H29" s="49"/>
      <c r="I29" s="49"/>
      <c r="J29" s="49"/>
      <c r="K29" s="13">
        <v>86477</v>
      </c>
      <c r="L29" s="13">
        <v>82102</v>
      </c>
      <c r="M29" s="13">
        <v>97464</v>
      </c>
      <c r="N29" s="13">
        <v>84623</v>
      </c>
      <c r="O29" s="13">
        <v>100126</v>
      </c>
      <c r="P29" s="13">
        <v>96120</v>
      </c>
      <c r="Q29" s="13">
        <v>101092</v>
      </c>
      <c r="R29" s="13">
        <v>112196</v>
      </c>
    </row>
    <row r="30" spans="1:18" s="4" customFormat="1">
      <c r="A30" s="511"/>
      <c r="B30" s="12" t="s">
        <v>4</v>
      </c>
      <c r="C30" s="49"/>
      <c r="D30" s="49"/>
      <c r="E30" s="49"/>
      <c r="F30" s="49"/>
      <c r="G30" s="49"/>
      <c r="H30" s="49"/>
      <c r="I30" s="49"/>
      <c r="J30" s="49"/>
      <c r="K30" s="13">
        <v>61353</v>
      </c>
      <c r="L30" s="13">
        <v>79997</v>
      </c>
      <c r="M30" s="13">
        <v>103594</v>
      </c>
      <c r="N30" s="13">
        <v>90059</v>
      </c>
      <c r="O30" s="13">
        <v>93139</v>
      </c>
      <c r="P30" s="13">
        <v>86977</v>
      </c>
      <c r="Q30" s="13">
        <v>93770</v>
      </c>
      <c r="R30" s="13">
        <v>93281</v>
      </c>
    </row>
    <row r="31" spans="1:18" s="4" customFormat="1">
      <c r="A31" s="511"/>
      <c r="B31" s="15" t="s">
        <v>5</v>
      </c>
      <c r="C31" s="50"/>
      <c r="D31" s="50"/>
      <c r="E31" s="50"/>
      <c r="F31" s="50"/>
      <c r="G31" s="50"/>
      <c r="H31" s="50"/>
      <c r="I31" s="50"/>
      <c r="J31" s="50"/>
      <c r="K31" s="16">
        <v>200349</v>
      </c>
      <c r="L31" s="16">
        <v>201152</v>
      </c>
      <c r="M31" s="16">
        <v>240962</v>
      </c>
      <c r="N31" s="16">
        <v>210365</v>
      </c>
      <c r="O31" s="16">
        <v>231262</v>
      </c>
      <c r="P31" s="16">
        <v>212394</v>
      </c>
      <c r="Q31" s="16">
        <v>224062</v>
      </c>
      <c r="R31" s="16">
        <v>234866</v>
      </c>
    </row>
    <row r="32" spans="1:18" s="4" customFormat="1">
      <c r="A32" s="512"/>
      <c r="B32" s="15" t="s">
        <v>6</v>
      </c>
      <c r="C32" s="50"/>
      <c r="D32" s="50"/>
      <c r="E32" s="50"/>
      <c r="F32" s="50"/>
      <c r="G32" s="50"/>
      <c r="H32" s="50"/>
      <c r="I32" s="50"/>
      <c r="J32" s="50"/>
      <c r="K32" s="16">
        <v>21508</v>
      </c>
      <c r="L32" s="16">
        <v>19579</v>
      </c>
      <c r="M32" s="16">
        <v>30562</v>
      </c>
      <c r="N32" s="16">
        <v>27012</v>
      </c>
      <c r="O32" s="16">
        <v>28413</v>
      </c>
      <c r="P32" s="16">
        <v>25250</v>
      </c>
      <c r="Q32" s="16">
        <v>24922</v>
      </c>
      <c r="R32" s="16">
        <v>23322</v>
      </c>
    </row>
    <row r="33" spans="1:18" s="4" customFormat="1" ht="16.5" customHeight="1">
      <c r="A33" s="510" t="s">
        <v>18</v>
      </c>
      <c r="B33" s="51" t="s">
        <v>8</v>
      </c>
      <c r="C33" s="52"/>
      <c r="D33" s="52"/>
      <c r="E33" s="52"/>
      <c r="F33" s="52"/>
      <c r="G33" s="52"/>
      <c r="H33" s="52"/>
      <c r="I33" s="52"/>
      <c r="J33" s="52"/>
      <c r="K33" s="53">
        <f t="shared" ref="K33:R38" si="0">K21/K27</f>
        <v>63.699020682258023</v>
      </c>
      <c r="L33" s="53">
        <f t="shared" si="0"/>
        <v>69.792904053360701</v>
      </c>
      <c r="M33" s="53">
        <f t="shared" si="0"/>
        <v>65.87979449078081</v>
      </c>
      <c r="N33" s="53">
        <f t="shared" si="0"/>
        <v>58.863508173319637</v>
      </c>
      <c r="O33" s="53">
        <f t="shared" si="0"/>
        <v>60.004372561897149</v>
      </c>
      <c r="P33" s="53">
        <f t="shared" si="0"/>
        <v>56.623466564671389</v>
      </c>
      <c r="Q33" s="53">
        <f t="shared" si="0"/>
        <v>54.783417164477108</v>
      </c>
      <c r="R33" s="53">
        <f t="shared" si="0"/>
        <v>47.037377657779281</v>
      </c>
    </row>
    <row r="34" spans="1:18" s="4" customFormat="1">
      <c r="A34" s="511"/>
      <c r="B34" s="19" t="s">
        <v>2</v>
      </c>
      <c r="C34" s="54"/>
      <c r="D34" s="54"/>
      <c r="E34" s="54"/>
      <c r="F34" s="54"/>
      <c r="G34" s="54"/>
      <c r="H34" s="54"/>
      <c r="I34" s="54"/>
      <c r="J34" s="54"/>
      <c r="K34" s="20">
        <f t="shared" si="0"/>
        <v>71.277154958047916</v>
      </c>
      <c r="L34" s="20">
        <f t="shared" si="0"/>
        <v>77.792232126974085</v>
      </c>
      <c r="M34" s="20">
        <f t="shared" si="0"/>
        <v>72.805903901722701</v>
      </c>
      <c r="N34" s="20">
        <f t="shared" si="0"/>
        <v>69.457664233576637</v>
      </c>
      <c r="O34" s="20">
        <f t="shared" si="0"/>
        <v>72.175394300412918</v>
      </c>
      <c r="P34" s="20">
        <f t="shared" si="0"/>
        <v>68.594809852740241</v>
      </c>
      <c r="Q34" s="20">
        <f t="shared" si="0"/>
        <v>66.463579078867596</v>
      </c>
      <c r="R34" s="20">
        <f t="shared" si="0"/>
        <v>59.490265339622248</v>
      </c>
    </row>
    <row r="35" spans="1:18" s="4" customFormat="1">
      <c r="A35" s="511"/>
      <c r="B35" s="19" t="s">
        <v>3</v>
      </c>
      <c r="C35" s="54"/>
      <c r="D35" s="54"/>
      <c r="E35" s="54"/>
      <c r="F35" s="54"/>
      <c r="G35" s="54"/>
      <c r="H35" s="54"/>
      <c r="I35" s="54"/>
      <c r="J35" s="54"/>
      <c r="K35" s="20">
        <f t="shared" si="0"/>
        <v>58.173602229494541</v>
      </c>
      <c r="L35" s="20">
        <f t="shared" si="0"/>
        <v>60.669731553433529</v>
      </c>
      <c r="M35" s="20">
        <f t="shared" si="0"/>
        <v>57.450554050726417</v>
      </c>
      <c r="N35" s="20">
        <f t="shared" si="0"/>
        <v>49.660251940961679</v>
      </c>
      <c r="O35" s="20">
        <f t="shared" si="0"/>
        <v>50.326987995126139</v>
      </c>
      <c r="P35" s="20">
        <f t="shared" si="0"/>
        <v>50.016811277569708</v>
      </c>
      <c r="Q35" s="20">
        <f t="shared" si="0"/>
        <v>47.675404581964941</v>
      </c>
      <c r="R35" s="20">
        <f t="shared" si="0"/>
        <v>41.260196441940892</v>
      </c>
    </row>
    <row r="36" spans="1:18" s="4" customFormat="1">
      <c r="A36" s="511"/>
      <c r="B36" s="19" t="s">
        <v>4</v>
      </c>
      <c r="C36" s="54"/>
      <c r="D36" s="54"/>
      <c r="E36" s="54"/>
      <c r="F36" s="54"/>
      <c r="G36" s="54"/>
      <c r="H36" s="54"/>
      <c r="I36" s="54"/>
      <c r="J36" s="54"/>
      <c r="K36" s="20">
        <f t="shared" si="0"/>
        <v>62.299548514335079</v>
      </c>
      <c r="L36" s="20">
        <f t="shared" si="0"/>
        <v>72.043639136467618</v>
      </c>
      <c r="M36" s="20">
        <f t="shared" si="0"/>
        <v>67.351279996911018</v>
      </c>
      <c r="N36" s="20">
        <f t="shared" si="0"/>
        <v>58.895517383048897</v>
      </c>
      <c r="O36" s="20">
        <f t="shared" si="0"/>
        <v>60.406406553645624</v>
      </c>
      <c r="P36" s="20">
        <f t="shared" si="0"/>
        <v>54.347542453752141</v>
      </c>
      <c r="Q36" s="20">
        <f t="shared" si="0"/>
        <v>53.8448864242295</v>
      </c>
      <c r="R36" s="20">
        <f t="shared" si="0"/>
        <v>45.722644482799282</v>
      </c>
    </row>
    <row r="37" spans="1:18" s="4" customFormat="1">
      <c r="A37" s="511"/>
      <c r="B37" s="19" t="s">
        <v>5</v>
      </c>
      <c r="C37" s="54"/>
      <c r="D37" s="54"/>
      <c r="E37" s="54"/>
      <c r="F37" s="54"/>
      <c r="G37" s="54"/>
      <c r="H37" s="54"/>
      <c r="I37" s="54"/>
      <c r="J37" s="54"/>
      <c r="K37" s="20">
        <f t="shared" si="0"/>
        <v>64.648952577751828</v>
      </c>
      <c r="L37" s="20">
        <f t="shared" si="0"/>
        <v>71.182480412822144</v>
      </c>
      <c r="M37" s="20">
        <f t="shared" si="0"/>
        <v>68.198352852316958</v>
      </c>
      <c r="N37" s="20">
        <f t="shared" si="0"/>
        <v>61.225599790839738</v>
      </c>
      <c r="O37" s="20">
        <f t="shared" si="0"/>
        <v>62.509891811019536</v>
      </c>
      <c r="P37" s="20">
        <f t="shared" si="0"/>
        <v>59.288726611862863</v>
      </c>
      <c r="Q37" s="20">
        <f t="shared" si="0"/>
        <v>56.170787549874589</v>
      </c>
      <c r="R37" s="20">
        <f t="shared" si="0"/>
        <v>48.618390912264864</v>
      </c>
    </row>
    <row r="38" spans="1:18" s="4" customFormat="1">
      <c r="A38" s="512"/>
      <c r="B38" s="19" t="s">
        <v>6</v>
      </c>
      <c r="C38" s="54"/>
      <c r="D38" s="54"/>
      <c r="E38" s="54"/>
      <c r="F38" s="54"/>
      <c r="G38" s="54"/>
      <c r="H38" s="54"/>
      <c r="I38" s="54"/>
      <c r="J38" s="54"/>
      <c r="K38" s="20">
        <f t="shared" si="0"/>
        <v>28.738539148223918</v>
      </c>
      <c r="L38" s="20">
        <f t="shared" si="0"/>
        <v>30.179861075642268</v>
      </c>
      <c r="M38" s="20">
        <f t="shared" si="0"/>
        <v>26.316808454944049</v>
      </c>
      <c r="N38" s="20">
        <f t="shared" si="0"/>
        <v>20.418377017621797</v>
      </c>
      <c r="O38" s="20">
        <f t="shared" si="0"/>
        <v>18.716436138387358</v>
      </c>
      <c r="P38" s="20">
        <f t="shared" si="0"/>
        <v>16.264079207920791</v>
      </c>
      <c r="Q38" s="20">
        <f t="shared" si="0"/>
        <v>13.937123826338174</v>
      </c>
      <c r="R38" s="20">
        <f t="shared" si="0"/>
        <v>8.6824886373381354</v>
      </c>
    </row>
    <row r="39" spans="1:18" s="346" customFormat="1" ht="16.350000000000001" customHeight="1">
      <c r="A39" s="501" t="s">
        <v>449</v>
      </c>
      <c r="B39" s="206" t="s">
        <v>450</v>
      </c>
      <c r="C39" s="347"/>
      <c r="D39" s="347"/>
      <c r="E39" s="347"/>
      <c r="F39" s="347"/>
      <c r="G39" s="347"/>
      <c r="H39" s="347"/>
      <c r="I39" s="347"/>
      <c r="J39" s="347"/>
      <c r="K39" s="343">
        <v>263513</v>
      </c>
      <c r="L39" s="343">
        <v>233685</v>
      </c>
      <c r="M39" s="343">
        <v>250404</v>
      </c>
      <c r="N39" s="343">
        <v>226329</v>
      </c>
      <c r="O39" s="343">
        <v>234485</v>
      </c>
      <c r="P39" s="343">
        <v>217395</v>
      </c>
      <c r="Q39" s="343">
        <v>237058</v>
      </c>
      <c r="R39" s="343"/>
    </row>
    <row r="40" spans="1:18" s="346" customFormat="1" ht="16.350000000000001" customHeight="1">
      <c r="A40" s="502"/>
      <c r="B40" s="194" t="s">
        <v>5</v>
      </c>
      <c r="C40" s="348"/>
      <c r="D40" s="348"/>
      <c r="E40" s="348"/>
      <c r="F40" s="348"/>
      <c r="G40" s="348"/>
      <c r="H40" s="348"/>
      <c r="I40" s="348"/>
      <c r="J40" s="348"/>
      <c r="K40" s="345">
        <v>233086</v>
      </c>
      <c r="L40" s="345">
        <v>204942</v>
      </c>
      <c r="M40" s="345">
        <v>217367</v>
      </c>
      <c r="N40" s="345">
        <v>201147</v>
      </c>
      <c r="O40" s="345">
        <v>210112</v>
      </c>
      <c r="P40" s="345">
        <v>192896</v>
      </c>
      <c r="Q40" s="345">
        <v>206798</v>
      </c>
      <c r="R40" s="345"/>
    </row>
    <row r="41" spans="1:18" s="346" customFormat="1" ht="16.350000000000001" customHeight="1">
      <c r="A41" s="503"/>
      <c r="B41" s="194" t="s">
        <v>6</v>
      </c>
      <c r="C41" s="348"/>
      <c r="D41" s="348"/>
      <c r="E41" s="348"/>
      <c r="F41" s="348"/>
      <c r="G41" s="348"/>
      <c r="H41" s="348"/>
      <c r="I41" s="348"/>
      <c r="J41" s="348"/>
      <c r="K41" s="345">
        <v>57683</v>
      </c>
      <c r="L41" s="345">
        <v>52918</v>
      </c>
      <c r="M41" s="345">
        <v>57140</v>
      </c>
      <c r="N41" s="345">
        <v>44946</v>
      </c>
      <c r="O41" s="345">
        <v>47165</v>
      </c>
      <c r="P41" s="345">
        <v>42491</v>
      </c>
      <c r="Q41" s="345">
        <v>44509</v>
      </c>
      <c r="R41" s="345"/>
    </row>
    <row r="42" spans="1:18" s="346" customFormat="1" ht="16.350000000000001" customHeight="1">
      <c r="A42" s="501" t="s">
        <v>451</v>
      </c>
      <c r="B42" s="206" t="s">
        <v>450</v>
      </c>
      <c r="C42" s="347"/>
      <c r="D42" s="347"/>
      <c r="E42" s="347"/>
      <c r="F42" s="347"/>
      <c r="G42" s="347"/>
      <c r="H42" s="347"/>
      <c r="I42" s="347"/>
      <c r="J42" s="347"/>
      <c r="K42" s="343">
        <v>127200</v>
      </c>
      <c r="L42" s="343">
        <v>110213</v>
      </c>
      <c r="M42" s="343">
        <v>108822</v>
      </c>
      <c r="N42" s="343">
        <v>98039</v>
      </c>
      <c r="O42" s="343">
        <v>112372</v>
      </c>
      <c r="P42" s="343">
        <v>104136</v>
      </c>
      <c r="Q42" s="343">
        <v>78435</v>
      </c>
      <c r="R42" s="343"/>
    </row>
    <row r="43" spans="1:18" s="346" customFormat="1" ht="16.350000000000001" customHeight="1">
      <c r="A43" s="502"/>
      <c r="B43" s="194" t="s">
        <v>5</v>
      </c>
      <c r="C43" s="348"/>
      <c r="D43" s="348"/>
      <c r="E43" s="348"/>
      <c r="F43" s="348"/>
      <c r="G43" s="348"/>
      <c r="H43" s="348"/>
      <c r="I43" s="348"/>
      <c r="J43" s="348"/>
      <c r="K43" s="345">
        <v>118317</v>
      </c>
      <c r="L43" s="345">
        <v>101648</v>
      </c>
      <c r="M43" s="345">
        <v>97525</v>
      </c>
      <c r="N43" s="345">
        <v>90012</v>
      </c>
      <c r="O43" s="345">
        <v>105178</v>
      </c>
      <c r="P43" s="345">
        <v>96671</v>
      </c>
      <c r="Q43" s="345">
        <v>69544</v>
      </c>
      <c r="R43" s="345"/>
    </row>
    <row r="44" spans="1:18" s="346" customFormat="1" ht="16.350000000000001" customHeight="1">
      <c r="A44" s="503"/>
      <c r="B44" s="194" t="s">
        <v>6</v>
      </c>
      <c r="C44" s="348"/>
      <c r="D44" s="348"/>
      <c r="E44" s="348"/>
      <c r="F44" s="348"/>
      <c r="G44" s="348"/>
      <c r="H44" s="348"/>
      <c r="I44" s="348"/>
      <c r="J44" s="348"/>
      <c r="K44" s="345">
        <v>24368</v>
      </c>
      <c r="L44" s="345">
        <v>23792</v>
      </c>
      <c r="M44" s="345">
        <v>25440</v>
      </c>
      <c r="N44" s="345">
        <v>19886</v>
      </c>
      <c r="O44" s="345">
        <v>21295</v>
      </c>
      <c r="P44" s="345">
        <v>18645</v>
      </c>
      <c r="Q44" s="345">
        <v>16839</v>
      </c>
      <c r="R44" s="345"/>
    </row>
    <row r="45" spans="1:18" s="346" customFormat="1" ht="16.350000000000001" customHeight="1">
      <c r="A45" s="501" t="s">
        <v>452</v>
      </c>
      <c r="B45" s="265" t="s">
        <v>453</v>
      </c>
      <c r="C45" s="347"/>
      <c r="D45" s="347"/>
      <c r="E45" s="347"/>
      <c r="F45" s="347"/>
      <c r="G45" s="347"/>
      <c r="H45" s="347"/>
      <c r="I45" s="347"/>
      <c r="J45" s="347"/>
      <c r="K45" s="343">
        <v>10725</v>
      </c>
      <c r="L45" s="343">
        <v>12732</v>
      </c>
      <c r="M45" s="343">
        <v>16048</v>
      </c>
      <c r="N45" s="343">
        <v>13124</v>
      </c>
      <c r="O45" s="343">
        <v>14139</v>
      </c>
      <c r="P45" s="343">
        <v>13425</v>
      </c>
      <c r="Q45" s="343">
        <v>14496</v>
      </c>
      <c r="R45" s="343"/>
    </row>
    <row r="46" spans="1:18" s="346" customFormat="1" ht="16.350000000000001" customHeight="1">
      <c r="A46" s="502"/>
      <c r="B46" s="349" t="s">
        <v>5</v>
      </c>
      <c r="C46" s="348"/>
      <c r="D46" s="348"/>
      <c r="E46" s="348"/>
      <c r="F46" s="348"/>
      <c r="G46" s="348"/>
      <c r="H46" s="348"/>
      <c r="I46" s="348"/>
      <c r="J46" s="348"/>
      <c r="K46" s="345">
        <v>9413</v>
      </c>
      <c r="L46" s="345">
        <v>11355</v>
      </c>
      <c r="M46" s="345">
        <v>13724</v>
      </c>
      <c r="N46" s="345">
        <v>11374</v>
      </c>
      <c r="O46" s="345">
        <v>11898</v>
      </c>
      <c r="P46" s="345">
        <v>11992</v>
      </c>
      <c r="Q46" s="345">
        <v>12679</v>
      </c>
      <c r="R46" s="345"/>
    </row>
    <row r="47" spans="1:18" s="346" customFormat="1" ht="16.350000000000001" customHeight="1">
      <c r="A47" s="503"/>
      <c r="B47" s="349" t="s">
        <v>6</v>
      </c>
      <c r="C47" s="348"/>
      <c r="D47" s="348"/>
      <c r="E47" s="348"/>
      <c r="F47" s="348"/>
      <c r="G47" s="348"/>
      <c r="H47" s="348"/>
      <c r="I47" s="348"/>
      <c r="J47" s="348"/>
      <c r="K47" s="345">
        <v>1415</v>
      </c>
      <c r="L47" s="345">
        <v>1430</v>
      </c>
      <c r="M47" s="345">
        <v>2218</v>
      </c>
      <c r="N47" s="345">
        <v>1657</v>
      </c>
      <c r="O47" s="345">
        <v>2147</v>
      </c>
      <c r="P47" s="345">
        <v>1337</v>
      </c>
      <c r="Q47" s="345">
        <v>4056</v>
      </c>
      <c r="R47" s="345"/>
    </row>
    <row r="48" spans="1:18" s="352" customFormat="1" ht="16.350000000000001" customHeight="1">
      <c r="A48" s="504" t="s">
        <v>454</v>
      </c>
      <c r="B48" s="350" t="s">
        <v>450</v>
      </c>
      <c r="C48" s="350"/>
      <c r="D48" s="350"/>
      <c r="E48" s="350"/>
      <c r="F48" s="350"/>
      <c r="G48" s="350"/>
      <c r="H48" s="350"/>
      <c r="I48" s="350"/>
      <c r="J48" s="350"/>
      <c r="K48" s="351">
        <f t="shared" ref="K48:P50" si="1">K42/K39</f>
        <v>0.4827086329706694</v>
      </c>
      <c r="L48" s="351">
        <f t="shared" si="1"/>
        <v>0.47163061386053878</v>
      </c>
      <c r="M48" s="351">
        <f t="shared" si="1"/>
        <v>0.43458570949345859</v>
      </c>
      <c r="N48" s="351">
        <f t="shared" si="1"/>
        <v>0.43317029633851606</v>
      </c>
      <c r="O48" s="351">
        <f t="shared" si="1"/>
        <v>0.47922894854681536</v>
      </c>
      <c r="P48" s="351">
        <f t="shared" si="1"/>
        <v>0.47901745670323603</v>
      </c>
      <c r="Q48" s="351">
        <v>0.33086839507631044</v>
      </c>
      <c r="R48" s="351"/>
    </row>
    <row r="49" spans="1:18" s="352" customFormat="1" ht="16.350000000000001" customHeight="1">
      <c r="A49" s="505"/>
      <c r="B49" s="353" t="s">
        <v>5</v>
      </c>
      <c r="C49" s="353"/>
      <c r="D49" s="353"/>
      <c r="E49" s="353"/>
      <c r="F49" s="353"/>
      <c r="G49" s="353"/>
      <c r="H49" s="353"/>
      <c r="I49" s="353"/>
      <c r="J49" s="353"/>
      <c r="K49" s="354">
        <f t="shared" si="1"/>
        <v>0.50761092472306357</v>
      </c>
      <c r="L49" s="354">
        <f t="shared" si="1"/>
        <v>0.49598422968449613</v>
      </c>
      <c r="M49" s="354">
        <f t="shared" si="1"/>
        <v>0.44866516076497354</v>
      </c>
      <c r="N49" s="354">
        <f t="shared" si="1"/>
        <v>0.44749362406598159</v>
      </c>
      <c r="O49" s="354">
        <f t="shared" si="1"/>
        <v>0.50058064270484315</v>
      </c>
      <c r="P49" s="354">
        <f t="shared" si="1"/>
        <v>0.50115606337093566</v>
      </c>
      <c r="Q49" s="354">
        <v>0.33628951924099848</v>
      </c>
      <c r="R49" s="354"/>
    </row>
    <row r="50" spans="1:18" s="352" customFormat="1" ht="16.350000000000001" customHeight="1">
      <c r="A50" s="506"/>
      <c r="B50" s="353" t="s">
        <v>6</v>
      </c>
      <c r="C50" s="353"/>
      <c r="D50" s="353"/>
      <c r="E50" s="353"/>
      <c r="F50" s="353"/>
      <c r="G50" s="353"/>
      <c r="H50" s="353"/>
      <c r="I50" s="353"/>
      <c r="J50" s="353"/>
      <c r="K50" s="354">
        <f t="shared" si="1"/>
        <v>0.42244682142052253</v>
      </c>
      <c r="L50" s="354">
        <f t="shared" si="1"/>
        <v>0.44960126988926263</v>
      </c>
      <c r="M50" s="354">
        <f t="shared" si="1"/>
        <v>0.44522226111305563</v>
      </c>
      <c r="N50" s="354">
        <f t="shared" si="1"/>
        <v>0.44244204156098427</v>
      </c>
      <c r="O50" s="354">
        <f t="shared" si="1"/>
        <v>0.45150005300540658</v>
      </c>
      <c r="P50" s="354">
        <f t="shared" si="1"/>
        <v>0.43879880445270764</v>
      </c>
      <c r="Q50" s="354">
        <v>0.37832797861106743</v>
      </c>
      <c r="R50" s="354"/>
    </row>
    <row r="51" spans="1:18" s="352" customFormat="1" ht="16.350000000000001" customHeight="1">
      <c r="A51" s="504" t="s">
        <v>455</v>
      </c>
      <c r="B51" s="350" t="s">
        <v>450</v>
      </c>
      <c r="C51" s="350"/>
      <c r="D51" s="350"/>
      <c r="E51" s="350"/>
      <c r="F51" s="350"/>
      <c r="G51" s="350"/>
      <c r="H51" s="350"/>
      <c r="I51" s="350"/>
      <c r="J51" s="350"/>
      <c r="K51" s="351">
        <f t="shared" ref="K51:P53" si="2">K45/K39</f>
        <v>4.070007931297507E-2</v>
      </c>
      <c r="L51" s="351">
        <f t="shared" si="2"/>
        <v>5.4483599717568519E-2</v>
      </c>
      <c r="M51" s="351">
        <f t="shared" si="2"/>
        <v>6.4088433092123129E-2</v>
      </c>
      <c r="N51" s="351">
        <f t="shared" si="2"/>
        <v>5.7986382655338023E-2</v>
      </c>
      <c r="O51" s="351">
        <f t="shared" si="2"/>
        <v>6.0298100091690301E-2</v>
      </c>
      <c r="P51" s="351">
        <f t="shared" si="2"/>
        <v>6.1753950182846892E-2</v>
      </c>
      <c r="Q51" s="351">
        <v>6.1149592082950163E-2</v>
      </c>
      <c r="R51" s="351"/>
    </row>
    <row r="52" spans="1:18" s="352" customFormat="1" ht="16.350000000000001" customHeight="1">
      <c r="A52" s="505"/>
      <c r="B52" s="353" t="s">
        <v>5</v>
      </c>
      <c r="C52" s="353"/>
      <c r="D52" s="353"/>
      <c r="E52" s="353"/>
      <c r="F52" s="353"/>
      <c r="G52" s="353"/>
      <c r="H52" s="353"/>
      <c r="I52" s="353"/>
      <c r="J52" s="353"/>
      <c r="K52" s="354">
        <f t="shared" si="2"/>
        <v>4.03842358614417E-2</v>
      </c>
      <c r="L52" s="354">
        <f t="shared" si="2"/>
        <v>5.5405919723629127E-2</v>
      </c>
      <c r="M52" s="354">
        <f t="shared" si="2"/>
        <v>6.3137458767890245E-2</v>
      </c>
      <c r="N52" s="354">
        <f t="shared" si="2"/>
        <v>5.654571035113623E-2</v>
      </c>
      <c r="O52" s="354">
        <f t="shared" si="2"/>
        <v>5.6626941821504718E-2</v>
      </c>
      <c r="P52" s="354">
        <f t="shared" si="2"/>
        <v>6.2168214996682153E-2</v>
      </c>
      <c r="Q52" s="354">
        <v>6.131103782435033E-2</v>
      </c>
      <c r="R52" s="354"/>
    </row>
    <row r="53" spans="1:18" s="352" customFormat="1" ht="16.350000000000001" customHeight="1">
      <c r="A53" s="506"/>
      <c r="B53" s="353" t="s">
        <v>6</v>
      </c>
      <c r="C53" s="353"/>
      <c r="D53" s="353"/>
      <c r="E53" s="353"/>
      <c r="F53" s="353"/>
      <c r="G53" s="353"/>
      <c r="H53" s="353"/>
      <c r="I53" s="353"/>
      <c r="J53" s="353"/>
      <c r="K53" s="354">
        <f t="shared" si="2"/>
        <v>2.4530624274049548E-2</v>
      </c>
      <c r="L53" s="354">
        <f t="shared" si="2"/>
        <v>2.7022941154238634E-2</v>
      </c>
      <c r="M53" s="354">
        <f t="shared" si="2"/>
        <v>3.8816940847042354E-2</v>
      </c>
      <c r="N53" s="354">
        <f t="shared" si="2"/>
        <v>3.6866461976594135E-2</v>
      </c>
      <c r="O53" s="354">
        <f t="shared" si="2"/>
        <v>4.552104314640093E-2</v>
      </c>
      <c r="P53" s="354">
        <f t="shared" si="2"/>
        <v>3.1465486808971314E-2</v>
      </c>
      <c r="Q53" s="354">
        <v>9.1127637107101936E-2</v>
      </c>
      <c r="R53" s="354"/>
    </row>
    <row r="54" spans="1:18" s="346" customFormat="1" ht="16.350000000000001" customHeight="1">
      <c r="A54" s="501" t="s">
        <v>449</v>
      </c>
      <c r="B54" s="315" t="s">
        <v>456</v>
      </c>
      <c r="C54" s="345"/>
      <c r="D54" s="345"/>
      <c r="E54" s="345"/>
      <c r="F54" s="345"/>
      <c r="G54" s="345"/>
      <c r="H54" s="345"/>
      <c r="I54" s="345"/>
      <c r="J54" s="345"/>
      <c r="K54" s="345">
        <v>107119</v>
      </c>
      <c r="L54" s="345">
        <v>77049</v>
      </c>
      <c r="M54" s="345">
        <v>80846</v>
      </c>
      <c r="N54" s="345">
        <v>69794</v>
      </c>
      <c r="O54" s="345">
        <v>69808</v>
      </c>
      <c r="P54" s="345">
        <v>60765</v>
      </c>
      <c r="Q54" s="345">
        <v>64289</v>
      </c>
      <c r="R54" s="345"/>
    </row>
    <row r="55" spans="1:18" s="346" customFormat="1" ht="16.350000000000001" customHeight="1">
      <c r="A55" s="502"/>
      <c r="B55" s="315" t="s">
        <v>457</v>
      </c>
      <c r="C55" s="345"/>
      <c r="D55" s="345"/>
      <c r="E55" s="345"/>
      <c r="F55" s="345"/>
      <c r="G55" s="345"/>
      <c r="H55" s="345"/>
      <c r="I55" s="345"/>
      <c r="J55" s="345"/>
      <c r="K55" s="345">
        <v>92083</v>
      </c>
      <c r="L55" s="345">
        <v>87223</v>
      </c>
      <c r="M55" s="345">
        <v>85140</v>
      </c>
      <c r="N55" s="345">
        <v>75176</v>
      </c>
      <c r="O55" s="345">
        <v>84136</v>
      </c>
      <c r="P55" s="345">
        <v>82125</v>
      </c>
      <c r="Q55" s="345">
        <v>91311</v>
      </c>
      <c r="R55" s="345"/>
    </row>
    <row r="56" spans="1:18" s="147" customFormat="1" ht="16.350000000000001" customHeight="1">
      <c r="A56" s="503"/>
      <c r="B56" s="315" t="s">
        <v>458</v>
      </c>
      <c r="C56" s="345"/>
      <c r="D56" s="345"/>
      <c r="E56" s="345"/>
      <c r="F56" s="345"/>
      <c r="G56" s="345"/>
      <c r="H56" s="345"/>
      <c r="I56" s="345"/>
      <c r="J56" s="345"/>
      <c r="K56" s="345">
        <v>64815</v>
      </c>
      <c r="L56" s="345">
        <v>69961</v>
      </c>
      <c r="M56" s="345">
        <v>85789</v>
      </c>
      <c r="N56" s="345">
        <v>82260</v>
      </c>
      <c r="O56" s="345">
        <v>80794</v>
      </c>
      <c r="P56" s="345">
        <v>74782</v>
      </c>
      <c r="Q56" s="345">
        <v>80836</v>
      </c>
      <c r="R56" s="345"/>
    </row>
    <row r="57" spans="1:18" s="147" customFormat="1" ht="16.350000000000001" customHeight="1">
      <c r="A57" s="501" t="s">
        <v>459</v>
      </c>
      <c r="B57" s="315" t="s">
        <v>456</v>
      </c>
      <c r="C57" s="345"/>
      <c r="D57" s="345"/>
      <c r="E57" s="345"/>
      <c r="F57" s="345"/>
      <c r="G57" s="345"/>
      <c r="H57" s="345"/>
      <c r="I57" s="345"/>
      <c r="J57" s="345"/>
      <c r="K57" s="345">
        <v>3212</v>
      </c>
      <c r="L57" s="345">
        <v>3107</v>
      </c>
      <c r="M57" s="345">
        <v>4348</v>
      </c>
      <c r="N57" s="345">
        <v>4408</v>
      </c>
      <c r="O57" s="345">
        <v>4559</v>
      </c>
      <c r="P57" s="345">
        <v>3646</v>
      </c>
      <c r="Q57" s="345">
        <v>3603</v>
      </c>
      <c r="R57" s="345"/>
    </row>
    <row r="58" spans="1:18" s="147" customFormat="1" ht="16.350000000000001" customHeight="1">
      <c r="A58" s="502"/>
      <c r="B58" s="315" t="s">
        <v>457</v>
      </c>
      <c r="C58" s="345"/>
      <c r="D58" s="345"/>
      <c r="E58" s="345"/>
      <c r="F58" s="345"/>
      <c r="G58" s="345"/>
      <c r="H58" s="345"/>
      <c r="I58" s="345"/>
      <c r="J58" s="345"/>
      <c r="K58" s="345">
        <v>6334</v>
      </c>
      <c r="L58" s="345">
        <v>7771</v>
      </c>
      <c r="M58" s="345">
        <v>9631</v>
      </c>
      <c r="N58" s="345">
        <v>7496</v>
      </c>
      <c r="O58" s="345">
        <v>8113</v>
      </c>
      <c r="P58" s="345">
        <v>8362</v>
      </c>
      <c r="Q58" s="345">
        <v>9273</v>
      </c>
      <c r="R58" s="345"/>
    </row>
    <row r="59" spans="1:18" s="147" customFormat="1" ht="16.350000000000001" customHeight="1">
      <c r="A59" s="503"/>
      <c r="B59" s="315" t="s">
        <v>458</v>
      </c>
      <c r="C59" s="345"/>
      <c r="D59" s="345"/>
      <c r="E59" s="345"/>
      <c r="F59" s="345"/>
      <c r="G59" s="345"/>
      <c r="H59" s="345"/>
      <c r="I59" s="345"/>
      <c r="J59" s="345"/>
      <c r="K59" s="345">
        <v>2142</v>
      </c>
      <c r="L59" s="345">
        <v>2796</v>
      </c>
      <c r="M59" s="345">
        <v>3244</v>
      </c>
      <c r="N59" s="345">
        <v>2054</v>
      </c>
      <c r="O59" s="345">
        <v>2351</v>
      </c>
      <c r="P59" s="345">
        <v>2266</v>
      </c>
      <c r="Q59" s="345">
        <v>2637</v>
      </c>
      <c r="R59" s="345"/>
    </row>
    <row r="60" spans="1:18" s="216" customFormat="1" ht="16.350000000000001" customHeight="1">
      <c r="A60" s="504" t="s">
        <v>455</v>
      </c>
      <c r="B60" s="354" t="s">
        <v>456</v>
      </c>
      <c r="C60" s="354"/>
      <c r="D60" s="354"/>
      <c r="E60" s="354"/>
      <c r="F60" s="354"/>
      <c r="G60" s="354"/>
      <c r="H60" s="354"/>
      <c r="I60" s="354"/>
      <c r="J60" s="354"/>
      <c r="K60" s="354">
        <f t="shared" ref="K60:P62" si="3">K57/K54</f>
        <v>2.9985343403131096E-2</v>
      </c>
      <c r="L60" s="354">
        <f t="shared" si="3"/>
        <v>4.0324987994652756E-2</v>
      </c>
      <c r="M60" s="354">
        <f t="shared" si="3"/>
        <v>5.378126314227049E-2</v>
      </c>
      <c r="N60" s="354">
        <f t="shared" si="3"/>
        <v>6.3157291457718423E-2</v>
      </c>
      <c r="O60" s="354">
        <f t="shared" si="3"/>
        <v>6.5307701123080444E-2</v>
      </c>
      <c r="P60" s="354">
        <f t="shared" si="3"/>
        <v>6.0001645684193201E-2</v>
      </c>
      <c r="Q60" s="354">
        <v>5.6043802205665044E-2</v>
      </c>
      <c r="R60" s="354"/>
    </row>
    <row r="61" spans="1:18" s="216" customFormat="1" ht="16.350000000000001" customHeight="1">
      <c r="A61" s="505"/>
      <c r="B61" s="354" t="s">
        <v>457</v>
      </c>
      <c r="C61" s="354"/>
      <c r="D61" s="354"/>
      <c r="E61" s="354"/>
      <c r="F61" s="354"/>
      <c r="G61" s="354"/>
      <c r="H61" s="354"/>
      <c r="I61" s="354"/>
      <c r="J61" s="354"/>
      <c r="K61" s="354">
        <f t="shared" si="3"/>
        <v>6.8785769360251076E-2</v>
      </c>
      <c r="L61" s="354">
        <f t="shared" si="3"/>
        <v>8.9093473051832656E-2</v>
      </c>
      <c r="M61" s="354">
        <f t="shared" si="3"/>
        <v>0.11311956777073057</v>
      </c>
      <c r="N61" s="354">
        <f t="shared" si="3"/>
        <v>9.9712674257741829E-2</v>
      </c>
      <c r="O61" s="354">
        <f t="shared" si="3"/>
        <v>9.6427213083578961E-2</v>
      </c>
      <c r="P61" s="354">
        <f t="shared" si="3"/>
        <v>0.10182039573820396</v>
      </c>
      <c r="Q61" s="354">
        <v>0.10155402963498374</v>
      </c>
      <c r="R61" s="354"/>
    </row>
    <row r="62" spans="1:18" s="216" customFormat="1" ht="16.350000000000001" customHeight="1">
      <c r="A62" s="506"/>
      <c r="B62" s="354" t="s">
        <v>458</v>
      </c>
      <c r="C62" s="354"/>
      <c r="D62" s="354"/>
      <c r="E62" s="354"/>
      <c r="F62" s="354"/>
      <c r="G62" s="354"/>
      <c r="H62" s="354"/>
      <c r="I62" s="354"/>
      <c r="J62" s="354"/>
      <c r="K62" s="354">
        <f t="shared" si="3"/>
        <v>3.3047905577412634E-2</v>
      </c>
      <c r="L62" s="354">
        <f t="shared" si="3"/>
        <v>3.9965123425908723E-2</v>
      </c>
      <c r="M62" s="354">
        <f t="shared" si="3"/>
        <v>3.7813705719847532E-2</v>
      </c>
      <c r="N62" s="354">
        <f t="shared" si="3"/>
        <v>2.4969608558230001E-2</v>
      </c>
      <c r="O62" s="354">
        <f t="shared" si="3"/>
        <v>2.9098695447681757E-2</v>
      </c>
      <c r="P62" s="354">
        <f t="shared" si="3"/>
        <v>3.0301409430076757E-2</v>
      </c>
      <c r="Q62" s="354">
        <v>3.2621604235736554E-2</v>
      </c>
      <c r="R62" s="354"/>
    </row>
    <row r="63" spans="1:18" s="346" customFormat="1" ht="16.350000000000001" customHeight="1">
      <c r="A63" s="501" t="s">
        <v>460</v>
      </c>
      <c r="B63" s="209" t="s">
        <v>373</v>
      </c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6">
        <v>360665</v>
      </c>
      <c r="O63" s="356">
        <v>355639</v>
      </c>
      <c r="P63" s="356">
        <v>338814</v>
      </c>
      <c r="Q63" s="344">
        <v>329764</v>
      </c>
      <c r="R63" s="344"/>
    </row>
    <row r="64" spans="1:18" s="346" customFormat="1" ht="16.350000000000001" customHeight="1">
      <c r="A64" s="502"/>
      <c r="B64" s="194" t="s">
        <v>461</v>
      </c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57">
        <v>10004</v>
      </c>
      <c r="O64" s="357">
        <v>12045</v>
      </c>
      <c r="P64" s="357">
        <v>12451</v>
      </c>
      <c r="Q64" s="357">
        <v>12127</v>
      </c>
      <c r="R64" s="357"/>
    </row>
    <row r="65" spans="1:18" s="346" customFormat="1" ht="16.350000000000001" customHeight="1">
      <c r="A65" s="502"/>
      <c r="B65" s="194" t="s">
        <v>462</v>
      </c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57">
        <v>25142</v>
      </c>
      <c r="O65" s="357">
        <v>27495</v>
      </c>
      <c r="P65" s="357">
        <v>26348</v>
      </c>
      <c r="Q65" s="357">
        <v>26629</v>
      </c>
      <c r="R65" s="357"/>
    </row>
    <row r="66" spans="1:18" s="346" customFormat="1" ht="16.350000000000001" customHeight="1">
      <c r="A66" s="502"/>
      <c r="B66" s="194" t="s">
        <v>463</v>
      </c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57">
        <v>133114</v>
      </c>
      <c r="O66" s="357">
        <v>135778</v>
      </c>
      <c r="P66" s="357">
        <v>120529</v>
      </c>
      <c r="Q66" s="357">
        <v>121885</v>
      </c>
      <c r="R66" s="357"/>
    </row>
    <row r="67" spans="1:18" s="346" customFormat="1" ht="16.350000000000001" customHeight="1">
      <c r="A67" s="503"/>
      <c r="B67" s="209" t="s">
        <v>377</v>
      </c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355"/>
      <c r="N67" s="356">
        <v>168260</v>
      </c>
      <c r="O67" s="356">
        <v>175318</v>
      </c>
      <c r="P67" s="356">
        <v>159328</v>
      </c>
      <c r="Q67" s="356">
        <v>160641</v>
      </c>
      <c r="R67" s="356"/>
    </row>
    <row r="68" spans="1:18" s="346" customFormat="1" ht="16.350000000000001" customHeight="1">
      <c r="A68" s="501" t="s">
        <v>464</v>
      </c>
      <c r="B68" s="209" t="s">
        <v>381</v>
      </c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6">
        <v>542367</v>
      </c>
      <c r="O68" s="356">
        <v>545112</v>
      </c>
      <c r="P68" s="356">
        <v>554136</v>
      </c>
      <c r="Q68" s="344">
        <v>565607</v>
      </c>
      <c r="R68" s="344"/>
    </row>
    <row r="69" spans="1:18" s="346" customFormat="1" ht="16.350000000000001" customHeight="1">
      <c r="A69" s="502"/>
      <c r="B69" s="194" t="s">
        <v>382</v>
      </c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57">
        <v>10902</v>
      </c>
      <c r="O69" s="357">
        <v>12781</v>
      </c>
      <c r="P69" s="357">
        <v>12702</v>
      </c>
      <c r="Q69" s="357">
        <v>14007</v>
      </c>
      <c r="R69" s="357"/>
    </row>
    <row r="70" spans="1:18" s="346" customFormat="1" ht="16.350000000000001" customHeight="1">
      <c r="A70" s="502"/>
      <c r="B70" s="194" t="s">
        <v>383</v>
      </c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57">
        <v>19554</v>
      </c>
      <c r="O70" s="357">
        <v>20866</v>
      </c>
      <c r="P70" s="357">
        <v>19409</v>
      </c>
      <c r="Q70" s="357">
        <v>17788</v>
      </c>
      <c r="R70" s="357"/>
    </row>
    <row r="71" spans="1:18" s="346" customFormat="1" ht="16.350000000000001" customHeight="1">
      <c r="A71" s="502"/>
      <c r="B71" s="194" t="s">
        <v>463</v>
      </c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57">
        <v>63436</v>
      </c>
      <c r="O71" s="357">
        <v>75778</v>
      </c>
      <c r="P71" s="357">
        <v>74587</v>
      </c>
      <c r="Q71" s="357">
        <v>84990</v>
      </c>
      <c r="R71" s="357"/>
    </row>
    <row r="72" spans="1:18" s="346" customFormat="1" ht="16.350000000000001" customHeight="1">
      <c r="A72" s="503"/>
      <c r="B72" s="209" t="s">
        <v>385</v>
      </c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6">
        <v>93892</v>
      </c>
      <c r="O72" s="356">
        <v>109425</v>
      </c>
      <c r="P72" s="356">
        <v>106698</v>
      </c>
      <c r="Q72" s="356">
        <v>116785</v>
      </c>
      <c r="R72" s="356"/>
    </row>
    <row r="73" spans="1:18" s="346" customFormat="1" ht="16.350000000000001" customHeight="1">
      <c r="A73" s="501" t="s">
        <v>465</v>
      </c>
      <c r="B73" s="209" t="s">
        <v>389</v>
      </c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6">
        <v>145115</v>
      </c>
      <c r="O73" s="356">
        <v>160927</v>
      </c>
      <c r="P73" s="356">
        <v>164794</v>
      </c>
      <c r="Q73" s="344">
        <v>166174</v>
      </c>
      <c r="R73" s="344"/>
    </row>
    <row r="74" spans="1:18" s="346" customFormat="1" ht="16.350000000000001" customHeight="1">
      <c r="A74" s="502"/>
      <c r="B74" s="194" t="s">
        <v>466</v>
      </c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57">
        <v>15774</v>
      </c>
      <c r="O74" s="357">
        <v>14116</v>
      </c>
      <c r="P74" s="357">
        <v>13133</v>
      </c>
      <c r="Q74" s="357">
        <v>13116</v>
      </c>
      <c r="R74" s="357"/>
    </row>
    <row r="75" spans="1:18" s="346" customFormat="1" ht="16.350000000000001" customHeight="1">
      <c r="A75" s="502"/>
      <c r="B75" s="194" t="s">
        <v>467</v>
      </c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57">
        <v>17519</v>
      </c>
      <c r="O75" s="357">
        <v>19204</v>
      </c>
      <c r="P75" s="357">
        <v>19628</v>
      </c>
      <c r="Q75" s="357">
        <v>20835</v>
      </c>
      <c r="R75" s="357"/>
    </row>
    <row r="76" spans="1:18" s="346" customFormat="1" ht="16.350000000000001" customHeight="1">
      <c r="A76" s="502"/>
      <c r="B76" s="194" t="s">
        <v>463</v>
      </c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57">
        <v>66720</v>
      </c>
      <c r="O76" s="357">
        <v>63974</v>
      </c>
      <c r="P76" s="357">
        <v>59575</v>
      </c>
      <c r="Q76" s="357">
        <v>71301</v>
      </c>
      <c r="R76" s="357"/>
    </row>
    <row r="77" spans="1:18" s="346" customFormat="1" ht="16.350000000000001" customHeight="1">
      <c r="A77" s="503"/>
      <c r="B77" s="209" t="s">
        <v>392</v>
      </c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6">
        <v>100013</v>
      </c>
      <c r="O77" s="356">
        <v>97294</v>
      </c>
      <c r="P77" s="356">
        <v>92336</v>
      </c>
      <c r="Q77" s="356">
        <v>105252</v>
      </c>
      <c r="R77" s="356"/>
    </row>
  </sheetData>
  <mergeCells count="17">
    <mergeCell ref="A15:A20"/>
    <mergeCell ref="A21:A26"/>
    <mergeCell ref="A27:A32"/>
    <mergeCell ref="A33:A38"/>
    <mergeCell ref="A3:A8"/>
    <mergeCell ref="A9:A14"/>
    <mergeCell ref="A57:A59"/>
    <mergeCell ref="A60:A62"/>
    <mergeCell ref="A63:A67"/>
    <mergeCell ref="A68:A72"/>
    <mergeCell ref="A73:A77"/>
    <mergeCell ref="A54:A56"/>
    <mergeCell ref="A39:A41"/>
    <mergeCell ref="A42:A44"/>
    <mergeCell ref="A45:A47"/>
    <mergeCell ref="A48:A50"/>
    <mergeCell ref="A51:A5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showGridLines="0" zoomScaleNormal="100" workbookViewId="0">
      <selection activeCell="L177" sqref="L177"/>
    </sheetView>
  </sheetViews>
  <sheetFormatPr defaultRowHeight="16.5" outlineLevelRow="1"/>
  <cols>
    <col min="1" max="1" width="3.75" style="145" customWidth="1"/>
    <col min="2" max="2" width="11.375" style="150" bestFit="1" customWidth="1"/>
    <col min="3" max="3" width="19.25" style="150" bestFit="1" customWidth="1"/>
    <col min="4" max="9" width="12.875" style="150" customWidth="1"/>
    <col min="10" max="10" width="10.875" style="150" customWidth="1"/>
    <col min="11" max="16384" width="9" style="150"/>
  </cols>
  <sheetData>
    <row r="1" spans="1:10" s="145" customFormat="1">
      <c r="D1" s="145">
        <f>+'图-用户-公式'!K1</f>
        <v>13</v>
      </c>
      <c r="E1" s="145">
        <f>+'图-用户-公式'!L1</f>
        <v>14</v>
      </c>
      <c r="F1" s="145">
        <f>+'图-用户-公式'!M1</f>
        <v>15</v>
      </c>
      <c r="G1" s="145">
        <f>+'图-用户-公式'!N1</f>
        <v>16</v>
      </c>
      <c r="H1" s="145">
        <f>+'图-用户-公式'!O1</f>
        <v>17</v>
      </c>
      <c r="I1" s="145">
        <f>+'图-用户-公式'!P1</f>
        <v>18</v>
      </c>
    </row>
    <row r="2" spans="1:10" ht="21">
      <c r="B2" s="192" t="s">
        <v>328</v>
      </c>
    </row>
    <row r="3" spans="1:10">
      <c r="A3" s="145">
        <v>2</v>
      </c>
      <c r="B3" s="151" t="s">
        <v>329</v>
      </c>
      <c r="C3" s="151" t="s">
        <v>62</v>
      </c>
      <c r="D3" s="151">
        <f ca="1">OFFSET(新用户!$A$1,$A3-1,D$1-1,1,1)</f>
        <v>42795</v>
      </c>
      <c r="E3" s="151">
        <f ca="1">OFFSET(新用户!$A$1,$A3-1,E$1-1,1,1)</f>
        <v>42826</v>
      </c>
      <c r="F3" s="151">
        <f ca="1">OFFSET(新用户!$A$1,$A3-1,F$1-1,1,1)</f>
        <v>42856</v>
      </c>
      <c r="G3" s="151">
        <f ca="1">OFFSET(新用户!$A$1,$A3-1,G$1-1,1,1)</f>
        <v>42887</v>
      </c>
      <c r="H3" s="151">
        <f ca="1">OFFSET(新用户!$A$1,$A3-1,H$1-1,1,1)</f>
        <v>42917</v>
      </c>
      <c r="I3" s="151">
        <f ca="1">OFFSET(新用户!$A$1,$A3-1,I$1-1,1,1)</f>
        <v>42948</v>
      </c>
      <c r="J3" s="152" t="s">
        <v>330</v>
      </c>
    </row>
    <row r="4" spans="1:10" outlineLevel="1">
      <c r="A4" s="145">
        <v>3</v>
      </c>
      <c r="B4" s="519" t="s">
        <v>331</v>
      </c>
      <c r="C4" s="206" t="s">
        <v>332</v>
      </c>
      <c r="D4" s="277">
        <f ca="1">OFFSET(新用户!$A$1,$A4-1,D$1-1,1,1)</f>
        <v>330306</v>
      </c>
      <c r="E4" s="277">
        <f ca="1">OFFSET(新用户!$A$1,$A4-1,E$1-1,1,1)</f>
        <v>289124</v>
      </c>
      <c r="F4" s="277">
        <f ca="1">OFFSET(新用户!$A$1,$A4-1,F$1-1,1,1)</f>
        <v>312572</v>
      </c>
      <c r="G4" s="277">
        <f ca="1">OFFSET(新用户!$A$1,$A4-1,G$1-1,1,1)</f>
        <v>279149</v>
      </c>
      <c r="H4" s="277">
        <f ca="1">OFFSET(新用户!$A$1,$A4-1,H$1-1,1,1)</f>
        <v>311232</v>
      </c>
      <c r="I4" s="278">
        <f ca="1">OFFSET(新用户!$A$1,$A4-1,I$1-1,1,1)</f>
        <v>347502</v>
      </c>
      <c r="J4" s="169">
        <f t="shared" ref="J4:J9" ca="1" si="0">(I4-H4)/H4</f>
        <v>0.11653685996298581</v>
      </c>
    </row>
    <row r="5" spans="1:10" outlineLevel="1">
      <c r="A5" s="145">
        <f>+A4+1</f>
        <v>4</v>
      </c>
      <c r="B5" s="520"/>
      <c r="C5" s="209" t="s">
        <v>2</v>
      </c>
      <c r="D5" s="279">
        <f ca="1">OFFSET(新用户!$A$1,$A5-1,D$1-1,1,1)</f>
        <v>104233</v>
      </c>
      <c r="E5" s="279">
        <f ca="1">OFFSET(新用户!$A$1,$A5-1,E$1-1,1,1)</f>
        <v>88702</v>
      </c>
      <c r="F5" s="279">
        <f ca="1">OFFSET(新用户!$A$1,$A5-1,F$1-1,1,1)</f>
        <v>88112</v>
      </c>
      <c r="G5" s="279">
        <f ca="1">OFFSET(新用户!$A$1,$A5-1,G$1-1,1,1)</f>
        <v>75969</v>
      </c>
      <c r="H5" s="279">
        <f ca="1">OFFSET(新用户!$A$1,$A5-1,H$1-1,1,1)</f>
        <v>82098</v>
      </c>
      <c r="I5" s="278">
        <f ca="1">OFFSET(新用户!$A$1,$A5-1,I$1-1,1,1)</f>
        <v>85271</v>
      </c>
      <c r="J5" s="169">
        <f t="shared" ca="1" si="0"/>
        <v>3.8648931764476605E-2</v>
      </c>
    </row>
    <row r="6" spans="1:10" outlineLevel="1">
      <c r="A6" s="145">
        <f>+A5+1</f>
        <v>5</v>
      </c>
      <c r="B6" s="520"/>
      <c r="C6" s="209" t="s">
        <v>3</v>
      </c>
      <c r="D6" s="279">
        <f ca="1">OFFSET(新用户!$A$1,$A6-1,D$1-1,1,1)</f>
        <v>113327</v>
      </c>
      <c r="E6" s="279">
        <f ca="1">OFFSET(新用户!$A$1,$A6-1,E$1-1,1,1)</f>
        <v>96157</v>
      </c>
      <c r="F6" s="279">
        <f ca="1">OFFSET(新用户!$A$1,$A6-1,F$1-1,1,1)</f>
        <v>113828</v>
      </c>
      <c r="G6" s="279">
        <f ca="1">OFFSET(新用户!$A$1,$A6-1,G$1-1,1,1)</f>
        <v>106935</v>
      </c>
      <c r="H6" s="279">
        <f ca="1">OFFSET(新用户!$A$1,$A6-1,H$1-1,1,1)</f>
        <v>122762</v>
      </c>
      <c r="I6" s="278">
        <f ca="1">OFFSET(新用户!$A$1,$A6-1,I$1-1,1,1)</f>
        <v>135931</v>
      </c>
      <c r="J6" s="169">
        <f t="shared" ca="1" si="0"/>
        <v>0.10727260878773562</v>
      </c>
    </row>
    <row r="7" spans="1:10" outlineLevel="1">
      <c r="A7" s="145">
        <f>+A6+1</f>
        <v>6</v>
      </c>
      <c r="B7" s="520"/>
      <c r="C7" s="209" t="s">
        <v>4</v>
      </c>
      <c r="D7" s="279">
        <f ca="1">OFFSET(新用户!$A$1,$A7-1,D$1-1,1,1)</f>
        <v>114745</v>
      </c>
      <c r="E7" s="279">
        <f ca="1">OFFSET(新用户!$A$1,$A7-1,E$1-1,1,1)</f>
        <v>105393</v>
      </c>
      <c r="F7" s="279">
        <f ca="1">OFFSET(新用户!$A$1,$A7-1,F$1-1,1,1)</f>
        <v>110759</v>
      </c>
      <c r="G7" s="279">
        <f ca="1">OFFSET(新用户!$A$1,$A7-1,G$1-1,1,1)</f>
        <v>96378</v>
      </c>
      <c r="H7" s="279">
        <f ca="1">OFFSET(新用户!$A$1,$A7-1,H$1-1,1,1)</f>
        <v>105599</v>
      </c>
      <c r="I7" s="278">
        <f ca="1">OFFSET(新用户!$A$1,$A7-1,I$1-1,1,1)</f>
        <v>120162</v>
      </c>
      <c r="J7" s="169">
        <f t="shared" ca="1" si="0"/>
        <v>0.13790850292142917</v>
      </c>
    </row>
    <row r="8" spans="1:10" outlineLevel="1">
      <c r="A8" s="145">
        <f>+A7+1</f>
        <v>7</v>
      </c>
      <c r="B8" s="520"/>
      <c r="C8" s="194" t="s">
        <v>5</v>
      </c>
      <c r="D8" s="277">
        <f ca="1">OFFSET(新用户!$A$1,$A8-1,D$1-1,1,1)</f>
        <v>286554</v>
      </c>
      <c r="E8" s="277">
        <f ca="1">OFFSET(新用户!$A$1,$A8-1,E$1-1,1,1)</f>
        <v>256896</v>
      </c>
      <c r="F8" s="277">
        <f ca="1">OFFSET(新用户!$A$1,$A8-1,F$1-1,1,1)</f>
        <v>280143</v>
      </c>
      <c r="G8" s="277">
        <f ca="1">OFFSET(新用户!$A$1,$A8-1,G$1-1,1,1)</f>
        <v>248110</v>
      </c>
      <c r="H8" s="277">
        <f ca="1">OFFSET(新用户!$A$1,$A8-1,H$1-1,1,1)</f>
        <v>273628</v>
      </c>
      <c r="I8" s="278">
        <f ca="1">OFFSET(新用户!$A$1,$A8-1,I$1-1,1,1)</f>
        <v>303056</v>
      </c>
      <c r="J8" s="169">
        <f t="shared" ca="1" si="0"/>
        <v>0.10754747321180581</v>
      </c>
    </row>
    <row r="9" spans="1:10" outlineLevel="1">
      <c r="A9" s="145">
        <f>+A8+1</f>
        <v>8</v>
      </c>
      <c r="B9" s="520"/>
      <c r="C9" s="194" t="s">
        <v>6</v>
      </c>
      <c r="D9" s="277">
        <f ca="1">OFFSET(新用户!$A$1,$A9-1,D$1-1,1,1)</f>
        <v>76642</v>
      </c>
      <c r="E9" s="277">
        <f ca="1">OFFSET(新用户!$A$1,$A9-1,E$1-1,1,1)</f>
        <v>57750</v>
      </c>
      <c r="F9" s="277">
        <f ca="1">OFFSET(新用户!$A$1,$A9-1,F$1-1,1,1)</f>
        <v>61826</v>
      </c>
      <c r="G9" s="277">
        <f ca="1">OFFSET(新用户!$A$1,$A9-1,G$1-1,1,1)</f>
        <v>54280</v>
      </c>
      <c r="H9" s="277">
        <f ca="1">OFFSET(新用户!$A$1,$A9-1,H$1-1,1,1)</f>
        <v>57945</v>
      </c>
      <c r="I9" s="278">
        <f ca="1">OFFSET(新用户!$A$1,$A9-1,I$1-1,1,1)</f>
        <v>59456</v>
      </c>
      <c r="J9" s="169">
        <f t="shared" ca="1" si="0"/>
        <v>2.6076451807748726E-2</v>
      </c>
    </row>
    <row r="10" spans="1:10" outlineLevel="1">
      <c r="B10" s="521" t="s">
        <v>447</v>
      </c>
      <c r="C10" s="276" t="s">
        <v>333</v>
      </c>
      <c r="D10" s="337">
        <f t="shared" ref="D10:I10" ca="1" si="1">+D5/D$4</f>
        <v>0.31556496097558023</v>
      </c>
      <c r="E10" s="337">
        <f t="shared" ca="1" si="1"/>
        <v>0.30679570011482965</v>
      </c>
      <c r="F10" s="337">
        <f t="shared" ca="1" si="1"/>
        <v>0.28189345174871711</v>
      </c>
      <c r="G10" s="337">
        <f t="shared" ca="1" si="1"/>
        <v>0.27214498350343364</v>
      </c>
      <c r="H10" s="337">
        <f t="shared" ca="1" si="1"/>
        <v>0.26378392967304132</v>
      </c>
      <c r="I10" s="337">
        <f t="shared" ca="1" si="1"/>
        <v>0.24538276038699058</v>
      </c>
      <c r="J10" s="169">
        <f ca="1">I10-H10</f>
        <v>-1.8401169286050734E-2</v>
      </c>
    </row>
    <row r="11" spans="1:10" outlineLevel="1">
      <c r="B11" s="522"/>
      <c r="C11" s="276" t="s">
        <v>3</v>
      </c>
      <c r="D11" s="337">
        <f t="shared" ref="D11:I11" ca="1" si="2">+D6/D$4</f>
        <v>0.34309700701773505</v>
      </c>
      <c r="E11" s="337">
        <f t="shared" ca="1" si="2"/>
        <v>0.33258048449800087</v>
      </c>
      <c r="F11" s="337">
        <f t="shared" ca="1" si="2"/>
        <v>0.36416569622359007</v>
      </c>
      <c r="G11" s="337">
        <f t="shared" ca="1" si="2"/>
        <v>0.38307498862614592</v>
      </c>
      <c r="H11" s="337">
        <f t="shared" ca="1" si="2"/>
        <v>0.39443887517993009</v>
      </c>
      <c r="I11" s="337">
        <f t="shared" ca="1" si="2"/>
        <v>0.39116609400809205</v>
      </c>
      <c r="J11" s="169">
        <f ca="1">I11-H11</f>
        <v>-3.2727811718380462E-3</v>
      </c>
    </row>
    <row r="12" spans="1:10" outlineLevel="1">
      <c r="B12" s="522"/>
      <c r="C12" s="276" t="s">
        <v>4</v>
      </c>
      <c r="D12" s="337">
        <f t="shared" ref="D12:I12" ca="1" si="3">+D7/D$4</f>
        <v>0.34738999594315573</v>
      </c>
      <c r="E12" s="337">
        <f t="shared" ca="1" si="3"/>
        <v>0.36452525559967347</v>
      </c>
      <c r="F12" s="337">
        <f t="shared" ca="1" si="3"/>
        <v>0.35434715841470127</v>
      </c>
      <c r="G12" s="337">
        <f t="shared" ca="1" si="3"/>
        <v>0.34525647593220826</v>
      </c>
      <c r="H12" s="337">
        <f t="shared" ca="1" si="3"/>
        <v>0.3392935173761053</v>
      </c>
      <c r="I12" s="337">
        <f t="shared" ca="1" si="3"/>
        <v>0.3457879379111487</v>
      </c>
      <c r="J12" s="169">
        <f ca="1">I12-H12</f>
        <v>6.4944205350433992E-3</v>
      </c>
    </row>
    <row r="13" spans="1:10" outlineLevel="1">
      <c r="B13" s="522"/>
      <c r="C13" s="276" t="s">
        <v>5</v>
      </c>
      <c r="D13" s="337">
        <f t="shared" ref="D13:I13" ca="1" si="4">+D12/D$4</f>
        <v>1.0517217245316638E-6</v>
      </c>
      <c r="E13" s="337">
        <f t="shared" ca="1" si="4"/>
        <v>1.2607921016576744E-6</v>
      </c>
      <c r="F13" s="337">
        <f t="shared" ca="1" si="4"/>
        <v>1.1336497140329309E-6</v>
      </c>
      <c r="G13" s="337">
        <f t="shared" ca="1" si="4"/>
        <v>1.2368178855457418E-6</v>
      </c>
      <c r="H13" s="337">
        <f t="shared" ca="1" si="4"/>
        <v>1.0901626997741405E-6</v>
      </c>
      <c r="I13" s="337">
        <f t="shared" ca="1" si="4"/>
        <v>9.950674756149568E-7</v>
      </c>
      <c r="J13" s="169">
        <f ca="1">I13-H13</f>
        <v>-9.5095224159183733E-8</v>
      </c>
    </row>
    <row r="14" spans="1:10" outlineLevel="1">
      <c r="B14" s="522"/>
      <c r="C14" s="276" t="s">
        <v>6</v>
      </c>
      <c r="D14" s="337">
        <f t="shared" ref="D14:I14" ca="1" si="5">+D8/D$4</f>
        <v>0.86754100742947449</v>
      </c>
      <c r="E14" s="337">
        <f t="shared" ca="1" si="5"/>
        <v>0.88853225605622499</v>
      </c>
      <c r="F14" s="337">
        <f t="shared" ca="1" si="5"/>
        <v>0.89625110374569694</v>
      </c>
      <c r="G14" s="337">
        <f t="shared" ca="1" si="5"/>
        <v>0.88880848579074256</v>
      </c>
      <c r="H14" s="337">
        <f t="shared" ca="1" si="5"/>
        <v>0.8791769483857701</v>
      </c>
      <c r="I14" s="337">
        <f t="shared" ca="1" si="5"/>
        <v>0.87209857784991163</v>
      </c>
      <c r="J14" s="169">
        <f ca="1">I14-H14</f>
        <v>-7.0783705358584692E-3</v>
      </c>
    </row>
    <row r="15" spans="1:10" outlineLevel="1"/>
    <row r="16" spans="1:10" outlineLevel="1">
      <c r="B16" s="173" t="s">
        <v>334</v>
      </c>
      <c r="C16" s="173"/>
      <c r="D16" s="173"/>
      <c r="E16" s="173"/>
      <c r="F16" s="175"/>
      <c r="G16" s="175"/>
      <c r="H16" s="175"/>
      <c r="I16" s="175"/>
    </row>
    <row r="17" spans="1:5" s="177" customFormat="1" ht="20.25" customHeight="1" outlineLevel="1">
      <c r="A17" s="282"/>
      <c r="B17" s="192" t="str">
        <f>"终端新增"</f>
        <v>终端新增</v>
      </c>
    </row>
    <row r="18" spans="1:5" s="177" customFormat="1" ht="20.25" customHeight="1" outlineLevel="1">
      <c r="A18" s="282"/>
      <c r="B18" s="177" t="str">
        <f ca="1">"PC："&amp;TEXT($I5/10000,"0.0")&amp;"万人("&amp;IF($J5&gt;0,"+","")&amp;TEXT($J5,"0.0%")&amp;")，占比"&amp;TEXT($I10,"0.0%")</f>
        <v>PC：8.5万人(+3.9%)，占比24.5%</v>
      </c>
    </row>
    <row r="19" spans="1:5" s="177" customFormat="1" ht="20.25" customHeight="1" outlineLevel="1">
      <c r="A19" s="282"/>
      <c r="B19" s="177" t="str">
        <f ca="1">"手机："&amp;TEXT($I6/10000,"0.0")&amp;"万人("&amp;IF($J6&gt;0,"+","")&amp;TEXT($J6,"0.0%")&amp;")，占比"&amp;TEXT($I11,"0.0%")</f>
        <v>手机：13.6万人(+10.7%)，占比39.1%</v>
      </c>
    </row>
    <row r="20" spans="1:5" s="177" customFormat="1" ht="20.25" customHeight="1" outlineLevel="1">
      <c r="A20" s="282"/>
      <c r="B20" s="177" t="str">
        <f ca="1">"Web："&amp;TEXT($I7/10000,"0.0")&amp;"万人("&amp;IF($J7&gt;0,"+","")&amp;TEXT($J7,"0.0%")&amp;")，占比"&amp;TEXT($I12,"0.0%")</f>
        <v>Web：12.0万人(+13.8%)，占比34.6%</v>
      </c>
    </row>
    <row r="21" spans="1:5" ht="20.25" customHeight="1" outlineLevel="1">
      <c r="B21" s="283" t="s">
        <v>335</v>
      </c>
    </row>
    <row r="22" spans="1:5" outlineLevel="1">
      <c r="E22" s="284"/>
    </row>
    <row r="23" spans="1:5" outlineLevel="1">
      <c r="E23" s="284"/>
    </row>
    <row r="24" spans="1:5" outlineLevel="1">
      <c r="E24" s="284"/>
    </row>
    <row r="25" spans="1:5" outlineLevel="1">
      <c r="E25" s="284"/>
    </row>
    <row r="26" spans="1:5" outlineLevel="1">
      <c r="E26" s="284"/>
    </row>
    <row r="27" spans="1:5" outlineLevel="1">
      <c r="E27" s="284"/>
    </row>
    <row r="28" spans="1:5" outlineLevel="1">
      <c r="E28" s="284"/>
    </row>
    <row r="29" spans="1:5" outlineLevel="1">
      <c r="E29" s="284"/>
    </row>
    <row r="30" spans="1:5" outlineLevel="1">
      <c r="E30" s="284"/>
    </row>
    <row r="31" spans="1:5" outlineLevel="1">
      <c r="E31" s="284"/>
    </row>
    <row r="32" spans="1:5" outlineLevel="1">
      <c r="E32" s="284"/>
    </row>
    <row r="33" spans="1:9" outlineLevel="1">
      <c r="E33" s="284"/>
    </row>
    <row r="34" spans="1:9" outlineLevel="1">
      <c r="E34" s="284"/>
    </row>
    <row r="35" spans="1:9" outlineLevel="1"/>
    <row r="36" spans="1:9" outlineLevel="1"/>
    <row r="37" spans="1:9" outlineLevel="1">
      <c r="B37" s="173" t="s">
        <v>336</v>
      </c>
      <c r="C37" s="173"/>
      <c r="D37" s="173"/>
      <c r="E37" s="173"/>
      <c r="F37" s="175"/>
      <c r="G37" s="175"/>
      <c r="H37" s="175"/>
      <c r="I37" s="175"/>
    </row>
    <row r="38" spans="1:9" s="177" customFormat="1" ht="20.25" customHeight="1" outlineLevel="1">
      <c r="A38" s="282"/>
      <c r="B38" s="192" t="str">
        <f>"模板新增"</f>
        <v>模板新增</v>
      </c>
    </row>
    <row r="39" spans="1:9" s="177" customFormat="1" ht="20.25" customHeight="1" outlineLevel="1">
      <c r="A39" s="282"/>
      <c r="B39" s="177" t="str">
        <f ca="1">"游戏："&amp;TEXT($I8/10000,"0.0")&amp;"万人(" &amp;IF($J8&gt;0,"+","")&amp;TEXT($J8,"0.0%")&amp;")"</f>
        <v>游戏：30.3万人(+10.8%)</v>
      </c>
    </row>
    <row r="40" spans="1:9" s="177" customFormat="1" ht="20.25" customHeight="1" outlineLevel="1">
      <c r="A40" s="282"/>
      <c r="B40" s="177" t="str">
        <f ca="1">"娱乐："&amp;TEXT($I9/10000,"0.0")&amp;"万人("&amp;IF($J9&gt;0,"+","") &amp;TEXT($J9,"0.0%")&amp;")"</f>
        <v>娱乐：5.9万人(+2.6%)</v>
      </c>
    </row>
    <row r="41" spans="1:9" s="177" customFormat="1" ht="20.25" customHeight="1" outlineLevel="1">
      <c r="A41" s="282"/>
      <c r="B41" s="283" t="s">
        <v>335</v>
      </c>
    </row>
    <row r="42" spans="1:9" outlineLevel="1">
      <c r="B42" s="283"/>
    </row>
    <row r="43" spans="1:9" outlineLevel="1"/>
    <row r="44" spans="1:9" outlineLevel="1"/>
    <row r="45" spans="1:9" outlineLevel="1"/>
    <row r="46" spans="1:9" outlineLevel="1"/>
    <row r="47" spans="1:9" outlineLevel="1"/>
    <row r="48" spans="1:9" outlineLevel="1"/>
    <row r="49" spans="1:10" outlineLevel="1"/>
    <row r="50" spans="1:10" outlineLevel="1"/>
    <row r="51" spans="1:10" outlineLevel="1"/>
    <row r="52" spans="1:10" outlineLevel="1"/>
    <row r="53" spans="1:10" outlineLevel="1"/>
    <row r="54" spans="1:10" outlineLevel="1"/>
    <row r="55" spans="1:10" outlineLevel="1"/>
    <row r="56" spans="1:10" outlineLevel="1"/>
    <row r="58" spans="1:10" ht="21">
      <c r="B58" s="192" t="s">
        <v>337</v>
      </c>
    </row>
    <row r="59" spans="1:10" outlineLevel="1">
      <c r="A59" s="145">
        <v>2</v>
      </c>
      <c r="B59" s="151" t="s">
        <v>329</v>
      </c>
      <c r="C59" s="151" t="s">
        <v>338</v>
      </c>
      <c r="D59" s="151">
        <f ca="1">OFFSET(新用户!$A$1,$A59-1,D$1-1,1,1)</f>
        <v>42795</v>
      </c>
      <c r="E59" s="151">
        <f ca="1">OFFSET(新用户!$A$1,$A59-1,E$1-1,1,1)</f>
        <v>42826</v>
      </c>
      <c r="F59" s="151">
        <f ca="1">OFFSET(新用户!$A$1,$A59-1,F$1-1,1,1)</f>
        <v>42856</v>
      </c>
      <c r="G59" s="151">
        <f ca="1">OFFSET(新用户!$A$1,$A59-1,G$1-1,1,1)</f>
        <v>42887</v>
      </c>
      <c r="H59" s="151">
        <f ca="1">OFFSET(新用户!$A$1,$A59-1,H$1-1,1,1)</f>
        <v>42917</v>
      </c>
      <c r="I59" s="151">
        <f ca="1">OFFSET(新用户!$A$1,$A59-1,I$1-1,1,1)</f>
        <v>42948</v>
      </c>
      <c r="J59" s="152" t="s">
        <v>339</v>
      </c>
    </row>
    <row r="60" spans="1:10" outlineLevel="1">
      <c r="A60" s="145">
        <v>33</v>
      </c>
      <c r="B60" s="498" t="s">
        <v>340</v>
      </c>
      <c r="C60" s="206" t="s">
        <v>332</v>
      </c>
      <c r="D60" s="338">
        <f ca="1">OFFSET(新用户!$A$1,$A60-1,D$1-1,1,1)/60</f>
        <v>1.0979965748463469</v>
      </c>
      <c r="E60" s="338">
        <f ca="1">OFFSET(新用户!$A$1,$A60-1,E$1-1,1,1)/60</f>
        <v>0.98105846955532727</v>
      </c>
      <c r="F60" s="338">
        <f ca="1">OFFSET(新用户!$A$1,$A60-1,F$1-1,1,1)/60</f>
        <v>1.0000728760316191</v>
      </c>
      <c r="G60" s="338">
        <f ca="1">OFFSET(新用户!$A$1,$A60-1,G$1-1,1,1)/60</f>
        <v>0.94372444274452316</v>
      </c>
      <c r="H60" s="338">
        <f ca="1">OFFSET(新用户!$A$1,$A60-1,H$1-1,1,1)/60</f>
        <v>0.91305695274128518</v>
      </c>
      <c r="I60" s="338">
        <f ca="1">OFFSET(新用户!$A$1,$A60-1,I$1-1,1,1)/60</f>
        <v>0.7839562942963213</v>
      </c>
      <c r="J60" s="169">
        <f t="shared" ref="J60:J65" ca="1" si="6">(I60-H60)/H60</f>
        <v>-0.14139387259180597</v>
      </c>
    </row>
    <row r="61" spans="1:10" outlineLevel="1">
      <c r="A61" s="145">
        <f>+A60+1</f>
        <v>34</v>
      </c>
      <c r="B61" s="499"/>
      <c r="C61" s="209" t="s">
        <v>341</v>
      </c>
      <c r="D61" s="339">
        <f ca="1">OFFSET(新用户!$A$1,$A61-1,D$1-1,1,1)/60</f>
        <v>1.2134317316953784</v>
      </c>
      <c r="E61" s="339">
        <f ca="1">OFFSET(新用户!$A$1,$A61-1,E$1-1,1,1)/60</f>
        <v>1.1576277372262773</v>
      </c>
      <c r="F61" s="339">
        <f ca="1">OFFSET(新用户!$A$1,$A61-1,F$1-1,1,1)/60</f>
        <v>1.2029232383402153</v>
      </c>
      <c r="G61" s="339">
        <f ca="1">OFFSET(新用户!$A$1,$A61-1,G$1-1,1,1)/60</f>
        <v>1.143246830879004</v>
      </c>
      <c r="H61" s="339">
        <f ca="1">OFFSET(新用户!$A$1,$A61-1,H$1-1,1,1)/60</f>
        <v>1.1077263179811265</v>
      </c>
      <c r="I61" s="339">
        <f ca="1">OFFSET(新用户!$A$1,$A61-1,I$1-1,1,1)/60</f>
        <v>0.9915044223270375</v>
      </c>
      <c r="J61" s="169">
        <f t="shared" ca="1" si="6"/>
        <v>-0.104919323272835</v>
      </c>
    </row>
    <row r="62" spans="1:10" outlineLevel="1">
      <c r="A62" s="145">
        <f>+A61+1</f>
        <v>35</v>
      </c>
      <c r="B62" s="499"/>
      <c r="C62" s="209" t="s">
        <v>342</v>
      </c>
      <c r="D62" s="339">
        <f ca="1">OFFSET(新用户!$A$1,$A62-1,D$1-1,1,1)/60</f>
        <v>0.95750923417877365</v>
      </c>
      <c r="E62" s="339">
        <f ca="1">OFFSET(新用户!$A$1,$A62-1,E$1-1,1,1)/60</f>
        <v>0.82767086568269466</v>
      </c>
      <c r="F62" s="339">
        <f ca="1">OFFSET(新用户!$A$1,$A62-1,F$1-1,1,1)/60</f>
        <v>0.8387831332521023</v>
      </c>
      <c r="G62" s="339">
        <f ca="1">OFFSET(新用户!$A$1,$A62-1,G$1-1,1,1)/60</f>
        <v>0.83361352129282851</v>
      </c>
      <c r="H62" s="339">
        <f ca="1">OFFSET(新用户!$A$1,$A62-1,H$1-1,1,1)/60</f>
        <v>0.79459007636608237</v>
      </c>
      <c r="I62" s="339">
        <f ca="1">OFFSET(新用户!$A$1,$A62-1,I$1-1,1,1)/60</f>
        <v>0.68766994069901488</v>
      </c>
      <c r="J62" s="169">
        <f t="shared" ca="1" si="6"/>
        <v>-0.13456011954748778</v>
      </c>
    </row>
    <row r="63" spans="1:10" outlineLevel="1">
      <c r="A63" s="145">
        <f>+A62+1</f>
        <v>36</v>
      </c>
      <c r="B63" s="499"/>
      <c r="C63" s="209" t="s">
        <v>343</v>
      </c>
      <c r="D63" s="339">
        <f ca="1">OFFSET(新用户!$A$1,$A63-1,D$1-1,1,1)/60</f>
        <v>1.1225213332818502</v>
      </c>
      <c r="E63" s="339">
        <f ca="1">OFFSET(新用户!$A$1,$A63-1,E$1-1,1,1)/60</f>
        <v>0.98159195638414831</v>
      </c>
      <c r="F63" s="339">
        <f ca="1">OFFSET(新用户!$A$1,$A63-1,F$1-1,1,1)/60</f>
        <v>1.0067734425607604</v>
      </c>
      <c r="G63" s="339">
        <f ca="1">OFFSET(新用户!$A$1,$A63-1,G$1-1,1,1)/60</f>
        <v>0.90579237422920234</v>
      </c>
      <c r="H63" s="339">
        <f ca="1">OFFSET(新用户!$A$1,$A63-1,H$1-1,1,1)/60</f>
        <v>0.89741477373715839</v>
      </c>
      <c r="I63" s="339">
        <f ca="1">OFFSET(新用户!$A$1,$A63-1,I$1-1,1,1)/60</f>
        <v>0.76204407471332136</v>
      </c>
      <c r="J63" s="169">
        <f t="shared" ca="1" si="6"/>
        <v>-0.15084518662435728</v>
      </c>
    </row>
    <row r="64" spans="1:10" outlineLevel="1">
      <c r="A64" s="145">
        <f>+A63+1</f>
        <v>37</v>
      </c>
      <c r="B64" s="499"/>
      <c r="C64" s="194" t="s">
        <v>344</v>
      </c>
      <c r="D64" s="340">
        <f ca="1">OFFSET(新用户!$A$1,$A64-1,D$1-1,1,1)/60</f>
        <v>1.1366392142052826</v>
      </c>
      <c r="E64" s="340">
        <f ca="1">OFFSET(新用户!$A$1,$A64-1,E$1-1,1,1)/60</f>
        <v>1.0204266631806622</v>
      </c>
      <c r="F64" s="340">
        <f ca="1">OFFSET(新用户!$A$1,$A64-1,F$1-1,1,1)/60</f>
        <v>1.0418315301836589</v>
      </c>
      <c r="G64" s="340">
        <f ca="1">OFFSET(新用户!$A$1,$A64-1,G$1-1,1,1)/60</f>
        <v>0.98814544353104772</v>
      </c>
      <c r="H64" s="340">
        <f ca="1">OFFSET(新用户!$A$1,$A64-1,H$1-1,1,1)/60</f>
        <v>0.93617979249790984</v>
      </c>
      <c r="I64" s="340">
        <f ca="1">OFFSET(新用户!$A$1,$A64-1,I$1-1,1,1)/60</f>
        <v>0.81030651520441443</v>
      </c>
      <c r="J64" s="169">
        <f t="shared" ca="1" si="6"/>
        <v>-0.13445417034439613</v>
      </c>
    </row>
    <row r="65" spans="1:10" outlineLevel="1">
      <c r="A65" s="145">
        <f>+A64+1</f>
        <v>38</v>
      </c>
      <c r="B65" s="500"/>
      <c r="C65" s="194" t="s">
        <v>345</v>
      </c>
      <c r="D65" s="340">
        <f ca="1">OFFSET(新用户!$A$1,$A65-1,D$1-1,1,1)/60</f>
        <v>0.43861347424906749</v>
      </c>
      <c r="E65" s="340">
        <f ca="1">OFFSET(新用户!$A$1,$A65-1,E$1-1,1,1)/60</f>
        <v>0.34030628362702997</v>
      </c>
      <c r="F65" s="340">
        <f ca="1">OFFSET(新用户!$A$1,$A65-1,F$1-1,1,1)/60</f>
        <v>0.31194060230645598</v>
      </c>
      <c r="G65" s="340">
        <f ca="1">OFFSET(新用户!$A$1,$A65-1,G$1-1,1,1)/60</f>
        <v>0.27106798679867983</v>
      </c>
      <c r="H65" s="340">
        <f ca="1">OFFSET(新用户!$A$1,$A65-1,H$1-1,1,1)/60</f>
        <v>0.23228539710563625</v>
      </c>
      <c r="I65" s="340">
        <f ca="1">OFFSET(新用户!$A$1,$A65-1,I$1-1,1,1)/60</f>
        <v>0.14470814395563558</v>
      </c>
      <c r="J65" s="169">
        <f t="shared" ca="1" si="6"/>
        <v>-0.37702435986612293</v>
      </c>
    </row>
    <row r="66" spans="1:10" ht="16.5" customHeight="1" outlineLevel="1">
      <c r="A66" s="342">
        <v>87</v>
      </c>
      <c r="B66" s="528" t="s">
        <v>448</v>
      </c>
      <c r="C66" s="206" t="s">
        <v>332</v>
      </c>
      <c r="D66" s="338">
        <f ca="1">OFFSET(用户!$A$1,$A66-1,D$1-1,1,1)/60</f>
        <v>15.035183587558793</v>
      </c>
      <c r="E66" s="338">
        <f ca="1">OFFSET(用户!$A$1,$A66-1,E$1-1,1,1)/60</f>
        <v>13.361916369613436</v>
      </c>
      <c r="F66" s="338">
        <f ca="1">OFFSET(用户!$A$1,$A66-1,F$1-1,1,1)/60</f>
        <v>14.414518240057463</v>
      </c>
      <c r="G66" s="338">
        <f ca="1">OFFSET(用户!$A$1,$A66-1,G$1-1,1,1)/60</f>
        <v>14.123567849839374</v>
      </c>
      <c r="H66" s="338">
        <f ca="1">OFFSET(用户!$A$1,$A66-1,H$1-1,1,1)/60</f>
        <v>11.650466463464946</v>
      </c>
      <c r="I66" s="338">
        <f ca="1">OFFSET(用户!$A$1,$A66-1,I$1-1,1,1)/60</f>
        <v>11.020559482697543</v>
      </c>
      <c r="J66" s="169">
        <f t="shared" ref="J66:J71" ca="1" si="7">(I66-H66)/H66</f>
        <v>-5.4067103900324327E-2</v>
      </c>
    </row>
    <row r="67" spans="1:10" outlineLevel="1">
      <c r="A67" s="342">
        <f>+A66+1</f>
        <v>88</v>
      </c>
      <c r="B67" s="528"/>
      <c r="C67" s="209" t="s">
        <v>341</v>
      </c>
      <c r="D67" s="341">
        <f ca="1">OFFSET(用户!$A$1,$A67-1,D$1-1,1,1)/60</f>
        <v>15.080149403639799</v>
      </c>
      <c r="E67" s="341">
        <f ca="1">OFFSET(用户!$A$1,$A67-1,E$1-1,1,1)/60</f>
        <v>14.20832511236082</v>
      </c>
      <c r="F67" s="341">
        <f ca="1">OFFSET(用户!$A$1,$A67-1,F$1-1,1,1)/60</f>
        <v>15.124867811805945</v>
      </c>
      <c r="G67" s="341">
        <f ca="1">OFFSET(用户!$A$1,$A67-1,G$1-1,1,1)/60</f>
        <v>14.561304341196889</v>
      </c>
      <c r="H67" s="341">
        <f ca="1">OFFSET(用户!$A$1,$A67-1,H$1-1,1,1)/60</f>
        <v>13.458176399262287</v>
      </c>
      <c r="I67" s="341">
        <f ca="1">OFFSET(用户!$A$1,$A67-1,I$1-1,1,1)/60</f>
        <v>11.020912573158544</v>
      </c>
      <c r="J67" s="169">
        <f t="shared" ca="1" si="7"/>
        <v>-0.181099114307741</v>
      </c>
    </row>
    <row r="68" spans="1:10" outlineLevel="1">
      <c r="A68" s="342">
        <f>+A67+1</f>
        <v>89</v>
      </c>
      <c r="B68" s="528"/>
      <c r="C68" s="209" t="s">
        <v>342</v>
      </c>
      <c r="D68" s="339">
        <f ca="1">OFFSET(用户!$A$1,$A68-1,D$1-1,1,1)/60</f>
        <v>14.05161279357503</v>
      </c>
      <c r="E68" s="339">
        <f ca="1">OFFSET(用户!$A$1,$A68-1,E$1-1,1,1)/60</f>
        <v>11.929587868425036</v>
      </c>
      <c r="F68" s="339">
        <f ca="1">OFFSET(用户!$A$1,$A68-1,F$1-1,1,1)/60</f>
        <v>12.934327474370411</v>
      </c>
      <c r="G68" s="339">
        <f ca="1">OFFSET(用户!$A$1,$A68-1,G$1-1,1,1)/60</f>
        <v>13.644485251525051</v>
      </c>
      <c r="H68" s="339">
        <f ca="1">OFFSET(用户!$A$1,$A68-1,H$1-1,1,1)/60</f>
        <v>12.670325153392715</v>
      </c>
      <c r="I68" s="339">
        <f ca="1">OFFSET(用户!$A$1,$A68-1,I$1-1,1,1)/60</f>
        <v>10.336797831144336</v>
      </c>
      <c r="J68" s="169">
        <f t="shared" ca="1" si="7"/>
        <v>-0.1841726470313616</v>
      </c>
    </row>
    <row r="69" spans="1:10" outlineLevel="1">
      <c r="A69" s="342">
        <f>+A68+1</f>
        <v>90</v>
      </c>
      <c r="B69" s="528"/>
      <c r="C69" s="209" t="s">
        <v>343</v>
      </c>
      <c r="D69" s="339">
        <f ca="1">OFFSET(用户!$A$1,$A69-1,D$1-1,1,1)/60</f>
        <v>7.0706424314212688</v>
      </c>
      <c r="E69" s="339">
        <f ca="1">OFFSET(用户!$A$1,$A69-1,E$1-1,1,1)/60</f>
        <v>6.5191009426772277</v>
      </c>
      <c r="F69" s="339">
        <f ca="1">OFFSET(用户!$A$1,$A69-1,F$1-1,1,1)/60</f>
        <v>7.0238781007297346</v>
      </c>
      <c r="G69" s="339">
        <f ca="1">OFFSET(用户!$A$1,$A69-1,G$1-1,1,1)/60</f>
        <v>6.8442456361592203</v>
      </c>
      <c r="H69" s="339">
        <f ca="1">OFFSET(用户!$A$1,$A69-1,H$1-1,1,1)/60</f>
        <v>6.3969284718529478</v>
      </c>
      <c r="I69" s="339">
        <f ca="1">OFFSET(用户!$A$1,$A69-1,I$1-1,1,1)/60</f>
        <v>5.8361034367737323</v>
      </c>
      <c r="J69" s="169">
        <f t="shared" ca="1" si="7"/>
        <v>-8.7670987341330345E-2</v>
      </c>
    </row>
    <row r="70" spans="1:10" outlineLevel="1">
      <c r="A70" s="342">
        <f>+A69+1</f>
        <v>91</v>
      </c>
      <c r="B70" s="528"/>
      <c r="C70" s="194" t="s">
        <v>344</v>
      </c>
      <c r="D70" s="340">
        <f ca="1">OFFSET(用户!$A$1,$A70-1,D$1-1,1,1)/60</f>
        <v>14.770944053941671</v>
      </c>
      <c r="E70" s="340">
        <f ca="1">OFFSET(用户!$A$1,$A70-1,E$1-1,1,1)/60</f>
        <v>13.135395236328993</v>
      </c>
      <c r="F70" s="340">
        <f ca="1">OFFSET(用户!$A$1,$A70-1,F$1-1,1,1)/60</f>
        <v>14.095916723331364</v>
      </c>
      <c r="G70" s="340">
        <f ca="1">OFFSET(用户!$A$1,$A70-1,G$1-1,1,1)/60</f>
        <v>14.17450798207391</v>
      </c>
      <c r="H70" s="340">
        <f ca="1">OFFSET(用户!$A$1,$A70-1,H$1-1,1,1)/60</f>
        <v>12.933703639328863</v>
      </c>
      <c r="I70" s="340">
        <f ca="1">OFFSET(用户!$A$1,$A70-1,I$1-1,1,1)/60</f>
        <v>11.00820639494003</v>
      </c>
      <c r="J70" s="169">
        <f t="shared" ca="1" si="7"/>
        <v>-0.14887439035898212</v>
      </c>
    </row>
    <row r="71" spans="1:10" outlineLevel="1">
      <c r="A71" s="342">
        <f>+A70+1</f>
        <v>92</v>
      </c>
      <c r="B71" s="528"/>
      <c r="C71" s="194" t="s">
        <v>345</v>
      </c>
      <c r="D71" s="340">
        <f ca="1">OFFSET(用户!$A$1,$A71-1,D$1-1,1,1)/60</f>
        <v>2.7485878394049235</v>
      </c>
      <c r="E71" s="340">
        <f ca="1">OFFSET(用户!$A$1,$A71-1,E$1-1,1,1)/60</f>
        <v>2.3078062873240794</v>
      </c>
      <c r="F71" s="340">
        <f ca="1">OFFSET(用户!$A$1,$A71-1,F$1-1,1,1)/60</f>
        <v>2.2763899734791688</v>
      </c>
      <c r="G71" s="340">
        <f ca="1">OFFSET(用户!$A$1,$A71-1,G$1-1,1,1)/60</f>
        <v>1.9813541016693244</v>
      </c>
      <c r="H71" s="340">
        <f ca="1">OFFSET(用户!$A$1,$A71-1,H$1-1,1,1)/60</f>
        <v>1.7966658825088941</v>
      </c>
      <c r="I71" s="340">
        <f ca="1">OFFSET(用户!$A$1,$A71-1,I$1-1,1,1)/60</f>
        <v>1.1131962398198825</v>
      </c>
      <c r="J71" s="169">
        <f t="shared" ca="1" si="7"/>
        <v>-0.38040998570897516</v>
      </c>
    </row>
    <row r="72" spans="1:10" s="147" customFormat="1" outlineLevel="1">
      <c r="A72" s="145"/>
      <c r="B72" s="285"/>
      <c r="C72" s="286"/>
      <c r="D72" s="287"/>
      <c r="E72" s="287"/>
      <c r="F72" s="287"/>
      <c r="G72" s="287"/>
      <c r="H72" s="287"/>
      <c r="I72" s="287"/>
      <c r="J72" s="288"/>
    </row>
    <row r="73" spans="1:10" s="147" customFormat="1" outlineLevel="1">
      <c r="A73" s="145"/>
      <c r="B73" s="289" t="s">
        <v>346</v>
      </c>
      <c r="C73" s="289"/>
      <c r="D73" s="289"/>
      <c r="E73" s="289"/>
      <c r="F73" s="290"/>
      <c r="G73" s="290"/>
      <c r="H73" s="290"/>
      <c r="I73" s="290"/>
      <c r="J73" s="288"/>
    </row>
    <row r="74" spans="1:10" s="192" customFormat="1" ht="20.25" customHeight="1" outlineLevel="1">
      <c r="A74" s="291"/>
      <c r="B74" s="192" t="str">
        <f ca="1">"模板：新用户观看时长均呈"&amp;IF(J64&lt;0,"下降","上升")&amp;"趋势"</f>
        <v>模板：新用户观看时长均呈下降趋势</v>
      </c>
    </row>
    <row r="75" spans="1:10" s="192" customFormat="1" ht="20.25" customHeight="1" outlineLevel="1">
      <c r="A75" s="291"/>
      <c r="B75" s="177" t="str">
        <f ca="1">"游戏："&amp;TEXT(I64,"0.00")&amp;"h("&amp;IF($J64&gt;0,"+","")&amp;TEXT(J64,"0.0%")&amp;")"</f>
        <v>游戏：0.81h(-13.4%)</v>
      </c>
    </row>
    <row r="76" spans="1:10" s="192" customFormat="1" ht="20.25" customHeight="1" outlineLevel="1">
      <c r="A76" s="291"/>
      <c r="B76" s="177" t="str">
        <f ca="1">"娱乐："&amp;TEXT(I65,"0.00")&amp;"h("&amp;IF($J65&gt;0,"+","")&amp;TEXT(J65,"0.0%")&amp;")"</f>
        <v>娱乐：0.14h(-37.7%)</v>
      </c>
    </row>
    <row r="77" spans="1:10" s="147" customFormat="1" outlineLevel="1">
      <c r="A77" s="145"/>
      <c r="B77" s="285"/>
      <c r="C77" s="286"/>
      <c r="D77" s="287"/>
      <c r="E77" s="287"/>
      <c r="F77" s="287"/>
      <c r="G77" s="287"/>
      <c r="H77" s="287"/>
      <c r="I77" s="287"/>
      <c r="J77" s="288"/>
    </row>
    <row r="78" spans="1:10" s="147" customFormat="1" outlineLevel="1">
      <c r="A78" s="145"/>
      <c r="B78" s="285"/>
      <c r="C78" s="286"/>
      <c r="D78" s="287"/>
      <c r="E78" s="287"/>
      <c r="F78" s="287"/>
      <c r="G78" s="287"/>
      <c r="H78" s="287"/>
      <c r="I78" s="287"/>
      <c r="J78" s="288"/>
    </row>
    <row r="79" spans="1:10" s="147" customFormat="1" outlineLevel="1">
      <c r="A79" s="145"/>
      <c r="B79" s="285"/>
      <c r="C79" s="286"/>
      <c r="D79" s="287"/>
      <c r="E79" s="287"/>
      <c r="F79" s="287"/>
      <c r="G79" s="287"/>
      <c r="H79" s="287"/>
      <c r="I79" s="287"/>
      <c r="J79" s="288"/>
    </row>
    <row r="80" spans="1:10" s="147" customFormat="1" outlineLevel="1">
      <c r="A80" s="145"/>
      <c r="B80" s="285"/>
      <c r="C80" s="286"/>
      <c r="D80" s="287"/>
      <c r="E80" s="287"/>
      <c r="F80" s="287"/>
      <c r="G80" s="287"/>
      <c r="H80" s="287"/>
      <c r="I80" s="287"/>
      <c r="J80" s="288"/>
    </row>
    <row r="81" spans="1:10" s="147" customFormat="1" outlineLevel="1">
      <c r="A81" s="145"/>
      <c r="B81" s="285"/>
      <c r="C81" s="286"/>
      <c r="D81" s="287"/>
      <c r="E81" s="287"/>
      <c r="F81" s="287"/>
      <c r="G81" s="287"/>
      <c r="H81" s="287"/>
      <c r="I81" s="287"/>
      <c r="J81" s="288"/>
    </row>
    <row r="82" spans="1:10" s="147" customFormat="1" outlineLevel="1">
      <c r="A82" s="145"/>
      <c r="B82" s="285"/>
      <c r="C82" s="286"/>
      <c r="D82" s="287"/>
      <c r="E82" s="287"/>
      <c r="F82" s="287"/>
      <c r="G82" s="287"/>
      <c r="H82" s="287"/>
      <c r="I82" s="287"/>
      <c r="J82" s="288"/>
    </row>
    <row r="83" spans="1:10" s="147" customFormat="1" outlineLevel="1">
      <c r="A83" s="145"/>
      <c r="B83" s="285"/>
      <c r="C83" s="286"/>
      <c r="D83" s="287"/>
      <c r="E83" s="287"/>
      <c r="F83" s="287"/>
      <c r="G83" s="287"/>
      <c r="H83" s="287"/>
      <c r="I83" s="287"/>
      <c r="J83" s="288"/>
    </row>
    <row r="84" spans="1:10" s="147" customFormat="1" outlineLevel="1">
      <c r="A84" s="145"/>
      <c r="B84" s="285"/>
      <c r="C84" s="286"/>
      <c r="D84" s="287"/>
      <c r="E84" s="287"/>
      <c r="F84" s="287"/>
      <c r="G84" s="287"/>
      <c r="H84" s="287"/>
      <c r="I84" s="287"/>
      <c r="J84" s="288"/>
    </row>
    <row r="85" spans="1:10" s="147" customFormat="1" outlineLevel="1">
      <c r="A85" s="145"/>
      <c r="B85" s="285"/>
      <c r="C85" s="286"/>
      <c r="D85" s="287"/>
      <c r="E85" s="287"/>
      <c r="F85" s="287"/>
      <c r="G85" s="287"/>
      <c r="H85" s="287"/>
      <c r="I85" s="287"/>
      <c r="J85" s="288"/>
    </row>
    <row r="86" spans="1:10" s="147" customFormat="1" outlineLevel="1">
      <c r="A86" s="145"/>
      <c r="B86" s="285"/>
      <c r="C86" s="286"/>
      <c r="D86" s="287"/>
      <c r="E86" s="287"/>
      <c r="F86" s="287"/>
      <c r="G86" s="287"/>
      <c r="H86" s="287"/>
      <c r="I86" s="287"/>
      <c r="J86" s="288"/>
    </row>
    <row r="87" spans="1:10" s="147" customFormat="1" outlineLevel="1">
      <c r="A87" s="145"/>
      <c r="B87" s="285"/>
      <c r="C87" s="286"/>
      <c r="D87" s="287"/>
      <c r="E87" s="287"/>
      <c r="F87" s="287"/>
      <c r="G87" s="287"/>
      <c r="H87" s="287"/>
      <c r="I87" s="287"/>
      <c r="J87" s="288"/>
    </row>
    <row r="88" spans="1:10" s="147" customFormat="1" outlineLevel="1">
      <c r="A88" s="145"/>
      <c r="B88" s="285"/>
      <c r="C88" s="286"/>
      <c r="D88" s="287"/>
      <c r="E88" s="287"/>
      <c r="F88" s="287"/>
      <c r="G88" s="287"/>
      <c r="H88" s="287"/>
      <c r="I88" s="287"/>
      <c r="J88" s="288"/>
    </row>
    <row r="89" spans="1:10" s="147" customFormat="1" outlineLevel="1">
      <c r="A89" s="145"/>
      <c r="B89" s="285"/>
      <c r="C89" s="286"/>
      <c r="D89" s="287"/>
      <c r="E89" s="287"/>
      <c r="F89" s="287"/>
      <c r="G89" s="287"/>
      <c r="H89" s="287"/>
      <c r="I89" s="287"/>
      <c r="J89" s="288"/>
    </row>
    <row r="90" spans="1:10" s="147" customFormat="1" outlineLevel="1">
      <c r="A90" s="145"/>
      <c r="B90" s="285"/>
      <c r="C90" s="286"/>
      <c r="D90" s="287"/>
      <c r="E90" s="287"/>
      <c r="F90" s="287"/>
      <c r="G90" s="287"/>
      <c r="H90" s="287"/>
      <c r="I90" s="287"/>
      <c r="J90" s="288"/>
    </row>
    <row r="91" spans="1:10" s="147" customFormat="1" outlineLevel="1">
      <c r="A91" s="145"/>
      <c r="B91" s="285"/>
      <c r="C91" s="286"/>
      <c r="D91" s="287"/>
      <c r="E91" s="287"/>
      <c r="F91" s="287"/>
      <c r="G91" s="287"/>
      <c r="H91" s="287"/>
      <c r="I91" s="287"/>
      <c r="J91" s="288"/>
    </row>
    <row r="92" spans="1:10" s="147" customFormat="1" outlineLevel="1">
      <c r="A92" s="145"/>
      <c r="B92" s="173" t="s">
        <v>347</v>
      </c>
      <c r="C92" s="173"/>
      <c r="D92" s="173"/>
      <c r="E92" s="173"/>
      <c r="F92" s="175"/>
      <c r="G92" s="175"/>
      <c r="H92" s="175"/>
      <c r="I92" s="175"/>
      <c r="J92" s="288"/>
    </row>
    <row r="93" spans="1:10" ht="20.25" customHeight="1" outlineLevel="1">
      <c r="B93" s="192" t="str">
        <f>"终端：手机新增观看时长最短"</f>
        <v>终端：手机新增观看时长最短</v>
      </c>
    </row>
    <row r="94" spans="1:10" s="192" customFormat="1" ht="20.25" customHeight="1" outlineLevel="1">
      <c r="A94" s="291"/>
      <c r="B94" s="177" t="str">
        <f ca="1">"PC："&amp;TEXT($I61,"0.00")&amp;"h("&amp;IF($J61&gt;0,"+","")&amp;TEXT($J61,"0.0%")&amp;")，(总用户："&amp;TEXT($I67,"0.0")&amp;"h)"</f>
        <v>PC：0.99h(-10.5%)，(总用户：11.0h)</v>
      </c>
    </row>
    <row r="95" spans="1:10" s="192" customFormat="1" ht="20.25" customHeight="1" outlineLevel="1">
      <c r="A95" s="291"/>
      <c r="B95" s="177" t="str">
        <f ca="1">"手机："&amp;TEXT($I62,"0.00")&amp;"h("&amp;IF($J62&gt;0,"+","")&amp;TEXT($J62,"0.0%")&amp;")，(总用户："&amp;TEXT($I68,"0.0")&amp;"h)"</f>
        <v>手机：0.69h(-13.5%)，(总用户：10.3h)</v>
      </c>
    </row>
    <row r="96" spans="1:10" s="192" customFormat="1" ht="20.25" customHeight="1" outlineLevel="1">
      <c r="A96" s="291"/>
      <c r="B96" s="177" t="str">
        <f ca="1">"Web："&amp;TEXT($I63,"0.00")&amp;"h("&amp;IF($J63&gt;0,"+","")&amp;TEXT($J63,"0.0%")&amp;")，(总用户："&amp;TEXT($I69,"0.0")&amp;"h)"</f>
        <v>Web：0.76h(-15.1%)，(总用户：5.8h)</v>
      </c>
    </row>
    <row r="97" spans="1:10" ht="20.25" customHeight="1" outlineLevel="1">
      <c r="B97" s="283" t="s">
        <v>348</v>
      </c>
    </row>
    <row r="98" spans="1:10" s="147" customFormat="1" outlineLevel="1">
      <c r="A98" s="145"/>
      <c r="B98" s="285"/>
      <c r="C98" s="286"/>
      <c r="D98" s="287"/>
      <c r="E98" s="287"/>
      <c r="F98" s="287"/>
      <c r="G98" s="287"/>
      <c r="H98" s="287"/>
      <c r="I98" s="287"/>
      <c r="J98" s="288"/>
    </row>
    <row r="99" spans="1:10" s="147" customFormat="1" outlineLevel="1">
      <c r="A99" s="145"/>
      <c r="B99" s="285"/>
      <c r="C99" s="286"/>
      <c r="D99" s="287"/>
      <c r="E99" s="287"/>
      <c r="F99" s="287"/>
      <c r="G99" s="287"/>
      <c r="H99" s="287"/>
      <c r="I99" s="287"/>
      <c r="J99" s="288"/>
    </row>
    <row r="100" spans="1:10" s="147" customFormat="1" outlineLevel="1">
      <c r="A100" s="145"/>
      <c r="B100" s="285"/>
      <c r="C100" s="286"/>
      <c r="D100" s="287"/>
      <c r="E100" s="287"/>
      <c r="F100" s="287"/>
      <c r="G100" s="287"/>
      <c r="H100" s="287"/>
      <c r="I100" s="287"/>
      <c r="J100" s="288"/>
    </row>
    <row r="101" spans="1:10" s="147" customFormat="1" outlineLevel="1">
      <c r="A101" s="145"/>
      <c r="B101" s="285"/>
      <c r="C101" s="286"/>
      <c r="D101" s="287"/>
      <c r="E101" s="287"/>
      <c r="F101" s="287"/>
      <c r="G101" s="287"/>
      <c r="H101" s="287"/>
      <c r="I101" s="287"/>
      <c r="J101" s="288"/>
    </row>
    <row r="102" spans="1:10" s="147" customFormat="1" outlineLevel="1">
      <c r="A102" s="145"/>
      <c r="B102" s="285"/>
      <c r="C102" s="286"/>
      <c r="D102" s="287"/>
      <c r="E102" s="287"/>
      <c r="F102" s="287"/>
      <c r="G102" s="287"/>
      <c r="H102" s="287"/>
      <c r="I102" s="287"/>
      <c r="J102" s="288"/>
    </row>
    <row r="103" spans="1:10" s="147" customFormat="1" outlineLevel="1">
      <c r="A103" s="145"/>
      <c r="B103" s="285"/>
      <c r="C103" s="286"/>
      <c r="D103" s="287"/>
      <c r="E103" s="287"/>
      <c r="F103" s="287"/>
      <c r="G103" s="287"/>
      <c r="H103" s="287"/>
      <c r="I103" s="287"/>
      <c r="J103" s="288"/>
    </row>
    <row r="104" spans="1:10" s="147" customFormat="1" outlineLevel="1">
      <c r="A104" s="145"/>
      <c r="B104" s="285"/>
      <c r="C104" s="286"/>
      <c r="D104" s="287"/>
      <c r="E104" s="287"/>
      <c r="F104" s="287"/>
      <c r="G104" s="287"/>
      <c r="H104" s="287"/>
      <c r="I104" s="287"/>
      <c r="J104" s="288"/>
    </row>
    <row r="105" spans="1:10" s="147" customFormat="1" outlineLevel="1">
      <c r="A105" s="145"/>
      <c r="B105" s="285"/>
      <c r="C105" s="286"/>
      <c r="D105" s="287"/>
      <c r="E105" s="287"/>
      <c r="F105" s="287"/>
      <c r="G105" s="287"/>
      <c r="H105" s="287"/>
      <c r="I105" s="287"/>
      <c r="J105" s="288"/>
    </row>
    <row r="106" spans="1:10" s="147" customFormat="1" outlineLevel="1">
      <c r="A106" s="145"/>
      <c r="B106" s="285"/>
      <c r="C106" s="286"/>
      <c r="D106" s="287"/>
      <c r="E106" s="287"/>
      <c r="F106" s="287"/>
      <c r="G106" s="287"/>
      <c r="H106" s="287"/>
      <c r="I106" s="287"/>
      <c r="J106" s="288"/>
    </row>
    <row r="107" spans="1:10" s="147" customFormat="1" outlineLevel="1">
      <c r="A107" s="145"/>
      <c r="B107" s="285"/>
      <c r="C107" s="286"/>
      <c r="D107" s="287"/>
      <c r="E107" s="287"/>
      <c r="F107" s="287"/>
      <c r="G107" s="287"/>
      <c r="H107" s="287"/>
      <c r="I107" s="287"/>
      <c r="J107" s="288"/>
    </row>
    <row r="108" spans="1:10" s="147" customFormat="1" outlineLevel="1">
      <c r="A108" s="145"/>
      <c r="B108" s="285"/>
      <c r="C108" s="286"/>
      <c r="D108" s="287"/>
      <c r="E108" s="287"/>
      <c r="F108" s="287"/>
      <c r="G108" s="287"/>
      <c r="H108" s="287"/>
      <c r="I108" s="287"/>
      <c r="J108" s="288"/>
    </row>
    <row r="109" spans="1:10" s="147" customFormat="1" outlineLevel="1">
      <c r="A109" s="145"/>
      <c r="B109" s="285"/>
      <c r="C109" s="286"/>
      <c r="D109" s="287"/>
      <c r="E109" s="287"/>
      <c r="F109" s="287"/>
      <c r="G109" s="287"/>
      <c r="H109" s="287"/>
      <c r="I109" s="287"/>
      <c r="J109" s="288"/>
    </row>
    <row r="110" spans="1:10" s="147" customFormat="1" outlineLevel="1">
      <c r="A110" s="145"/>
      <c r="B110" s="285"/>
      <c r="C110" s="286"/>
      <c r="D110" s="287"/>
      <c r="E110" s="287"/>
      <c r="F110" s="287"/>
      <c r="G110" s="287"/>
      <c r="H110" s="287"/>
      <c r="I110" s="287"/>
      <c r="J110" s="288"/>
    </row>
    <row r="111" spans="1:10" s="147" customFormat="1" outlineLevel="1">
      <c r="A111" s="145"/>
      <c r="B111" s="285"/>
      <c r="C111" s="286"/>
      <c r="D111" s="287"/>
      <c r="E111" s="287"/>
      <c r="F111" s="287"/>
      <c r="G111" s="287"/>
      <c r="H111" s="287"/>
      <c r="I111" s="287"/>
      <c r="J111" s="288"/>
    </row>
    <row r="112" spans="1:10" s="293" customFormat="1">
      <c r="A112" s="292"/>
    </row>
    <row r="114" spans="1:10" ht="21">
      <c r="B114" s="192" t="s">
        <v>349</v>
      </c>
    </row>
    <row r="115" spans="1:10" outlineLevel="1">
      <c r="A115" s="145">
        <v>2</v>
      </c>
      <c r="B115" s="151" t="s">
        <v>329</v>
      </c>
      <c r="C115" s="151" t="s">
        <v>338</v>
      </c>
      <c r="D115" s="151">
        <f ca="1">OFFSET(新用户!$A$1,$A115-1,D$1-1,1,1)</f>
        <v>42795</v>
      </c>
      <c r="E115" s="151">
        <f ca="1">OFFSET(新用户!$A$1,$A115-1,E$1-1,1,1)</f>
        <v>42826</v>
      </c>
      <c r="F115" s="151">
        <f ca="1">OFFSET(新用户!$A$1,$A115-1,F$1-1,1,1)</f>
        <v>42856</v>
      </c>
      <c r="G115" s="151">
        <f ca="1">OFFSET(新用户!$A$1,$A115-1,G$1-1,1,1)</f>
        <v>42887</v>
      </c>
      <c r="H115" s="151">
        <f ca="1">OFFSET(新用户!$A$1,$A115-1,H$1-1,1,1)</f>
        <v>42917</v>
      </c>
      <c r="I115" s="151">
        <f ca="1">OFFSET(新用户!$A$1,$A115-1,I$1-1,1,1)</f>
        <v>42948</v>
      </c>
      <c r="J115" s="152" t="s">
        <v>339</v>
      </c>
    </row>
    <row r="116" spans="1:10" ht="16.5" customHeight="1" outlineLevel="1">
      <c r="A116" s="145">
        <v>9</v>
      </c>
      <c r="B116" s="498" t="s">
        <v>332</v>
      </c>
      <c r="C116" s="206" t="s">
        <v>350</v>
      </c>
      <c r="D116" s="294">
        <f ca="1">OFFSET(新用户!$A$1,$A116-1,D$1-1,1,1)</f>
        <v>0.318</v>
      </c>
      <c r="E116" s="294">
        <f ca="1">OFFSET(新用户!$A$1,$A116-1,E$1-1,1,1)</f>
        <v>0.29599999999999999</v>
      </c>
      <c r="F116" s="294">
        <f ca="1">OFFSET(新用户!$A$1,$A116-1,F$1-1,1,1)</f>
        <v>0.30599999999999999</v>
      </c>
      <c r="G116" s="294">
        <f ca="1">OFFSET(新用户!$A$1,$A116-1,G$1-1,1,1)</f>
        <v>0.32100000000000001</v>
      </c>
      <c r="H116" s="294">
        <f ca="1">OFFSET(新用户!$A$1,$A116-1,H$1-1,1,1)</f>
        <v>0.313</v>
      </c>
      <c r="I116" s="295">
        <f ca="1">OFFSET(新用户!$A$1,$A116-1,I$1-1,1,1)</f>
        <v>0.35599999999999998</v>
      </c>
      <c r="J116" s="169">
        <f ca="1">+I116-H116</f>
        <v>4.2999999999999983E-2</v>
      </c>
    </row>
    <row r="117" spans="1:10" outlineLevel="1">
      <c r="A117" s="145">
        <f>+A116+6</f>
        <v>15</v>
      </c>
      <c r="B117" s="499"/>
      <c r="C117" s="206" t="s">
        <v>351</v>
      </c>
      <c r="D117" s="294">
        <f ca="1">OFFSET(新用户!$A$1,$A117-1,D$1-1,1,1)</f>
        <v>0.16700000000000001</v>
      </c>
      <c r="E117" s="294">
        <f ca="1">OFFSET(新用户!$A$1,$A117-1,E$1-1,1,1)</f>
        <v>0.14699999999999999</v>
      </c>
      <c r="F117" s="294">
        <f ca="1">OFFSET(新用户!$A$1,$A117-1,F$1-1,1,1)</f>
        <v>0.154</v>
      </c>
      <c r="G117" s="294">
        <f ca="1">OFFSET(新用户!$A$1,$A117-1,G$1-1,1,1)</f>
        <v>0.16200000000000001</v>
      </c>
      <c r="H117" s="294">
        <f ca="1">OFFSET(新用户!$A$1,$A117-1,H$1-1,1,1)</f>
        <v>0.15</v>
      </c>
      <c r="I117" s="295">
        <f ca="1">OFFSET(新用户!$A$1,$A117-1,I$1-1,1,1)</f>
        <v>0.17100000000000001</v>
      </c>
      <c r="J117" s="169">
        <f t="shared" ref="J117:J122" ca="1" si="8">+I117-H117</f>
        <v>2.1000000000000019E-2</v>
      </c>
    </row>
    <row r="118" spans="1:10" outlineLevel="1">
      <c r="A118" s="145">
        <v>10</v>
      </c>
      <c r="B118" s="522" t="s">
        <v>352</v>
      </c>
      <c r="C118" s="209" t="s">
        <v>353</v>
      </c>
      <c r="D118" s="296">
        <f ca="1">OFFSET(新用户!$A$1,$A118-1,D$1-1,1,1)</f>
        <v>0.16700000000000001</v>
      </c>
      <c r="E118" s="297">
        <f ca="1">OFFSET(新用户!$A$1,$A118-1,E$1-1,1,1)</f>
        <v>0.16900000000000001</v>
      </c>
      <c r="F118" s="297">
        <f ca="1">OFFSET(新用户!$A$1,$A118-1,F$1-1,1,1)</f>
        <v>0.183</v>
      </c>
      <c r="G118" s="297">
        <f ca="1">OFFSET(新用户!$A$1,$A118-1,G$1-1,1,1)</f>
        <v>0.187</v>
      </c>
      <c r="H118" s="297">
        <f ca="1">OFFSET(新用户!$A$1,$A118-1,H$1-1,1,1)</f>
        <v>0.17299999999999999</v>
      </c>
      <c r="I118" s="298">
        <f ca="1">OFFSET(新用户!$A$1,$A118-1,I$1-1,1,1)</f>
        <v>0.20899999999999999</v>
      </c>
      <c r="J118" s="169">
        <f t="shared" ca="1" si="8"/>
        <v>3.6000000000000004E-2</v>
      </c>
    </row>
    <row r="119" spans="1:10" outlineLevel="1">
      <c r="A119" s="145">
        <f>+A118+1</f>
        <v>11</v>
      </c>
      <c r="B119" s="522"/>
      <c r="C119" s="209" t="s">
        <v>354</v>
      </c>
      <c r="D119" s="296">
        <f ca="1">OFFSET(新用户!$A$1,$A119-1,D$1-1,1,1)</f>
        <v>0.52903225799999998</v>
      </c>
      <c r="E119" s="296">
        <f ca="1">OFFSET(新用户!$A$1,$A119-1,E$1-1,1,1)</f>
        <v>0.49233333299999998</v>
      </c>
      <c r="F119" s="297">
        <f ca="1">OFFSET(新用户!$A$1,$A119-1,F$1-1,1,1)</f>
        <v>0.49032258099999998</v>
      </c>
      <c r="G119" s="297">
        <f ca="1">OFFSET(新用户!$A$1,$A119-1,G$1-1,1,1)</f>
        <v>0.499</v>
      </c>
      <c r="H119" s="296">
        <f ca="1">OFFSET(新用户!$A$1,$A119-1,H$1-1,1,1)</f>
        <v>0.46300000000000002</v>
      </c>
      <c r="I119" s="296">
        <f ca="1">OFFSET(新用户!$A$1,$A119-1,I$1-1,1,1)</f>
        <v>0.48799999999999999</v>
      </c>
      <c r="J119" s="169">
        <f ca="1">+I119-H119</f>
        <v>2.4999999999999967E-2</v>
      </c>
    </row>
    <row r="120" spans="1:10" outlineLevel="1">
      <c r="A120" s="145">
        <f>+A119+1</f>
        <v>12</v>
      </c>
      <c r="B120" s="522"/>
      <c r="C120" s="209" t="s">
        <v>355</v>
      </c>
      <c r="D120" s="296">
        <f ca="1">OFFSET(新用户!$A$1,$A120-1,D$1-1,1,1)</f>
        <v>0.21483870999999999</v>
      </c>
      <c r="E120" s="297">
        <f ca="1">OFFSET(新用户!$A$1,$A120-1,E$1-1,1,1)</f>
        <v>0.19566666699999999</v>
      </c>
      <c r="F120" s="297">
        <f ca="1">OFFSET(新用户!$A$1,$A120-1,F$1-1,1,1)</f>
        <v>0.190967742</v>
      </c>
      <c r="G120" s="297">
        <f ca="1">OFFSET(新用户!$A$1,$A120-1,G$1-1,1,1)</f>
        <v>0.19900000000000001</v>
      </c>
      <c r="H120" s="297">
        <f ca="1">OFFSET(新用户!$A$1,$A120-1,H$1-1,1,1)</f>
        <v>0.218</v>
      </c>
      <c r="I120" s="296">
        <f ca="1">OFFSET(新用户!$A$1,$A120-1,I$1-1,1,1)</f>
        <v>0.245</v>
      </c>
      <c r="J120" s="169">
        <f t="shared" ca="1" si="8"/>
        <v>2.6999999999999996E-2</v>
      </c>
    </row>
    <row r="121" spans="1:10" outlineLevel="1">
      <c r="A121" s="145">
        <f>+A118+6</f>
        <v>16</v>
      </c>
      <c r="B121" s="522"/>
      <c r="C121" s="209" t="s">
        <v>356</v>
      </c>
      <c r="D121" s="235">
        <f ca="1">OFFSET(新用户!$A$1,$A121-1,D$1-1,1,1)</f>
        <v>6.5000000000000002E-2</v>
      </c>
      <c r="E121" s="238">
        <f ca="1">OFFSET(新用户!$A$1,$A121-1,E$1-1,1,1)</f>
        <v>0.06</v>
      </c>
      <c r="F121" s="238">
        <f ca="1">OFFSET(新用户!$A$1,$A121-1,F$1-1,1,1)</f>
        <v>6.9000000000000006E-2</v>
      </c>
      <c r="G121" s="238">
        <f ca="1">OFFSET(新用户!$A$1,$A121-1,G$1-1,1,1)</f>
        <v>7.4999999999999997E-2</v>
      </c>
      <c r="H121" s="238">
        <f ca="1">OFFSET(新用户!$A$1,$A121-1,H$1-1,1,1)</f>
        <v>6.2E-2</v>
      </c>
      <c r="I121" s="235">
        <f ca="1">OFFSET(新用户!$A$1,$A121-1,I$1-1,1,1)</f>
        <v>7.2999999999999995E-2</v>
      </c>
      <c r="J121" s="169">
        <f ca="1">+I121-H121</f>
        <v>1.0999999999999996E-2</v>
      </c>
    </row>
    <row r="122" spans="1:10" ht="16.5" customHeight="1" outlineLevel="1">
      <c r="A122" s="145">
        <f>+A119+6</f>
        <v>17</v>
      </c>
      <c r="B122" s="522"/>
      <c r="C122" s="209" t="s">
        <v>357</v>
      </c>
      <c r="D122" s="235">
        <f ca="1">OFFSET(新用户!$A$1,$A122-1,D$1-1,1,1)</f>
        <v>0.29548387100000001</v>
      </c>
      <c r="E122" s="238">
        <f ca="1">OFFSET(新用户!$A$1,$A122-1,E$1-1,1,1)</f>
        <v>0.262333333</v>
      </c>
      <c r="F122" s="238">
        <f ca="1">OFFSET(新用户!$A$1,$A122-1,F$1-1,1,1)</f>
        <v>0.26645161299999998</v>
      </c>
      <c r="G122" s="238">
        <f ca="1">OFFSET(新用户!$A$1,$A122-1,G$1-1,1,1)</f>
        <v>0.27100000000000002</v>
      </c>
      <c r="H122" s="238">
        <f ca="1">OFFSET(新用户!$A$1,$A122-1,H$1-1,1,1)</f>
        <v>0.23499999999999999</v>
      </c>
      <c r="I122" s="235">
        <f ca="1">OFFSET(新用户!$A$1,$A122-1,I$1-1,1,1)</f>
        <v>0.20200000000000001</v>
      </c>
      <c r="J122" s="169">
        <f t="shared" ca="1" si="8"/>
        <v>-3.2999999999999974E-2</v>
      </c>
    </row>
    <row r="123" spans="1:10" outlineLevel="1">
      <c r="A123" s="145">
        <f>+A120+6</f>
        <v>18</v>
      </c>
      <c r="B123" s="522"/>
      <c r="C123" s="209" t="s">
        <v>358</v>
      </c>
      <c r="D123" s="238">
        <f ca="1">OFFSET(新用户!$A$1,$A123-1,D$1-1,1,1)</f>
        <v>0.09</v>
      </c>
      <c r="E123" s="238">
        <f ca="1">OFFSET(新用户!$A$1,$A123-1,E$1-1,1,1)</f>
        <v>0.08</v>
      </c>
      <c r="F123" s="238">
        <f ca="1">OFFSET(新用户!$A$1,$A123-1,F$1-1,1,1)</f>
        <v>7.9032257999999994E-2</v>
      </c>
      <c r="G123" s="238">
        <f ca="1">OFFSET(新用户!$A$1,$A123-1,G$1-1,1,1)</f>
        <v>7.9000000000000001E-2</v>
      </c>
      <c r="H123" s="238">
        <f ca="1">OFFSET(新用户!$A$1,$A123-1,H$1-1,1,1)</f>
        <v>8.6999999999999994E-2</v>
      </c>
      <c r="I123" s="235">
        <f ca="1">OFFSET(新用户!$A$1,$A123-1,I$1-1,1,1)</f>
        <v>9.9000000000000005E-2</v>
      </c>
      <c r="J123" s="169">
        <f ca="1">+I123-H123</f>
        <v>1.2000000000000011E-2</v>
      </c>
    </row>
    <row r="124" spans="1:10" outlineLevel="1">
      <c r="A124" s="145">
        <f>+A120+1</f>
        <v>13</v>
      </c>
      <c r="B124" s="522" t="s">
        <v>359</v>
      </c>
      <c r="C124" s="194" t="s">
        <v>360</v>
      </c>
      <c r="D124" s="296">
        <f ca="1">OFFSET(新用户!$A$1,$A124-1,D$1-1,1,1)</f>
        <v>0.32870967741935481</v>
      </c>
      <c r="E124" s="299">
        <f ca="1">OFFSET(新用户!$A$1,$A124-1,E$1-1,1,1)</f>
        <v>0.30166666666666669</v>
      </c>
      <c r="F124" s="299">
        <f ca="1">OFFSET(新用户!$A$1,$A124-1,F$1-1,1,1)</f>
        <v>0.31290322580645158</v>
      </c>
      <c r="G124" s="299">
        <f ca="1">OFFSET(新用户!$A$1,$A124-1,G$1-1,1,1)</f>
        <v>0.32900000000000001</v>
      </c>
      <c r="H124" s="296">
        <f ca="1">OFFSET(新用户!$A$1,$A124-1,H$1-1,1,1)</f>
        <v>0.317</v>
      </c>
      <c r="I124" s="296">
        <f ca="1">OFFSET(新用户!$A$1,$A124-1,I$1-1,1,1)</f>
        <v>0.36399999999999999</v>
      </c>
      <c r="J124" s="169">
        <f ca="1">+I124-H124</f>
        <v>4.6999999999999986E-2</v>
      </c>
    </row>
    <row r="125" spans="1:10" outlineLevel="1">
      <c r="A125" s="145">
        <f>+A124+1</f>
        <v>14</v>
      </c>
      <c r="B125" s="522"/>
      <c r="C125" s="194" t="s">
        <v>361</v>
      </c>
      <c r="D125" s="296">
        <f ca="1">OFFSET(新用户!$A$1,$A125-1,D$1-1,1,1)</f>
        <v>0.16580645161290322</v>
      </c>
      <c r="E125" s="299">
        <f ca="1">OFFSET(新用户!$A$1,$A125-1,E$1-1,1,1)</f>
        <v>0.15400000000000003</v>
      </c>
      <c r="F125" s="299">
        <f ca="1">OFFSET(新用户!$A$1,$A125-1,F$1-1,1,1)</f>
        <v>0.14709677419354839</v>
      </c>
      <c r="G125" s="299">
        <f ca="1">OFFSET(新用户!$A$1,$A125-1,G$1-1,1,1)</f>
        <v>0.13800000000000001</v>
      </c>
      <c r="H125" s="296">
        <f ca="1">OFFSET(新用户!$A$1,$A125-1,H$1-1,1,1)</f>
        <v>0.13200000000000001</v>
      </c>
      <c r="I125" s="296">
        <f ca="1">OFFSET(新用户!$A$1,$A125-1,I$1-1,1,1)</f>
        <v>0.14899999999999999</v>
      </c>
      <c r="J125" s="169">
        <f ca="1">+I125-H125</f>
        <v>1.6999999999999987E-2</v>
      </c>
    </row>
    <row r="126" spans="1:10" outlineLevel="1">
      <c r="A126" s="145">
        <f>+A124+6</f>
        <v>19</v>
      </c>
      <c r="B126" s="522"/>
      <c r="C126" s="194" t="s">
        <v>362</v>
      </c>
      <c r="D126" s="235">
        <f ca="1">OFFSET(新用户!$A$1,$A126-1,D$1-1,1,1)</f>
        <v>0.17612903225806459</v>
      </c>
      <c r="E126" s="234">
        <f ca="1">OFFSET(新用户!$A$1,$A126-1,E$1-1,1,1)</f>
        <v>0.1556666666666667</v>
      </c>
      <c r="F126" s="234">
        <f ca="1">OFFSET(新用户!$A$1,$A126-1,F$1-1,1,1)</f>
        <v>0.15935483870967745</v>
      </c>
      <c r="G126" s="234">
        <f ca="1">OFFSET(新用户!$A$1,$A126-1,G$1-1,1,1)</f>
        <v>0.16900000000000001</v>
      </c>
      <c r="H126" s="235">
        <f ca="1">OFFSET(新用户!$A$1,$A126-1,H$1-1,1,1)</f>
        <v>0.154</v>
      </c>
      <c r="I126" s="235">
        <f ca="1">OFFSET(新用户!$A$1,$A126-1,I$1-1,1,1)</f>
        <v>0.17799999999999999</v>
      </c>
      <c r="J126" s="169">
        <f ca="1">+I126-H126</f>
        <v>2.3999999999999994E-2</v>
      </c>
    </row>
    <row r="127" spans="1:10" outlineLevel="1">
      <c r="A127" s="145">
        <f>+A125+6</f>
        <v>20</v>
      </c>
      <c r="B127" s="522"/>
      <c r="C127" s="194" t="s">
        <v>363</v>
      </c>
      <c r="D127" s="235">
        <f ca="1">OFFSET(新用户!$A$1,$A127-1,D$1-1,1,1)</f>
        <v>6.3870967741935514E-2</v>
      </c>
      <c r="E127" s="234">
        <f ca="1">OFFSET(新用户!$A$1,$A127-1,E$1-1,1,1)</f>
        <v>5.1666666666666687E-2</v>
      </c>
      <c r="F127" s="234">
        <f ca="1">OFFSET(新用户!$A$1,$A127-1,F$1-1,1,1)</f>
        <v>5.4516129032258082E-2</v>
      </c>
      <c r="G127" s="234">
        <f ca="1">OFFSET(新用户!$A$1,$A127-1,G$1-1,1,1)</f>
        <v>4.8000000000000001E-2</v>
      </c>
      <c r="H127" s="235">
        <f ca="1">OFFSET(新用户!$A$1,$A127-1,H$1-1,1,1)</f>
        <v>4.3999999999999997E-2</v>
      </c>
      <c r="I127" s="235">
        <f ca="1">OFFSET(新用户!$A$1,$A127-1,I$1-1,1,1)</f>
        <v>4.8000000000000001E-2</v>
      </c>
      <c r="J127" s="169">
        <f ca="1">+I127-H127</f>
        <v>4.0000000000000036E-3</v>
      </c>
    </row>
    <row r="128" spans="1:10" s="147" customFormat="1" outlineLevel="1">
      <c r="A128" s="145"/>
      <c r="B128" s="285"/>
      <c r="C128" s="286"/>
      <c r="D128" s="300"/>
      <c r="E128" s="300"/>
      <c r="F128" s="300"/>
      <c r="G128" s="300"/>
      <c r="H128" s="300"/>
      <c r="I128" s="300"/>
      <c r="J128" s="159"/>
    </row>
    <row r="129" spans="1:10" s="147" customFormat="1" outlineLevel="1">
      <c r="A129" s="145"/>
      <c r="B129" s="173" t="s">
        <v>364</v>
      </c>
      <c r="C129" s="173"/>
      <c r="D129" s="173"/>
      <c r="E129" s="173"/>
      <c r="F129" s="175"/>
      <c r="G129" s="175"/>
      <c r="H129" s="175"/>
      <c r="I129" s="175"/>
      <c r="J129" s="159"/>
    </row>
    <row r="130" spans="1:10" s="192" customFormat="1" ht="20.25" customHeight="1" outlineLevel="1">
      <c r="A130" s="291"/>
      <c r="B130" s="192" t="str">
        <f>"模板"</f>
        <v>模板</v>
      </c>
    </row>
    <row r="131" spans="1:10" s="177" customFormat="1" ht="20.25" customHeight="1" outlineLevel="1">
      <c r="A131" s="282"/>
      <c r="B131" s="177" t="str">
        <f ca="1">"游戏次日："&amp;TEXT($I124,"0.0%")&amp;"("&amp;IF($J124&gt;0,"+","")&amp;TEXT($J124,"0.0%")&amp;")，七日：" &amp;TEXT($I126,"0.0%")&amp;"("&amp;IF($J126&gt;0,"+","")&amp;TEXT($J126,"0.0%")&amp;")"</f>
        <v>游戏次日：36.4%(+4.7%)，七日：17.8%(+2.4%)</v>
      </c>
    </row>
    <row r="132" spans="1:10" s="177" customFormat="1" ht="20.25" customHeight="1" outlineLevel="1">
      <c r="A132" s="282"/>
      <c r="B132" s="177" t="str">
        <f ca="1">"娱乐次日："&amp;TEXT($I125,"0.0%")&amp;"("&amp;IF($J125&gt;0,"+","")&amp;TEXT($J125,"0.0%")&amp;")，七日：" &amp;TEXT($I127,"0.0%")&amp;"("&amp;IF($J127&gt;0,"+","")&amp;TEXT($J127,"0.0%")&amp;")"</f>
        <v>娱乐次日：14.9%(+1.7%)，七日：4.8%(+0.4%)</v>
      </c>
    </row>
    <row r="133" spans="1:10" s="177" customFormat="1" ht="20.25" customHeight="1" outlineLevel="1">
      <c r="A133" s="282"/>
      <c r="B133" s="301" t="s">
        <v>365</v>
      </c>
    </row>
    <row r="134" spans="1:10" s="147" customFormat="1" outlineLevel="1">
      <c r="A134" s="145"/>
      <c r="B134" s="285"/>
      <c r="C134" s="286"/>
      <c r="D134" s="300"/>
      <c r="E134" s="300"/>
      <c r="F134" s="300"/>
      <c r="G134" s="300"/>
      <c r="H134" s="300"/>
      <c r="I134" s="300"/>
      <c r="J134" s="159"/>
    </row>
    <row r="135" spans="1:10" s="147" customFormat="1" outlineLevel="1">
      <c r="A135" s="145"/>
      <c r="B135" s="285"/>
      <c r="C135" s="286"/>
      <c r="D135" s="300"/>
      <c r="E135" s="300"/>
      <c r="F135" s="300"/>
      <c r="G135" s="300"/>
      <c r="H135" s="300"/>
      <c r="I135" s="300"/>
      <c r="J135" s="159"/>
    </row>
    <row r="136" spans="1:10" s="147" customFormat="1" outlineLevel="1">
      <c r="A136" s="145"/>
      <c r="B136" s="285"/>
      <c r="C136" s="286"/>
      <c r="D136" s="300"/>
      <c r="E136" s="300"/>
      <c r="F136" s="300"/>
      <c r="G136" s="300"/>
      <c r="H136" s="300"/>
      <c r="I136" s="300"/>
      <c r="J136" s="159"/>
    </row>
    <row r="137" spans="1:10" s="147" customFormat="1" outlineLevel="1">
      <c r="A137" s="145"/>
      <c r="B137" s="285"/>
      <c r="C137" s="286"/>
      <c r="D137" s="300"/>
      <c r="E137" s="300"/>
      <c r="F137" s="300"/>
      <c r="G137" s="300"/>
      <c r="H137" s="300"/>
      <c r="I137" s="300"/>
      <c r="J137" s="159"/>
    </row>
    <row r="138" spans="1:10" s="147" customFormat="1" outlineLevel="1">
      <c r="A138" s="145"/>
      <c r="B138" s="285"/>
      <c r="C138" s="286"/>
      <c r="D138" s="300"/>
      <c r="E138" s="300"/>
      <c r="F138" s="300"/>
      <c r="G138" s="300"/>
      <c r="H138" s="300"/>
      <c r="I138" s="300"/>
      <c r="J138" s="159"/>
    </row>
    <row r="139" spans="1:10" s="147" customFormat="1" outlineLevel="1">
      <c r="A139" s="145"/>
      <c r="B139" s="285"/>
      <c r="C139" s="286"/>
      <c r="D139" s="300"/>
      <c r="E139" s="300"/>
      <c r="F139" s="300"/>
      <c r="G139" s="300"/>
      <c r="H139" s="300"/>
      <c r="I139" s="300"/>
      <c r="J139" s="159"/>
    </row>
    <row r="140" spans="1:10" s="147" customFormat="1" outlineLevel="1">
      <c r="A140" s="145"/>
      <c r="B140" s="285"/>
      <c r="C140" s="286"/>
      <c r="D140" s="300"/>
      <c r="E140" s="300"/>
      <c r="F140" s="300"/>
      <c r="G140" s="300"/>
      <c r="H140" s="300"/>
      <c r="I140" s="300"/>
      <c r="J140" s="159"/>
    </row>
    <row r="141" spans="1:10" s="147" customFormat="1" outlineLevel="1">
      <c r="A141" s="145"/>
      <c r="B141" s="285"/>
      <c r="C141" s="286"/>
      <c r="D141" s="300"/>
      <c r="E141" s="300"/>
      <c r="F141" s="300"/>
      <c r="G141" s="300"/>
      <c r="H141" s="300"/>
      <c r="I141" s="300"/>
      <c r="J141" s="159"/>
    </row>
    <row r="142" spans="1:10" s="147" customFormat="1" outlineLevel="1">
      <c r="A142" s="145"/>
      <c r="B142" s="285"/>
      <c r="C142" s="286"/>
      <c r="D142" s="300"/>
      <c r="E142" s="300"/>
      <c r="F142" s="300"/>
      <c r="G142" s="300"/>
      <c r="H142" s="300"/>
      <c r="I142" s="300"/>
      <c r="J142" s="159"/>
    </row>
    <row r="143" spans="1:10" s="147" customFormat="1" outlineLevel="1">
      <c r="A143" s="145"/>
      <c r="B143" s="285"/>
      <c r="C143" s="286"/>
      <c r="D143" s="300"/>
      <c r="E143" s="300"/>
      <c r="F143" s="300"/>
      <c r="G143" s="300"/>
      <c r="H143" s="300"/>
      <c r="I143" s="300"/>
      <c r="J143" s="159"/>
    </row>
    <row r="144" spans="1:10" s="147" customFormat="1" outlineLevel="1">
      <c r="A144" s="145"/>
      <c r="B144" s="285"/>
      <c r="C144" s="286"/>
      <c r="D144" s="300"/>
      <c r="E144" s="300"/>
      <c r="F144" s="300"/>
      <c r="G144" s="300"/>
      <c r="H144" s="300"/>
      <c r="I144" s="300"/>
      <c r="J144" s="159"/>
    </row>
    <row r="145" spans="1:10" s="147" customFormat="1" outlineLevel="1">
      <c r="A145" s="145"/>
      <c r="B145" s="285"/>
      <c r="C145" s="286"/>
      <c r="D145" s="300"/>
      <c r="E145" s="300"/>
      <c r="F145" s="300"/>
      <c r="G145" s="300"/>
      <c r="H145" s="300"/>
      <c r="I145" s="300"/>
      <c r="J145" s="159"/>
    </row>
    <row r="146" spans="1:10" s="147" customFormat="1" outlineLevel="1">
      <c r="A146" s="145"/>
      <c r="B146" s="285"/>
      <c r="C146" s="286"/>
      <c r="D146" s="300"/>
      <c r="E146" s="300"/>
      <c r="F146" s="300"/>
      <c r="G146" s="300"/>
      <c r="H146" s="300"/>
      <c r="I146" s="300"/>
      <c r="J146" s="159"/>
    </row>
    <row r="147" spans="1:10" s="147" customFormat="1" outlineLevel="1">
      <c r="A147" s="145"/>
      <c r="B147" s="285"/>
      <c r="C147" s="286"/>
      <c r="D147" s="300"/>
      <c r="E147" s="300"/>
      <c r="F147" s="300"/>
      <c r="G147" s="300"/>
      <c r="H147" s="300"/>
      <c r="I147" s="300"/>
      <c r="J147" s="159"/>
    </row>
    <row r="148" spans="1:10" s="147" customFormat="1" outlineLevel="1">
      <c r="A148" s="145"/>
      <c r="B148" s="285"/>
      <c r="C148" s="286"/>
      <c r="D148" s="300"/>
      <c r="E148" s="300"/>
      <c r="F148" s="300"/>
      <c r="G148" s="300"/>
      <c r="H148" s="300"/>
      <c r="I148" s="300"/>
      <c r="J148" s="159"/>
    </row>
    <row r="149" spans="1:10" s="147" customFormat="1" outlineLevel="1">
      <c r="A149" s="145"/>
      <c r="B149" s="173" t="s">
        <v>366</v>
      </c>
      <c r="C149" s="173"/>
      <c r="D149" s="173"/>
      <c r="E149" s="173"/>
      <c r="F149" s="175"/>
      <c r="G149" s="175"/>
      <c r="H149" s="175"/>
      <c r="I149" s="175"/>
      <c r="J149" s="159"/>
    </row>
    <row r="150" spans="1:10" s="177" customFormat="1" ht="20.25" customHeight="1" outlineLevel="1">
      <c r="A150" s="282"/>
      <c r="B150" s="192" t="str">
        <f>"终端"</f>
        <v>终端</v>
      </c>
    </row>
    <row r="151" spans="1:10" s="177" customFormat="1" ht="20.25" customHeight="1" outlineLevel="1">
      <c r="A151" s="282"/>
      <c r="B151" s="177" t="str">
        <f ca="1">"PC次日："&amp;TEXT($I118,"0.0%")&amp;"("&amp;IF($J118&gt;0,"+","")&amp;TEXT($J118,"0.0%")&amp;")，七日：" &amp;TEXT($I121,"0.0%")&amp;"("&amp;IF($J121&gt;0,"+","")&amp;TEXT($J121,"0.0%")&amp;")"</f>
        <v>PC次日：20.9%(+3.6%)，七日：7.3%(+1.1%)</v>
      </c>
    </row>
    <row r="152" spans="1:10" s="177" customFormat="1" ht="20.25" customHeight="1" outlineLevel="1">
      <c r="A152" s="282"/>
      <c r="B152" s="177" t="str">
        <f ca="1">"手机次日："&amp;TEXT($I119,"0.0%")&amp;"("&amp;IF($J119&gt;0,"+","")&amp;TEXT($J119,"0.0%")&amp;")，七日：" &amp;TEXT($I122,"0.0%")&amp;"("&amp;IF($J122&gt;0,"+","")&amp;TEXT($J122,"0.0%")&amp;")"</f>
        <v>手机次日：48.8%(+2.5%)，七日：20.2%(-3.3%)</v>
      </c>
    </row>
    <row r="153" spans="1:10" s="177" customFormat="1" ht="20.25" customHeight="1" outlineLevel="1">
      <c r="A153" s="282"/>
      <c r="B153" s="177" t="str">
        <f ca="1">"Web次日："&amp;TEXT($I120,"0.0%")&amp;"("&amp;IF($J120&gt;0,"+","")&amp;TEXT($J120,"0.0%")&amp;")，七日：" &amp;TEXT($I123,"0.0%")&amp;"("&amp;IF($J123&gt;0,"+","")&amp;TEXT($J123,"0.0%")&amp;")"</f>
        <v>Web次日：24.5%(+2.7%)，七日：9.9%(+1.2%)</v>
      </c>
    </row>
    <row r="154" spans="1:10" s="147" customFormat="1" outlineLevel="1">
      <c r="A154" s="145"/>
      <c r="B154" s="285"/>
      <c r="C154" s="286"/>
      <c r="D154" s="300"/>
      <c r="E154" s="300"/>
      <c r="F154" s="300"/>
      <c r="G154" s="300"/>
      <c r="H154" s="300"/>
      <c r="I154" s="300"/>
      <c r="J154" s="159"/>
    </row>
    <row r="155" spans="1:10" s="147" customFormat="1" outlineLevel="1">
      <c r="A155" s="145"/>
      <c r="B155" s="285"/>
      <c r="C155" s="286"/>
      <c r="D155" s="300"/>
      <c r="E155" s="300"/>
      <c r="F155" s="300"/>
      <c r="G155" s="300"/>
      <c r="H155" s="300"/>
      <c r="I155" s="300"/>
      <c r="J155" s="159"/>
    </row>
    <row r="156" spans="1:10" s="147" customFormat="1" outlineLevel="1">
      <c r="A156" s="145"/>
      <c r="B156" s="285"/>
      <c r="C156" s="286"/>
      <c r="D156" s="300"/>
      <c r="E156" s="300"/>
      <c r="F156" s="300"/>
      <c r="G156" s="300"/>
      <c r="H156" s="300"/>
      <c r="I156" s="300"/>
      <c r="J156" s="159"/>
    </row>
    <row r="157" spans="1:10" s="147" customFormat="1" outlineLevel="1">
      <c r="A157" s="145"/>
      <c r="B157" s="285"/>
      <c r="C157" s="286"/>
      <c r="D157" s="300"/>
      <c r="E157" s="300"/>
      <c r="F157" s="300"/>
      <c r="G157" s="300"/>
      <c r="H157" s="300"/>
      <c r="I157" s="300"/>
      <c r="J157" s="159"/>
    </row>
    <row r="158" spans="1:10" s="147" customFormat="1" outlineLevel="1">
      <c r="A158" s="145"/>
      <c r="B158" s="285"/>
      <c r="C158" s="286"/>
      <c r="D158" s="300"/>
      <c r="E158" s="300"/>
      <c r="F158" s="300"/>
      <c r="G158" s="300"/>
      <c r="H158" s="300"/>
      <c r="I158" s="300"/>
      <c r="J158" s="159"/>
    </row>
    <row r="159" spans="1:10" s="147" customFormat="1" outlineLevel="1">
      <c r="A159" s="145"/>
      <c r="B159" s="285"/>
      <c r="C159" s="286"/>
      <c r="D159" s="300"/>
      <c r="E159" s="300"/>
      <c r="F159" s="300"/>
      <c r="G159" s="300"/>
      <c r="H159" s="300"/>
      <c r="I159" s="300"/>
      <c r="J159" s="159"/>
    </row>
    <row r="160" spans="1:10" s="147" customFormat="1" outlineLevel="1">
      <c r="A160" s="145"/>
      <c r="B160" s="285"/>
      <c r="C160" s="286"/>
      <c r="D160" s="300"/>
      <c r="E160" s="300"/>
      <c r="F160" s="300"/>
      <c r="G160" s="300"/>
      <c r="H160" s="300"/>
      <c r="I160" s="300"/>
      <c r="J160" s="159"/>
    </row>
    <row r="161" spans="1:10" s="147" customFormat="1" outlineLevel="1">
      <c r="A161" s="145"/>
      <c r="B161" s="285"/>
      <c r="C161" s="286"/>
      <c r="D161" s="300"/>
      <c r="E161" s="300"/>
      <c r="F161" s="300"/>
      <c r="G161" s="300"/>
      <c r="H161" s="300"/>
      <c r="I161" s="300"/>
      <c r="J161" s="159"/>
    </row>
    <row r="162" spans="1:10" s="147" customFormat="1" outlineLevel="1">
      <c r="A162" s="145"/>
      <c r="B162" s="285"/>
      <c r="C162" s="286"/>
      <c r="D162" s="300"/>
      <c r="E162" s="300"/>
      <c r="F162" s="300"/>
      <c r="G162" s="300"/>
      <c r="H162" s="300"/>
      <c r="I162" s="300"/>
      <c r="J162" s="159"/>
    </row>
    <row r="163" spans="1:10" s="147" customFormat="1" outlineLevel="1">
      <c r="A163" s="145"/>
      <c r="B163" s="285"/>
      <c r="C163" s="286"/>
      <c r="D163" s="300"/>
      <c r="E163" s="300"/>
      <c r="F163" s="300"/>
      <c r="G163" s="300"/>
      <c r="H163" s="300"/>
      <c r="I163" s="300"/>
      <c r="J163" s="159"/>
    </row>
    <row r="164" spans="1:10" s="147" customFormat="1" outlineLevel="1">
      <c r="A164" s="145"/>
      <c r="B164" s="285"/>
      <c r="C164" s="286"/>
      <c r="D164" s="300"/>
      <c r="E164" s="300"/>
      <c r="F164" s="300"/>
      <c r="G164" s="300"/>
      <c r="H164" s="300"/>
      <c r="I164" s="300"/>
      <c r="J164" s="159"/>
    </row>
    <row r="165" spans="1:10" s="147" customFormat="1" outlineLevel="1">
      <c r="A165" s="145"/>
      <c r="B165" s="285"/>
      <c r="C165" s="286"/>
      <c r="D165" s="300"/>
      <c r="E165" s="300"/>
      <c r="F165" s="300"/>
      <c r="G165" s="300"/>
      <c r="H165" s="300"/>
      <c r="I165" s="300"/>
      <c r="J165" s="159"/>
    </row>
    <row r="166" spans="1:10" s="147" customFormat="1" outlineLevel="1">
      <c r="A166" s="145"/>
      <c r="B166" s="285"/>
      <c r="C166" s="286"/>
      <c r="D166" s="300"/>
      <c r="E166" s="300"/>
      <c r="F166" s="300"/>
      <c r="G166" s="300"/>
      <c r="H166" s="300"/>
      <c r="I166" s="300"/>
      <c r="J166" s="159"/>
    </row>
    <row r="167" spans="1:10" s="147" customFormat="1" outlineLevel="1">
      <c r="A167" s="145"/>
      <c r="B167" s="285"/>
      <c r="C167" s="286"/>
      <c r="D167" s="300"/>
      <c r="E167" s="300"/>
      <c r="F167" s="300"/>
      <c r="G167" s="300"/>
      <c r="H167" s="300"/>
      <c r="I167" s="300"/>
      <c r="J167" s="159"/>
    </row>
    <row r="169" spans="1:10" s="293" customFormat="1" ht="18">
      <c r="A169" s="292"/>
      <c r="B169" s="319" t="s">
        <v>410</v>
      </c>
    </row>
    <row r="170" spans="1:10" s="293" customFormat="1" outlineLevel="1">
      <c r="A170" s="292"/>
      <c r="B170" s="523" t="s">
        <v>431</v>
      </c>
      <c r="C170" s="523"/>
      <c r="D170" s="523"/>
      <c r="E170" s="523"/>
      <c r="F170" s="523"/>
      <c r="G170" s="523"/>
      <c r="H170" s="523"/>
      <c r="I170" s="523"/>
    </row>
    <row r="171" spans="1:10" s="293" customFormat="1" outlineLevel="1">
      <c r="A171" s="292"/>
      <c r="B171" s="320" t="s">
        <v>432</v>
      </c>
      <c r="C171" s="320" t="s">
        <v>433</v>
      </c>
      <c r="D171" s="320" t="s">
        <v>434</v>
      </c>
      <c r="E171" s="320" t="s">
        <v>435</v>
      </c>
      <c r="F171" s="320" t="s">
        <v>436</v>
      </c>
      <c r="G171" s="320" t="s">
        <v>437</v>
      </c>
      <c r="H171" s="320" t="s">
        <v>438</v>
      </c>
      <c r="I171" s="320" t="s">
        <v>419</v>
      </c>
    </row>
    <row r="172" spans="1:10" s="293" customFormat="1" outlineLevel="1">
      <c r="A172" s="292"/>
      <c r="B172" s="516" t="s">
        <v>439</v>
      </c>
      <c r="C172" s="321">
        <v>42856</v>
      </c>
      <c r="D172" s="322">
        <v>92948</v>
      </c>
      <c r="E172" s="322">
        <v>69218</v>
      </c>
      <c r="F172" s="322">
        <v>41079</v>
      </c>
      <c r="G172" s="322">
        <v>40411</v>
      </c>
      <c r="H172" s="322">
        <v>36487</v>
      </c>
      <c r="I172" s="323">
        <f>SUM(D172:H172)</f>
        <v>280143</v>
      </c>
    </row>
    <row r="173" spans="1:10" s="293" customFormat="1" outlineLevel="1">
      <c r="A173" s="292"/>
      <c r="B173" s="516"/>
      <c r="C173" s="321">
        <v>42887</v>
      </c>
      <c r="D173" s="322">
        <v>81253</v>
      </c>
      <c r="E173" s="322">
        <v>63475</v>
      </c>
      <c r="F173" s="322">
        <v>37103</v>
      </c>
      <c r="G173" s="322">
        <v>35218</v>
      </c>
      <c r="H173" s="322">
        <v>31060</v>
      </c>
      <c r="I173" s="323">
        <f>SUM(D173:H173)</f>
        <v>248109</v>
      </c>
    </row>
    <row r="174" spans="1:10" s="293" customFormat="1" outlineLevel="1">
      <c r="A174" s="292"/>
      <c r="B174" s="516"/>
      <c r="C174" s="321">
        <v>42917</v>
      </c>
      <c r="D174" s="322">
        <v>99512</v>
      </c>
      <c r="E174" s="322">
        <v>68857</v>
      </c>
      <c r="F174" s="322">
        <v>37897</v>
      </c>
      <c r="G174" s="322">
        <v>37026</v>
      </c>
      <c r="H174" s="322">
        <v>30336</v>
      </c>
      <c r="I174" s="323">
        <f>SUM(D174:H174)</f>
        <v>273628</v>
      </c>
    </row>
    <row r="175" spans="1:10" s="293" customFormat="1" outlineLevel="1">
      <c r="A175" s="292"/>
      <c r="B175" s="517" t="s">
        <v>440</v>
      </c>
      <c r="C175" s="324">
        <v>42856</v>
      </c>
      <c r="D175" s="325">
        <f t="shared" ref="D175:I177" si="9">D172/$I172</f>
        <v>0.33178769414192039</v>
      </c>
      <c r="E175" s="325">
        <f t="shared" si="9"/>
        <v>0.24708095508365371</v>
      </c>
      <c r="F175" s="325">
        <f t="shared" si="9"/>
        <v>0.14663582527494887</v>
      </c>
      <c r="G175" s="325">
        <f t="shared" si="9"/>
        <v>0.14425132878565589</v>
      </c>
      <c r="H175" s="325">
        <f t="shared" si="9"/>
        <v>0.13024419671382115</v>
      </c>
      <c r="I175" s="325">
        <f t="shared" si="9"/>
        <v>1</v>
      </c>
    </row>
    <row r="176" spans="1:10" s="293" customFormat="1" outlineLevel="1">
      <c r="A176" s="292"/>
      <c r="B176" s="517"/>
      <c r="C176" s="324">
        <v>42887</v>
      </c>
      <c r="D176" s="325">
        <f t="shared" si="9"/>
        <v>0.32748912776239475</v>
      </c>
      <c r="E176" s="325">
        <f t="shared" si="9"/>
        <v>0.25583513697608712</v>
      </c>
      <c r="F176" s="325">
        <f t="shared" si="9"/>
        <v>0.14954314434381663</v>
      </c>
      <c r="G176" s="325">
        <f t="shared" si="9"/>
        <v>0.14194567710159647</v>
      </c>
      <c r="H176" s="325">
        <f t="shared" si="9"/>
        <v>0.12518691381610503</v>
      </c>
      <c r="I176" s="325">
        <f t="shared" si="9"/>
        <v>1</v>
      </c>
    </row>
    <row r="177" spans="1:10" s="293" customFormat="1" outlineLevel="1">
      <c r="A177" s="292"/>
      <c r="B177" s="517"/>
      <c r="C177" s="324">
        <v>42917</v>
      </c>
      <c r="D177" s="325">
        <f t="shared" si="9"/>
        <v>0.36367623196456506</v>
      </c>
      <c r="E177" s="325">
        <f t="shared" si="9"/>
        <v>0.25164456853830747</v>
      </c>
      <c r="F177" s="325">
        <f t="shared" si="9"/>
        <v>0.13849825310275266</v>
      </c>
      <c r="G177" s="325">
        <f t="shared" si="9"/>
        <v>0.13531509933193972</v>
      </c>
      <c r="H177" s="325">
        <f t="shared" si="9"/>
        <v>0.11086584706243513</v>
      </c>
      <c r="I177" s="325">
        <f t="shared" si="9"/>
        <v>1</v>
      </c>
    </row>
    <row r="178" spans="1:10" s="293" customFormat="1" outlineLevel="1">
      <c r="A178" s="292"/>
      <c r="B178" s="516" t="s">
        <v>441</v>
      </c>
      <c r="C178" s="321">
        <v>42856</v>
      </c>
      <c r="D178" s="326">
        <v>0.13053000000000001</v>
      </c>
      <c r="E178" s="326">
        <v>0.32196000000000002</v>
      </c>
      <c r="F178" s="326">
        <v>0.40655000000000002</v>
      </c>
      <c r="G178" s="326">
        <v>0.47524</v>
      </c>
      <c r="H178" s="326">
        <v>0.57338</v>
      </c>
      <c r="I178" s="326"/>
    </row>
    <row r="179" spans="1:10" s="293" customFormat="1" outlineLevel="1">
      <c r="A179" s="292"/>
      <c r="B179" s="516"/>
      <c r="C179" s="321">
        <v>42887</v>
      </c>
      <c r="D179" s="326">
        <v>0.14854000000000001</v>
      </c>
      <c r="E179" s="326">
        <v>0.33089000000000002</v>
      </c>
      <c r="F179" s="326">
        <v>0.42385</v>
      </c>
      <c r="G179" s="326">
        <v>0.48046</v>
      </c>
      <c r="H179" s="326">
        <v>0.58198000000000005</v>
      </c>
      <c r="I179" s="326"/>
    </row>
    <row r="180" spans="1:10" s="293" customFormat="1" outlineLevel="1">
      <c r="A180" s="292"/>
      <c r="B180" s="516"/>
      <c r="C180" s="321">
        <v>42917</v>
      </c>
      <c r="D180" s="326">
        <v>0.16300000000000001</v>
      </c>
      <c r="E180" s="326">
        <v>0.32</v>
      </c>
      <c r="F180" s="326">
        <v>0.41099999999999998</v>
      </c>
      <c r="G180" s="326">
        <v>0.45200000000000001</v>
      </c>
      <c r="H180" s="326">
        <v>0.56200000000000006</v>
      </c>
      <c r="I180" s="326"/>
      <c r="J180" s="328">
        <f>+G180-D180</f>
        <v>0.28900000000000003</v>
      </c>
    </row>
    <row r="181" spans="1:10" s="293" customFormat="1" outlineLevel="1">
      <c r="A181" s="292"/>
      <c r="B181" s="518" t="s">
        <v>442</v>
      </c>
      <c r="C181" s="320" t="s">
        <v>433</v>
      </c>
      <c r="D181" s="335" t="s">
        <v>443</v>
      </c>
      <c r="E181" s="335" t="s">
        <v>444</v>
      </c>
      <c r="F181" s="335" t="s">
        <v>445</v>
      </c>
      <c r="G181" s="335" t="s">
        <v>446</v>
      </c>
      <c r="H181" s="335" t="s">
        <v>64</v>
      </c>
      <c r="I181" s="327"/>
    </row>
    <row r="182" spans="1:10" s="293" customFormat="1" outlineLevel="1">
      <c r="A182" s="292"/>
      <c r="B182" s="518"/>
      <c r="C182" s="321">
        <v>42768</v>
      </c>
      <c r="D182" s="322">
        <v>106339</v>
      </c>
      <c r="E182" s="322">
        <v>62225</v>
      </c>
      <c r="F182" s="322">
        <v>43668</v>
      </c>
      <c r="G182" s="322">
        <v>9716</v>
      </c>
      <c r="H182" s="323">
        <f t="shared" ref="H182:H187" si="10">SUM(D182:G182)</f>
        <v>221948</v>
      </c>
      <c r="I182" s="336"/>
    </row>
    <row r="183" spans="1:10" s="293" customFormat="1" outlineLevel="1">
      <c r="A183" s="292"/>
      <c r="B183" s="518"/>
      <c r="C183" s="321">
        <v>42825</v>
      </c>
      <c r="D183" s="322">
        <v>120883</v>
      </c>
      <c r="E183" s="322">
        <v>66113</v>
      </c>
      <c r="F183" s="322">
        <v>45837</v>
      </c>
      <c r="G183" s="322">
        <v>10265</v>
      </c>
      <c r="H183" s="323">
        <f t="shared" si="10"/>
        <v>243098</v>
      </c>
      <c r="I183" s="327"/>
    </row>
    <row r="184" spans="1:10" s="293" customFormat="1" outlineLevel="1">
      <c r="A184" s="292"/>
      <c r="B184" s="518"/>
      <c r="C184" s="321">
        <v>42826</v>
      </c>
      <c r="D184" s="322">
        <v>107420</v>
      </c>
      <c r="E184" s="322">
        <v>57526</v>
      </c>
      <c r="F184" s="322">
        <v>37771</v>
      </c>
      <c r="G184" s="322">
        <v>8713</v>
      </c>
      <c r="H184" s="323">
        <f t="shared" si="10"/>
        <v>211430</v>
      </c>
      <c r="I184" s="327"/>
    </row>
    <row r="185" spans="1:10" s="293" customFormat="1" outlineLevel="1">
      <c r="A185" s="292"/>
      <c r="B185" s="518"/>
      <c r="C185" s="321">
        <v>42856</v>
      </c>
      <c r="D185" s="322">
        <v>114252</v>
      </c>
      <c r="E185" s="322">
        <v>62374</v>
      </c>
      <c r="F185" s="322">
        <v>43265</v>
      </c>
      <c r="G185" s="322">
        <v>10284</v>
      </c>
      <c r="H185" s="323">
        <f t="shared" si="10"/>
        <v>230175</v>
      </c>
      <c r="I185" s="327"/>
    </row>
    <row r="186" spans="1:10" s="293" customFormat="1" outlineLevel="1">
      <c r="A186" s="292"/>
      <c r="B186" s="518"/>
      <c r="C186" s="321">
        <v>42887</v>
      </c>
      <c r="D186" s="322">
        <v>103529</v>
      </c>
      <c r="E186" s="322">
        <v>60134</v>
      </c>
      <c r="F186" s="322">
        <v>47089</v>
      </c>
      <c r="G186" s="322">
        <v>11994</v>
      </c>
      <c r="H186" s="323">
        <f t="shared" si="10"/>
        <v>222746</v>
      </c>
      <c r="I186" s="327"/>
    </row>
    <row r="187" spans="1:10" s="293" customFormat="1" outlineLevel="1">
      <c r="A187" s="292"/>
      <c r="B187" s="518"/>
      <c r="C187" s="321">
        <v>42917</v>
      </c>
      <c r="D187" s="322">
        <v>119131</v>
      </c>
      <c r="E187" s="322">
        <v>66746</v>
      </c>
      <c r="F187" s="322">
        <v>48879</v>
      </c>
      <c r="G187" s="322">
        <v>12146</v>
      </c>
      <c r="H187" s="323">
        <f t="shared" si="10"/>
        <v>246902</v>
      </c>
      <c r="I187" s="309"/>
    </row>
    <row r="188" spans="1:10" s="293" customFormat="1" outlineLevel="1">
      <c r="A188" s="292"/>
      <c r="B188" s="523" t="s">
        <v>411</v>
      </c>
      <c r="C188" s="523"/>
      <c r="D188" s="523"/>
      <c r="E188" s="523"/>
      <c r="F188" s="523"/>
      <c r="G188" s="523"/>
      <c r="H188" s="523"/>
      <c r="I188" s="523"/>
    </row>
    <row r="189" spans="1:10" s="293" customFormat="1" outlineLevel="1">
      <c r="A189" s="292"/>
      <c r="B189" s="320" t="s">
        <v>412</v>
      </c>
      <c r="C189" s="320" t="s">
        <v>413</v>
      </c>
      <c r="D189" s="320" t="s">
        <v>414</v>
      </c>
      <c r="E189" s="320" t="s">
        <v>415</v>
      </c>
      <c r="F189" s="320" t="s">
        <v>416</v>
      </c>
      <c r="G189" s="320" t="s">
        <v>417</v>
      </c>
      <c r="H189" s="320" t="s">
        <v>418</v>
      </c>
      <c r="I189" s="320" t="s">
        <v>419</v>
      </c>
    </row>
    <row r="190" spans="1:10" s="293" customFormat="1" outlineLevel="1">
      <c r="A190" s="292"/>
      <c r="B190" s="516" t="s">
        <v>420</v>
      </c>
      <c r="C190" s="321">
        <v>42856</v>
      </c>
      <c r="D190" s="322">
        <v>50516</v>
      </c>
      <c r="E190" s="322">
        <v>6750</v>
      </c>
      <c r="F190" s="322">
        <v>2060</v>
      </c>
      <c r="G190" s="322">
        <v>1459</v>
      </c>
      <c r="H190" s="322">
        <v>1041</v>
      </c>
      <c r="I190" s="323">
        <f>SUM(D190:H190)</f>
        <v>61826</v>
      </c>
    </row>
    <row r="191" spans="1:10" s="293" customFormat="1" outlineLevel="1">
      <c r="A191" s="292"/>
      <c r="B191" s="516"/>
      <c r="C191" s="321">
        <v>42887</v>
      </c>
      <c r="D191" s="322">
        <v>45336</v>
      </c>
      <c r="E191" s="322">
        <v>5562</v>
      </c>
      <c r="F191" s="322">
        <v>1593</v>
      </c>
      <c r="G191" s="322">
        <v>1058</v>
      </c>
      <c r="H191" s="322">
        <v>731</v>
      </c>
      <c r="I191" s="323">
        <f>SUM(D191:H191)</f>
        <v>54280</v>
      </c>
    </row>
    <row r="192" spans="1:10" s="293" customFormat="1" outlineLevel="1">
      <c r="A192" s="292"/>
      <c r="B192" s="516"/>
      <c r="C192" s="321">
        <v>42917</v>
      </c>
      <c r="D192" s="322">
        <v>50059</v>
      </c>
      <c r="E192" s="322">
        <v>4983</v>
      </c>
      <c r="F192" s="322">
        <v>1406</v>
      </c>
      <c r="G192" s="322">
        <v>886</v>
      </c>
      <c r="H192" s="322">
        <v>611</v>
      </c>
      <c r="I192" s="323">
        <f>SUM(D192:H192)</f>
        <v>57945</v>
      </c>
    </row>
    <row r="193" spans="1:10" s="293" customFormat="1" outlineLevel="1">
      <c r="A193" s="292"/>
      <c r="B193" s="517" t="s">
        <v>421</v>
      </c>
      <c r="C193" s="324">
        <v>42856</v>
      </c>
      <c r="D193" s="325">
        <f t="shared" ref="D193:I195" si="11">D190/$I190</f>
        <v>0.81706725325914664</v>
      </c>
      <c r="E193" s="325">
        <f t="shared" si="11"/>
        <v>0.10917736874454113</v>
      </c>
      <c r="F193" s="325">
        <f t="shared" si="11"/>
        <v>3.3319315498334036E-2</v>
      </c>
      <c r="G193" s="325">
        <f t="shared" si="11"/>
        <v>2.3598486073820077E-2</v>
      </c>
      <c r="H193" s="325">
        <f t="shared" si="11"/>
        <v>1.6837576424158122E-2</v>
      </c>
      <c r="I193" s="325">
        <f t="shared" si="11"/>
        <v>1</v>
      </c>
    </row>
    <row r="194" spans="1:10" s="293" customFormat="1" outlineLevel="1">
      <c r="A194" s="292"/>
      <c r="B194" s="517"/>
      <c r="C194" s="324">
        <v>42887</v>
      </c>
      <c r="D194" s="325">
        <f t="shared" si="11"/>
        <v>0.83522476050110539</v>
      </c>
      <c r="E194" s="325">
        <f t="shared" si="11"/>
        <v>0.10246868091378039</v>
      </c>
      <c r="F194" s="325">
        <f t="shared" si="11"/>
        <v>2.9347826086956522E-2</v>
      </c>
      <c r="G194" s="325">
        <f t="shared" si="11"/>
        <v>1.9491525423728815E-2</v>
      </c>
      <c r="H194" s="325">
        <f t="shared" si="11"/>
        <v>1.3467207074428887E-2</v>
      </c>
      <c r="I194" s="325">
        <f t="shared" si="11"/>
        <v>1</v>
      </c>
    </row>
    <row r="195" spans="1:10" s="293" customFormat="1" outlineLevel="1">
      <c r="A195" s="292"/>
      <c r="B195" s="517"/>
      <c r="C195" s="324">
        <v>42917</v>
      </c>
      <c r="D195" s="325">
        <f t="shared" si="11"/>
        <v>0.86390542756061783</v>
      </c>
      <c r="E195" s="325">
        <f t="shared" si="11"/>
        <v>8.5995340409008539E-2</v>
      </c>
      <c r="F195" s="325">
        <f t="shared" si="11"/>
        <v>2.4264388644404177E-2</v>
      </c>
      <c r="G195" s="325">
        <f t="shared" si="11"/>
        <v>1.5290361549745448E-2</v>
      </c>
      <c r="H195" s="325">
        <f t="shared" si="11"/>
        <v>1.0544481836224006E-2</v>
      </c>
      <c r="I195" s="325">
        <f t="shared" si="11"/>
        <v>1</v>
      </c>
    </row>
    <row r="196" spans="1:10" s="293" customFormat="1" outlineLevel="1">
      <c r="A196" s="292"/>
      <c r="B196" s="516" t="s">
        <v>422</v>
      </c>
      <c r="C196" s="321">
        <v>42856</v>
      </c>
      <c r="D196" s="326">
        <v>0.11302</v>
      </c>
      <c r="E196" s="326">
        <v>0.27057999999999999</v>
      </c>
      <c r="F196" s="326">
        <v>0.38222</v>
      </c>
      <c r="G196" s="326">
        <v>0.43047999999999997</v>
      </c>
      <c r="H196" s="326">
        <v>0.48336000000000001</v>
      </c>
      <c r="I196" s="327"/>
    </row>
    <row r="197" spans="1:10" s="293" customFormat="1" outlineLevel="1">
      <c r="A197" s="292"/>
      <c r="B197" s="516"/>
      <c r="C197" s="321">
        <v>42887</v>
      </c>
      <c r="D197" s="326">
        <v>0.10946</v>
      </c>
      <c r="E197" s="326">
        <v>0.26440000000000002</v>
      </c>
      <c r="F197" s="326">
        <v>0.35148000000000001</v>
      </c>
      <c r="G197" s="326">
        <v>0.47598000000000001</v>
      </c>
      <c r="H197" s="326">
        <v>0.51698</v>
      </c>
      <c r="I197" s="327"/>
    </row>
    <row r="198" spans="1:10" s="293" customFormat="1" outlineLevel="1">
      <c r="A198" s="292"/>
      <c r="B198" s="516"/>
      <c r="C198" s="321">
        <v>42917</v>
      </c>
      <c r="D198" s="326">
        <v>0.106</v>
      </c>
      <c r="E198" s="326">
        <v>0.27400000000000002</v>
      </c>
      <c r="F198" s="326">
        <v>0.35699999999999998</v>
      </c>
      <c r="G198" s="326">
        <v>0.45300000000000001</v>
      </c>
      <c r="H198" s="326">
        <v>0.501</v>
      </c>
      <c r="I198" s="327"/>
      <c r="J198" s="328">
        <f>+G198-D198</f>
        <v>0.34700000000000003</v>
      </c>
    </row>
    <row r="199" spans="1:10" s="293" customFormat="1" outlineLevel="1">
      <c r="A199" s="292"/>
      <c r="B199" s="518" t="s">
        <v>423</v>
      </c>
      <c r="C199" s="329" t="s">
        <v>424</v>
      </c>
      <c r="D199" s="329" t="s">
        <v>425</v>
      </c>
      <c r="E199" s="329" t="s">
        <v>426</v>
      </c>
      <c r="F199" s="329" t="s">
        <v>427</v>
      </c>
      <c r="G199" s="329" t="s">
        <v>428</v>
      </c>
      <c r="H199" s="329" t="s">
        <v>429</v>
      </c>
      <c r="I199" s="327"/>
    </row>
    <row r="200" spans="1:10" s="293" customFormat="1" outlineLevel="1">
      <c r="A200" s="292"/>
      <c r="B200" s="518"/>
      <c r="C200" s="321">
        <v>42768</v>
      </c>
      <c r="D200" s="322">
        <v>19734</v>
      </c>
      <c r="E200" s="322">
        <v>8750</v>
      </c>
      <c r="F200" s="322">
        <v>5566</v>
      </c>
      <c r="G200" s="322">
        <v>1142</v>
      </c>
      <c r="H200" s="323">
        <f t="shared" ref="H200:H205" si="12">SUM(D200:G200)</f>
        <v>35192</v>
      </c>
      <c r="I200" s="327"/>
    </row>
    <row r="201" spans="1:10" s="293" customFormat="1" outlineLevel="1">
      <c r="A201" s="292"/>
      <c r="B201" s="518"/>
      <c r="C201" s="321">
        <v>42825</v>
      </c>
      <c r="D201" s="322">
        <v>22808</v>
      </c>
      <c r="E201" s="322">
        <v>10495</v>
      </c>
      <c r="F201" s="322">
        <v>6857</v>
      </c>
      <c r="G201" s="322">
        <v>1521</v>
      </c>
      <c r="H201" s="323">
        <f t="shared" si="12"/>
        <v>41681</v>
      </c>
      <c r="I201" s="327"/>
    </row>
    <row r="202" spans="1:10" s="293" customFormat="1" outlineLevel="1">
      <c r="A202" s="292"/>
      <c r="B202" s="518"/>
      <c r="C202" s="321">
        <v>42826</v>
      </c>
      <c r="D202" s="322">
        <v>17965</v>
      </c>
      <c r="E202" s="322">
        <v>7692</v>
      </c>
      <c r="F202" s="322">
        <v>4744</v>
      </c>
      <c r="G202" s="322">
        <v>1039</v>
      </c>
      <c r="H202" s="323">
        <f t="shared" si="12"/>
        <v>31440</v>
      </c>
      <c r="I202" s="327"/>
    </row>
    <row r="203" spans="1:10" s="293" customFormat="1" outlineLevel="1">
      <c r="A203" s="292"/>
      <c r="B203" s="518"/>
      <c r="C203" s="321">
        <v>42856</v>
      </c>
      <c r="D203" s="322">
        <v>19649</v>
      </c>
      <c r="E203" s="322">
        <v>7856</v>
      </c>
      <c r="F203" s="322">
        <v>4875</v>
      </c>
      <c r="G203" s="322">
        <v>1116</v>
      </c>
      <c r="H203" s="323">
        <f t="shared" si="12"/>
        <v>33496</v>
      </c>
      <c r="I203" s="327"/>
    </row>
    <row r="204" spans="1:10" s="293" customFormat="1" outlineLevel="1">
      <c r="A204" s="292"/>
      <c r="B204" s="518"/>
      <c r="C204" s="321">
        <v>42887</v>
      </c>
      <c r="D204" s="322">
        <v>18256</v>
      </c>
      <c r="E204" s="322">
        <v>7120</v>
      </c>
      <c r="F204" s="322">
        <v>4243</v>
      </c>
      <c r="G204" s="322">
        <v>959</v>
      </c>
      <c r="H204" s="323">
        <f t="shared" si="12"/>
        <v>30578</v>
      </c>
      <c r="I204" s="327"/>
    </row>
    <row r="205" spans="1:10" s="293" customFormat="1" outlineLevel="1">
      <c r="A205" s="292"/>
      <c r="B205" s="518"/>
      <c r="C205" s="321">
        <v>42917</v>
      </c>
      <c r="D205" s="322">
        <v>19078</v>
      </c>
      <c r="E205" s="322">
        <v>7277</v>
      </c>
      <c r="F205" s="322">
        <v>4031</v>
      </c>
      <c r="G205" s="322">
        <v>936</v>
      </c>
      <c r="H205" s="323">
        <f t="shared" si="12"/>
        <v>31322</v>
      </c>
      <c r="I205" s="309"/>
    </row>
    <row r="206" spans="1:10" s="293" customFormat="1" outlineLevel="1">
      <c r="A206" s="292"/>
      <c r="H206" s="330"/>
      <c r="I206" s="331"/>
    </row>
    <row r="207" spans="1:10" s="333" customFormat="1" ht="20.25" customHeight="1" outlineLevel="1">
      <c r="A207" s="332"/>
      <c r="B207" s="302" t="str">
        <f>"游戏新增"</f>
        <v>游戏新增</v>
      </c>
    </row>
    <row r="208" spans="1:10" s="333" customFormat="1" ht="20.25" customHeight="1" outlineLevel="1">
      <c r="A208" s="332"/>
      <c r="B208" s="333" t="str">
        <f>"首日观看时长少于5分钟用户占比："&amp;TEXT(D177,"0.0%")&amp;"，"</f>
        <v>首日观看时长少于5分钟用户占比：36.4%，</v>
      </c>
    </row>
    <row r="209" spans="1:2" s="333" customFormat="1" ht="20.25" customHeight="1" outlineLevel="1">
      <c r="A209" s="332"/>
      <c r="B209" s="333" t="str">
        <f>"次日留存率："&amp;TEXT(D180,"0.0%")</f>
        <v>次日留存率：16.3%</v>
      </c>
    </row>
    <row r="210" spans="1:2" s="333" customFormat="1" ht="20.25" customHeight="1" outlineLevel="1">
      <c r="A210" s="332"/>
      <c r="B210" s="333" t="s">
        <v>430</v>
      </c>
    </row>
    <row r="211" spans="1:2" s="333" customFormat="1" ht="20.25" customHeight="1" outlineLevel="1">
      <c r="A211" s="332"/>
      <c r="B211" s="333" t="str">
        <f>"次日留存率可提升至："&amp;TEXT(G180,"0.0%")&amp;"("&amp;IF(G180-D180&gt;0,"+","")&amp;TEXT(G180-D180,"0.0%")&amp;")"</f>
        <v>次日留存率可提升至：45.2%(+28.9%)</v>
      </c>
    </row>
    <row r="212" spans="1:2" s="333" customFormat="1" ht="20.25" customHeight="1" outlineLevel="1">
      <c r="A212" s="332"/>
      <c r="B212" s="334" t="e">
        <f>"*注：以"&amp;TEXT('[2]新图-活跃'!I71,"yy/m")&amp;"数据为依据"</f>
        <v>#REF!</v>
      </c>
    </row>
    <row r="213" spans="1:2" s="293" customFormat="1" outlineLevel="1">
      <c r="A213" s="292"/>
    </row>
    <row r="214" spans="1:2" s="293" customFormat="1" outlineLevel="1">
      <c r="A214" s="292"/>
    </row>
    <row r="215" spans="1:2" s="293" customFormat="1" outlineLevel="1">
      <c r="A215" s="292"/>
    </row>
    <row r="216" spans="1:2" s="293" customFormat="1" outlineLevel="1">
      <c r="A216" s="292"/>
    </row>
    <row r="217" spans="1:2" s="293" customFormat="1" outlineLevel="1">
      <c r="A217" s="292"/>
    </row>
    <row r="218" spans="1:2" s="293" customFormat="1" outlineLevel="1">
      <c r="A218" s="292"/>
    </row>
    <row r="219" spans="1:2" s="293" customFormat="1" outlineLevel="1">
      <c r="A219" s="292"/>
    </row>
    <row r="220" spans="1:2" s="293" customFormat="1" outlineLevel="1">
      <c r="A220" s="292"/>
    </row>
    <row r="221" spans="1:2" s="293" customFormat="1" outlineLevel="1">
      <c r="A221" s="292"/>
    </row>
    <row r="222" spans="1:2" s="293" customFormat="1" outlineLevel="1">
      <c r="A222" s="292"/>
    </row>
    <row r="223" spans="1:2" s="293" customFormat="1" outlineLevel="1">
      <c r="A223" s="292"/>
    </row>
    <row r="224" spans="1:2" s="293" customFormat="1" outlineLevel="1">
      <c r="A224" s="292"/>
    </row>
    <row r="225" spans="1:9" s="293" customFormat="1" outlineLevel="1">
      <c r="A225" s="292"/>
    </row>
    <row r="226" spans="1:9" s="293" customFormat="1" outlineLevel="1">
      <c r="A226" s="292"/>
    </row>
    <row r="227" spans="1:9" s="293" customFormat="1" outlineLevel="1">
      <c r="A227" s="292"/>
    </row>
    <row r="228" spans="1:9" s="293" customFormat="1" outlineLevel="1">
      <c r="A228" s="292"/>
    </row>
    <row r="229" spans="1:9" s="293" customFormat="1" outlineLevel="1">
      <c r="A229" s="292"/>
    </row>
    <row r="230" spans="1:9" s="333" customFormat="1" ht="20.25" customHeight="1" outlineLevel="1">
      <c r="A230" s="332"/>
      <c r="B230" s="302" t="str">
        <f>"娱乐新增"</f>
        <v>娱乐新增</v>
      </c>
    </row>
    <row r="231" spans="1:9" s="333" customFormat="1" ht="20.25" customHeight="1" outlineLevel="1">
      <c r="A231" s="332"/>
      <c r="B231" s="333" t="str">
        <f>"首日观看时长少于5分钟用户占比："&amp;TEXT(D195,"0.0%")&amp;"，"</f>
        <v>首日观看时长少于5分钟用户占比：86.4%，</v>
      </c>
    </row>
    <row r="232" spans="1:9" s="333" customFormat="1" ht="20.25" customHeight="1" outlineLevel="1">
      <c r="A232" s="332"/>
      <c r="B232" s="333" t="str">
        <f>"次日留存率："&amp;TEXT(D198,"0.0%")</f>
        <v>次日留存率：10.6%</v>
      </c>
    </row>
    <row r="233" spans="1:9" s="333" customFormat="1" ht="20.25" customHeight="1" outlineLevel="1">
      <c r="A233" s="332"/>
      <c r="B233" s="333" t="s">
        <v>430</v>
      </c>
    </row>
    <row r="234" spans="1:9" s="333" customFormat="1" ht="20.25" customHeight="1" outlineLevel="1">
      <c r="A234" s="332"/>
      <c r="B234" s="333" t="str">
        <f>"次日留存率可提升至："&amp;TEXT(G198,"0.0%")&amp;"("&amp;IF(G198-D198&gt;0,"+","")&amp;TEXT(G198-D198,"0.0%")&amp;")"</f>
        <v>次日留存率可提升至：45.3%(+34.7%)</v>
      </c>
    </row>
    <row r="235" spans="1:9" s="293" customFormat="1" outlineLevel="1">
      <c r="A235" s="292"/>
      <c r="H235" s="330"/>
      <c r="I235" s="331"/>
    </row>
    <row r="236" spans="1:9" s="293" customFormat="1" outlineLevel="1">
      <c r="A236" s="292"/>
      <c r="H236" s="330"/>
      <c r="I236" s="331"/>
    </row>
    <row r="237" spans="1:9" s="293" customFormat="1" outlineLevel="1">
      <c r="A237" s="292"/>
      <c r="H237" s="330"/>
      <c r="I237" s="331"/>
    </row>
    <row r="238" spans="1:9" s="293" customFormat="1" outlineLevel="1">
      <c r="A238" s="292"/>
      <c r="H238" s="330"/>
      <c r="I238" s="331"/>
    </row>
    <row r="239" spans="1:9" s="293" customFormat="1" outlineLevel="1">
      <c r="A239" s="292"/>
      <c r="H239" s="330"/>
      <c r="I239" s="331"/>
    </row>
    <row r="240" spans="1:9" s="293" customFormat="1" outlineLevel="1">
      <c r="A240" s="292"/>
      <c r="H240" s="330"/>
      <c r="I240" s="331"/>
    </row>
    <row r="241" spans="1:9" s="293" customFormat="1" outlineLevel="1">
      <c r="A241" s="292"/>
      <c r="H241" s="330"/>
      <c r="I241" s="331"/>
    </row>
    <row r="242" spans="1:9" s="293" customFormat="1" outlineLevel="1">
      <c r="A242" s="292"/>
      <c r="H242" s="330"/>
      <c r="I242" s="331"/>
    </row>
    <row r="243" spans="1:9" s="293" customFormat="1" outlineLevel="1">
      <c r="A243" s="292"/>
      <c r="H243" s="330"/>
      <c r="I243" s="331"/>
    </row>
    <row r="244" spans="1:9" s="293" customFormat="1" outlineLevel="1">
      <c r="A244" s="292"/>
      <c r="H244" s="330"/>
      <c r="I244" s="331"/>
    </row>
    <row r="245" spans="1:9" s="293" customFormat="1" outlineLevel="1">
      <c r="A245" s="292"/>
      <c r="H245" s="330"/>
      <c r="I245" s="331"/>
    </row>
    <row r="246" spans="1:9" s="293" customFormat="1" outlineLevel="1">
      <c r="A246" s="292"/>
      <c r="H246" s="330"/>
      <c r="I246" s="331"/>
    </row>
    <row r="247" spans="1:9" s="293" customFormat="1" outlineLevel="1">
      <c r="A247" s="292"/>
      <c r="H247" s="330"/>
      <c r="I247" s="331"/>
    </row>
    <row r="248" spans="1:9" s="293" customFormat="1" outlineLevel="1">
      <c r="A248" s="292"/>
      <c r="H248" s="330"/>
      <c r="I248" s="331"/>
    </row>
    <row r="249" spans="1:9" s="293" customFormat="1" outlineLevel="1">
      <c r="A249" s="292"/>
    </row>
    <row r="250" spans="1:9" s="293" customFormat="1">
      <c r="A250" s="292"/>
    </row>
    <row r="252" spans="1:9" s="293" customFormat="1" ht="21">
      <c r="A252" s="292"/>
      <c r="B252" s="302" t="s">
        <v>367</v>
      </c>
    </row>
    <row r="253" spans="1:9" s="293" customFormat="1" outlineLevel="1">
      <c r="A253" s="292">
        <v>4</v>
      </c>
      <c r="B253" s="151" t="s">
        <v>368</v>
      </c>
      <c r="C253" s="151" t="s">
        <v>369</v>
      </c>
      <c r="D253" s="151">
        <f ca="1">OFFSET(新用户!$A$1,$A253-1,G$1-1,1,1)</f>
        <v>75969</v>
      </c>
      <c r="E253" s="151">
        <f ca="1">OFFSET(新用户!$A$1,$A253-1,H$1,1,1)</f>
        <v>85271</v>
      </c>
      <c r="F253" s="151">
        <f ca="1">OFFSET(新用户!$A$1,$A253-1,I$1,1,1)</f>
        <v>0</v>
      </c>
      <c r="G253" s="151" t="s">
        <v>370</v>
      </c>
    </row>
    <row r="254" spans="1:9" s="293" customFormat="1" outlineLevel="1">
      <c r="A254" s="292">
        <v>13</v>
      </c>
      <c r="B254" s="524" t="s">
        <v>333</v>
      </c>
      <c r="C254" s="206" t="s">
        <v>371</v>
      </c>
      <c r="D254" s="343">
        <f ca="1">OFFSET(新用户!$A$1,$A254-1,G$1,1,1)</f>
        <v>0.317</v>
      </c>
      <c r="E254" s="343">
        <f ca="1">OFFSET(新用户!$A$1,$A254-1,H$1,1,1)</f>
        <v>0.36399999999999999</v>
      </c>
      <c r="F254" s="343">
        <f ca="1">OFFSET(新用户!$A$1,$A254-1,I$1,1,1)</f>
        <v>0</v>
      </c>
      <c r="G254" s="343">
        <f ca="1">AVERAGE(D254:F254)</f>
        <v>0.22700000000000001</v>
      </c>
    </row>
    <row r="255" spans="1:9" s="293" customFormat="1" outlineLevel="1">
      <c r="A255" s="292">
        <v>43</v>
      </c>
      <c r="B255" s="525"/>
      <c r="C255" s="209" t="s">
        <v>372</v>
      </c>
      <c r="D255" s="344">
        <f ca="1">OFFSET(新用户!$A$1,$A255-1,G$1,1,1)</f>
        <v>69544</v>
      </c>
      <c r="E255" s="344">
        <f ca="1">OFFSET(新用户!$A$1,$A255-1,H$1,1,1)</f>
        <v>0</v>
      </c>
      <c r="F255" s="344">
        <f ca="1">OFFSET(新用户!$A$1,$A255-1,I$1,1,1)</f>
        <v>0</v>
      </c>
      <c r="G255" s="344">
        <f ca="1">AVERAGE(D255:F255)</f>
        <v>23181.333333333332</v>
      </c>
    </row>
    <row r="256" spans="1:9" s="293" customFormat="1" outlineLevel="1">
      <c r="A256" s="292">
        <v>120</v>
      </c>
      <c r="B256" s="525"/>
      <c r="C256" s="209" t="s">
        <v>373</v>
      </c>
      <c r="D256" s="344">
        <f ca="1">OFFSET(新用户!$A$1,$A256-1,G$1,1,1)</f>
        <v>0</v>
      </c>
      <c r="E256" s="344">
        <f ca="1">OFFSET(新用户!$A$1,$A256-1,H$1,1,1)</f>
        <v>0</v>
      </c>
      <c r="F256" s="344">
        <f ca="1">OFFSET(新用户!$A$1,$A256-1,I$1,1,1)</f>
        <v>0</v>
      </c>
      <c r="G256" s="344">
        <f t="shared" ref="G256:G274" ca="1" si="13">AVERAGE(D256:F256)</f>
        <v>0</v>
      </c>
    </row>
    <row r="257" spans="1:7" s="293" customFormat="1" outlineLevel="1">
      <c r="A257" s="292">
        <v>121</v>
      </c>
      <c r="B257" s="525"/>
      <c r="C257" s="194" t="s">
        <v>374</v>
      </c>
      <c r="D257" s="345">
        <f ca="1">OFFSET(新用户!$A$1,$A257-1,G$1,1,1)</f>
        <v>0</v>
      </c>
      <c r="E257" s="345">
        <f ca="1">OFFSET(新用户!$A$1,$A257-1,H$1,1,1)</f>
        <v>0</v>
      </c>
      <c r="F257" s="345">
        <f ca="1">OFFSET(新用户!$A$1,$A257-1,I$1,1,1)</f>
        <v>0</v>
      </c>
      <c r="G257" s="345">
        <f t="shared" ca="1" si="13"/>
        <v>0</v>
      </c>
    </row>
    <row r="258" spans="1:7" s="293" customFormat="1" outlineLevel="1">
      <c r="A258" s="292">
        <v>122</v>
      </c>
      <c r="B258" s="525"/>
      <c r="C258" s="194" t="s">
        <v>375</v>
      </c>
      <c r="D258" s="345">
        <f ca="1">OFFSET(新用户!$A$1,$A258-1,G$1,1,1)</f>
        <v>0</v>
      </c>
      <c r="E258" s="345">
        <f ca="1">OFFSET(新用户!$A$1,$A258-1,H$1,1,1)</f>
        <v>0</v>
      </c>
      <c r="F258" s="345">
        <f ca="1">OFFSET(新用户!$A$1,$A258-1,I$1,1,1)</f>
        <v>0</v>
      </c>
      <c r="G258" s="345">
        <f t="shared" ca="1" si="13"/>
        <v>0</v>
      </c>
    </row>
    <row r="259" spans="1:7" s="293" customFormat="1" outlineLevel="1">
      <c r="A259" s="292">
        <v>123</v>
      </c>
      <c r="B259" s="525"/>
      <c r="C259" s="194" t="s">
        <v>376</v>
      </c>
      <c r="D259" s="345">
        <f ca="1">OFFSET(新用户!$A$1,$A259-1,G$1,1,1)</f>
        <v>0</v>
      </c>
      <c r="E259" s="345">
        <f ca="1">OFFSET(新用户!$A$1,$A259-1,H$1,1,1)</f>
        <v>0</v>
      </c>
      <c r="F259" s="345">
        <f ca="1">OFFSET(新用户!$A$1,$A259-1,I$1,1,1)</f>
        <v>0</v>
      </c>
      <c r="G259" s="345">
        <f t="shared" ca="1" si="13"/>
        <v>0</v>
      </c>
    </row>
    <row r="260" spans="1:7" s="293" customFormat="1" outlineLevel="1">
      <c r="A260" s="292">
        <v>124</v>
      </c>
      <c r="B260" s="526"/>
      <c r="C260" s="209" t="s">
        <v>377</v>
      </c>
      <c r="D260" s="344">
        <f ca="1">OFFSET(新用户!$A$1,$A260-1,G$1,1,1)</f>
        <v>0</v>
      </c>
      <c r="E260" s="344">
        <f ca="1">OFFSET(新用户!$A$1,$A260-1,H$1,1,1)</f>
        <v>0</v>
      </c>
      <c r="F260" s="344">
        <f ca="1">OFFSET(新用户!$A$1,$A260-1,I$1,1,1)</f>
        <v>0</v>
      </c>
      <c r="G260" s="344">
        <f t="shared" ca="1" si="13"/>
        <v>0</v>
      </c>
    </row>
    <row r="261" spans="1:7" s="293" customFormat="1" outlineLevel="1">
      <c r="A261" s="292">
        <v>14</v>
      </c>
      <c r="B261" s="524" t="s">
        <v>378</v>
      </c>
      <c r="C261" s="206" t="s">
        <v>379</v>
      </c>
      <c r="D261" s="343">
        <f ca="1">OFFSET(新用户!$A$1,$A261-1,G$1,1,1)</f>
        <v>0.13200000000000001</v>
      </c>
      <c r="E261" s="343">
        <f ca="1">OFFSET(新用户!$A$1,$A261-1,H$1,1,1)</f>
        <v>0.14899999999999999</v>
      </c>
      <c r="F261" s="343">
        <f ca="1">OFFSET(新用户!$A$1,$A261-1,I$1,1,1)</f>
        <v>0</v>
      </c>
      <c r="G261" s="343">
        <f t="shared" ca="1" si="13"/>
        <v>9.3666666666666676E-2</v>
      </c>
    </row>
    <row r="262" spans="1:7" s="293" customFormat="1" outlineLevel="1">
      <c r="A262" s="292">
        <v>44</v>
      </c>
      <c r="B262" s="525"/>
      <c r="C262" s="209" t="s">
        <v>380</v>
      </c>
      <c r="D262" s="344">
        <f ca="1">OFFSET(新用户!$A$1,$A262-1,G$1,1,1)</f>
        <v>16839</v>
      </c>
      <c r="E262" s="344">
        <f ca="1">OFFSET(新用户!$A$1,$A262-1,H$1,1,1)</f>
        <v>0</v>
      </c>
      <c r="F262" s="344">
        <f ca="1">OFFSET(新用户!$A$1,$A262-1,I$1,1,1)</f>
        <v>0</v>
      </c>
      <c r="G262" s="344">
        <f t="shared" ca="1" si="13"/>
        <v>5613</v>
      </c>
    </row>
    <row r="263" spans="1:7" s="293" customFormat="1" outlineLevel="1">
      <c r="A263" s="292">
        <v>125</v>
      </c>
      <c r="B263" s="525"/>
      <c r="C263" s="209" t="s">
        <v>381</v>
      </c>
      <c r="D263" s="344">
        <f ca="1">OFFSET(新用户!$A$1,$A263-1,G$1,1,1)</f>
        <v>0</v>
      </c>
      <c r="E263" s="344">
        <f ca="1">OFFSET(新用户!$A$1,$A263-1,H$1,1,1)</f>
        <v>0</v>
      </c>
      <c r="F263" s="344">
        <f ca="1">OFFSET(新用户!$A$1,$A263-1,I$1,1,1)</f>
        <v>0</v>
      </c>
      <c r="G263" s="344">
        <f t="shared" ca="1" si="13"/>
        <v>0</v>
      </c>
    </row>
    <row r="264" spans="1:7" s="293" customFormat="1" outlineLevel="1">
      <c r="A264" s="292">
        <v>126</v>
      </c>
      <c r="B264" s="525"/>
      <c r="C264" s="194" t="s">
        <v>382</v>
      </c>
      <c r="D264" s="345">
        <f ca="1">OFFSET(新用户!$A$1,$A264-1,G$1,1,1)</f>
        <v>0</v>
      </c>
      <c r="E264" s="345">
        <f ca="1">OFFSET(新用户!$A$1,$A264-1,H$1,1,1)</f>
        <v>0</v>
      </c>
      <c r="F264" s="345">
        <f ca="1">OFFSET(新用户!$A$1,$A264-1,I$1,1,1)</f>
        <v>0</v>
      </c>
      <c r="G264" s="345">
        <f t="shared" ca="1" si="13"/>
        <v>0</v>
      </c>
    </row>
    <row r="265" spans="1:7" s="293" customFormat="1" outlineLevel="1">
      <c r="A265" s="292">
        <v>127</v>
      </c>
      <c r="B265" s="525"/>
      <c r="C265" s="194" t="s">
        <v>383</v>
      </c>
      <c r="D265" s="345">
        <f ca="1">OFFSET(新用户!$A$1,$A265-1,G$1,1,1)</f>
        <v>0</v>
      </c>
      <c r="E265" s="345">
        <f ca="1">OFFSET(新用户!$A$1,$A265-1,H$1,1,1)</f>
        <v>0</v>
      </c>
      <c r="F265" s="345">
        <f ca="1">OFFSET(新用户!$A$1,$A265-1,I$1,1,1)</f>
        <v>0</v>
      </c>
      <c r="G265" s="345">
        <f t="shared" ca="1" si="13"/>
        <v>0</v>
      </c>
    </row>
    <row r="266" spans="1:7" s="293" customFormat="1" outlineLevel="1">
      <c r="A266" s="292">
        <v>128</v>
      </c>
      <c r="B266" s="525"/>
      <c r="C266" s="194" t="s">
        <v>384</v>
      </c>
      <c r="D266" s="345">
        <f ca="1">OFFSET(新用户!$A$1,$A266-1,G$1,1,1)</f>
        <v>0</v>
      </c>
      <c r="E266" s="345">
        <f ca="1">OFFSET(新用户!$A$1,$A266-1,H$1,1,1)</f>
        <v>0</v>
      </c>
      <c r="F266" s="345">
        <f ca="1">OFFSET(新用户!$A$1,$A266-1,I$1,1,1)</f>
        <v>0</v>
      </c>
      <c r="G266" s="345">
        <f t="shared" ca="1" si="13"/>
        <v>0</v>
      </c>
    </row>
    <row r="267" spans="1:7" s="293" customFormat="1" outlineLevel="1">
      <c r="A267" s="292">
        <v>129</v>
      </c>
      <c r="B267" s="526"/>
      <c r="C267" s="209" t="s">
        <v>385</v>
      </c>
      <c r="D267" s="344">
        <f ca="1">OFFSET(新用户!$A$1,$A267-1,G$1,1,1)</f>
        <v>0</v>
      </c>
      <c r="E267" s="344">
        <f ca="1">OFFSET(新用户!$A$1,$A267-1,H$1,1,1)</f>
        <v>0</v>
      </c>
      <c r="F267" s="344">
        <f ca="1">OFFSET(新用户!$A$1,$A267-1,I$1,1,1)</f>
        <v>0</v>
      </c>
      <c r="G267" s="344">
        <f t="shared" ca="1" si="13"/>
        <v>0</v>
      </c>
    </row>
    <row r="268" spans="1:7" s="293" customFormat="1" outlineLevel="1">
      <c r="A268" s="292">
        <v>15</v>
      </c>
      <c r="B268" s="524" t="s">
        <v>386</v>
      </c>
      <c r="C268" s="206" t="s">
        <v>387</v>
      </c>
      <c r="D268" s="343">
        <f ca="1">OFFSET(新用户!$A$1,$A268-1,G$1,1,1)</f>
        <v>0.15</v>
      </c>
      <c r="E268" s="343">
        <f ca="1">OFFSET(新用户!$A$1,$A268-1,H$1,1,1)</f>
        <v>0.17100000000000001</v>
      </c>
      <c r="F268" s="343">
        <f ca="1">OFFSET(新用户!$A$1,$A268-1,I$1,1,1)</f>
        <v>0</v>
      </c>
      <c r="G268" s="343">
        <f t="shared" ca="1" si="13"/>
        <v>0.107</v>
      </c>
    </row>
    <row r="269" spans="1:7" s="293" customFormat="1" outlineLevel="1">
      <c r="A269" s="292">
        <v>45</v>
      </c>
      <c r="B269" s="525"/>
      <c r="C269" s="209" t="s">
        <v>388</v>
      </c>
      <c r="D269" s="344">
        <f ca="1">OFFSET(新用户!$A$1,$A269-1,G$1,1,1)</f>
        <v>14496</v>
      </c>
      <c r="E269" s="344">
        <f ca="1">OFFSET(新用户!$A$1,$A269-1,H$1,1,1)</f>
        <v>0</v>
      </c>
      <c r="F269" s="344">
        <f ca="1">OFFSET(新用户!$A$1,$A269-1,I$1,1,1)</f>
        <v>0</v>
      </c>
      <c r="G269" s="344">
        <f t="shared" ca="1" si="13"/>
        <v>4832</v>
      </c>
    </row>
    <row r="270" spans="1:7" s="293" customFormat="1" outlineLevel="1">
      <c r="A270" s="292">
        <v>130</v>
      </c>
      <c r="B270" s="525"/>
      <c r="C270" s="209" t="s">
        <v>389</v>
      </c>
      <c r="D270" s="344">
        <f ca="1">OFFSET(新用户!$A$1,$A270-1,G$1,1,1)</f>
        <v>0</v>
      </c>
      <c r="E270" s="344">
        <f ca="1">OFFSET(新用户!$A$1,$A270-1,H$1,1,1)</f>
        <v>0</v>
      </c>
      <c r="F270" s="344">
        <f ca="1">OFFSET(新用户!$A$1,$A270-1,I$1,1,1)</f>
        <v>0</v>
      </c>
      <c r="G270" s="344">
        <f t="shared" ca="1" si="13"/>
        <v>0</v>
      </c>
    </row>
    <row r="271" spans="1:7" s="293" customFormat="1" outlineLevel="1">
      <c r="A271" s="292">
        <v>131</v>
      </c>
      <c r="B271" s="525"/>
      <c r="C271" s="194" t="s">
        <v>390</v>
      </c>
      <c r="D271" s="345">
        <f ca="1">OFFSET(新用户!$A$1,$A271-1,G$1,1,1)</f>
        <v>0</v>
      </c>
      <c r="E271" s="345">
        <f ca="1">OFFSET(新用户!$A$1,$A271-1,H$1,1,1)</f>
        <v>0</v>
      </c>
      <c r="F271" s="345">
        <f ca="1">OFFSET(新用户!$A$1,$A271-1,I$1,1,1)</f>
        <v>0</v>
      </c>
      <c r="G271" s="345">
        <f t="shared" ca="1" si="13"/>
        <v>0</v>
      </c>
    </row>
    <row r="272" spans="1:7" s="293" customFormat="1" outlineLevel="1">
      <c r="A272" s="292">
        <v>132</v>
      </c>
      <c r="B272" s="525"/>
      <c r="C272" s="194" t="s">
        <v>391</v>
      </c>
      <c r="D272" s="345">
        <f ca="1">OFFSET(新用户!$A$1,$A272-1,G$1,1,1)</f>
        <v>0</v>
      </c>
      <c r="E272" s="345">
        <f ca="1">OFFSET(新用户!$A$1,$A272-1,H$1,1,1)</f>
        <v>0</v>
      </c>
      <c r="F272" s="345">
        <f ca="1">OFFSET(新用户!$A$1,$A272-1,I$1,1,1)</f>
        <v>0</v>
      </c>
      <c r="G272" s="345">
        <f t="shared" ca="1" si="13"/>
        <v>0</v>
      </c>
    </row>
    <row r="273" spans="1:9" s="293" customFormat="1" outlineLevel="1">
      <c r="A273" s="292">
        <v>133</v>
      </c>
      <c r="B273" s="525"/>
      <c r="C273" s="194" t="s">
        <v>384</v>
      </c>
      <c r="D273" s="345">
        <f ca="1">OFFSET(新用户!$A$1,$A273-1,G$1,1,1)</f>
        <v>0</v>
      </c>
      <c r="E273" s="345">
        <f ca="1">OFFSET(新用户!$A$1,$A273-1,H$1,1,1)</f>
        <v>0</v>
      </c>
      <c r="F273" s="345">
        <f ca="1">OFFSET(新用户!$A$1,$A273-1,I$1,1,1)</f>
        <v>0</v>
      </c>
      <c r="G273" s="345">
        <f t="shared" ca="1" si="13"/>
        <v>0</v>
      </c>
    </row>
    <row r="274" spans="1:9" s="293" customFormat="1" outlineLevel="1">
      <c r="A274" s="292">
        <v>134</v>
      </c>
      <c r="B274" s="526"/>
      <c r="C274" s="209" t="s">
        <v>392</v>
      </c>
      <c r="D274" s="344">
        <f ca="1">OFFSET(新用户!$A$1,$A274-1,G$1,1,1)</f>
        <v>0</v>
      </c>
      <c r="E274" s="344">
        <f ca="1">OFFSET(新用户!$A$1,$A274-1,H$1,1,1)</f>
        <v>0</v>
      </c>
      <c r="F274" s="344">
        <f ca="1">OFFSET(新用户!$A$1,$A274-1,I$1,1,1)</f>
        <v>0</v>
      </c>
      <c r="G274" s="344">
        <f t="shared" ca="1" si="13"/>
        <v>0</v>
      </c>
    </row>
    <row r="275" spans="1:9" s="306" customFormat="1" outlineLevel="1">
      <c r="A275" s="292"/>
      <c r="B275" s="303"/>
      <c r="C275" s="286"/>
      <c r="D275" s="304"/>
      <c r="E275" s="304"/>
      <c r="F275" s="304"/>
      <c r="G275" s="304"/>
      <c r="H275" s="305"/>
    </row>
    <row r="276" spans="1:9" s="306" customFormat="1" outlineLevel="1">
      <c r="A276" s="292"/>
      <c r="B276" s="173" t="s">
        <v>393</v>
      </c>
      <c r="C276" s="173"/>
      <c r="D276" s="173"/>
      <c r="E276" s="173"/>
      <c r="F276" s="175"/>
      <c r="G276" s="175"/>
      <c r="H276" s="147"/>
      <c r="I276" s="147"/>
    </row>
    <row r="277" spans="1:9" s="306" customFormat="1" outlineLevel="1">
      <c r="A277" s="292"/>
      <c r="C277" s="307" t="s">
        <v>394</v>
      </c>
      <c r="D277" s="308" t="s">
        <v>395</v>
      </c>
      <c r="E277" s="308" t="s">
        <v>396</v>
      </c>
      <c r="F277" s="308" t="s">
        <v>386</v>
      </c>
      <c r="G277" s="304"/>
      <c r="H277" s="305"/>
    </row>
    <row r="278" spans="1:9" s="306" customFormat="1" outlineLevel="1">
      <c r="A278" s="292"/>
      <c r="C278" s="309" t="s">
        <v>397</v>
      </c>
      <c r="D278" s="310">
        <f ca="1">G255</f>
        <v>23181.333333333332</v>
      </c>
      <c r="E278" s="310">
        <f ca="1">G262</f>
        <v>5613</v>
      </c>
      <c r="F278" s="310">
        <f ca="1">G269</f>
        <v>4832</v>
      </c>
      <c r="G278" s="304"/>
      <c r="H278" s="305"/>
    </row>
    <row r="279" spans="1:9" s="306" customFormat="1" outlineLevel="1">
      <c r="A279" s="292"/>
      <c r="C279" s="309" t="s">
        <v>398</v>
      </c>
      <c r="D279" s="310">
        <f ca="1">G260</f>
        <v>0</v>
      </c>
      <c r="E279" s="310">
        <f ca="1">G267</f>
        <v>0</v>
      </c>
      <c r="F279" s="310">
        <f ca="1">G274</f>
        <v>0</v>
      </c>
      <c r="G279" s="304"/>
      <c r="H279" s="305"/>
    </row>
    <row r="280" spans="1:9" s="306" customFormat="1" outlineLevel="1">
      <c r="A280" s="292"/>
      <c r="C280" s="309" t="s">
        <v>399</v>
      </c>
      <c r="D280" s="311">
        <f ca="1">SUM(D278:D279)</f>
        <v>23181.333333333332</v>
      </c>
      <c r="E280" s="311">
        <f ca="1">SUM(E278:E279)</f>
        <v>5613</v>
      </c>
      <c r="F280" s="311">
        <f ca="1">SUM(F278:F279)</f>
        <v>4832</v>
      </c>
      <c r="G280" s="304"/>
      <c r="H280" s="305"/>
    </row>
    <row r="281" spans="1:9" s="306" customFormat="1" outlineLevel="1">
      <c r="A281" s="292"/>
      <c r="C281" s="293"/>
      <c r="D281" s="312">
        <f ca="1">+D279/D280</f>
        <v>0</v>
      </c>
      <c r="E281" s="313">
        <f ca="1">+E279/E280</f>
        <v>0</v>
      </c>
      <c r="F281" s="313">
        <f ca="1">+F279/F280</f>
        <v>0</v>
      </c>
      <c r="G281" s="304"/>
      <c r="H281" s="305"/>
    </row>
    <row r="282" spans="1:9" s="306" customFormat="1" outlineLevel="1">
      <c r="A282" s="292"/>
      <c r="B282" s="303"/>
      <c r="C282" s="286"/>
      <c r="D282" s="304"/>
      <c r="E282" s="304"/>
      <c r="F282" s="304"/>
      <c r="G282" s="304"/>
      <c r="H282" s="305"/>
    </row>
    <row r="283" spans="1:9" s="177" customFormat="1" ht="20.25" customHeight="1" outlineLevel="1">
      <c r="A283" s="282"/>
      <c r="B283" s="192" t="str">
        <f>"终端新增用户来源"</f>
        <v>终端新增用户来源</v>
      </c>
    </row>
    <row r="284" spans="1:9" s="177" customFormat="1" ht="20.25" customHeight="1" outlineLevel="1">
      <c r="A284" s="282"/>
      <c r="B284" s="177" t="str">
        <f ca="1">"手机新增中，"&amp;TEXT(E281,"0.0%")&amp;"用户从其他终端转移"</f>
        <v>手机新增中，0.0%用户从其他终端转移</v>
      </c>
    </row>
    <row r="285" spans="1:9" s="177" customFormat="1" ht="20.25" customHeight="1" outlineLevel="1">
      <c r="A285" s="282"/>
      <c r="B285" s="177" t="str">
        <f ca="1">"Web新增中，"&amp;TEXT(F281,"0.0%")&amp;"用户从其他终端转移"</f>
        <v>Web新增中，0.0%用户从其他终端转移</v>
      </c>
    </row>
    <row r="286" spans="1:9" s="177" customFormat="1" ht="20.25" customHeight="1" outlineLevel="1">
      <c r="A286" s="282"/>
      <c r="B286" s="177" t="str">
        <f ca="1">"PC新增中，"&amp;TEXT(D281,"0.0%")&amp;"用户从其他终端转移"</f>
        <v>PC新增中，0.0%用户从其他终端转移</v>
      </c>
    </row>
    <row r="287" spans="1:9" ht="20.25" customHeight="1" outlineLevel="1">
      <c r="B287" s="283" t="s">
        <v>400</v>
      </c>
    </row>
    <row r="288" spans="1:9" ht="20.25" customHeight="1" outlineLevel="1">
      <c r="B288" s="283" t="s">
        <v>401</v>
      </c>
    </row>
    <row r="289" spans="1:8" s="306" customFormat="1" outlineLevel="1">
      <c r="A289" s="292"/>
      <c r="B289" s="303"/>
      <c r="C289" s="286"/>
      <c r="D289" s="304"/>
      <c r="E289" s="304"/>
      <c r="F289" s="304"/>
      <c r="G289" s="304"/>
      <c r="H289" s="305"/>
    </row>
    <row r="290" spans="1:8" s="306" customFormat="1" outlineLevel="1">
      <c r="A290" s="292"/>
      <c r="B290" s="303"/>
      <c r="C290" s="286"/>
      <c r="D290" s="304"/>
      <c r="E290" s="304"/>
      <c r="F290" s="304"/>
      <c r="G290" s="304"/>
      <c r="H290" s="305"/>
    </row>
    <row r="291" spans="1:8" s="306" customFormat="1" outlineLevel="1">
      <c r="A291" s="292"/>
      <c r="B291" s="303"/>
      <c r="C291" s="286"/>
      <c r="D291" s="304"/>
      <c r="E291" s="304"/>
      <c r="F291" s="304"/>
      <c r="G291" s="304"/>
      <c r="H291" s="305"/>
    </row>
    <row r="292" spans="1:8" s="306" customFormat="1" outlineLevel="1">
      <c r="A292" s="292"/>
      <c r="B292" s="303"/>
      <c r="C292" s="286"/>
      <c r="D292" s="304"/>
      <c r="E292" s="304"/>
      <c r="F292" s="304"/>
      <c r="G292" s="304"/>
      <c r="H292" s="305"/>
    </row>
    <row r="293" spans="1:8" s="306" customFormat="1" outlineLevel="1">
      <c r="A293" s="292"/>
      <c r="B293" s="303"/>
      <c r="C293" s="286"/>
      <c r="D293" s="304"/>
      <c r="E293" s="304"/>
      <c r="F293" s="304"/>
      <c r="G293" s="304"/>
      <c r="H293" s="305"/>
    </row>
    <row r="294" spans="1:8" s="306" customFormat="1" outlineLevel="1">
      <c r="A294" s="292"/>
      <c r="B294" s="303"/>
      <c r="C294" s="286"/>
      <c r="D294" s="304"/>
      <c r="E294" s="304"/>
      <c r="F294" s="304"/>
      <c r="G294" s="304"/>
      <c r="H294" s="305"/>
    </row>
    <row r="295" spans="1:8" s="306" customFormat="1" outlineLevel="1">
      <c r="A295" s="292"/>
      <c r="B295" s="303"/>
      <c r="C295" s="286"/>
      <c r="D295" s="304"/>
      <c r="E295" s="304"/>
      <c r="F295" s="304"/>
      <c r="G295" s="304"/>
      <c r="H295" s="305"/>
    </row>
    <row r="296" spans="1:8" s="306" customFormat="1" outlineLevel="1">
      <c r="A296" s="292"/>
      <c r="B296" s="303"/>
      <c r="C296" s="286"/>
      <c r="D296" s="304"/>
      <c r="E296" s="304"/>
      <c r="F296" s="304"/>
      <c r="G296" s="304"/>
      <c r="H296" s="305"/>
    </row>
    <row r="297" spans="1:8" s="306" customFormat="1" outlineLevel="1">
      <c r="A297" s="292"/>
      <c r="B297" s="303"/>
      <c r="C297" s="286"/>
      <c r="D297" s="304"/>
      <c r="E297" s="304"/>
      <c r="F297" s="304"/>
      <c r="G297" s="304"/>
      <c r="H297" s="305"/>
    </row>
    <row r="298" spans="1:8" s="306" customFormat="1" outlineLevel="1">
      <c r="A298" s="292"/>
      <c r="B298" s="303"/>
      <c r="C298" s="286"/>
      <c r="D298" s="304"/>
      <c r="E298" s="304"/>
      <c r="F298" s="304"/>
      <c r="G298" s="304"/>
      <c r="H298" s="305"/>
    </row>
    <row r="299" spans="1:8" s="306" customFormat="1" outlineLevel="1">
      <c r="A299" s="292"/>
      <c r="B299" s="303"/>
      <c r="C299" s="286"/>
      <c r="D299" s="304"/>
      <c r="E299" s="304"/>
      <c r="F299" s="304"/>
      <c r="G299" s="304"/>
      <c r="H299" s="305"/>
    </row>
    <row r="300" spans="1:8" s="306" customFormat="1" outlineLevel="1">
      <c r="A300" s="292"/>
      <c r="B300" s="303"/>
      <c r="C300" s="286"/>
      <c r="D300" s="304"/>
      <c r="E300" s="304"/>
      <c r="F300" s="304"/>
      <c r="G300" s="304"/>
      <c r="H300" s="305"/>
    </row>
    <row r="301" spans="1:8" s="306" customFormat="1" outlineLevel="1">
      <c r="A301" s="292"/>
      <c r="B301" s="303"/>
      <c r="C301" s="286"/>
      <c r="D301" s="304"/>
      <c r="E301" s="304"/>
      <c r="F301" s="304"/>
      <c r="G301" s="304"/>
      <c r="H301" s="305"/>
    </row>
    <row r="302" spans="1:8" s="306" customFormat="1" outlineLevel="1">
      <c r="A302" s="292"/>
      <c r="B302" s="303"/>
      <c r="C302" s="286"/>
      <c r="D302" s="304"/>
      <c r="E302" s="304"/>
      <c r="F302" s="304"/>
      <c r="G302" s="304"/>
      <c r="H302" s="305"/>
    </row>
    <row r="303" spans="1:8" s="306" customFormat="1">
      <c r="A303" s="292"/>
      <c r="B303" s="303"/>
      <c r="C303" s="286"/>
      <c r="D303" s="304"/>
      <c r="E303" s="304"/>
      <c r="F303" s="304"/>
      <c r="G303" s="304"/>
      <c r="H303" s="305"/>
    </row>
    <row r="304" spans="1:8" s="306" customFormat="1">
      <c r="A304" s="292"/>
      <c r="B304" s="303"/>
      <c r="C304" s="286"/>
      <c r="D304" s="304"/>
      <c r="E304" s="304"/>
      <c r="F304" s="304"/>
      <c r="G304" s="304"/>
      <c r="H304" s="305"/>
    </row>
    <row r="305" spans="1:10" ht="21">
      <c r="B305" s="192" t="s">
        <v>402</v>
      </c>
    </row>
    <row r="306" spans="1:10" s="293" customFormat="1" outlineLevel="1">
      <c r="A306" s="292"/>
      <c r="B306" s="293" t="s">
        <v>403</v>
      </c>
    </row>
    <row r="307" spans="1:10" outlineLevel="1">
      <c r="A307" s="145">
        <v>4</v>
      </c>
      <c r="B307" s="232" t="s">
        <v>329</v>
      </c>
      <c r="C307" s="232" t="s">
        <v>338</v>
      </c>
      <c r="D307" s="232">
        <f ca="1">OFFSET(新用户!$A$1,$A307-1,D$1,1,1)</f>
        <v>88702</v>
      </c>
      <c r="E307" s="232">
        <f ca="1">OFFSET(新用户!$A$1,$A307-1,E$1,1,1)</f>
        <v>88112</v>
      </c>
      <c r="F307" s="232">
        <f ca="1">OFFSET(新用户!$A$1,$A307-1,F$1,1,1)</f>
        <v>75969</v>
      </c>
      <c r="G307" s="232">
        <f ca="1">OFFSET(新用户!$A$1,$A307-1,G$1,1,1)</f>
        <v>82098</v>
      </c>
      <c r="H307" s="232">
        <f ca="1">OFFSET(新用户!$A$1,$A307-1,H$1,1,1)</f>
        <v>85271</v>
      </c>
      <c r="I307" s="232">
        <f ca="1">OFFSET(新用户!$A$1,$A307-1,I$1,1,1)</f>
        <v>0</v>
      </c>
      <c r="J307" s="152" t="s">
        <v>339</v>
      </c>
    </row>
    <row r="308" spans="1:10" ht="16.5" customHeight="1" outlineLevel="1">
      <c r="A308" s="145">
        <v>105</v>
      </c>
      <c r="B308" s="498" t="s">
        <v>404</v>
      </c>
      <c r="C308" s="206" t="s">
        <v>332</v>
      </c>
      <c r="D308" s="210">
        <f ca="1">OFFSET(新用户!$A$1,$A308-1,D$1,1,1)</f>
        <v>0</v>
      </c>
      <c r="E308" s="210">
        <f ca="1">OFFSET(新用户!$A$1,$A308-1,E$1,1,1)</f>
        <v>0</v>
      </c>
      <c r="F308" s="210">
        <f ca="1">OFFSET(新用户!$A$1,$A308-1,F$1,1,1)</f>
        <v>0</v>
      </c>
      <c r="G308" s="210">
        <f ca="1">OFFSET(新用户!$A$1,$A308-1,G$1,1,1)</f>
        <v>0</v>
      </c>
      <c r="H308" s="210">
        <f ca="1">OFFSET(新用户!$A$1,$A308-1,H$1,1,1)</f>
        <v>0</v>
      </c>
      <c r="I308" s="210">
        <f ca="1">OFFSET(新用户!$A$1,$A308-1,I$1,1,1)</f>
        <v>0</v>
      </c>
      <c r="J308" s="169">
        <f ca="1">+I308-H308</f>
        <v>0</v>
      </c>
    </row>
    <row r="309" spans="1:10" outlineLevel="1">
      <c r="A309" s="145">
        <v>106</v>
      </c>
      <c r="B309" s="499"/>
      <c r="C309" s="194" t="s">
        <v>5</v>
      </c>
      <c r="D309" s="314">
        <f ca="1">OFFSET(新用户!$A$1,$A309-1,D$1,1,1)</f>
        <v>0</v>
      </c>
      <c r="E309" s="314">
        <f ca="1">OFFSET(新用户!$A$1,$A309-1,E$1,1,1)</f>
        <v>0</v>
      </c>
      <c r="F309" s="314">
        <f ca="1">OFFSET(新用户!$A$1,$A309-1,F$1,1,1)</f>
        <v>0</v>
      </c>
      <c r="G309" s="314">
        <f ca="1">OFFSET(新用户!$A$1,$A309-1,G$1,1,1)</f>
        <v>0</v>
      </c>
      <c r="H309" s="314">
        <f ca="1">OFFSET(新用户!$A$1,$A309-1,H$1,1,1)</f>
        <v>0</v>
      </c>
      <c r="I309" s="158">
        <f ca="1">OFFSET(新用户!$A$1,$A309-1,I$1,1,1)</f>
        <v>0</v>
      </c>
      <c r="J309" s="169">
        <f ca="1">+I309-H309</f>
        <v>0</v>
      </c>
    </row>
    <row r="310" spans="1:10" outlineLevel="1">
      <c r="A310" s="145">
        <v>107</v>
      </c>
      <c r="B310" s="500"/>
      <c r="C310" s="194" t="s">
        <v>6</v>
      </c>
      <c r="D310" s="314">
        <f ca="1">OFFSET(新用户!$A$1,$A310-1,D$1,1,1)</f>
        <v>0</v>
      </c>
      <c r="E310" s="314">
        <f ca="1">OFFSET(新用户!$A$1,$A310-1,E$1,1,1)</f>
        <v>0</v>
      </c>
      <c r="F310" s="314">
        <f ca="1">OFFSET(新用户!$A$1,$A310-1,F$1,1,1)</f>
        <v>0</v>
      </c>
      <c r="G310" s="314">
        <f ca="1">OFFSET(新用户!$A$1,$A310-1,G$1,1,1)</f>
        <v>0</v>
      </c>
      <c r="H310" s="314">
        <f ca="1">OFFSET(新用户!$A$1,$A310-1,H$1,1,1)</f>
        <v>0</v>
      </c>
      <c r="I310" s="158">
        <f ca="1">OFFSET(新用户!$A$1,$A310-1,I$1,1,1)</f>
        <v>0</v>
      </c>
      <c r="J310" s="169">
        <f ca="1">+I310-H310</f>
        <v>0</v>
      </c>
    </row>
    <row r="311" spans="1:10" outlineLevel="1">
      <c r="A311" s="145">
        <v>108</v>
      </c>
      <c r="B311" s="519" t="s">
        <v>405</v>
      </c>
      <c r="C311" s="206" t="s">
        <v>332</v>
      </c>
      <c r="D311" s="210">
        <f ca="1">OFFSET(新用户!$A$1,$A311-1,D$1,1,1)</f>
        <v>0</v>
      </c>
      <c r="E311" s="210">
        <f ca="1">OFFSET(新用户!$A$1,$A311-1,E$1,1,1)</f>
        <v>0</v>
      </c>
      <c r="F311" s="210">
        <f ca="1">OFFSET(新用户!$A$1,$A311-1,F$1,1,1)</f>
        <v>0</v>
      </c>
      <c r="G311" s="210">
        <f ca="1">OFFSET(新用户!$A$1,$A311-1,G$1,1,1)</f>
        <v>0</v>
      </c>
      <c r="H311" s="210">
        <f ca="1">OFFSET(新用户!$A$1,$A311-1,H$1,1,1)</f>
        <v>0</v>
      </c>
      <c r="I311" s="210">
        <f ca="1">OFFSET(新用户!$A$1,$A311-1,I$1,1,1)</f>
        <v>0</v>
      </c>
      <c r="J311" s="169">
        <f t="shared" ref="J311:J316" ca="1" si="14">+I311-H311</f>
        <v>0</v>
      </c>
    </row>
    <row r="312" spans="1:10" outlineLevel="1">
      <c r="A312" s="145">
        <v>109</v>
      </c>
      <c r="B312" s="520"/>
      <c r="C312" s="194" t="s">
        <v>5</v>
      </c>
      <c r="D312" s="314">
        <f ca="1">OFFSET(新用户!$A$1,$A312-1,D$1,1,1)</f>
        <v>0</v>
      </c>
      <c r="E312" s="314">
        <f ca="1">OFFSET(新用户!$A$1,$A312-1,E$1,1,1)</f>
        <v>0</v>
      </c>
      <c r="F312" s="314">
        <f ca="1">OFFSET(新用户!$A$1,$A312-1,F$1,1,1)</f>
        <v>0</v>
      </c>
      <c r="G312" s="314">
        <f ca="1">OFFSET(新用户!$A$1,$A312-1,G$1,1,1)</f>
        <v>0</v>
      </c>
      <c r="H312" s="314">
        <f ca="1">OFFSET(新用户!$A$1,$A312-1,H$1,1,1)</f>
        <v>0</v>
      </c>
      <c r="I312" s="158">
        <f ca="1">OFFSET(新用户!$A$1,$A312-1,I$1,1,1)</f>
        <v>0</v>
      </c>
      <c r="J312" s="169">
        <f ca="1">+I312-H312</f>
        <v>0</v>
      </c>
    </row>
    <row r="313" spans="1:10" outlineLevel="1">
      <c r="A313" s="145">
        <v>110</v>
      </c>
      <c r="B313" s="527"/>
      <c r="C313" s="194" t="s">
        <v>6</v>
      </c>
      <c r="D313" s="314">
        <f ca="1">OFFSET(新用户!$A$1,$A313-1,D$1,1,1)</f>
        <v>0</v>
      </c>
      <c r="E313" s="314">
        <f ca="1">OFFSET(新用户!$A$1,$A313-1,E$1,1,1)</f>
        <v>0</v>
      </c>
      <c r="F313" s="314">
        <f ca="1">OFFSET(新用户!$A$1,$A313-1,F$1,1,1)</f>
        <v>0</v>
      </c>
      <c r="G313" s="314">
        <f ca="1">OFFSET(新用户!$A$1,$A313-1,G$1,1,1)</f>
        <v>0</v>
      </c>
      <c r="H313" s="314">
        <f ca="1">OFFSET(新用户!$A$1,$A313-1,H$1,1,1)</f>
        <v>0</v>
      </c>
      <c r="I313" s="158">
        <f ca="1">OFFSET(新用户!$A$1,$A313-1,I$1,1,1)</f>
        <v>0</v>
      </c>
      <c r="J313" s="169">
        <f ca="1">+I313-H313</f>
        <v>0</v>
      </c>
    </row>
    <row r="314" spans="1:10" outlineLevel="1">
      <c r="A314" s="145">
        <v>117</v>
      </c>
      <c r="B314" s="519" t="s">
        <v>405</v>
      </c>
      <c r="C314" s="315" t="s">
        <v>333</v>
      </c>
      <c r="D314" s="316">
        <f ca="1">OFFSET(新用户!$A$1,$A314-1,D$1,1,1)</f>
        <v>0</v>
      </c>
      <c r="E314" s="316">
        <f ca="1">OFFSET(新用户!$A$1,$A314-1,E$1,1,1)</f>
        <v>0</v>
      </c>
      <c r="F314" s="316">
        <f ca="1">OFFSET(新用户!$A$1,$A314-1,F$1,1,1)</f>
        <v>0</v>
      </c>
      <c r="G314" s="316">
        <f ca="1">OFFSET(新用户!$A$1,$A314-1,G$1,1,1)</f>
        <v>0</v>
      </c>
      <c r="H314" s="316">
        <f ca="1">OFFSET(新用户!$A$1,$A314-1,H$1,1,1)</f>
        <v>0</v>
      </c>
      <c r="I314" s="316">
        <f ca="1">OFFSET(新用户!$A$1,$A314-1,I$1,1,1)</f>
        <v>0</v>
      </c>
      <c r="J314" s="169">
        <f t="shared" ca="1" si="14"/>
        <v>0</v>
      </c>
    </row>
    <row r="315" spans="1:10" outlineLevel="1">
      <c r="A315" s="145">
        <v>118</v>
      </c>
      <c r="B315" s="520"/>
      <c r="C315" s="315" t="s">
        <v>378</v>
      </c>
      <c r="D315" s="316">
        <f ca="1">OFFSET(新用户!$A$1,$A315-1,D$1,1,1)</f>
        <v>0</v>
      </c>
      <c r="E315" s="316">
        <f ca="1">OFFSET(新用户!$A$1,$A315-1,E$1,1,1)</f>
        <v>0</v>
      </c>
      <c r="F315" s="316">
        <f ca="1">OFFSET(新用户!$A$1,$A315-1,F$1,1,1)</f>
        <v>0</v>
      </c>
      <c r="G315" s="316">
        <f ca="1">OFFSET(新用户!$A$1,$A315-1,G$1,1,1)</f>
        <v>0</v>
      </c>
      <c r="H315" s="316">
        <f ca="1">OFFSET(新用户!$A$1,$A315-1,H$1,1,1)</f>
        <v>0</v>
      </c>
      <c r="I315" s="316">
        <f ca="1">OFFSET(新用户!$A$1,$A315-1,I$1,1,1)</f>
        <v>0</v>
      </c>
      <c r="J315" s="169">
        <f t="shared" ca="1" si="14"/>
        <v>0</v>
      </c>
    </row>
    <row r="316" spans="1:10" outlineLevel="1">
      <c r="A316" s="145">
        <v>119</v>
      </c>
      <c r="B316" s="527"/>
      <c r="C316" s="315" t="s">
        <v>406</v>
      </c>
      <c r="D316" s="316">
        <f ca="1">OFFSET(新用户!$A$1,$A316-1,D$1,1,1)</f>
        <v>0</v>
      </c>
      <c r="E316" s="316">
        <f ca="1">OFFSET(新用户!$A$1,$A316-1,E$1,1,1)</f>
        <v>0</v>
      </c>
      <c r="F316" s="316">
        <f ca="1">OFFSET(新用户!$A$1,$A316-1,F$1,1,1)</f>
        <v>0</v>
      </c>
      <c r="G316" s="316">
        <f ca="1">OFFSET(新用户!$A$1,$A316-1,G$1,1,1)</f>
        <v>0</v>
      </c>
      <c r="H316" s="316">
        <f ca="1">OFFSET(新用户!$A$1,$A316-1,H$1,1,1)</f>
        <v>0</v>
      </c>
      <c r="I316" s="316">
        <f ca="1">OFFSET(新用户!$A$1,$A316-1,I$1,1,1)</f>
        <v>0</v>
      </c>
      <c r="J316" s="169">
        <f t="shared" ca="1" si="14"/>
        <v>0</v>
      </c>
    </row>
    <row r="317" spans="1:10" s="293" customFormat="1" outlineLevel="1">
      <c r="A317" s="292"/>
      <c r="B317" s="284" t="s">
        <v>407</v>
      </c>
    </row>
    <row r="318" spans="1:10" outlineLevel="1"/>
    <row r="319" spans="1:10" s="147" customFormat="1" outlineLevel="1">
      <c r="A319" s="145"/>
      <c r="B319" s="173" t="s">
        <v>408</v>
      </c>
      <c r="C319" s="173"/>
      <c r="D319" s="173"/>
      <c r="E319" s="173"/>
      <c r="F319" s="175"/>
      <c r="G319" s="175"/>
      <c r="H319" s="175"/>
      <c r="I319" s="175"/>
    </row>
    <row r="320" spans="1:10" s="177" customFormat="1" ht="20.25" customHeight="1" outlineLevel="1">
      <c r="A320" s="282"/>
      <c r="B320" s="192" t="str">
        <f>"一周内基础行为(聊天/送糖/点评)转化率"</f>
        <v>一周内基础行为(聊天/送糖/点评)转化率</v>
      </c>
    </row>
    <row r="321" spans="1:9" s="177" customFormat="1" ht="20.25" customHeight="1" outlineLevel="1">
      <c r="A321" s="282"/>
      <c r="B321" s="177" t="str">
        <f ca="1">"游戏："&amp;TEXT($I309,"0.0%")&amp;"("&amp;IF($J309&gt;0,"+","")&amp;TEXT($J309,"0.0%")&amp;")"</f>
        <v>游戏：0.0%(0.0%)</v>
      </c>
    </row>
    <row r="322" spans="1:9" s="177" customFormat="1" ht="20.25" customHeight="1" outlineLevel="1">
      <c r="A322" s="282"/>
      <c r="B322" s="177" t="str">
        <f ca="1">"娱乐："&amp;TEXT($I310,"0.0%")&amp;"("&amp;IF($J310&gt;0,"+","")&amp;TEXT($J310,"0.0%")&amp;")"</f>
        <v>娱乐：0.0%(0.0%)</v>
      </c>
    </row>
    <row r="323" spans="1:9" s="147" customFormat="1" outlineLevel="1">
      <c r="A323" s="145"/>
      <c r="B323" s="317"/>
      <c r="C323" s="286"/>
      <c r="D323" s="318"/>
      <c r="E323" s="318"/>
      <c r="F323" s="318"/>
      <c r="G323" s="318"/>
      <c r="H323" s="318"/>
      <c r="I323" s="318"/>
    </row>
    <row r="324" spans="1:9" s="147" customFormat="1" outlineLevel="1">
      <c r="A324" s="145"/>
      <c r="B324" s="317"/>
      <c r="C324" s="286"/>
      <c r="D324" s="318"/>
      <c r="E324" s="318"/>
      <c r="F324" s="318"/>
      <c r="G324" s="318"/>
      <c r="H324" s="318"/>
      <c r="I324" s="318"/>
    </row>
    <row r="325" spans="1:9" s="147" customFormat="1" outlineLevel="1">
      <c r="A325" s="145"/>
      <c r="B325" s="317"/>
      <c r="C325" s="286"/>
      <c r="D325" s="318"/>
      <c r="E325" s="318"/>
      <c r="F325" s="318"/>
      <c r="G325" s="318"/>
      <c r="H325" s="318"/>
      <c r="I325" s="318"/>
    </row>
    <row r="326" spans="1:9" s="147" customFormat="1" outlineLevel="1">
      <c r="A326" s="145"/>
      <c r="B326" s="317"/>
      <c r="C326" s="286"/>
      <c r="D326" s="318"/>
      <c r="E326" s="318"/>
      <c r="F326" s="318"/>
      <c r="G326" s="318"/>
      <c r="H326" s="318"/>
      <c r="I326" s="318"/>
    </row>
    <row r="327" spans="1:9" s="147" customFormat="1" outlineLevel="1">
      <c r="A327" s="145"/>
      <c r="B327" s="317"/>
      <c r="C327" s="286"/>
      <c r="D327" s="318"/>
      <c r="E327" s="318"/>
      <c r="F327" s="318"/>
      <c r="G327" s="318"/>
      <c r="H327" s="318"/>
      <c r="I327" s="318"/>
    </row>
    <row r="328" spans="1:9" s="147" customFormat="1" outlineLevel="1">
      <c r="A328" s="145"/>
      <c r="B328" s="317"/>
      <c r="C328" s="286"/>
      <c r="D328" s="318"/>
      <c r="E328" s="318"/>
      <c r="F328" s="318"/>
      <c r="G328" s="318"/>
      <c r="H328" s="318"/>
      <c r="I328" s="318"/>
    </row>
    <row r="329" spans="1:9" s="147" customFormat="1" outlineLevel="1">
      <c r="A329" s="145"/>
      <c r="B329" s="317"/>
      <c r="C329" s="286"/>
      <c r="D329" s="318"/>
      <c r="E329" s="318"/>
      <c r="F329" s="318"/>
      <c r="G329" s="318"/>
      <c r="H329" s="318"/>
      <c r="I329" s="318"/>
    </row>
    <row r="330" spans="1:9" s="147" customFormat="1" outlineLevel="1">
      <c r="A330" s="145"/>
      <c r="B330" s="317"/>
      <c r="C330" s="286"/>
      <c r="D330" s="318"/>
      <c r="E330" s="318"/>
      <c r="F330" s="318"/>
      <c r="G330" s="318"/>
      <c r="H330" s="318"/>
      <c r="I330" s="318"/>
    </row>
    <row r="331" spans="1:9" s="147" customFormat="1" outlineLevel="1">
      <c r="A331" s="145"/>
      <c r="B331" s="317"/>
      <c r="C331" s="286"/>
      <c r="D331" s="318"/>
      <c r="E331" s="318"/>
      <c r="F331" s="318"/>
      <c r="G331" s="318"/>
      <c r="H331" s="318"/>
      <c r="I331" s="318"/>
    </row>
    <row r="332" spans="1:9" s="147" customFormat="1" outlineLevel="1">
      <c r="A332" s="145"/>
      <c r="B332" s="317"/>
      <c r="C332" s="286"/>
      <c r="D332" s="318"/>
      <c r="E332" s="318"/>
      <c r="F332" s="318"/>
      <c r="G332" s="318"/>
      <c r="H332" s="318"/>
      <c r="I332" s="318"/>
    </row>
    <row r="333" spans="1:9" s="147" customFormat="1" outlineLevel="1">
      <c r="A333" s="145"/>
      <c r="B333" s="317"/>
      <c r="C333" s="286"/>
      <c r="D333" s="318"/>
      <c r="E333" s="318"/>
      <c r="F333" s="318"/>
      <c r="G333" s="318"/>
      <c r="H333" s="318"/>
      <c r="I333" s="318"/>
    </row>
    <row r="334" spans="1:9" s="147" customFormat="1" outlineLevel="1">
      <c r="A334" s="145"/>
      <c r="B334" s="317"/>
      <c r="C334" s="286"/>
      <c r="D334" s="318"/>
      <c r="E334" s="318"/>
      <c r="F334" s="318"/>
      <c r="G334" s="318"/>
      <c r="H334" s="318"/>
      <c r="I334" s="318"/>
    </row>
    <row r="335" spans="1:9" s="147" customFormat="1" outlineLevel="1">
      <c r="A335" s="145"/>
      <c r="B335" s="317"/>
      <c r="C335" s="286"/>
      <c r="D335" s="318"/>
      <c r="E335" s="318"/>
      <c r="F335" s="318"/>
      <c r="G335" s="318"/>
      <c r="H335" s="318"/>
      <c r="I335" s="318"/>
    </row>
    <row r="336" spans="1:9" s="147" customFormat="1" outlineLevel="1">
      <c r="A336" s="145"/>
      <c r="B336" s="317"/>
      <c r="C336" s="286"/>
      <c r="D336" s="318"/>
      <c r="E336" s="318"/>
      <c r="F336" s="318"/>
      <c r="G336" s="318"/>
      <c r="H336" s="318"/>
      <c r="I336" s="318"/>
    </row>
    <row r="337" spans="1:9" s="147" customFormat="1" outlineLevel="1">
      <c r="A337" s="145"/>
      <c r="B337" s="173" t="s">
        <v>409</v>
      </c>
      <c r="C337" s="173"/>
      <c r="D337" s="173"/>
      <c r="E337" s="173"/>
      <c r="F337" s="175"/>
      <c r="G337" s="175"/>
      <c r="H337" s="175"/>
      <c r="I337" s="175"/>
    </row>
    <row r="338" spans="1:9" s="177" customFormat="1" ht="20.25" customHeight="1" outlineLevel="1">
      <c r="A338" s="282"/>
      <c r="B338" s="192" t="str">
        <f>"一周内付费转化率"</f>
        <v>一周内付费转化率</v>
      </c>
    </row>
    <row r="339" spans="1:9" s="177" customFormat="1" ht="20.25" customHeight="1" outlineLevel="1">
      <c r="A339" s="282"/>
      <c r="B339" s="177" t="str">
        <f ca="1">"游戏："&amp;TEXT($I312,"0.0%")&amp;"("&amp;IF($J312&gt;0,"+","")&amp;TEXT($J312,"0.0%")&amp;")"</f>
        <v>游戏：0.0%(0.0%)</v>
      </c>
    </row>
    <row r="340" spans="1:9" s="177" customFormat="1" ht="20.25" customHeight="1" outlineLevel="1">
      <c r="A340" s="282"/>
      <c r="B340" s="177" t="str">
        <f ca="1">"娱乐："&amp;TEXT($I313,"0.0%")&amp;"("&amp;IF($J313&gt;0,"+","")&amp;TEXT($J313,"0.0%")&amp;")"</f>
        <v>娱乐：0.0%(0.0%)</v>
      </c>
    </row>
    <row r="341" spans="1:9" outlineLevel="1"/>
    <row r="342" spans="1:9" s="147" customFormat="1" outlineLevel="1">
      <c r="A342" s="145"/>
      <c r="B342" s="317"/>
      <c r="C342" s="286"/>
      <c r="D342" s="318"/>
      <c r="E342" s="318"/>
      <c r="F342" s="318"/>
      <c r="G342" s="318"/>
      <c r="H342" s="318"/>
      <c r="I342" s="318"/>
    </row>
    <row r="343" spans="1:9" s="147" customFormat="1" outlineLevel="1">
      <c r="A343" s="145"/>
      <c r="B343" s="317"/>
      <c r="C343" s="286"/>
      <c r="D343" s="318"/>
      <c r="E343" s="318"/>
      <c r="F343" s="318"/>
      <c r="G343" s="318"/>
      <c r="H343" s="318"/>
      <c r="I343" s="318"/>
    </row>
    <row r="344" spans="1:9" s="147" customFormat="1" outlineLevel="1">
      <c r="A344" s="145"/>
      <c r="B344" s="317"/>
      <c r="C344" s="286"/>
      <c r="D344" s="318"/>
      <c r="E344" s="318"/>
      <c r="F344" s="318"/>
      <c r="G344" s="318"/>
      <c r="H344" s="318"/>
      <c r="I344" s="318"/>
    </row>
    <row r="345" spans="1:9" s="147" customFormat="1" outlineLevel="1">
      <c r="A345" s="145"/>
      <c r="B345" s="317"/>
      <c r="C345" s="286"/>
      <c r="D345" s="318"/>
      <c r="E345" s="318"/>
      <c r="F345" s="318"/>
      <c r="G345" s="318"/>
      <c r="H345" s="318"/>
      <c r="I345" s="318"/>
    </row>
    <row r="346" spans="1:9" s="147" customFormat="1" outlineLevel="1">
      <c r="A346" s="145"/>
      <c r="B346" s="317"/>
      <c r="C346" s="286"/>
      <c r="D346" s="318"/>
      <c r="E346" s="318"/>
      <c r="F346" s="318"/>
      <c r="G346" s="318"/>
      <c r="H346" s="318"/>
      <c r="I346" s="318"/>
    </row>
    <row r="347" spans="1:9" s="147" customFormat="1" outlineLevel="1">
      <c r="A347" s="145"/>
      <c r="B347" s="317"/>
      <c r="C347" s="286"/>
      <c r="D347" s="318"/>
      <c r="E347" s="318"/>
      <c r="F347" s="318"/>
      <c r="G347" s="318"/>
      <c r="H347" s="318"/>
      <c r="I347" s="318"/>
    </row>
    <row r="348" spans="1:9" s="147" customFormat="1" outlineLevel="1">
      <c r="A348" s="145"/>
      <c r="B348" s="317"/>
      <c r="C348" s="286"/>
      <c r="D348" s="318"/>
      <c r="E348" s="318"/>
      <c r="F348" s="318"/>
      <c r="G348" s="318"/>
      <c r="H348" s="318"/>
      <c r="I348" s="318"/>
    </row>
    <row r="349" spans="1:9" s="147" customFormat="1" outlineLevel="1">
      <c r="A349" s="145"/>
      <c r="B349" s="317"/>
      <c r="C349" s="286"/>
      <c r="D349" s="318"/>
      <c r="E349" s="318"/>
      <c r="F349" s="318"/>
      <c r="G349" s="318"/>
      <c r="H349" s="318"/>
      <c r="I349" s="318"/>
    </row>
    <row r="350" spans="1:9" outlineLevel="1"/>
    <row r="351" spans="1:9" outlineLevel="1">
      <c r="C351" s="284"/>
    </row>
    <row r="352" spans="1:9" outlineLevel="1"/>
    <row r="353" spans="1:8" outlineLevel="1"/>
    <row r="354" spans="1:8" outlineLevel="1"/>
    <row r="356" spans="1:8" s="306" customFormat="1">
      <c r="A356" s="292"/>
      <c r="B356" s="303"/>
      <c r="C356" s="286"/>
      <c r="D356" s="304"/>
      <c r="E356" s="304"/>
      <c r="F356" s="304"/>
      <c r="G356" s="304"/>
      <c r="H356" s="305"/>
    </row>
  </sheetData>
  <mergeCells count="23">
    <mergeCell ref="B314:B316"/>
    <mergeCell ref="B60:B65"/>
    <mergeCell ref="B66:B71"/>
    <mergeCell ref="B116:B117"/>
    <mergeCell ref="B118:B123"/>
    <mergeCell ref="B124:B127"/>
    <mergeCell ref="B254:B260"/>
    <mergeCell ref="B261:B267"/>
    <mergeCell ref="B268:B274"/>
    <mergeCell ref="B308:B310"/>
    <mergeCell ref="B311:B313"/>
    <mergeCell ref="B188:I188"/>
    <mergeCell ref="B190:B192"/>
    <mergeCell ref="B193:B195"/>
    <mergeCell ref="B196:B198"/>
    <mergeCell ref="B199:B205"/>
    <mergeCell ref="B172:B174"/>
    <mergeCell ref="B175:B177"/>
    <mergeCell ref="B178:B180"/>
    <mergeCell ref="B181:B187"/>
    <mergeCell ref="B4:B9"/>
    <mergeCell ref="B10:B14"/>
    <mergeCell ref="B170:I170"/>
  </mergeCells>
  <phoneticPr fontId="6" type="noConversion"/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6691748-FFBF-4678-8035-7C5D4353C6A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J307</xm:sqref>
        </x14:conditionalFormatting>
        <x14:conditionalFormatting xmlns:xm="http://schemas.microsoft.com/office/excel/2006/main">
          <x14:cfRule type="iconSet" priority="7" id="{8584580C-AC4D-4D09-B727-8E9A962C226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J308:J316</xm:sqref>
        </x14:conditionalFormatting>
        <x14:conditionalFormatting xmlns:xm="http://schemas.microsoft.com/office/excel/2006/main">
          <x14:cfRule type="iconSet" priority="6" id="{E1605200-4FD7-4829-96F0-44CE88E98C0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J115</xm:sqref>
        </x14:conditionalFormatting>
        <x14:conditionalFormatting xmlns:xm="http://schemas.microsoft.com/office/excel/2006/main">
          <x14:cfRule type="iconSet" priority="5" id="{31D9E9AB-0BD9-4929-987E-5F985E39577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J116:J127</xm:sqref>
        </x14:conditionalFormatting>
        <x14:conditionalFormatting xmlns:xm="http://schemas.microsoft.com/office/excel/2006/main">
          <x14:cfRule type="iconSet" priority="4" id="{B739991D-C115-45C6-9382-CFE341ABAF1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J59</xm:sqref>
        </x14:conditionalFormatting>
        <x14:conditionalFormatting xmlns:xm="http://schemas.microsoft.com/office/excel/2006/main">
          <x14:cfRule type="iconSet" priority="3" id="{1CE1A424-2391-4388-A36F-E1AB0AFAC8A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J60:J71</xm:sqref>
        </x14:conditionalFormatting>
        <x14:conditionalFormatting xmlns:xm="http://schemas.microsoft.com/office/excel/2006/main">
          <x14:cfRule type="iconSet" priority="2" id="{760809F7-A1B0-45EB-80E7-D28686EEFB6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1" id="{93020098-5385-4F0C-A2C0-54D51F9AB7D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J4:J14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"/>
  <sheetViews>
    <sheetView showGridLines="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L9" sqref="L9"/>
    </sheetView>
  </sheetViews>
  <sheetFormatPr defaultRowHeight="16.5"/>
  <cols>
    <col min="1" max="1" width="10.875" style="109" customWidth="1"/>
    <col min="2" max="2" width="10.875" style="110" customWidth="1"/>
    <col min="3" max="10" width="10.875" style="111" hidden="1" customWidth="1"/>
    <col min="11" max="18" width="10.875" style="111" customWidth="1"/>
    <col min="19" max="19" width="9" style="109"/>
    <col min="20" max="20" width="9.75" style="109" bestFit="1" customWidth="1"/>
    <col min="21" max="21" width="9" style="109"/>
    <col min="22" max="22" width="9.75" style="109" bestFit="1" customWidth="1"/>
    <col min="23" max="16384" width="9" style="109"/>
  </cols>
  <sheetData>
    <row r="1" spans="1:22" s="4" customFormat="1" ht="16.5" customHeight="1">
      <c r="A1" s="1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</row>
    <row r="2" spans="1:22" s="84" customFormat="1">
      <c r="A2" s="116" t="s">
        <v>61</v>
      </c>
      <c r="B2" s="116" t="s">
        <v>62</v>
      </c>
      <c r="C2" s="117">
        <v>42491</v>
      </c>
      <c r="D2" s="117">
        <v>42522</v>
      </c>
      <c r="E2" s="117">
        <v>42552</v>
      </c>
      <c r="F2" s="117">
        <v>42583</v>
      </c>
      <c r="G2" s="117">
        <v>42614</v>
      </c>
      <c r="H2" s="117">
        <v>42644</v>
      </c>
      <c r="I2" s="117">
        <v>42675</v>
      </c>
      <c r="J2" s="117">
        <v>42705</v>
      </c>
      <c r="K2" s="117">
        <v>42736</v>
      </c>
      <c r="L2" s="117">
        <v>42767</v>
      </c>
      <c r="M2" s="117">
        <v>42795</v>
      </c>
      <c r="N2" s="117">
        <v>42826</v>
      </c>
      <c r="O2" s="117">
        <v>42856</v>
      </c>
      <c r="P2" s="117">
        <v>42887</v>
      </c>
      <c r="Q2" s="117">
        <v>42917</v>
      </c>
      <c r="R2" s="117">
        <v>42948</v>
      </c>
    </row>
    <row r="3" spans="1:22" s="85" customFormat="1">
      <c r="A3" s="529" t="s">
        <v>63</v>
      </c>
      <c r="B3" s="19" t="s">
        <v>64</v>
      </c>
      <c r="C3" s="52"/>
      <c r="D3" s="52"/>
      <c r="E3" s="52"/>
      <c r="F3" s="52"/>
      <c r="G3" s="52"/>
      <c r="H3" s="52"/>
      <c r="I3" s="52"/>
      <c r="J3" s="52"/>
      <c r="K3" s="53">
        <f>SUM(K4:K9)</f>
        <v>1539116</v>
      </c>
      <c r="L3" s="53">
        <f t="shared" ref="L3:Q3" si="0">SUM(L4:L9)</f>
        <v>1450015</v>
      </c>
      <c r="M3" s="53">
        <f t="shared" si="0"/>
        <v>1559602</v>
      </c>
      <c r="N3" s="53">
        <f t="shared" si="0"/>
        <v>1488495</v>
      </c>
      <c r="O3" s="53">
        <f t="shared" si="0"/>
        <v>1532903</v>
      </c>
      <c r="P3" s="53">
        <f t="shared" si="0"/>
        <v>1520576</v>
      </c>
      <c r="Q3" s="53">
        <f t="shared" si="0"/>
        <v>1534808</v>
      </c>
      <c r="R3" s="53">
        <v>1683642</v>
      </c>
    </row>
    <row r="4" spans="1:22" s="2" customFormat="1">
      <c r="A4" s="530"/>
      <c r="B4" s="86" t="s">
        <v>65</v>
      </c>
      <c r="C4" s="87"/>
      <c r="D4" s="87"/>
      <c r="E4" s="87"/>
      <c r="F4" s="87"/>
      <c r="G4" s="87"/>
      <c r="H4" s="87"/>
      <c r="I4" s="87"/>
      <c r="J4" s="87"/>
      <c r="K4" s="88">
        <v>534214</v>
      </c>
      <c r="L4" s="88">
        <v>468439</v>
      </c>
      <c r="M4" s="88">
        <v>507055</v>
      </c>
      <c r="N4" s="88">
        <v>490743</v>
      </c>
      <c r="O4" s="88">
        <v>493611</v>
      </c>
      <c r="P4" s="88">
        <v>481934</v>
      </c>
      <c r="Q4" s="88">
        <v>488578</v>
      </c>
      <c r="R4" s="88">
        <v>558771.92554340395</v>
      </c>
      <c r="S4" s="89" t="s">
        <v>66</v>
      </c>
      <c r="T4" s="3"/>
    </row>
    <row r="5" spans="1:22" s="2" customFormat="1">
      <c r="A5" s="530"/>
      <c r="B5" s="86" t="s">
        <v>67</v>
      </c>
      <c r="C5" s="87"/>
      <c r="D5" s="87"/>
      <c r="E5" s="87"/>
      <c r="F5" s="87"/>
      <c r="G5" s="87"/>
      <c r="H5" s="87"/>
      <c r="I5" s="87"/>
      <c r="J5" s="87"/>
      <c r="K5" s="88">
        <v>291834</v>
      </c>
      <c r="L5" s="88">
        <v>286579</v>
      </c>
      <c r="M5" s="88">
        <v>302380</v>
      </c>
      <c r="N5" s="88">
        <v>288661</v>
      </c>
      <c r="O5" s="88">
        <v>297600</v>
      </c>
      <c r="P5" s="88">
        <v>294875</v>
      </c>
      <c r="Q5" s="88">
        <v>298442</v>
      </c>
      <c r="R5" s="88">
        <v>324821.84398550855</v>
      </c>
      <c r="S5" s="89"/>
      <c r="T5" s="3"/>
    </row>
    <row r="6" spans="1:22" s="2" customFormat="1">
      <c r="A6" s="530"/>
      <c r="B6" s="86" t="s">
        <v>68</v>
      </c>
      <c r="C6" s="87"/>
      <c r="D6" s="87"/>
      <c r="E6" s="87"/>
      <c r="F6" s="87"/>
      <c r="G6" s="87"/>
      <c r="H6" s="87"/>
      <c r="I6" s="87"/>
      <c r="J6" s="87"/>
      <c r="K6" s="88">
        <v>227203</v>
      </c>
      <c r="L6" s="88">
        <v>230895</v>
      </c>
      <c r="M6" s="88">
        <v>235925</v>
      </c>
      <c r="N6" s="88">
        <v>229828</v>
      </c>
      <c r="O6" s="88">
        <v>236219</v>
      </c>
      <c r="P6" s="88">
        <v>234789</v>
      </c>
      <c r="Q6" s="88">
        <v>239536</v>
      </c>
      <c r="R6" s="88">
        <v>259959.26998478331</v>
      </c>
      <c r="S6" s="89"/>
      <c r="T6" s="3"/>
      <c r="V6" s="3"/>
    </row>
    <row r="7" spans="1:22" s="2" customFormat="1">
      <c r="A7" s="530"/>
      <c r="B7" s="86" t="s">
        <v>69</v>
      </c>
      <c r="C7" s="87"/>
      <c r="D7" s="87"/>
      <c r="E7" s="87"/>
      <c r="F7" s="87"/>
      <c r="G7" s="87"/>
      <c r="H7" s="87"/>
      <c r="I7" s="87"/>
      <c r="J7" s="87"/>
      <c r="K7" s="88">
        <v>222647</v>
      </c>
      <c r="L7" s="88">
        <v>226129</v>
      </c>
      <c r="M7" s="88">
        <v>227341</v>
      </c>
      <c r="N7" s="88">
        <v>220232</v>
      </c>
      <c r="O7" s="88">
        <v>224207</v>
      </c>
      <c r="P7" s="88">
        <v>223747</v>
      </c>
      <c r="Q7" s="88">
        <v>224698</v>
      </c>
      <c r="R7" s="88">
        <v>239003.34818139134</v>
      </c>
      <c r="S7" s="89"/>
      <c r="T7" s="3"/>
    </row>
    <row r="8" spans="1:22" s="2" customFormat="1">
      <c r="A8" s="530"/>
      <c r="B8" s="86" t="s">
        <v>70</v>
      </c>
      <c r="C8" s="87"/>
      <c r="D8" s="87"/>
      <c r="E8" s="87"/>
      <c r="F8" s="87"/>
      <c r="G8" s="87"/>
      <c r="H8" s="87"/>
      <c r="I8" s="87"/>
      <c r="J8" s="87"/>
      <c r="K8" s="88">
        <v>110746</v>
      </c>
      <c r="L8" s="88">
        <v>111588</v>
      </c>
      <c r="M8" s="88">
        <v>109878</v>
      </c>
      <c r="N8" s="88">
        <v>108128</v>
      </c>
      <c r="O8" s="88">
        <v>107965</v>
      </c>
      <c r="P8" s="88">
        <v>110794</v>
      </c>
      <c r="Q8" s="88">
        <v>107474</v>
      </c>
      <c r="R8" s="88">
        <v>122303.96620479073</v>
      </c>
      <c r="S8" s="89"/>
      <c r="T8" s="3"/>
    </row>
    <row r="9" spans="1:22" s="2" customFormat="1">
      <c r="A9" s="530"/>
      <c r="B9" s="86" t="s">
        <v>71</v>
      </c>
      <c r="C9" s="87"/>
      <c r="D9" s="87"/>
      <c r="E9" s="87"/>
      <c r="F9" s="87"/>
      <c r="G9" s="87"/>
      <c r="H9" s="87"/>
      <c r="I9" s="87"/>
      <c r="J9" s="87"/>
      <c r="K9" s="88">
        <v>152472</v>
      </c>
      <c r="L9" s="88">
        <v>126385</v>
      </c>
      <c r="M9" s="88">
        <v>177023</v>
      </c>
      <c r="N9" s="88">
        <v>150903</v>
      </c>
      <c r="O9" s="88">
        <v>173301</v>
      </c>
      <c r="P9" s="88">
        <v>174437</v>
      </c>
      <c r="Q9" s="88">
        <v>176080</v>
      </c>
      <c r="R9" s="88">
        <v>170686.92116936907</v>
      </c>
      <c r="S9" s="89"/>
      <c r="T9" s="3"/>
    </row>
    <row r="10" spans="1:22" s="90" customFormat="1">
      <c r="A10" s="530"/>
      <c r="B10" s="81" t="s">
        <v>72</v>
      </c>
      <c r="C10" s="81"/>
      <c r="D10" s="81"/>
      <c r="E10" s="81"/>
      <c r="F10" s="81"/>
      <c r="G10" s="81"/>
      <c r="H10" s="81"/>
      <c r="I10" s="81"/>
      <c r="J10" s="81"/>
      <c r="K10" s="28">
        <f t="shared" ref="K10:R10" si="1">+K4/K$3</f>
        <v>0.34709144729831931</v>
      </c>
      <c r="L10" s="28">
        <f t="shared" si="1"/>
        <v>0.32305803733064831</v>
      </c>
      <c r="M10" s="28">
        <f t="shared" si="1"/>
        <v>0.325118203233902</v>
      </c>
      <c r="N10" s="28">
        <f t="shared" si="1"/>
        <v>0.32969072788286152</v>
      </c>
      <c r="O10" s="28">
        <f t="shared" si="1"/>
        <v>0.32201059036351287</v>
      </c>
      <c r="P10" s="28">
        <f t="shared" si="1"/>
        <v>0.31694173786775537</v>
      </c>
      <c r="Q10" s="28">
        <f t="shared" si="1"/>
        <v>0.31833167405955665</v>
      </c>
      <c r="R10" s="28">
        <f t="shared" si="1"/>
        <v>0.33188286199999995</v>
      </c>
    </row>
    <row r="11" spans="1:22" s="90" customFormat="1">
      <c r="A11" s="530"/>
      <c r="B11" s="81" t="s">
        <v>73</v>
      </c>
      <c r="C11" s="81"/>
      <c r="D11" s="81"/>
      <c r="E11" s="81"/>
      <c r="F11" s="81"/>
      <c r="G11" s="81"/>
      <c r="H11" s="81"/>
      <c r="I11" s="81"/>
      <c r="J11" s="81"/>
      <c r="K11" s="28">
        <f t="shared" ref="K11:Q15" si="2">+K5/K$3</f>
        <v>0.18961143929372445</v>
      </c>
      <c r="L11" s="28">
        <f t="shared" si="2"/>
        <v>0.19763864511746429</v>
      </c>
      <c r="M11" s="28">
        <f t="shared" si="2"/>
        <v>0.19388279830366978</v>
      </c>
      <c r="N11" s="28">
        <f t="shared" si="2"/>
        <v>0.19392809515651716</v>
      </c>
      <c r="O11" s="28">
        <f t="shared" si="2"/>
        <v>0.19414144273969064</v>
      </c>
      <c r="P11" s="28">
        <f t="shared" si="2"/>
        <v>0.19392322383096933</v>
      </c>
      <c r="Q11" s="28">
        <f t="shared" si="2"/>
        <v>0.19444907766964989</v>
      </c>
      <c r="R11" s="28">
        <f>+R5/R$3</f>
        <v>0.19292809515651696</v>
      </c>
    </row>
    <row r="12" spans="1:22" s="90" customFormat="1">
      <c r="A12" s="530"/>
      <c r="B12" s="81" t="s">
        <v>74</v>
      </c>
      <c r="C12" s="81"/>
      <c r="D12" s="81"/>
      <c r="E12" s="81"/>
      <c r="F12" s="81"/>
      <c r="G12" s="81"/>
      <c r="H12" s="81"/>
      <c r="I12" s="81"/>
      <c r="J12" s="81"/>
      <c r="K12" s="28">
        <f t="shared" si="2"/>
        <v>0.1476191528123936</v>
      </c>
      <c r="L12" s="28">
        <f t="shared" si="2"/>
        <v>0.15923628376258175</v>
      </c>
      <c r="M12" s="28">
        <f t="shared" si="2"/>
        <v>0.15127256825779911</v>
      </c>
      <c r="N12" s="28">
        <f t="shared" si="2"/>
        <v>0.15440293719495196</v>
      </c>
      <c r="O12" s="28">
        <f t="shared" si="2"/>
        <v>0.154099117817631</v>
      </c>
      <c r="P12" s="28">
        <f t="shared" si="2"/>
        <v>0.15440793488783197</v>
      </c>
      <c r="Q12" s="28">
        <f t="shared" si="2"/>
        <v>0.15606903273894845</v>
      </c>
      <c r="R12" s="28">
        <f>+R6/R$3</f>
        <v>0.15440293719495196</v>
      </c>
    </row>
    <row r="13" spans="1:22" s="90" customFormat="1">
      <c r="A13" s="530"/>
      <c r="B13" s="81" t="s">
        <v>75</v>
      </c>
      <c r="C13" s="81"/>
      <c r="D13" s="81"/>
      <c r="E13" s="81"/>
      <c r="F13" s="81"/>
      <c r="G13" s="81"/>
      <c r="H13" s="81"/>
      <c r="I13" s="81"/>
      <c r="J13" s="81"/>
      <c r="K13" s="28">
        <f t="shared" si="2"/>
        <v>0.14465901205627127</v>
      </c>
      <c r="L13" s="28">
        <f t="shared" si="2"/>
        <v>0.15594942121288399</v>
      </c>
      <c r="M13" s="28">
        <f t="shared" si="2"/>
        <v>0.14576859993767641</v>
      </c>
      <c r="N13" s="28">
        <f t="shared" si="2"/>
        <v>0.14795615705796794</v>
      </c>
      <c r="O13" s="28">
        <f t="shared" si="2"/>
        <v>0.14626300555221042</v>
      </c>
      <c r="P13" s="28">
        <f t="shared" si="2"/>
        <v>0.14714621301401573</v>
      </c>
      <c r="Q13" s="28">
        <f t="shared" si="2"/>
        <v>0.14640137398293468</v>
      </c>
      <c r="R13" s="28">
        <f>+R7/R$3</f>
        <v>0.14195615705796799</v>
      </c>
    </row>
    <row r="14" spans="1:22" s="90" customFormat="1">
      <c r="A14" s="530"/>
      <c r="B14" s="81" t="s">
        <v>76</v>
      </c>
      <c r="C14" s="81"/>
      <c r="D14" s="81"/>
      <c r="E14" s="81"/>
      <c r="F14" s="81"/>
      <c r="G14" s="81"/>
      <c r="H14" s="81"/>
      <c r="I14" s="81"/>
      <c r="J14" s="81"/>
      <c r="K14" s="28">
        <f t="shared" si="2"/>
        <v>7.1954290644759722E-2</v>
      </c>
      <c r="L14" s="28">
        <f t="shared" si="2"/>
        <v>7.6956445278152291E-2</v>
      </c>
      <c r="M14" s="28">
        <f t="shared" si="2"/>
        <v>7.0452589827404682E-2</v>
      </c>
      <c r="N14" s="28">
        <f t="shared" si="2"/>
        <v>7.264250131844581E-2</v>
      </c>
      <c r="O14" s="28">
        <f t="shared" si="2"/>
        <v>7.0431723338006388E-2</v>
      </c>
      <c r="P14" s="28">
        <f t="shared" si="2"/>
        <v>7.2863178164064138E-2</v>
      </c>
      <c r="Q14" s="28">
        <f t="shared" si="2"/>
        <v>7.0024393930706641E-2</v>
      </c>
      <c r="R14" s="28">
        <f>+R8/R$3</f>
        <v>7.264250131844581E-2</v>
      </c>
    </row>
    <row r="15" spans="1:22" s="90" customFormat="1">
      <c r="A15" s="530"/>
      <c r="B15" s="81" t="s">
        <v>77</v>
      </c>
      <c r="C15" s="81"/>
      <c r="D15" s="81"/>
      <c r="E15" s="81"/>
      <c r="F15" s="81"/>
      <c r="G15" s="81"/>
      <c r="H15" s="81"/>
      <c r="I15" s="81"/>
      <c r="J15" s="81"/>
      <c r="K15" s="28">
        <f t="shared" si="2"/>
        <v>9.9064657894531671E-2</v>
      </c>
      <c r="L15" s="28">
        <f t="shared" si="2"/>
        <v>8.7161167298269324E-2</v>
      </c>
      <c r="M15" s="28">
        <f t="shared" si="2"/>
        <v>0.11350524043954804</v>
      </c>
      <c r="N15" s="28">
        <f t="shared" si="2"/>
        <v>0.1013795813892556</v>
      </c>
      <c r="O15" s="28">
        <f t="shared" si="2"/>
        <v>0.11305412018894868</v>
      </c>
      <c r="P15" s="28">
        <f t="shared" si="2"/>
        <v>0.11471771223536344</v>
      </c>
      <c r="Q15" s="28">
        <f t="shared" si="2"/>
        <v>0.1147244476182037</v>
      </c>
      <c r="R15" s="28">
        <f>+R9/R$3</f>
        <v>0.1013795813892556</v>
      </c>
      <c r="V15" s="91"/>
    </row>
    <row r="16" spans="1:22" s="85" customFormat="1">
      <c r="A16" s="529" t="s">
        <v>78</v>
      </c>
      <c r="B16" s="19" t="s">
        <v>79</v>
      </c>
      <c r="C16" s="52"/>
      <c r="D16" s="52"/>
      <c r="E16" s="52"/>
      <c r="F16" s="52"/>
      <c r="G16" s="52"/>
      <c r="H16" s="52"/>
      <c r="I16" s="52"/>
      <c r="J16" s="52"/>
      <c r="K16" s="53">
        <f t="shared" ref="K16:R16" si="3">SUM(K17:K22)</f>
        <v>3128930</v>
      </c>
      <c r="L16" s="53">
        <f t="shared" si="3"/>
        <v>2380250</v>
      </c>
      <c r="M16" s="53">
        <f t="shared" si="3"/>
        <v>2879791</v>
      </c>
      <c r="N16" s="53">
        <f t="shared" si="3"/>
        <v>2454866</v>
      </c>
      <c r="O16" s="53">
        <f t="shared" si="3"/>
        <v>2952354</v>
      </c>
      <c r="P16" s="53">
        <f t="shared" si="3"/>
        <v>2520707</v>
      </c>
      <c r="Q16" s="53">
        <f t="shared" si="3"/>
        <v>3001652</v>
      </c>
      <c r="R16" s="53">
        <f t="shared" si="3"/>
        <v>3228626</v>
      </c>
    </row>
    <row r="17" spans="1:28" s="2" customFormat="1">
      <c r="A17" s="530"/>
      <c r="B17" s="86" t="s">
        <v>80</v>
      </c>
      <c r="C17" s="92"/>
      <c r="D17" s="92"/>
      <c r="E17" s="92"/>
      <c r="F17" s="92"/>
      <c r="G17" s="92"/>
      <c r="H17" s="92"/>
      <c r="I17" s="92"/>
      <c r="J17" s="92"/>
      <c r="K17" s="88">
        <v>2202167</v>
      </c>
      <c r="L17" s="88">
        <v>1592994</v>
      </c>
      <c r="M17" s="88">
        <v>1978661</v>
      </c>
      <c r="N17" s="88">
        <v>1640883</v>
      </c>
      <c r="O17" s="88">
        <v>2068639</v>
      </c>
      <c r="P17" s="88">
        <v>1664085</v>
      </c>
      <c r="Q17" s="88">
        <v>2059244</v>
      </c>
      <c r="R17" s="88">
        <v>2260986</v>
      </c>
      <c r="S17" s="89" t="s">
        <v>81</v>
      </c>
    </row>
    <row r="18" spans="1:28" s="2" customFormat="1" ht="16.350000000000001" customHeight="1">
      <c r="A18" s="530"/>
      <c r="B18" s="86" t="s">
        <v>82</v>
      </c>
      <c r="C18" s="92"/>
      <c r="D18" s="92"/>
      <c r="E18" s="92"/>
      <c r="F18" s="92"/>
      <c r="G18" s="92"/>
      <c r="H18" s="92"/>
      <c r="I18" s="92"/>
      <c r="J18" s="92"/>
      <c r="K18" s="88">
        <v>502324</v>
      </c>
      <c r="L18" s="88">
        <v>407498</v>
      </c>
      <c r="M18" s="88">
        <v>456882</v>
      </c>
      <c r="N18" s="88">
        <v>412609</v>
      </c>
      <c r="O18" s="88">
        <v>438034</v>
      </c>
      <c r="P18" s="88">
        <v>421607</v>
      </c>
      <c r="Q18" s="88">
        <v>468655</v>
      </c>
      <c r="R18" s="88">
        <v>461249</v>
      </c>
      <c r="S18" s="3"/>
      <c r="T18" s="3"/>
    </row>
    <row r="19" spans="1:28" s="2" customFormat="1" ht="16.350000000000001" customHeight="1">
      <c r="A19" s="530"/>
      <c r="B19" s="86" t="s">
        <v>83</v>
      </c>
      <c r="C19" s="92"/>
      <c r="D19" s="92"/>
      <c r="E19" s="92"/>
      <c r="F19" s="92"/>
      <c r="G19" s="92"/>
      <c r="H19" s="92"/>
      <c r="I19" s="92"/>
      <c r="J19" s="92"/>
      <c r="K19" s="88">
        <v>233789</v>
      </c>
      <c r="L19" s="88">
        <v>206050</v>
      </c>
      <c r="M19" s="88">
        <v>226593</v>
      </c>
      <c r="N19" s="88">
        <v>210061</v>
      </c>
      <c r="O19" s="88">
        <v>228294</v>
      </c>
      <c r="P19" s="88">
        <v>222746</v>
      </c>
      <c r="Q19" s="88">
        <v>245799</v>
      </c>
      <c r="R19" s="88">
        <v>256149</v>
      </c>
      <c r="T19" s="110"/>
    </row>
    <row r="20" spans="1:28" s="2" customFormat="1" ht="16.350000000000001" customHeight="1" thickBot="1">
      <c r="A20" s="530"/>
      <c r="B20" s="86" t="s">
        <v>84</v>
      </c>
      <c r="C20" s="92"/>
      <c r="D20" s="92"/>
      <c r="E20" s="92"/>
      <c r="F20" s="92"/>
      <c r="G20" s="92"/>
      <c r="H20" s="92"/>
      <c r="I20" s="92"/>
      <c r="J20" s="92"/>
      <c r="K20" s="88">
        <v>131719</v>
      </c>
      <c r="L20" s="88">
        <v>122966</v>
      </c>
      <c r="M20" s="88">
        <v>141435</v>
      </c>
      <c r="N20" s="88">
        <v>127920</v>
      </c>
      <c r="O20" s="88">
        <v>142667</v>
      </c>
      <c r="P20" s="88">
        <v>140469</v>
      </c>
      <c r="Q20" s="88">
        <v>151627</v>
      </c>
      <c r="R20" s="88">
        <v>162760</v>
      </c>
    </row>
    <row r="21" spans="1:28" s="2" customFormat="1" ht="16.350000000000001" customHeight="1">
      <c r="A21" s="530"/>
      <c r="B21" s="86" t="s">
        <v>85</v>
      </c>
      <c r="C21" s="92"/>
      <c r="D21" s="92"/>
      <c r="E21" s="92"/>
      <c r="F21" s="92"/>
      <c r="G21" s="92"/>
      <c r="H21" s="92"/>
      <c r="I21" s="92"/>
      <c r="J21" s="92"/>
      <c r="K21" s="88">
        <v>35460</v>
      </c>
      <c r="L21" s="88">
        <v>32991</v>
      </c>
      <c r="M21" s="88">
        <v>42313</v>
      </c>
      <c r="N21" s="88">
        <v>36966</v>
      </c>
      <c r="O21" s="88">
        <v>42418</v>
      </c>
      <c r="P21" s="88">
        <v>41143</v>
      </c>
      <c r="Q21" s="88">
        <v>43413</v>
      </c>
      <c r="R21" s="88">
        <v>50024</v>
      </c>
      <c r="T21" s="3"/>
      <c r="Z21" s="93"/>
      <c r="AA21" s="93"/>
      <c r="AB21" s="93"/>
    </row>
    <row r="22" spans="1:28" s="2" customFormat="1" ht="16.350000000000001" customHeight="1">
      <c r="A22" s="530"/>
      <c r="B22" s="86" t="s">
        <v>77</v>
      </c>
      <c r="C22" s="92"/>
      <c r="D22" s="92"/>
      <c r="E22" s="92"/>
      <c r="F22" s="92"/>
      <c r="G22" s="92"/>
      <c r="H22" s="92"/>
      <c r="I22" s="92"/>
      <c r="J22" s="92"/>
      <c r="K22" s="88">
        <v>23471</v>
      </c>
      <c r="L22" s="88">
        <v>17751</v>
      </c>
      <c r="M22" s="88">
        <v>33907</v>
      </c>
      <c r="N22" s="88">
        <v>26427</v>
      </c>
      <c r="O22" s="88">
        <v>32302</v>
      </c>
      <c r="P22" s="88">
        <v>30657</v>
      </c>
      <c r="Q22" s="88">
        <v>32914</v>
      </c>
      <c r="R22" s="88">
        <v>37458</v>
      </c>
    </row>
    <row r="23" spans="1:28" s="90" customFormat="1" ht="16.350000000000001" customHeight="1">
      <c r="A23" s="530"/>
      <c r="B23" s="81" t="s">
        <v>80</v>
      </c>
      <c r="C23" s="81"/>
      <c r="D23" s="81"/>
      <c r="E23" s="81"/>
      <c r="F23" s="81"/>
      <c r="G23" s="81"/>
      <c r="H23" s="81"/>
      <c r="I23" s="81"/>
      <c r="J23" s="81"/>
      <c r="K23" s="28">
        <f t="shared" ref="K23:R23" si="4">K17/K$16</f>
        <v>0.70380833064338288</v>
      </c>
      <c r="L23" s="28">
        <f t="shared" si="4"/>
        <v>0.66925491019850858</v>
      </c>
      <c r="M23" s="28">
        <f t="shared" si="4"/>
        <v>0.68708493081615996</v>
      </c>
      <c r="N23" s="28">
        <f t="shared" si="4"/>
        <v>0.6684205981100394</v>
      </c>
      <c r="O23" s="28">
        <f t="shared" si="4"/>
        <v>0.70067444486670638</v>
      </c>
      <c r="P23" s="28">
        <f t="shared" si="4"/>
        <v>0.66016597724368598</v>
      </c>
      <c r="Q23" s="28">
        <f t="shared" si="4"/>
        <v>0.68603688901977977</v>
      </c>
      <c r="R23" s="28">
        <f t="shared" si="4"/>
        <v>0.70029356140971422</v>
      </c>
    </row>
    <row r="24" spans="1:28" s="90" customFormat="1" ht="16.350000000000001" customHeight="1">
      <c r="A24" s="530"/>
      <c r="B24" s="81" t="s">
        <v>86</v>
      </c>
      <c r="C24" s="81"/>
      <c r="D24" s="81"/>
      <c r="E24" s="81"/>
      <c r="F24" s="81"/>
      <c r="G24" s="81"/>
      <c r="H24" s="81"/>
      <c r="I24" s="81"/>
      <c r="J24" s="81"/>
      <c r="K24" s="28">
        <f t="shared" ref="K24:Q28" si="5">K18/K$16</f>
        <v>0.16054178265413416</v>
      </c>
      <c r="L24" s="28">
        <f t="shared" si="5"/>
        <v>0.17119966390085076</v>
      </c>
      <c r="M24" s="28">
        <f t="shared" si="5"/>
        <v>0.15865109655527085</v>
      </c>
      <c r="N24" s="28">
        <f t="shared" si="5"/>
        <v>0.16807801321945881</v>
      </c>
      <c r="O24" s="28">
        <f t="shared" si="5"/>
        <v>0.14836770929231385</v>
      </c>
      <c r="P24" s="28">
        <f t="shared" si="5"/>
        <v>0.16725744007534393</v>
      </c>
      <c r="Q24" s="28">
        <f t="shared" si="5"/>
        <v>0.15613235644904871</v>
      </c>
      <c r="R24" s="28">
        <f>R18/R$16</f>
        <v>0.14286231976078989</v>
      </c>
    </row>
    <row r="25" spans="1:28" s="90" customFormat="1" ht="16.350000000000001" customHeight="1">
      <c r="A25" s="530"/>
      <c r="B25" s="81" t="s">
        <v>87</v>
      </c>
      <c r="C25" s="81"/>
      <c r="D25" s="81"/>
      <c r="E25" s="81"/>
      <c r="F25" s="81"/>
      <c r="G25" s="81"/>
      <c r="H25" s="81"/>
      <c r="I25" s="81"/>
      <c r="J25" s="81"/>
      <c r="K25" s="28">
        <f t="shared" si="5"/>
        <v>7.4718513996797631E-2</v>
      </c>
      <c r="L25" s="28">
        <f t="shared" si="5"/>
        <v>8.65665371284529E-2</v>
      </c>
      <c r="M25" s="28">
        <f t="shared" si="5"/>
        <v>7.8683835042195768E-2</v>
      </c>
      <c r="N25" s="28">
        <f t="shared" si="5"/>
        <v>8.5569232699463024E-2</v>
      </c>
      <c r="O25" s="28">
        <f t="shared" si="5"/>
        <v>7.7326093009171662E-2</v>
      </c>
      <c r="P25" s="28">
        <f t="shared" si="5"/>
        <v>8.8366478134904211E-2</v>
      </c>
      <c r="Q25" s="28">
        <f t="shared" si="5"/>
        <v>8.1887907059179407E-2</v>
      </c>
      <c r="R25" s="28">
        <f>R19/R$16</f>
        <v>7.9336844837401416E-2</v>
      </c>
    </row>
    <row r="26" spans="1:28" s="90" customFormat="1" ht="16.350000000000001" customHeight="1">
      <c r="A26" s="530"/>
      <c r="B26" s="81" t="s">
        <v>88</v>
      </c>
      <c r="C26" s="81"/>
      <c r="D26" s="81"/>
      <c r="E26" s="81"/>
      <c r="F26" s="81"/>
      <c r="G26" s="81"/>
      <c r="H26" s="81"/>
      <c r="I26" s="81"/>
      <c r="J26" s="81"/>
      <c r="K26" s="28">
        <f t="shared" si="5"/>
        <v>4.2097138638448287E-2</v>
      </c>
      <c r="L26" s="28">
        <f t="shared" si="5"/>
        <v>5.1660959983195046E-2</v>
      </c>
      <c r="M26" s="28">
        <f t="shared" si="5"/>
        <v>4.9112939098705427E-2</v>
      </c>
      <c r="N26" s="28">
        <f t="shared" si="5"/>
        <v>5.2108750538725941E-2</v>
      </c>
      <c r="O26" s="28">
        <f t="shared" si="5"/>
        <v>4.8323134691842511E-2</v>
      </c>
      <c r="P26" s="28">
        <f t="shared" si="5"/>
        <v>5.5726032418682535E-2</v>
      </c>
      <c r="Q26" s="28">
        <f t="shared" si="5"/>
        <v>5.0514516672818838E-2</v>
      </c>
      <c r="R26" s="28">
        <f>R20/R$16</f>
        <v>5.0411537291714804E-2</v>
      </c>
    </row>
    <row r="27" spans="1:28" s="90" customFormat="1" ht="16.350000000000001" customHeight="1">
      <c r="A27" s="530"/>
      <c r="B27" s="81" t="s">
        <v>89</v>
      </c>
      <c r="C27" s="81"/>
      <c r="D27" s="81"/>
      <c r="E27" s="81"/>
      <c r="F27" s="81"/>
      <c r="G27" s="81"/>
      <c r="H27" s="81"/>
      <c r="I27" s="81"/>
      <c r="J27" s="81"/>
      <c r="K27" s="28">
        <f t="shared" si="5"/>
        <v>1.1332947684991355E-2</v>
      </c>
      <c r="L27" s="28">
        <f t="shared" si="5"/>
        <v>1.3860308791093373E-2</v>
      </c>
      <c r="M27" s="28">
        <f t="shared" si="5"/>
        <v>1.46930801575531E-2</v>
      </c>
      <c r="N27" s="28">
        <f t="shared" si="5"/>
        <v>1.5058255725567099E-2</v>
      </c>
      <c r="O27" s="28">
        <f t="shared" si="5"/>
        <v>1.4367518258311842E-2</v>
      </c>
      <c r="P27" s="28">
        <f t="shared" si="5"/>
        <v>1.6322008071545008E-2</v>
      </c>
      <c r="Q27" s="28">
        <f t="shared" si="5"/>
        <v>1.4463035688347616E-2</v>
      </c>
      <c r="R27" s="28">
        <f>R21/R$16</f>
        <v>1.5493897404035029E-2</v>
      </c>
    </row>
    <row r="28" spans="1:28" s="90" customFormat="1" ht="16.350000000000001" customHeight="1">
      <c r="A28" s="530"/>
      <c r="B28" s="81" t="s">
        <v>90</v>
      </c>
      <c r="C28" s="81"/>
      <c r="D28" s="81"/>
      <c r="E28" s="81"/>
      <c r="F28" s="81"/>
      <c r="G28" s="81"/>
      <c r="H28" s="81"/>
      <c r="I28" s="81"/>
      <c r="J28" s="81"/>
      <c r="K28" s="28">
        <f t="shared" si="5"/>
        <v>7.5012863822456876E-3</v>
      </c>
      <c r="L28" s="28">
        <f t="shared" si="5"/>
        <v>7.4576199978993807E-3</v>
      </c>
      <c r="M28" s="28">
        <f t="shared" si="5"/>
        <v>1.1774118330114929E-2</v>
      </c>
      <c r="N28" s="28">
        <f t="shared" si="5"/>
        <v>1.0765149706745704E-2</v>
      </c>
      <c r="O28" s="28">
        <f t="shared" si="5"/>
        <v>1.0941099881653758E-2</v>
      </c>
      <c r="P28" s="28">
        <f t="shared" si="5"/>
        <v>1.2162064055838303E-2</v>
      </c>
      <c r="Q28" s="28">
        <f t="shared" si="5"/>
        <v>1.0965295110825638E-2</v>
      </c>
      <c r="R28" s="28">
        <f>R22/R$16</f>
        <v>1.1601839296344637E-2</v>
      </c>
    </row>
    <row r="29" spans="1:28" s="85" customFormat="1" ht="16.350000000000001" customHeight="1">
      <c r="A29" s="529" t="s">
        <v>91</v>
      </c>
      <c r="B29" s="51" t="s">
        <v>64</v>
      </c>
      <c r="C29" s="52"/>
      <c r="D29" s="52"/>
      <c r="E29" s="52"/>
      <c r="F29" s="52"/>
      <c r="G29" s="52"/>
      <c r="H29" s="52"/>
      <c r="I29" s="52"/>
      <c r="J29" s="52"/>
      <c r="K29" s="53">
        <f t="shared" ref="K29:Q29" si="6">SUM(K30:K35)</f>
        <v>789935</v>
      </c>
      <c r="L29" s="53">
        <f t="shared" si="6"/>
        <v>671039</v>
      </c>
      <c r="M29" s="53">
        <f t="shared" si="6"/>
        <v>688687</v>
      </c>
      <c r="N29" s="53">
        <f t="shared" si="6"/>
        <v>617570</v>
      </c>
      <c r="O29" s="53">
        <f t="shared" si="6"/>
        <v>619033</v>
      </c>
      <c r="P29" s="53">
        <f t="shared" si="6"/>
        <v>574079</v>
      </c>
      <c r="Q29" s="53">
        <f t="shared" si="6"/>
        <v>572444</v>
      </c>
      <c r="R29" s="53">
        <f>SUM(R30:R35)</f>
        <v>582328</v>
      </c>
    </row>
    <row r="30" spans="1:28" s="2" customFormat="1" ht="16.350000000000001" customHeight="1">
      <c r="A30" s="530"/>
      <c r="B30" s="86" t="s">
        <v>65</v>
      </c>
      <c r="C30" s="87"/>
      <c r="D30" s="87"/>
      <c r="E30" s="87"/>
      <c r="F30" s="87"/>
      <c r="G30" s="87"/>
      <c r="H30" s="87"/>
      <c r="I30" s="87"/>
      <c r="J30" s="87"/>
      <c r="K30" s="88">
        <v>380173</v>
      </c>
      <c r="L30" s="88">
        <v>311276</v>
      </c>
      <c r="M30" s="88">
        <v>315596</v>
      </c>
      <c r="N30" s="88">
        <v>281402</v>
      </c>
      <c r="O30" s="88">
        <v>271568</v>
      </c>
      <c r="P30" s="88">
        <v>245612</v>
      </c>
      <c r="Q30" s="88">
        <v>255745</v>
      </c>
      <c r="R30" s="88">
        <v>255352</v>
      </c>
    </row>
    <row r="31" spans="1:28" s="2" customFormat="1" ht="16.350000000000001" customHeight="1">
      <c r="A31" s="530"/>
      <c r="B31" s="86" t="s">
        <v>67</v>
      </c>
      <c r="C31" s="87"/>
      <c r="D31" s="87"/>
      <c r="E31" s="87"/>
      <c r="F31" s="87"/>
      <c r="G31" s="87"/>
      <c r="H31" s="87"/>
      <c r="I31" s="87"/>
      <c r="J31" s="87"/>
      <c r="K31" s="88">
        <v>179194</v>
      </c>
      <c r="L31" s="88">
        <v>155256</v>
      </c>
      <c r="M31" s="88">
        <v>155514</v>
      </c>
      <c r="N31" s="88">
        <v>139431</v>
      </c>
      <c r="O31" s="88">
        <v>141591</v>
      </c>
      <c r="P31" s="88">
        <v>131402</v>
      </c>
      <c r="Q31" s="88">
        <v>129119</v>
      </c>
      <c r="R31" s="88">
        <v>136805</v>
      </c>
    </row>
    <row r="32" spans="1:28" s="2" customFormat="1" ht="16.350000000000001" customHeight="1">
      <c r="A32" s="530"/>
      <c r="B32" s="86" t="s">
        <v>68</v>
      </c>
      <c r="C32" s="87"/>
      <c r="D32" s="87"/>
      <c r="E32" s="87"/>
      <c r="F32" s="87"/>
      <c r="G32" s="87"/>
      <c r="H32" s="87"/>
      <c r="I32" s="87"/>
      <c r="J32" s="87"/>
      <c r="K32" s="88">
        <v>102584</v>
      </c>
      <c r="L32" s="88">
        <v>92136</v>
      </c>
      <c r="M32" s="88">
        <v>91324</v>
      </c>
      <c r="N32" s="88">
        <v>84054</v>
      </c>
      <c r="O32" s="88">
        <v>86347</v>
      </c>
      <c r="P32" s="88">
        <v>81330</v>
      </c>
      <c r="Q32" s="88">
        <v>78379</v>
      </c>
      <c r="R32" s="88">
        <v>78673</v>
      </c>
    </row>
    <row r="33" spans="1:19" s="2" customFormat="1" ht="16.350000000000001" customHeight="1">
      <c r="A33" s="530"/>
      <c r="B33" s="86" t="s">
        <v>69</v>
      </c>
      <c r="C33" s="87"/>
      <c r="D33" s="87"/>
      <c r="E33" s="87"/>
      <c r="F33" s="87"/>
      <c r="G33" s="87"/>
      <c r="H33" s="87"/>
      <c r="I33" s="87"/>
      <c r="J33" s="87"/>
      <c r="K33" s="88">
        <v>72350</v>
      </c>
      <c r="L33" s="88">
        <v>65553</v>
      </c>
      <c r="M33" s="88">
        <v>66241</v>
      </c>
      <c r="N33" s="88">
        <v>60755</v>
      </c>
      <c r="O33" s="88">
        <v>62537</v>
      </c>
      <c r="P33" s="88">
        <v>59465</v>
      </c>
      <c r="Q33" s="88">
        <v>56242</v>
      </c>
      <c r="R33" s="88">
        <v>56468</v>
      </c>
    </row>
    <row r="34" spans="1:19" s="2" customFormat="1">
      <c r="A34" s="530"/>
      <c r="B34" s="86" t="s">
        <v>70</v>
      </c>
      <c r="C34" s="87"/>
      <c r="D34" s="87"/>
      <c r="E34" s="87"/>
      <c r="F34" s="87"/>
      <c r="G34" s="87"/>
      <c r="H34" s="87"/>
      <c r="I34" s="87"/>
      <c r="J34" s="87"/>
      <c r="K34" s="88">
        <v>26884</v>
      </c>
      <c r="L34" s="88">
        <v>23994</v>
      </c>
      <c r="M34" s="88">
        <v>25424</v>
      </c>
      <c r="N34" s="88">
        <v>23447</v>
      </c>
      <c r="O34" s="88">
        <v>24044</v>
      </c>
      <c r="P34" s="88">
        <v>24156</v>
      </c>
      <c r="Q34" s="88">
        <v>21857</v>
      </c>
      <c r="R34" s="88">
        <v>22340</v>
      </c>
    </row>
    <row r="35" spans="1:19" s="2" customFormat="1">
      <c r="A35" s="530"/>
      <c r="B35" s="86" t="s">
        <v>71</v>
      </c>
      <c r="C35" s="87"/>
      <c r="D35" s="87"/>
      <c r="E35" s="87"/>
      <c r="F35" s="87"/>
      <c r="G35" s="87"/>
      <c r="H35" s="87"/>
      <c r="I35" s="87"/>
      <c r="J35" s="87"/>
      <c r="K35" s="88">
        <v>28750</v>
      </c>
      <c r="L35" s="88">
        <v>22824</v>
      </c>
      <c r="M35" s="88">
        <v>34588</v>
      </c>
      <c r="N35" s="88">
        <v>28481</v>
      </c>
      <c r="O35" s="88">
        <v>32946</v>
      </c>
      <c r="P35" s="88">
        <v>32114</v>
      </c>
      <c r="Q35" s="88">
        <v>31102</v>
      </c>
      <c r="R35" s="88">
        <v>32690</v>
      </c>
    </row>
    <row r="36" spans="1:19" s="90" customFormat="1">
      <c r="A36" s="530"/>
      <c r="B36" s="81" t="s">
        <v>92</v>
      </c>
      <c r="C36" s="81"/>
      <c r="D36" s="81"/>
      <c r="E36" s="81"/>
      <c r="F36" s="81"/>
      <c r="G36" s="81"/>
      <c r="H36" s="81"/>
      <c r="I36" s="81"/>
      <c r="J36" s="81"/>
      <c r="K36" s="28">
        <f t="shared" ref="K36:R36" si="7">K30/K$29</f>
        <v>0.4812712438365182</v>
      </c>
      <c r="L36" s="28">
        <f t="shared" si="7"/>
        <v>0.46387169747212903</v>
      </c>
      <c r="M36" s="28">
        <f t="shared" si="7"/>
        <v>0.45825752482622728</v>
      </c>
      <c r="N36" s="28">
        <f t="shared" si="7"/>
        <v>0.45566008711563061</v>
      </c>
      <c r="O36" s="28">
        <f t="shared" si="7"/>
        <v>0.43869712923220572</v>
      </c>
      <c r="P36" s="28">
        <f t="shared" si="7"/>
        <v>0.42783658695057647</v>
      </c>
      <c r="Q36" s="28">
        <f t="shared" si="7"/>
        <v>0.4467598577328088</v>
      </c>
      <c r="R36" s="28">
        <f t="shared" si="7"/>
        <v>0.43850201261144922</v>
      </c>
    </row>
    <row r="37" spans="1:19" s="90" customFormat="1">
      <c r="A37" s="530"/>
      <c r="B37" s="81" t="s">
        <v>93</v>
      </c>
      <c r="C37" s="81"/>
      <c r="D37" s="81"/>
      <c r="E37" s="81"/>
      <c r="F37" s="81"/>
      <c r="G37" s="81"/>
      <c r="H37" s="81"/>
      <c r="I37" s="81"/>
      <c r="J37" s="81"/>
      <c r="K37" s="28">
        <f t="shared" ref="K37:Q41" si="8">K31/K$29</f>
        <v>0.2268465126877528</v>
      </c>
      <c r="L37" s="28">
        <f t="shared" si="8"/>
        <v>0.23136658227018103</v>
      </c>
      <c r="M37" s="28">
        <f t="shared" si="8"/>
        <v>0.22581230660662971</v>
      </c>
      <c r="N37" s="28">
        <f t="shared" si="8"/>
        <v>0.22577359651537476</v>
      </c>
      <c r="O37" s="28">
        <f t="shared" si="8"/>
        <v>0.22872932460789652</v>
      </c>
      <c r="P37" s="28">
        <f t="shared" si="8"/>
        <v>0.22889184241193286</v>
      </c>
      <c r="Q37" s="28">
        <f t="shared" si="8"/>
        <v>0.22555743443900189</v>
      </c>
      <c r="R37" s="28">
        <f>R31/R$29</f>
        <v>0.23492773831929772</v>
      </c>
    </row>
    <row r="38" spans="1:19" s="90" customFormat="1">
      <c r="A38" s="530"/>
      <c r="B38" s="81" t="s">
        <v>94</v>
      </c>
      <c r="C38" s="81"/>
      <c r="D38" s="81"/>
      <c r="E38" s="81"/>
      <c r="F38" s="81"/>
      <c r="G38" s="81"/>
      <c r="H38" s="81"/>
      <c r="I38" s="81"/>
      <c r="J38" s="81"/>
      <c r="K38" s="28">
        <f t="shared" si="8"/>
        <v>0.12986384955724206</v>
      </c>
      <c r="L38" s="28">
        <f t="shared" si="8"/>
        <v>0.1373034950278598</v>
      </c>
      <c r="M38" s="28">
        <f t="shared" si="8"/>
        <v>0.13260595887536719</v>
      </c>
      <c r="N38" s="28">
        <f t="shared" si="8"/>
        <v>0.13610440921676895</v>
      </c>
      <c r="O38" s="28">
        <f t="shared" si="8"/>
        <v>0.1394869094216302</v>
      </c>
      <c r="P38" s="28">
        <f t="shared" si="8"/>
        <v>0.1416703972798169</v>
      </c>
      <c r="Q38" s="28">
        <f t="shared" si="8"/>
        <v>0.13691994326082552</v>
      </c>
      <c r="R38" s="28">
        <f>R32/R$29</f>
        <v>0.13510083664189254</v>
      </c>
    </row>
    <row r="39" spans="1:19" s="90" customFormat="1">
      <c r="A39" s="530"/>
      <c r="B39" s="81" t="s">
        <v>95</v>
      </c>
      <c r="C39" s="81"/>
      <c r="D39" s="81"/>
      <c r="E39" s="81"/>
      <c r="F39" s="81"/>
      <c r="G39" s="81"/>
      <c r="H39" s="81"/>
      <c r="I39" s="81"/>
      <c r="J39" s="81"/>
      <c r="K39" s="28">
        <f t="shared" si="8"/>
        <v>9.158981435181375E-2</v>
      </c>
      <c r="L39" s="28">
        <f t="shared" si="8"/>
        <v>9.7688807953039983E-2</v>
      </c>
      <c r="M39" s="28">
        <f t="shared" si="8"/>
        <v>9.618447858025489E-2</v>
      </c>
      <c r="N39" s="28">
        <f t="shared" si="8"/>
        <v>9.8377511861003616E-2</v>
      </c>
      <c r="O39" s="28">
        <f t="shared" si="8"/>
        <v>0.10102369340568274</v>
      </c>
      <c r="P39" s="28">
        <f t="shared" si="8"/>
        <v>0.10358330473680452</v>
      </c>
      <c r="Q39" s="28">
        <f t="shared" si="8"/>
        <v>9.8248911683937637E-2</v>
      </c>
      <c r="R39" s="28">
        <f>R33/R$29</f>
        <v>9.6969405558379476E-2</v>
      </c>
    </row>
    <row r="40" spans="1:19" s="90" customFormat="1">
      <c r="A40" s="530"/>
      <c r="B40" s="81" t="s">
        <v>96</v>
      </c>
      <c r="C40" s="81"/>
      <c r="D40" s="81"/>
      <c r="E40" s="81"/>
      <c r="F40" s="81"/>
      <c r="G40" s="81"/>
      <c r="H40" s="81"/>
      <c r="I40" s="81"/>
      <c r="J40" s="81"/>
      <c r="K40" s="28">
        <f t="shared" si="8"/>
        <v>3.4033179945185364E-2</v>
      </c>
      <c r="L40" s="28">
        <f t="shared" si="8"/>
        <v>3.5756491053426105E-2</v>
      </c>
      <c r="M40" s="28">
        <f t="shared" si="8"/>
        <v>3.6916625404574209E-2</v>
      </c>
      <c r="N40" s="28">
        <f t="shared" si="8"/>
        <v>3.7966546302443449E-2</v>
      </c>
      <c r="O40" s="28">
        <f t="shared" si="8"/>
        <v>3.8841224942773651E-2</v>
      </c>
      <c r="P40" s="28">
        <f t="shared" si="8"/>
        <v>4.2077832493437314E-2</v>
      </c>
      <c r="Q40" s="28">
        <f t="shared" si="8"/>
        <v>3.818190076234531E-2</v>
      </c>
      <c r="R40" s="28">
        <f>R34/R$29</f>
        <v>3.8363259194131145E-2</v>
      </c>
    </row>
    <row r="41" spans="1:19" s="90" customFormat="1">
      <c r="A41" s="530"/>
      <c r="B41" s="81" t="s">
        <v>97</v>
      </c>
      <c r="C41" s="81"/>
      <c r="D41" s="81"/>
      <c r="E41" s="81"/>
      <c r="F41" s="81"/>
      <c r="G41" s="81"/>
      <c r="H41" s="81"/>
      <c r="I41" s="81"/>
      <c r="J41" s="81"/>
      <c r="K41" s="28">
        <f t="shared" si="8"/>
        <v>3.6395399621487842E-2</v>
      </c>
      <c r="L41" s="28">
        <f t="shared" si="8"/>
        <v>3.4012926223364069E-2</v>
      </c>
      <c r="M41" s="28">
        <f t="shared" si="8"/>
        <v>5.02231057069467E-2</v>
      </c>
      <c r="N41" s="28">
        <f t="shared" si="8"/>
        <v>4.6117848988778597E-2</v>
      </c>
      <c r="O41" s="28">
        <f t="shared" si="8"/>
        <v>5.3221718389811205E-2</v>
      </c>
      <c r="P41" s="28">
        <f t="shared" si="8"/>
        <v>5.5940036127431939E-2</v>
      </c>
      <c r="Q41" s="28">
        <f t="shared" si="8"/>
        <v>5.4331952121080843E-2</v>
      </c>
      <c r="R41" s="28">
        <f>R35/R$29</f>
        <v>5.6136747674849913E-2</v>
      </c>
    </row>
    <row r="42" spans="1:19" s="85" customFormat="1">
      <c r="A42" s="529" t="s">
        <v>98</v>
      </c>
      <c r="B42" s="51" t="s">
        <v>99</v>
      </c>
      <c r="C42" s="52"/>
      <c r="D42" s="52"/>
      <c r="E42" s="52"/>
      <c r="F42" s="52"/>
      <c r="G42" s="52"/>
      <c r="H42" s="52"/>
      <c r="I42" s="52"/>
      <c r="J42" s="52"/>
      <c r="K42" s="53">
        <f t="shared" ref="K42:R42" si="9">SUM(K43:K48)</f>
        <v>779479</v>
      </c>
      <c r="L42" s="53">
        <f t="shared" si="9"/>
        <v>758611</v>
      </c>
      <c r="M42" s="53">
        <f t="shared" si="9"/>
        <v>787830</v>
      </c>
      <c r="N42" s="53">
        <f t="shared" si="9"/>
        <v>764158</v>
      </c>
      <c r="O42" s="53">
        <f t="shared" si="9"/>
        <v>805794</v>
      </c>
      <c r="P42" s="53">
        <f t="shared" si="9"/>
        <v>767759</v>
      </c>
      <c r="Q42" s="53">
        <f t="shared" si="9"/>
        <v>805148</v>
      </c>
      <c r="R42" s="53">
        <f t="shared" si="9"/>
        <v>885576</v>
      </c>
    </row>
    <row r="43" spans="1:19" s="2" customFormat="1" ht="17.25">
      <c r="A43" s="530"/>
      <c r="B43" s="86" t="s">
        <v>65</v>
      </c>
      <c r="C43" s="87"/>
      <c r="D43" s="87"/>
      <c r="E43" s="87"/>
      <c r="F43" s="87"/>
      <c r="G43" s="87"/>
      <c r="H43" s="87"/>
      <c r="I43" s="87"/>
      <c r="J43" s="87"/>
      <c r="K43" s="88">
        <v>138672</v>
      </c>
      <c r="L43" s="88">
        <v>132932</v>
      </c>
      <c r="M43" s="88">
        <v>137539</v>
      </c>
      <c r="N43" s="88">
        <v>139749</v>
      </c>
      <c r="O43" s="88">
        <v>149733</v>
      </c>
      <c r="P43" s="88">
        <v>138219</v>
      </c>
      <c r="Q43" s="88">
        <v>158140</v>
      </c>
      <c r="R43" s="88">
        <v>166442</v>
      </c>
      <c r="S43" s="83" t="s">
        <v>100</v>
      </c>
    </row>
    <row r="44" spans="1:19" s="2" customFormat="1">
      <c r="A44" s="530"/>
      <c r="B44" s="86" t="s">
        <v>67</v>
      </c>
      <c r="C44" s="87"/>
      <c r="D44" s="87"/>
      <c r="E44" s="87"/>
      <c r="F44" s="87"/>
      <c r="G44" s="87"/>
      <c r="H44" s="87"/>
      <c r="I44" s="87"/>
      <c r="J44" s="87"/>
      <c r="K44" s="88">
        <v>134217</v>
      </c>
      <c r="L44" s="88">
        <v>136528</v>
      </c>
      <c r="M44" s="88">
        <v>138197</v>
      </c>
      <c r="N44" s="88">
        <v>136556</v>
      </c>
      <c r="O44" s="88">
        <v>144305</v>
      </c>
      <c r="P44" s="88">
        <v>135412</v>
      </c>
      <c r="Q44" s="88">
        <v>144953</v>
      </c>
      <c r="R44" s="88">
        <v>159697</v>
      </c>
    </row>
    <row r="45" spans="1:19" s="2" customFormat="1">
      <c r="A45" s="530"/>
      <c r="B45" s="86" t="s">
        <v>68</v>
      </c>
      <c r="C45" s="87"/>
      <c r="D45" s="87"/>
      <c r="E45" s="87"/>
      <c r="F45" s="87"/>
      <c r="G45" s="87"/>
      <c r="H45" s="87"/>
      <c r="I45" s="87"/>
      <c r="J45" s="87"/>
      <c r="K45" s="88">
        <v>145271</v>
      </c>
      <c r="L45" s="88">
        <v>147767</v>
      </c>
      <c r="M45" s="88">
        <v>145353</v>
      </c>
      <c r="N45" s="88">
        <v>144644</v>
      </c>
      <c r="O45" s="88">
        <v>149553</v>
      </c>
      <c r="P45" s="88">
        <v>140278</v>
      </c>
      <c r="Q45" s="88">
        <v>146596</v>
      </c>
      <c r="R45" s="88">
        <v>165364</v>
      </c>
    </row>
    <row r="46" spans="1:19" s="2" customFormat="1">
      <c r="A46" s="530"/>
      <c r="B46" s="86" t="s">
        <v>69</v>
      </c>
      <c r="C46" s="87"/>
      <c r="D46" s="87"/>
      <c r="E46" s="87"/>
      <c r="F46" s="87"/>
      <c r="G46" s="87"/>
      <c r="H46" s="87"/>
      <c r="I46" s="87"/>
      <c r="J46" s="87"/>
      <c r="K46" s="88">
        <v>163940</v>
      </c>
      <c r="L46" s="88">
        <v>164040</v>
      </c>
      <c r="M46" s="88">
        <v>159176</v>
      </c>
      <c r="N46" s="88">
        <v>155696</v>
      </c>
      <c r="O46" s="88">
        <v>159214</v>
      </c>
      <c r="P46" s="88">
        <v>153284</v>
      </c>
      <c r="Q46" s="88">
        <v>154553</v>
      </c>
      <c r="R46" s="88">
        <v>171744</v>
      </c>
    </row>
    <row r="47" spans="1:19" s="2" customFormat="1">
      <c r="A47" s="530"/>
      <c r="B47" s="86" t="s">
        <v>70</v>
      </c>
      <c r="C47" s="87"/>
      <c r="D47" s="87"/>
      <c r="E47" s="87"/>
      <c r="F47" s="87"/>
      <c r="G47" s="87"/>
      <c r="H47" s="87"/>
      <c r="I47" s="87"/>
      <c r="J47" s="87"/>
      <c r="K47" s="88">
        <v>85068</v>
      </c>
      <c r="L47" s="88">
        <v>85422</v>
      </c>
      <c r="M47" s="88">
        <v>81309</v>
      </c>
      <c r="N47" s="88">
        <v>80550</v>
      </c>
      <c r="O47" s="88">
        <v>80096</v>
      </c>
      <c r="P47" s="88">
        <v>79012</v>
      </c>
      <c r="Q47" s="88">
        <v>77193</v>
      </c>
      <c r="R47" s="88">
        <v>86126</v>
      </c>
    </row>
    <row r="48" spans="1:19" s="2" customFormat="1">
      <c r="A48" s="530"/>
      <c r="B48" s="86" t="s">
        <v>71</v>
      </c>
      <c r="C48" s="87"/>
      <c r="D48" s="87"/>
      <c r="E48" s="87"/>
      <c r="F48" s="87"/>
      <c r="G48" s="87"/>
      <c r="H48" s="87"/>
      <c r="I48" s="87"/>
      <c r="J48" s="87"/>
      <c r="K48" s="88">
        <v>112311</v>
      </c>
      <c r="L48" s="88">
        <v>91922</v>
      </c>
      <c r="M48" s="88">
        <v>126256</v>
      </c>
      <c r="N48" s="88">
        <v>106963</v>
      </c>
      <c r="O48" s="88">
        <v>122893</v>
      </c>
      <c r="P48" s="88">
        <v>121554</v>
      </c>
      <c r="Q48" s="88">
        <v>123713</v>
      </c>
      <c r="R48" s="88">
        <v>136203</v>
      </c>
    </row>
    <row r="49" spans="1:18" s="90" customFormat="1">
      <c r="A49" s="530"/>
      <c r="B49" s="81" t="s">
        <v>101</v>
      </c>
      <c r="C49" s="81"/>
      <c r="D49" s="81"/>
      <c r="E49" s="81"/>
      <c r="F49" s="81"/>
      <c r="G49" s="81"/>
      <c r="H49" s="81"/>
      <c r="I49" s="81"/>
      <c r="J49" s="81"/>
      <c r="K49" s="28">
        <f t="shared" ref="K49:R49" si="10">K43/K$42</f>
        <v>0.17790344576313152</v>
      </c>
      <c r="L49" s="28">
        <f t="shared" si="10"/>
        <v>0.17523078362955455</v>
      </c>
      <c r="M49" s="28">
        <f t="shared" si="10"/>
        <v>0.17457954127159411</v>
      </c>
      <c r="N49" s="28">
        <f t="shared" si="10"/>
        <v>0.18287971859222832</v>
      </c>
      <c r="O49" s="28">
        <f t="shared" si="10"/>
        <v>0.18582044542401657</v>
      </c>
      <c r="P49" s="28">
        <f t="shared" si="10"/>
        <v>0.18002914977225926</v>
      </c>
      <c r="Q49" s="28">
        <f t="shared" si="10"/>
        <v>0.19641109460620904</v>
      </c>
      <c r="R49" s="28">
        <f t="shared" si="10"/>
        <v>0.18794773119416064</v>
      </c>
    </row>
    <row r="50" spans="1:18" s="90" customFormat="1">
      <c r="A50" s="530"/>
      <c r="B50" s="81" t="s">
        <v>86</v>
      </c>
      <c r="C50" s="81"/>
      <c r="D50" s="81"/>
      <c r="E50" s="81"/>
      <c r="F50" s="81"/>
      <c r="G50" s="81"/>
      <c r="H50" s="81"/>
      <c r="I50" s="81"/>
      <c r="J50" s="81"/>
      <c r="K50" s="28">
        <f t="shared" ref="K50:Q54" si="11">K44/K$42</f>
        <v>0.1721880897368627</v>
      </c>
      <c r="L50" s="28">
        <f t="shared" si="11"/>
        <v>0.17997102599355927</v>
      </c>
      <c r="M50" s="28">
        <f t="shared" si="11"/>
        <v>0.17541474683624639</v>
      </c>
      <c r="N50" s="28">
        <f t="shared" si="11"/>
        <v>0.17870126335129646</v>
      </c>
      <c r="O50" s="28">
        <f t="shared" si="11"/>
        <v>0.17908423244650618</v>
      </c>
      <c r="P50" s="28">
        <f t="shared" si="11"/>
        <v>0.17637305456529978</v>
      </c>
      <c r="Q50" s="28">
        <f t="shared" si="11"/>
        <v>0.18003273932245997</v>
      </c>
      <c r="R50" s="28">
        <f>R44/R$42</f>
        <v>0.18033121945490843</v>
      </c>
    </row>
    <row r="51" spans="1:18" s="90" customFormat="1">
      <c r="A51" s="530"/>
      <c r="B51" s="81" t="s">
        <v>102</v>
      </c>
      <c r="C51" s="81"/>
      <c r="D51" s="81"/>
      <c r="E51" s="81"/>
      <c r="F51" s="81"/>
      <c r="G51" s="81"/>
      <c r="H51" s="81"/>
      <c r="I51" s="81"/>
      <c r="J51" s="81"/>
      <c r="K51" s="28">
        <f t="shared" si="11"/>
        <v>0.18636935696792345</v>
      </c>
      <c r="L51" s="28">
        <f t="shared" si="11"/>
        <v>0.19478626067905686</v>
      </c>
      <c r="M51" s="28">
        <f t="shared" si="11"/>
        <v>0.18449792467918205</v>
      </c>
      <c r="N51" s="28">
        <f t="shared" si="11"/>
        <v>0.1892854619070925</v>
      </c>
      <c r="O51" s="28">
        <f t="shared" si="11"/>
        <v>0.18559706326927231</v>
      </c>
      <c r="P51" s="28">
        <f t="shared" si="11"/>
        <v>0.18271098091979385</v>
      </c>
      <c r="Q51" s="28">
        <f t="shared" si="11"/>
        <v>0.1820733579416455</v>
      </c>
      <c r="R51" s="28">
        <f>R45/R$42</f>
        <v>0.18673044436615266</v>
      </c>
    </row>
    <row r="52" spans="1:18" s="90" customFormat="1">
      <c r="A52" s="530"/>
      <c r="B52" s="81" t="s">
        <v>103</v>
      </c>
      <c r="C52" s="81"/>
      <c r="D52" s="81"/>
      <c r="E52" s="81"/>
      <c r="F52" s="81"/>
      <c r="G52" s="81"/>
      <c r="H52" s="81"/>
      <c r="I52" s="81"/>
      <c r="J52" s="81"/>
      <c r="K52" s="28">
        <f t="shared" si="11"/>
        <v>0.21031997013389714</v>
      </c>
      <c r="L52" s="28">
        <f t="shared" si="11"/>
        <v>0.21623730739469899</v>
      </c>
      <c r="M52" s="28">
        <f t="shared" si="11"/>
        <v>0.20204358808372364</v>
      </c>
      <c r="N52" s="28">
        <f t="shared" si="11"/>
        <v>0.20374843945885537</v>
      </c>
      <c r="O52" s="28">
        <f t="shared" si="11"/>
        <v>0.19758647991918529</v>
      </c>
      <c r="P52" s="28">
        <f t="shared" si="11"/>
        <v>0.19965119262685296</v>
      </c>
      <c r="Q52" s="28">
        <f t="shared" si="11"/>
        <v>0.19195601305598473</v>
      </c>
      <c r="R52" s="28">
        <f>R46/R$42</f>
        <v>0.1939347949808938</v>
      </c>
    </row>
    <row r="53" spans="1:18" s="90" customFormat="1">
      <c r="A53" s="530"/>
      <c r="B53" s="81" t="s">
        <v>104</v>
      </c>
      <c r="C53" s="81"/>
      <c r="D53" s="81"/>
      <c r="E53" s="81"/>
      <c r="F53" s="81"/>
      <c r="G53" s="81"/>
      <c r="H53" s="81"/>
      <c r="I53" s="81"/>
      <c r="J53" s="81"/>
      <c r="K53" s="28">
        <f t="shared" si="11"/>
        <v>0.10913443466725851</v>
      </c>
      <c r="L53" s="28">
        <f t="shared" si="11"/>
        <v>0.11260316552225054</v>
      </c>
      <c r="M53" s="28">
        <f t="shared" si="11"/>
        <v>0.10320627546551921</v>
      </c>
      <c r="N53" s="28">
        <f t="shared" si="11"/>
        <v>0.10541013769403709</v>
      </c>
      <c r="O53" s="28">
        <f t="shared" si="11"/>
        <v>9.9400094813314563E-2</v>
      </c>
      <c r="P53" s="28">
        <f t="shared" si="11"/>
        <v>0.10291250249101606</v>
      </c>
      <c r="Q53" s="28">
        <f t="shared" si="11"/>
        <v>9.5874298886664322E-2</v>
      </c>
      <c r="R53" s="28">
        <f>R47/R$42</f>
        <v>9.7254216464764176E-2</v>
      </c>
    </row>
    <row r="54" spans="1:18" s="90" customFormat="1">
      <c r="A54" s="530"/>
      <c r="B54" s="81" t="s">
        <v>105</v>
      </c>
      <c r="C54" s="81"/>
      <c r="D54" s="81"/>
      <c r="E54" s="81"/>
      <c r="F54" s="81"/>
      <c r="G54" s="81"/>
      <c r="H54" s="81"/>
      <c r="I54" s="81"/>
      <c r="J54" s="81"/>
      <c r="K54" s="28">
        <f t="shared" si="11"/>
        <v>0.14408470273092669</v>
      </c>
      <c r="L54" s="28">
        <f t="shared" si="11"/>
        <v>0.12117145678087979</v>
      </c>
      <c r="M54" s="28">
        <f t="shared" si="11"/>
        <v>0.16025792366373456</v>
      </c>
      <c r="N54" s="28">
        <f t="shared" si="11"/>
        <v>0.13997497899649025</v>
      </c>
      <c r="O54" s="28">
        <f t="shared" si="11"/>
        <v>0.1525116841277051</v>
      </c>
      <c r="P54" s="28">
        <f t="shared" si="11"/>
        <v>0.15832311962477807</v>
      </c>
      <c r="Q54" s="28">
        <f t="shared" si="11"/>
        <v>0.15365249618703641</v>
      </c>
      <c r="R54" s="28">
        <f>R48/R$42</f>
        <v>0.15380159353912029</v>
      </c>
    </row>
    <row r="55" spans="1:18" s="85" customFormat="1">
      <c r="A55" s="529" t="s">
        <v>106</v>
      </c>
      <c r="B55" s="51" t="s">
        <v>107</v>
      </c>
      <c r="C55" s="52"/>
      <c r="D55" s="52"/>
      <c r="E55" s="52"/>
      <c r="F55" s="52"/>
      <c r="G55" s="52"/>
      <c r="H55" s="52"/>
      <c r="I55" s="52"/>
      <c r="J55" s="52"/>
      <c r="K55" s="53">
        <f t="shared" ref="K55:Q55" si="12">SUM(K56:K61)</f>
        <v>220977</v>
      </c>
      <c r="L55" s="53">
        <f t="shared" si="12"/>
        <v>267567</v>
      </c>
      <c r="M55" s="53">
        <f t="shared" si="12"/>
        <v>349443</v>
      </c>
      <c r="N55" s="53">
        <f t="shared" si="12"/>
        <v>350516</v>
      </c>
      <c r="O55" s="53">
        <f t="shared" si="12"/>
        <v>368980</v>
      </c>
      <c r="P55" s="53">
        <f t="shared" si="12"/>
        <v>353501</v>
      </c>
      <c r="Q55" s="53">
        <f t="shared" si="12"/>
        <v>375859</v>
      </c>
      <c r="R55" s="53">
        <f>SUM(R56:R61)</f>
        <v>440578</v>
      </c>
    </row>
    <row r="56" spans="1:18" s="2" customFormat="1">
      <c r="A56" s="530"/>
      <c r="B56" s="86" t="s">
        <v>65</v>
      </c>
      <c r="C56" s="87"/>
      <c r="D56" s="87"/>
      <c r="E56" s="87"/>
      <c r="F56" s="87"/>
      <c r="G56" s="87"/>
      <c r="H56" s="87"/>
      <c r="I56" s="87"/>
      <c r="J56" s="87"/>
      <c r="K56" s="88">
        <v>120167</v>
      </c>
      <c r="L56" s="88">
        <v>128249</v>
      </c>
      <c r="M56" s="88">
        <v>165485</v>
      </c>
      <c r="N56" s="88">
        <v>171785</v>
      </c>
      <c r="O56" s="88">
        <v>179898</v>
      </c>
      <c r="P56" s="88">
        <v>165625</v>
      </c>
      <c r="Q56" s="88">
        <v>175457</v>
      </c>
      <c r="R56" s="88">
        <v>220230</v>
      </c>
    </row>
    <row r="57" spans="1:18" s="2" customFormat="1">
      <c r="A57" s="530"/>
      <c r="B57" s="86" t="s">
        <v>67</v>
      </c>
      <c r="C57" s="87"/>
      <c r="D57" s="87"/>
      <c r="E57" s="87"/>
      <c r="F57" s="87"/>
      <c r="G57" s="87"/>
      <c r="H57" s="87"/>
      <c r="I57" s="87"/>
      <c r="J57" s="87"/>
      <c r="K57" s="88">
        <v>49425</v>
      </c>
      <c r="L57" s="88">
        <v>67238</v>
      </c>
      <c r="M57" s="88">
        <v>83120</v>
      </c>
      <c r="N57" s="88">
        <v>82920</v>
      </c>
      <c r="O57" s="88">
        <v>85235</v>
      </c>
      <c r="P57" s="88">
        <v>83433</v>
      </c>
      <c r="Q57" s="88">
        <v>89442</v>
      </c>
      <c r="R57" s="88">
        <v>107405</v>
      </c>
    </row>
    <row r="58" spans="1:18" s="2" customFormat="1">
      <c r="A58" s="530"/>
      <c r="B58" s="86" t="s">
        <v>68</v>
      </c>
      <c r="C58" s="87"/>
      <c r="D58" s="87"/>
      <c r="E58" s="87"/>
      <c r="F58" s="87"/>
      <c r="G58" s="87"/>
      <c r="H58" s="87"/>
      <c r="I58" s="87"/>
      <c r="J58" s="87"/>
      <c r="K58" s="88">
        <v>27571</v>
      </c>
      <c r="L58" s="88">
        <v>39625</v>
      </c>
      <c r="M58" s="88">
        <v>49669</v>
      </c>
      <c r="N58" s="88">
        <v>47902</v>
      </c>
      <c r="O58" s="88">
        <v>50215</v>
      </c>
      <c r="P58" s="88">
        <v>50290</v>
      </c>
      <c r="Q58" s="88">
        <v>54399</v>
      </c>
      <c r="R58" s="88">
        <v>52746</v>
      </c>
    </row>
    <row r="59" spans="1:18" s="2" customFormat="1">
      <c r="A59" s="530"/>
      <c r="B59" s="86" t="s">
        <v>69</v>
      </c>
      <c r="C59" s="87"/>
      <c r="D59" s="87"/>
      <c r="E59" s="87"/>
      <c r="F59" s="87"/>
      <c r="G59" s="87"/>
      <c r="H59" s="87"/>
      <c r="I59" s="87"/>
      <c r="J59" s="87"/>
      <c r="K59" s="88">
        <v>16475</v>
      </c>
      <c r="L59" s="88">
        <v>23499</v>
      </c>
      <c r="M59" s="88">
        <v>32643</v>
      </c>
      <c r="N59" s="88">
        <v>30842</v>
      </c>
      <c r="O59" s="88">
        <v>33226</v>
      </c>
      <c r="P59" s="88">
        <v>33473</v>
      </c>
      <c r="Q59" s="88">
        <v>35448</v>
      </c>
      <c r="R59" s="88">
        <v>36064</v>
      </c>
    </row>
    <row r="60" spans="1:18" s="2" customFormat="1">
      <c r="A60" s="530"/>
      <c r="B60" s="86" t="s">
        <v>70</v>
      </c>
      <c r="C60" s="87"/>
      <c r="D60" s="87"/>
      <c r="E60" s="87"/>
      <c r="F60" s="87"/>
      <c r="G60" s="87"/>
      <c r="H60" s="87"/>
      <c r="I60" s="87"/>
      <c r="J60" s="87"/>
      <c r="K60" s="88">
        <v>4347</v>
      </c>
      <c r="L60" s="88">
        <v>5887</v>
      </c>
      <c r="M60" s="88">
        <v>9765</v>
      </c>
      <c r="N60" s="88">
        <v>9597</v>
      </c>
      <c r="O60" s="88">
        <v>10774</v>
      </c>
      <c r="P60" s="88">
        <v>11040</v>
      </c>
      <c r="Q60" s="88">
        <v>11227</v>
      </c>
      <c r="R60" s="88">
        <v>13546</v>
      </c>
    </row>
    <row r="61" spans="1:18" s="2" customFormat="1">
      <c r="A61" s="530"/>
      <c r="B61" s="86" t="s">
        <v>71</v>
      </c>
      <c r="C61" s="87"/>
      <c r="D61" s="87"/>
      <c r="E61" s="87"/>
      <c r="F61" s="87"/>
      <c r="G61" s="87"/>
      <c r="H61" s="87"/>
      <c r="I61" s="87"/>
      <c r="J61" s="87"/>
      <c r="K61" s="88">
        <v>2992</v>
      </c>
      <c r="L61" s="88">
        <v>3069</v>
      </c>
      <c r="M61" s="88">
        <v>8761</v>
      </c>
      <c r="N61" s="88">
        <v>7470</v>
      </c>
      <c r="O61" s="88">
        <v>9632</v>
      </c>
      <c r="P61" s="88">
        <v>9640</v>
      </c>
      <c r="Q61" s="88">
        <v>9886</v>
      </c>
      <c r="R61" s="88">
        <v>10587</v>
      </c>
    </row>
    <row r="62" spans="1:18" s="90" customFormat="1">
      <c r="A62" s="530"/>
      <c r="B62" s="81" t="s">
        <v>101</v>
      </c>
      <c r="C62" s="81"/>
      <c r="D62" s="81"/>
      <c r="E62" s="81"/>
      <c r="F62" s="81"/>
      <c r="G62" s="81"/>
      <c r="H62" s="81"/>
      <c r="I62" s="81"/>
      <c r="J62" s="81"/>
      <c r="K62" s="28">
        <f t="shared" ref="K62:R67" si="13">+K56/K$55</f>
        <v>0.54379867588029518</v>
      </c>
      <c r="L62" s="28">
        <f t="shared" si="13"/>
        <v>0.47931546117421059</v>
      </c>
      <c r="M62" s="28">
        <f t="shared" si="13"/>
        <v>0.47356793525696611</v>
      </c>
      <c r="N62" s="28">
        <f t="shared" si="13"/>
        <v>0.49009175044791109</v>
      </c>
      <c r="O62" s="28">
        <f t="shared" si="13"/>
        <v>0.4875548810233617</v>
      </c>
      <c r="P62" s="28">
        <f t="shared" si="13"/>
        <v>0.46852767036019699</v>
      </c>
      <c r="Q62" s="28">
        <f t="shared" si="13"/>
        <v>0.46681601345185297</v>
      </c>
      <c r="R62" s="28">
        <f t="shared" si="13"/>
        <v>0.49986608500651419</v>
      </c>
    </row>
    <row r="63" spans="1:18" s="90" customFormat="1">
      <c r="A63" s="530"/>
      <c r="B63" s="81" t="s">
        <v>108</v>
      </c>
      <c r="C63" s="81"/>
      <c r="D63" s="81"/>
      <c r="E63" s="81"/>
      <c r="F63" s="81"/>
      <c r="G63" s="81"/>
      <c r="H63" s="81"/>
      <c r="I63" s="81"/>
      <c r="J63" s="81"/>
      <c r="K63" s="28">
        <f t="shared" si="13"/>
        <v>0.22366581137403441</v>
      </c>
      <c r="L63" s="28">
        <f t="shared" si="13"/>
        <v>0.25129406840155921</v>
      </c>
      <c r="M63" s="28">
        <f t="shared" si="13"/>
        <v>0.23786425826243479</v>
      </c>
      <c r="N63" s="28">
        <f t="shared" si="13"/>
        <v>0.23656552054685093</v>
      </c>
      <c r="O63" s="28">
        <f t="shared" si="13"/>
        <v>0.23100168030787577</v>
      </c>
      <c r="P63" s="28">
        <f t="shared" si="13"/>
        <v>0.23601913431645172</v>
      </c>
      <c r="Q63" s="28">
        <f t="shared" si="13"/>
        <v>0.23796689716090341</v>
      </c>
      <c r="R63" s="28">
        <f t="shared" si="13"/>
        <v>0.24378203178551811</v>
      </c>
    </row>
    <row r="64" spans="1:18" s="90" customFormat="1">
      <c r="A64" s="530"/>
      <c r="B64" s="81" t="s">
        <v>102</v>
      </c>
      <c r="C64" s="81"/>
      <c r="D64" s="81"/>
      <c r="E64" s="81"/>
      <c r="F64" s="81"/>
      <c r="G64" s="81"/>
      <c r="H64" s="81"/>
      <c r="I64" s="81"/>
      <c r="J64" s="81"/>
      <c r="K64" s="28">
        <f t="shared" si="13"/>
        <v>0.12476864108029342</v>
      </c>
      <c r="L64" s="28">
        <f t="shared" si="13"/>
        <v>0.14809374848168869</v>
      </c>
      <c r="M64" s="28">
        <f t="shared" si="13"/>
        <v>0.14213763045761396</v>
      </c>
      <c r="N64" s="28">
        <f t="shared" si="13"/>
        <v>0.13666137922377294</v>
      </c>
      <c r="O64" s="28">
        <f t="shared" si="13"/>
        <v>0.13609138706704971</v>
      </c>
      <c r="P64" s="28">
        <f t="shared" si="13"/>
        <v>0.14226268101080336</v>
      </c>
      <c r="Q64" s="28">
        <f t="shared" si="13"/>
        <v>0.14473246616417326</v>
      </c>
      <c r="R64" s="28">
        <f t="shared" si="13"/>
        <v>0.119720004176332</v>
      </c>
    </row>
    <row r="65" spans="1:20" s="90" customFormat="1">
      <c r="A65" s="530"/>
      <c r="B65" s="81" t="s">
        <v>103</v>
      </c>
      <c r="C65" s="81"/>
      <c r="D65" s="81"/>
      <c r="E65" s="81"/>
      <c r="F65" s="81"/>
      <c r="G65" s="81"/>
      <c r="H65" s="81"/>
      <c r="I65" s="81"/>
      <c r="J65" s="81"/>
      <c r="K65" s="28">
        <f t="shared" si="13"/>
        <v>7.4555270458011469E-2</v>
      </c>
      <c r="L65" s="28">
        <f t="shared" si="13"/>
        <v>8.7824731749430979E-2</v>
      </c>
      <c r="M65" s="28">
        <f t="shared" si="13"/>
        <v>9.3414376593607545E-2</v>
      </c>
      <c r="N65" s="28">
        <f t="shared" si="13"/>
        <v>8.7990277191340768E-2</v>
      </c>
      <c r="O65" s="28">
        <f t="shared" si="13"/>
        <v>9.004824109707843E-2</v>
      </c>
      <c r="P65" s="28">
        <f t="shared" si="13"/>
        <v>9.4689972588479235E-2</v>
      </c>
      <c r="Q65" s="28">
        <f t="shared" si="13"/>
        <v>9.4311962730704871E-2</v>
      </c>
      <c r="R65" s="28">
        <f t="shared" si="13"/>
        <v>8.1856107204626646E-2</v>
      </c>
    </row>
    <row r="66" spans="1:20" s="90" customFormat="1">
      <c r="A66" s="530"/>
      <c r="B66" s="81" t="s">
        <v>104</v>
      </c>
      <c r="C66" s="81"/>
      <c r="D66" s="81"/>
      <c r="E66" s="81"/>
      <c r="F66" s="81"/>
      <c r="G66" s="81"/>
      <c r="H66" s="81"/>
      <c r="I66" s="81"/>
      <c r="J66" s="81"/>
      <c r="K66" s="28">
        <f t="shared" si="13"/>
        <v>1.9671730542092616E-2</v>
      </c>
      <c r="L66" s="28">
        <f t="shared" si="13"/>
        <v>2.2001965862755872E-2</v>
      </c>
      <c r="M66" s="28">
        <f t="shared" si="13"/>
        <v>2.7944471630566358E-2</v>
      </c>
      <c r="N66" s="28">
        <f t="shared" si="13"/>
        <v>2.7379634595852971E-2</v>
      </c>
      <c r="O66" s="28">
        <f t="shared" si="13"/>
        <v>2.9199414602417473E-2</v>
      </c>
      <c r="P66" s="28">
        <f t="shared" si="13"/>
        <v>3.1230463280160454E-2</v>
      </c>
      <c r="Q66" s="28">
        <f t="shared" si="13"/>
        <v>2.9870243894651982E-2</v>
      </c>
      <c r="R66" s="28">
        <f t="shared" si="13"/>
        <v>3.0745974606085642E-2</v>
      </c>
    </row>
    <row r="67" spans="1:20" s="90" customFormat="1">
      <c r="A67" s="530"/>
      <c r="B67" s="81" t="s">
        <v>105</v>
      </c>
      <c r="C67" s="81"/>
      <c r="D67" s="81"/>
      <c r="E67" s="81"/>
      <c r="F67" s="81"/>
      <c r="G67" s="81"/>
      <c r="H67" s="81"/>
      <c r="I67" s="81"/>
      <c r="J67" s="81"/>
      <c r="K67" s="28">
        <f t="shared" si="13"/>
        <v>1.3539870665272857E-2</v>
      </c>
      <c r="L67" s="28">
        <f t="shared" si="13"/>
        <v>1.147002433035464E-2</v>
      </c>
      <c r="M67" s="28">
        <f t="shared" si="13"/>
        <v>2.5071327798811251E-2</v>
      </c>
      <c r="N67" s="28">
        <f t="shared" si="13"/>
        <v>2.1311437994271303E-2</v>
      </c>
      <c r="O67" s="28">
        <f t="shared" si="13"/>
        <v>2.6104395902216922E-2</v>
      </c>
      <c r="P67" s="28">
        <f t="shared" si="13"/>
        <v>2.7270078443908222E-2</v>
      </c>
      <c r="Q67" s="28">
        <f t="shared" si="13"/>
        <v>2.6302416597713506E-2</v>
      </c>
      <c r="R67" s="28">
        <f t="shared" si="13"/>
        <v>2.4029797220923424E-2</v>
      </c>
    </row>
    <row r="68" spans="1:20" s="85" customFormat="1">
      <c r="A68" s="529" t="s">
        <v>109</v>
      </c>
      <c r="B68" s="51" t="s">
        <v>107</v>
      </c>
      <c r="C68" s="52"/>
      <c r="D68" s="52"/>
      <c r="E68" s="52"/>
      <c r="F68" s="52"/>
      <c r="G68" s="52"/>
      <c r="H68" s="52"/>
      <c r="I68" s="52"/>
      <c r="J68" s="52"/>
      <c r="K68" s="53">
        <f>SUM(K69:K74)</f>
        <v>1441922</v>
      </c>
      <c r="L68" s="53">
        <f t="shared" ref="L68:Q68" si="14">SUM(L69:L74)</f>
        <v>1358635</v>
      </c>
      <c r="M68" s="53">
        <f t="shared" si="14"/>
        <v>1461014</v>
      </c>
      <c r="N68" s="53">
        <f t="shared" si="14"/>
        <v>1408589</v>
      </c>
      <c r="O68" s="53">
        <f t="shared" si="14"/>
        <v>1458645</v>
      </c>
      <c r="P68" s="53">
        <f t="shared" si="14"/>
        <v>1448931</v>
      </c>
      <c r="Q68" s="53">
        <f t="shared" si="14"/>
        <v>1462619</v>
      </c>
      <c r="R68" s="53">
        <f>SUM(R69:R74)</f>
        <v>1528286</v>
      </c>
    </row>
    <row r="69" spans="1:20" s="2" customFormat="1">
      <c r="A69" s="530"/>
      <c r="B69" s="86" t="s">
        <v>65</v>
      </c>
      <c r="C69" s="87"/>
      <c r="D69" s="87"/>
      <c r="E69" s="87"/>
      <c r="F69" s="87"/>
      <c r="G69" s="87"/>
      <c r="H69" s="87"/>
      <c r="I69" s="87"/>
      <c r="J69" s="87"/>
      <c r="K69" s="88">
        <v>492620</v>
      </c>
      <c r="L69" s="88">
        <v>426089</v>
      </c>
      <c r="M69" s="88">
        <v>460782</v>
      </c>
      <c r="N69" s="88">
        <v>453078</v>
      </c>
      <c r="O69" s="88">
        <v>458949</v>
      </c>
      <c r="P69" s="88">
        <v>447978</v>
      </c>
      <c r="Q69" s="88">
        <v>457247</v>
      </c>
      <c r="R69" s="88">
        <v>470321</v>
      </c>
      <c r="S69" s="89"/>
      <c r="T69" s="3"/>
    </row>
    <row r="70" spans="1:20" s="2" customFormat="1">
      <c r="A70" s="530"/>
      <c r="B70" s="86" t="s">
        <v>67</v>
      </c>
      <c r="C70" s="87"/>
      <c r="D70" s="87"/>
      <c r="E70" s="87"/>
      <c r="F70" s="87"/>
      <c r="G70" s="87"/>
      <c r="H70" s="87"/>
      <c r="I70" s="87"/>
      <c r="J70" s="87"/>
      <c r="K70" s="88">
        <v>271320</v>
      </c>
      <c r="L70" s="88">
        <v>268068</v>
      </c>
      <c r="M70" s="88">
        <v>282335</v>
      </c>
      <c r="N70" s="88">
        <v>272357</v>
      </c>
      <c r="O70" s="88">
        <v>281776</v>
      </c>
      <c r="P70" s="88">
        <v>280204</v>
      </c>
      <c r="Q70" s="88">
        <v>284261</v>
      </c>
      <c r="R70" s="94">
        <v>299951</v>
      </c>
      <c r="S70" s="89"/>
      <c r="T70" s="3"/>
    </row>
    <row r="71" spans="1:20" s="2" customFormat="1">
      <c r="A71" s="530"/>
      <c r="B71" s="86" t="s">
        <v>68</v>
      </c>
      <c r="C71" s="87"/>
      <c r="D71" s="87"/>
      <c r="E71" s="87"/>
      <c r="F71" s="87"/>
      <c r="G71" s="87"/>
      <c r="H71" s="87"/>
      <c r="I71" s="87"/>
      <c r="J71" s="87"/>
      <c r="K71" s="88">
        <v>215400</v>
      </c>
      <c r="L71" s="88">
        <v>220184</v>
      </c>
      <c r="M71" s="88">
        <v>224379</v>
      </c>
      <c r="N71" s="88">
        <v>220516</v>
      </c>
      <c r="O71" s="88">
        <v>227869</v>
      </c>
      <c r="P71" s="88">
        <v>226925</v>
      </c>
      <c r="Q71" s="88">
        <v>231145</v>
      </c>
      <c r="R71" s="88">
        <v>244222</v>
      </c>
      <c r="S71" s="89"/>
      <c r="T71" s="3"/>
    </row>
    <row r="72" spans="1:20" s="2" customFormat="1">
      <c r="A72" s="530"/>
      <c r="B72" s="86" t="s">
        <v>69</v>
      </c>
      <c r="C72" s="87"/>
      <c r="D72" s="87"/>
      <c r="E72" s="87"/>
      <c r="F72" s="87"/>
      <c r="G72" s="87"/>
      <c r="H72" s="87"/>
      <c r="I72" s="87"/>
      <c r="J72" s="87"/>
      <c r="K72" s="88">
        <v>213231</v>
      </c>
      <c r="L72" s="88">
        <v>217402</v>
      </c>
      <c r="M72" s="88">
        <v>218779</v>
      </c>
      <c r="N72" s="88">
        <v>213474</v>
      </c>
      <c r="O72" s="88">
        <v>218439</v>
      </c>
      <c r="P72" s="88">
        <v>218136</v>
      </c>
      <c r="Q72" s="88">
        <v>217404</v>
      </c>
      <c r="R72" s="88">
        <v>230291</v>
      </c>
      <c r="S72" s="89"/>
      <c r="T72" s="3"/>
    </row>
    <row r="73" spans="1:20" s="2" customFormat="1">
      <c r="A73" s="530"/>
      <c r="B73" s="86" t="s">
        <v>70</v>
      </c>
      <c r="C73" s="87"/>
      <c r="D73" s="87"/>
      <c r="E73" s="87"/>
      <c r="F73" s="87"/>
      <c r="G73" s="87"/>
      <c r="H73" s="87"/>
      <c r="I73" s="87"/>
      <c r="J73" s="87"/>
      <c r="K73" s="88">
        <v>106261</v>
      </c>
      <c r="L73" s="88">
        <v>107670</v>
      </c>
      <c r="M73" s="88">
        <v>106193</v>
      </c>
      <c r="N73" s="88">
        <v>105283</v>
      </c>
      <c r="O73" s="88">
        <v>105577</v>
      </c>
      <c r="P73" s="88">
        <v>108078</v>
      </c>
      <c r="Q73" s="88">
        <v>104002</v>
      </c>
      <c r="R73" s="88">
        <v>110387</v>
      </c>
      <c r="S73" s="89"/>
      <c r="T73" s="3"/>
    </row>
    <row r="74" spans="1:20" s="2" customFormat="1">
      <c r="A74" s="530"/>
      <c r="B74" s="86" t="s">
        <v>71</v>
      </c>
      <c r="C74" s="87"/>
      <c r="D74" s="87"/>
      <c r="E74" s="87"/>
      <c r="F74" s="87"/>
      <c r="G74" s="87"/>
      <c r="H74" s="87"/>
      <c r="I74" s="87"/>
      <c r="J74" s="87"/>
      <c r="K74" s="88">
        <v>143090</v>
      </c>
      <c r="L74" s="88">
        <v>119222</v>
      </c>
      <c r="M74" s="95">
        <v>168546</v>
      </c>
      <c r="N74" s="88">
        <v>143881</v>
      </c>
      <c r="O74" s="88">
        <v>166035</v>
      </c>
      <c r="P74" s="88">
        <v>167610</v>
      </c>
      <c r="Q74" s="88">
        <v>168560</v>
      </c>
      <c r="R74" s="88">
        <v>173114</v>
      </c>
      <c r="S74" s="89"/>
      <c r="T74" s="3"/>
    </row>
    <row r="75" spans="1:20" s="90" customFormat="1">
      <c r="A75" s="530"/>
      <c r="B75" s="81" t="s">
        <v>101</v>
      </c>
      <c r="C75" s="81"/>
      <c r="D75" s="81"/>
      <c r="E75" s="81"/>
      <c r="F75" s="81"/>
      <c r="G75" s="81"/>
      <c r="H75" s="81"/>
      <c r="I75" s="81"/>
      <c r="J75" s="81"/>
      <c r="K75" s="28">
        <f t="shared" ref="K75:R80" si="15">K69/K$68</f>
        <v>0.34164122608573833</v>
      </c>
      <c r="L75" s="28">
        <f t="shared" si="15"/>
        <v>0.31361550379608943</v>
      </c>
      <c r="M75" s="28">
        <f t="shared" si="15"/>
        <v>0.3153850681786759</v>
      </c>
      <c r="N75" s="28">
        <f t="shared" si="15"/>
        <v>0.32165379681369088</v>
      </c>
      <c r="O75" s="28">
        <f t="shared" si="15"/>
        <v>0.31464064251411411</v>
      </c>
      <c r="P75" s="28">
        <f t="shared" si="15"/>
        <v>0.30917828385202606</v>
      </c>
      <c r="Q75" s="28">
        <f t="shared" si="15"/>
        <v>0.31262208408341474</v>
      </c>
      <c r="R75" s="28">
        <f t="shared" si="15"/>
        <v>0.30774410025348659</v>
      </c>
    </row>
    <row r="76" spans="1:20" s="90" customFormat="1">
      <c r="A76" s="530"/>
      <c r="B76" s="81" t="s">
        <v>108</v>
      </c>
      <c r="C76" s="81"/>
      <c r="D76" s="81"/>
      <c r="E76" s="81"/>
      <c r="F76" s="81"/>
      <c r="G76" s="81"/>
      <c r="H76" s="81"/>
      <c r="I76" s="81"/>
      <c r="J76" s="81"/>
      <c r="K76" s="28">
        <f t="shared" si="15"/>
        <v>0.18816551796837833</v>
      </c>
      <c r="L76" s="28">
        <f t="shared" si="15"/>
        <v>0.19730685577804194</v>
      </c>
      <c r="M76" s="28">
        <f t="shared" si="15"/>
        <v>0.19324592372147015</v>
      </c>
      <c r="N76" s="28">
        <f t="shared" si="15"/>
        <v>0.19335448452316467</v>
      </c>
      <c r="O76" s="28">
        <f t="shared" si="15"/>
        <v>0.19317654398431422</v>
      </c>
      <c r="P76" s="28">
        <f t="shared" si="15"/>
        <v>0.19338671061630955</v>
      </c>
      <c r="Q76" s="28">
        <f t="shared" si="15"/>
        <v>0.19435068189323398</v>
      </c>
      <c r="R76" s="28">
        <f t="shared" si="15"/>
        <v>0.19626627476794264</v>
      </c>
    </row>
    <row r="77" spans="1:20" s="90" customFormat="1">
      <c r="A77" s="530"/>
      <c r="B77" s="81" t="s">
        <v>102</v>
      </c>
      <c r="C77" s="81"/>
      <c r="D77" s="81"/>
      <c r="E77" s="81"/>
      <c r="F77" s="81"/>
      <c r="G77" s="81"/>
      <c r="H77" s="81"/>
      <c r="I77" s="81"/>
      <c r="J77" s="81"/>
      <c r="K77" s="28">
        <f t="shared" si="15"/>
        <v>0.14938394725928308</v>
      </c>
      <c r="L77" s="28">
        <f t="shared" si="15"/>
        <v>0.16206265847707441</v>
      </c>
      <c r="M77" s="28">
        <f t="shared" si="15"/>
        <v>0.15357758378769815</v>
      </c>
      <c r="N77" s="28">
        <f t="shared" si="15"/>
        <v>0.15655098825846289</v>
      </c>
      <c r="O77" s="28">
        <f t="shared" si="15"/>
        <v>0.15621964220218079</v>
      </c>
      <c r="P77" s="28">
        <f t="shared" si="15"/>
        <v>0.15661546340025853</v>
      </c>
      <c r="Q77" s="28">
        <f t="shared" si="15"/>
        <v>0.15803500433127152</v>
      </c>
      <c r="R77" s="28">
        <f t="shared" si="15"/>
        <v>0.15980124139068211</v>
      </c>
    </row>
    <row r="78" spans="1:20" s="90" customFormat="1">
      <c r="A78" s="530"/>
      <c r="B78" s="81" t="s">
        <v>103</v>
      </c>
      <c r="C78" s="81"/>
      <c r="D78" s="81"/>
      <c r="E78" s="81"/>
      <c r="F78" s="81"/>
      <c r="G78" s="81"/>
      <c r="H78" s="81"/>
      <c r="I78" s="81"/>
      <c r="J78" s="81"/>
      <c r="K78" s="28">
        <f t="shared" si="15"/>
        <v>0.14787970500484771</v>
      </c>
      <c r="L78" s="28">
        <f t="shared" si="15"/>
        <v>0.16001501507027274</v>
      </c>
      <c r="M78" s="28">
        <f t="shared" si="15"/>
        <v>0.14974462941491321</v>
      </c>
      <c r="N78" s="28">
        <f t="shared" si="15"/>
        <v>0.15155165914258878</v>
      </c>
      <c r="O78" s="28">
        <f t="shared" si="15"/>
        <v>0.14975473813025103</v>
      </c>
      <c r="P78" s="28">
        <f t="shared" si="15"/>
        <v>0.15054961209332948</v>
      </c>
      <c r="Q78" s="28">
        <f t="shared" si="15"/>
        <v>0.14864021320658352</v>
      </c>
      <c r="R78" s="28">
        <f t="shared" si="15"/>
        <v>0.15068580095610376</v>
      </c>
    </row>
    <row r="79" spans="1:20" s="90" customFormat="1">
      <c r="A79" s="530"/>
      <c r="B79" s="81" t="s">
        <v>104</v>
      </c>
      <c r="C79" s="81"/>
      <c r="D79" s="81"/>
      <c r="E79" s="81"/>
      <c r="F79" s="81"/>
      <c r="G79" s="81"/>
      <c r="H79" s="81"/>
      <c r="I79" s="81"/>
      <c r="J79" s="81"/>
      <c r="K79" s="28">
        <f t="shared" si="15"/>
        <v>7.3694000091544476E-2</v>
      </c>
      <c r="L79" s="28">
        <f t="shared" si="15"/>
        <v>7.9248657660077951E-2</v>
      </c>
      <c r="M79" s="28">
        <f t="shared" si="15"/>
        <v>7.2684450662348202E-2</v>
      </c>
      <c r="N79" s="28">
        <f t="shared" si="15"/>
        <v>7.4743590926806894E-2</v>
      </c>
      <c r="O79" s="28">
        <f t="shared" si="15"/>
        <v>7.238018846258E-2</v>
      </c>
      <c r="P79" s="28">
        <f t="shared" si="15"/>
        <v>7.4591543696697779E-2</v>
      </c>
      <c r="Q79" s="28">
        <f t="shared" si="15"/>
        <v>7.1106692857128201E-2</v>
      </c>
      <c r="R79" s="28">
        <f t="shared" si="15"/>
        <v>7.2229281692039321E-2</v>
      </c>
    </row>
    <row r="80" spans="1:20" s="90" customFormat="1">
      <c r="A80" s="531"/>
      <c r="B80" s="81" t="s">
        <v>105</v>
      </c>
      <c r="C80" s="81"/>
      <c r="D80" s="81"/>
      <c r="E80" s="81"/>
      <c r="F80" s="81"/>
      <c r="G80" s="81"/>
      <c r="H80" s="81"/>
      <c r="I80" s="81"/>
      <c r="J80" s="81"/>
      <c r="K80" s="28">
        <f t="shared" si="15"/>
        <v>9.9235603590208069E-2</v>
      </c>
      <c r="L80" s="28">
        <f t="shared" si="15"/>
        <v>8.7751309218443513E-2</v>
      </c>
      <c r="M80" s="28">
        <f t="shared" si="15"/>
        <v>0.1153623442348944</v>
      </c>
      <c r="N80" s="28">
        <f t="shared" si="15"/>
        <v>0.10214548033528588</v>
      </c>
      <c r="O80" s="28">
        <f t="shared" si="15"/>
        <v>0.11382824470655986</v>
      </c>
      <c r="P80" s="28">
        <f t="shared" si="15"/>
        <v>0.11567838634137857</v>
      </c>
      <c r="Q80" s="28">
        <f t="shared" si="15"/>
        <v>0.11524532362836802</v>
      </c>
      <c r="R80" s="28">
        <f t="shared" si="15"/>
        <v>0.11327330093974557</v>
      </c>
    </row>
    <row r="81" spans="1:18" s="85" customFormat="1">
      <c r="A81" s="529" t="s">
        <v>110</v>
      </c>
      <c r="B81" s="19" t="s">
        <v>107</v>
      </c>
      <c r="C81" s="52"/>
      <c r="D81" s="52"/>
      <c r="E81" s="52"/>
      <c r="F81" s="52"/>
      <c r="G81" s="52"/>
      <c r="H81" s="52"/>
      <c r="I81" s="52"/>
      <c r="J81" s="52"/>
      <c r="K81" s="53">
        <f t="shared" ref="K81:Q81" si="16">SUM(K82:K87)</f>
        <v>727318</v>
      </c>
      <c r="L81" s="53">
        <f t="shared" si="16"/>
        <v>662285</v>
      </c>
      <c r="M81" s="53">
        <f t="shared" si="16"/>
        <v>740143</v>
      </c>
      <c r="N81" s="53">
        <f t="shared" si="16"/>
        <v>630690</v>
      </c>
      <c r="O81" s="53">
        <f t="shared" si="16"/>
        <v>652775</v>
      </c>
      <c r="P81" s="53">
        <f t="shared" si="16"/>
        <v>617800</v>
      </c>
      <c r="Q81" s="53">
        <f t="shared" si="16"/>
        <v>601325</v>
      </c>
      <c r="R81" s="53">
        <f>SUM(R82:R87)</f>
        <v>609080</v>
      </c>
    </row>
    <row r="82" spans="1:18" s="2" customFormat="1">
      <c r="A82" s="530"/>
      <c r="B82" s="86" t="s">
        <v>65</v>
      </c>
      <c r="C82" s="87"/>
      <c r="D82" s="87"/>
      <c r="E82" s="87"/>
      <c r="F82" s="87"/>
      <c r="G82" s="87"/>
      <c r="H82" s="87"/>
      <c r="I82" s="87"/>
      <c r="J82" s="87"/>
      <c r="K82" s="88">
        <v>336749</v>
      </c>
      <c r="L82" s="88">
        <v>317308</v>
      </c>
      <c r="M82" s="88">
        <v>335227</v>
      </c>
      <c r="N82" s="88">
        <v>306312</v>
      </c>
      <c r="O82" s="88">
        <v>317660</v>
      </c>
      <c r="P82" s="88">
        <v>300751</v>
      </c>
      <c r="Q82" s="88">
        <v>305714</v>
      </c>
      <c r="R82" s="88">
        <v>312932</v>
      </c>
    </row>
    <row r="83" spans="1:18" s="2" customFormat="1">
      <c r="A83" s="530"/>
      <c r="B83" s="86" t="s">
        <v>67</v>
      </c>
      <c r="C83" s="87"/>
      <c r="D83" s="87"/>
      <c r="E83" s="87"/>
      <c r="F83" s="87"/>
      <c r="G83" s="87"/>
      <c r="H83" s="87"/>
      <c r="I83" s="87"/>
      <c r="J83" s="87"/>
      <c r="K83" s="88">
        <v>193170</v>
      </c>
      <c r="L83" s="88">
        <v>177451</v>
      </c>
      <c r="M83" s="96">
        <v>196877</v>
      </c>
      <c r="N83" s="88">
        <v>171797</v>
      </c>
      <c r="O83" s="88">
        <v>177058</v>
      </c>
      <c r="P83" s="88">
        <v>166117</v>
      </c>
      <c r="Q83" s="88">
        <v>160788</v>
      </c>
      <c r="R83" s="88">
        <v>168727</v>
      </c>
    </row>
    <row r="84" spans="1:18" s="2" customFormat="1">
      <c r="A84" s="530"/>
      <c r="B84" s="86" t="s">
        <v>68</v>
      </c>
      <c r="C84" s="87"/>
      <c r="D84" s="87"/>
      <c r="E84" s="87"/>
      <c r="F84" s="87"/>
      <c r="G84" s="87"/>
      <c r="H84" s="87"/>
      <c r="I84" s="87"/>
      <c r="J84" s="87"/>
      <c r="K84" s="88">
        <v>114850</v>
      </c>
      <c r="L84" s="88">
        <v>100772</v>
      </c>
      <c r="M84" s="88">
        <v>120680</v>
      </c>
      <c r="N84" s="88">
        <v>93860</v>
      </c>
      <c r="O84" s="88">
        <v>97026</v>
      </c>
      <c r="P84" s="88">
        <v>91911</v>
      </c>
      <c r="Q84" s="88">
        <v>83447</v>
      </c>
      <c r="R84" s="88">
        <v>80276</v>
      </c>
    </row>
    <row r="85" spans="1:18" s="2" customFormat="1">
      <c r="A85" s="530"/>
      <c r="B85" s="86" t="s">
        <v>69</v>
      </c>
      <c r="C85" s="87"/>
      <c r="D85" s="87"/>
      <c r="E85" s="87"/>
      <c r="F85" s="87"/>
      <c r="G85" s="87"/>
      <c r="H85" s="87"/>
      <c r="I85" s="87"/>
      <c r="J85" s="87"/>
      <c r="K85" s="88">
        <v>59221</v>
      </c>
      <c r="L85" s="88">
        <v>48558</v>
      </c>
      <c r="M85" s="88">
        <v>62296</v>
      </c>
      <c r="N85" s="88">
        <v>42287</v>
      </c>
      <c r="O85" s="88">
        <v>43341</v>
      </c>
      <c r="P85" s="88">
        <v>42387</v>
      </c>
      <c r="Q85" s="88">
        <v>36062</v>
      </c>
      <c r="R85" s="88">
        <v>33060</v>
      </c>
    </row>
    <row r="86" spans="1:18" s="2" customFormat="1">
      <c r="A86" s="530"/>
      <c r="B86" s="86" t="s">
        <v>70</v>
      </c>
      <c r="C86" s="87"/>
      <c r="D86" s="87"/>
      <c r="E86" s="87"/>
      <c r="F86" s="87"/>
      <c r="G86" s="87"/>
      <c r="H86" s="87"/>
      <c r="I86" s="87"/>
      <c r="J86" s="87"/>
      <c r="K86" s="88">
        <v>13063</v>
      </c>
      <c r="L86" s="88">
        <v>10681</v>
      </c>
      <c r="M86" s="88">
        <v>13944</v>
      </c>
      <c r="N86" s="88">
        <v>8934</v>
      </c>
      <c r="O86" s="88">
        <v>9278</v>
      </c>
      <c r="P86" s="88">
        <v>9248</v>
      </c>
      <c r="Q86" s="88">
        <v>8014</v>
      </c>
      <c r="R86" s="88">
        <v>7290</v>
      </c>
    </row>
    <row r="87" spans="1:18" s="2" customFormat="1">
      <c r="A87" s="530"/>
      <c r="B87" s="86" t="s">
        <v>71</v>
      </c>
      <c r="C87" s="87"/>
      <c r="D87" s="87"/>
      <c r="E87" s="87"/>
      <c r="F87" s="87"/>
      <c r="G87" s="87"/>
      <c r="H87" s="87"/>
      <c r="I87" s="87"/>
      <c r="J87" s="87"/>
      <c r="K87" s="88">
        <v>10265</v>
      </c>
      <c r="L87" s="88">
        <v>7515</v>
      </c>
      <c r="M87" s="88">
        <v>11119</v>
      </c>
      <c r="N87" s="88">
        <v>7500</v>
      </c>
      <c r="O87" s="88">
        <v>8412</v>
      </c>
      <c r="P87" s="88">
        <v>7386</v>
      </c>
      <c r="Q87" s="88">
        <v>7300</v>
      </c>
      <c r="R87" s="88">
        <v>6795</v>
      </c>
    </row>
    <row r="88" spans="1:18" s="90" customFormat="1">
      <c r="A88" s="530"/>
      <c r="B88" s="81" t="s">
        <v>101</v>
      </c>
      <c r="C88" s="81"/>
      <c r="D88" s="81"/>
      <c r="E88" s="81"/>
      <c r="F88" s="81"/>
      <c r="G88" s="81"/>
      <c r="H88" s="81"/>
      <c r="I88" s="81"/>
      <c r="J88" s="81"/>
      <c r="K88" s="28">
        <f t="shared" ref="K88:R88" si="17">K82/K$81</f>
        <v>0.46300105318443929</v>
      </c>
      <c r="L88" s="28">
        <f t="shared" si="17"/>
        <v>0.47911095676332699</v>
      </c>
      <c r="M88" s="28">
        <f t="shared" si="17"/>
        <v>0.45292193535573533</v>
      </c>
      <c r="N88" s="28">
        <f t="shared" si="17"/>
        <v>0.48567759120962756</v>
      </c>
      <c r="O88" s="28">
        <f t="shared" si="17"/>
        <v>0.48663015587300373</v>
      </c>
      <c r="P88" s="28">
        <f t="shared" si="17"/>
        <v>0.48680964713499514</v>
      </c>
      <c r="Q88" s="28">
        <f t="shared" si="17"/>
        <v>0.50840061530786185</v>
      </c>
      <c r="R88" s="28">
        <f t="shared" si="17"/>
        <v>0.51377815722072639</v>
      </c>
    </row>
    <row r="89" spans="1:18" s="90" customFormat="1">
      <c r="A89" s="530"/>
      <c r="B89" s="81" t="s">
        <v>108</v>
      </c>
      <c r="C89" s="81"/>
      <c r="D89" s="81"/>
      <c r="E89" s="81"/>
      <c r="F89" s="81"/>
      <c r="G89" s="81"/>
      <c r="H89" s="81"/>
      <c r="I89" s="81"/>
      <c r="J89" s="81"/>
      <c r="K89" s="28">
        <f t="shared" ref="K89:Q93" si="18">K83/K$81</f>
        <v>0.26559221688449897</v>
      </c>
      <c r="L89" s="28">
        <f t="shared" si="18"/>
        <v>0.26793751934590093</v>
      </c>
      <c r="M89" s="28">
        <f t="shared" si="18"/>
        <v>0.26599859756830774</v>
      </c>
      <c r="N89" s="28">
        <f t="shared" si="18"/>
        <v>0.27239531306981241</v>
      </c>
      <c r="O89" s="28">
        <f t="shared" si="18"/>
        <v>0.27123894144230398</v>
      </c>
      <c r="P89" s="28">
        <f t="shared" si="18"/>
        <v>0.2688847523470379</v>
      </c>
      <c r="Q89" s="28">
        <f t="shared" si="18"/>
        <v>0.26738951482143597</v>
      </c>
      <c r="R89" s="28">
        <f>R83/R$81</f>
        <v>0.27701943915413413</v>
      </c>
    </row>
    <row r="90" spans="1:18" s="90" customFormat="1">
      <c r="A90" s="530"/>
      <c r="B90" s="81" t="s">
        <v>102</v>
      </c>
      <c r="C90" s="81"/>
      <c r="D90" s="81"/>
      <c r="E90" s="81"/>
      <c r="F90" s="81"/>
      <c r="G90" s="81"/>
      <c r="H90" s="81"/>
      <c r="I90" s="81"/>
      <c r="J90" s="81"/>
      <c r="K90" s="28">
        <f t="shared" si="18"/>
        <v>0.15790892016971944</v>
      </c>
      <c r="L90" s="28">
        <f t="shared" si="18"/>
        <v>0.15215805884173733</v>
      </c>
      <c r="M90" s="28">
        <f t="shared" si="18"/>
        <v>0.16304957285281357</v>
      </c>
      <c r="N90" s="28">
        <f t="shared" si="18"/>
        <v>0.14882113241053449</v>
      </c>
      <c r="O90" s="28">
        <f t="shared" si="18"/>
        <v>0.14863620696258281</v>
      </c>
      <c r="P90" s="28">
        <f t="shared" si="18"/>
        <v>0.14877144707024928</v>
      </c>
      <c r="Q90" s="28">
        <f t="shared" si="18"/>
        <v>0.13877187876772129</v>
      </c>
      <c r="R90" s="28">
        <f>R84/R$81</f>
        <v>0.13179877848558483</v>
      </c>
    </row>
    <row r="91" spans="1:18" s="90" customFormat="1">
      <c r="A91" s="530"/>
      <c r="B91" s="81" t="s">
        <v>103</v>
      </c>
      <c r="C91" s="81"/>
      <c r="D91" s="81"/>
      <c r="E91" s="81"/>
      <c r="F91" s="81"/>
      <c r="G91" s="81"/>
      <c r="H91" s="81"/>
      <c r="I91" s="81"/>
      <c r="J91" s="81"/>
      <c r="K91" s="28">
        <f t="shared" si="18"/>
        <v>8.1423806368053589E-2</v>
      </c>
      <c r="L91" s="28">
        <f t="shared" si="18"/>
        <v>7.331888839396937E-2</v>
      </c>
      <c r="M91" s="28">
        <f t="shared" si="18"/>
        <v>8.4167518979440456E-2</v>
      </c>
      <c r="N91" s="28">
        <f t="shared" si="18"/>
        <v>6.7048787835545201E-2</v>
      </c>
      <c r="O91" s="28">
        <f t="shared" si="18"/>
        <v>6.6395005936195475E-2</v>
      </c>
      <c r="P91" s="28">
        <f t="shared" si="18"/>
        <v>6.8609582389122695E-2</v>
      </c>
      <c r="Q91" s="28">
        <f t="shared" si="18"/>
        <v>5.9970897601130835E-2</v>
      </c>
      <c r="R91" s="28">
        <f>R85/R$81</f>
        <v>5.4278584094043472E-2</v>
      </c>
    </row>
    <row r="92" spans="1:18" s="90" customFormat="1">
      <c r="A92" s="530"/>
      <c r="B92" s="81" t="s">
        <v>104</v>
      </c>
      <c r="C92" s="81"/>
      <c r="D92" s="81"/>
      <c r="E92" s="81"/>
      <c r="F92" s="81"/>
      <c r="G92" s="81"/>
      <c r="H92" s="81"/>
      <c r="I92" s="81"/>
      <c r="J92" s="81"/>
      <c r="K92" s="28">
        <f t="shared" si="18"/>
        <v>1.7960506958441837E-2</v>
      </c>
      <c r="L92" s="28">
        <f t="shared" si="18"/>
        <v>1.6127497980476684E-2</v>
      </c>
      <c r="M92" s="28">
        <f t="shared" si="18"/>
        <v>1.8839602617332057E-2</v>
      </c>
      <c r="N92" s="28">
        <f t="shared" si="18"/>
        <v>1.4165437853779194E-2</v>
      </c>
      <c r="O92" s="28">
        <f t="shared" si="18"/>
        <v>1.4213166864539849E-2</v>
      </c>
      <c r="P92" s="28">
        <f t="shared" si="18"/>
        <v>1.496924571058595E-2</v>
      </c>
      <c r="Q92" s="28">
        <f t="shared" si="18"/>
        <v>1.3327235687855985E-2</v>
      </c>
      <c r="R92" s="28">
        <f>R86/R$81</f>
        <v>1.1968871084258226E-2</v>
      </c>
    </row>
    <row r="93" spans="1:18" s="90" customFormat="1">
      <c r="A93" s="530"/>
      <c r="B93" s="81" t="s">
        <v>105</v>
      </c>
      <c r="C93" s="81"/>
      <c r="D93" s="81"/>
      <c r="E93" s="81"/>
      <c r="F93" s="81"/>
      <c r="G93" s="81"/>
      <c r="H93" s="81"/>
      <c r="I93" s="81"/>
      <c r="J93" s="81"/>
      <c r="K93" s="28">
        <f t="shared" si="18"/>
        <v>1.4113496434846931E-2</v>
      </c>
      <c r="L93" s="28">
        <f t="shared" si="18"/>
        <v>1.1347078674588734E-2</v>
      </c>
      <c r="M93" s="28">
        <f t="shared" si="18"/>
        <v>1.5022772626370849E-2</v>
      </c>
      <c r="N93" s="28">
        <f t="shared" si="18"/>
        <v>1.1891737620701138E-2</v>
      </c>
      <c r="O93" s="28">
        <f t="shared" si="18"/>
        <v>1.2886522921374134E-2</v>
      </c>
      <c r="P93" s="28">
        <f t="shared" si="18"/>
        <v>1.1955325348009064E-2</v>
      </c>
      <c r="Q93" s="28">
        <f t="shared" si="18"/>
        <v>1.2139857813994097E-2</v>
      </c>
      <c r="R93" s="28">
        <f>R87/R$81</f>
        <v>1.1156169961253038E-2</v>
      </c>
    </row>
    <row r="94" spans="1:18" s="98" customFormat="1">
      <c r="A94" s="476" t="s">
        <v>111</v>
      </c>
      <c r="B94" s="12" t="s">
        <v>107</v>
      </c>
      <c r="C94" s="97"/>
      <c r="D94" s="97"/>
      <c r="E94" s="97"/>
      <c r="F94" s="97"/>
      <c r="G94" s="97"/>
      <c r="H94" s="97"/>
      <c r="I94" s="97"/>
      <c r="J94" s="97"/>
      <c r="K94" s="78">
        <f t="shared" ref="K94:Q94" si="19">SUM(K95:K100)</f>
        <v>2996835</v>
      </c>
      <c r="L94" s="78">
        <f t="shared" si="19"/>
        <v>2253028</v>
      </c>
      <c r="M94" s="78">
        <f t="shared" si="19"/>
        <v>2734385</v>
      </c>
      <c r="N94" s="78">
        <f t="shared" si="19"/>
        <v>2318652</v>
      </c>
      <c r="O94" s="78">
        <f t="shared" si="19"/>
        <v>2825013</v>
      </c>
      <c r="P94" s="78">
        <f t="shared" si="19"/>
        <v>2390706</v>
      </c>
      <c r="Q94" s="78">
        <f t="shared" si="19"/>
        <v>2883842</v>
      </c>
      <c r="R94" s="78">
        <f>SUM(R95:R100)</f>
        <v>3088212</v>
      </c>
    </row>
    <row r="95" spans="1:18" s="99" customFormat="1">
      <c r="A95" s="477"/>
      <c r="B95" s="12" t="s">
        <v>65</v>
      </c>
      <c r="C95" s="49"/>
      <c r="D95" s="49"/>
      <c r="E95" s="49"/>
      <c r="F95" s="49"/>
      <c r="G95" s="49"/>
      <c r="H95" s="49"/>
      <c r="I95" s="49"/>
      <c r="J95" s="49"/>
      <c r="K95" s="13">
        <v>2102661</v>
      </c>
      <c r="L95" s="13">
        <v>1494857</v>
      </c>
      <c r="M95" s="13">
        <v>1866930</v>
      </c>
      <c r="N95" s="13">
        <v>1531288</v>
      </c>
      <c r="O95" s="13">
        <v>1971278</v>
      </c>
      <c r="P95" s="13">
        <v>1561922</v>
      </c>
      <c r="Q95" s="13">
        <v>1972552</v>
      </c>
      <c r="R95" s="13">
        <v>2213423</v>
      </c>
    </row>
    <row r="96" spans="1:18" s="99" customFormat="1">
      <c r="A96" s="477"/>
      <c r="B96" s="12" t="s">
        <v>67</v>
      </c>
      <c r="C96" s="49"/>
      <c r="D96" s="49"/>
      <c r="E96" s="49"/>
      <c r="F96" s="49"/>
      <c r="G96" s="49"/>
      <c r="H96" s="49"/>
      <c r="I96" s="49"/>
      <c r="J96" s="49"/>
      <c r="K96" s="13">
        <v>482448</v>
      </c>
      <c r="L96" s="13">
        <v>389306</v>
      </c>
      <c r="M96" s="13">
        <v>435952</v>
      </c>
      <c r="N96" s="13">
        <v>395943</v>
      </c>
      <c r="O96" s="13">
        <v>418464</v>
      </c>
      <c r="P96" s="13">
        <v>404076</v>
      </c>
      <c r="Q96" s="13">
        <v>451114</v>
      </c>
      <c r="R96" s="13">
        <v>516091</v>
      </c>
    </row>
    <row r="97" spans="1:18" s="99" customFormat="1">
      <c r="A97" s="477"/>
      <c r="B97" s="12" t="s">
        <v>68</v>
      </c>
      <c r="C97" s="49"/>
      <c r="D97" s="49"/>
      <c r="E97" s="49"/>
      <c r="F97" s="49"/>
      <c r="G97" s="49"/>
      <c r="H97" s="49"/>
      <c r="I97" s="49"/>
      <c r="J97" s="49"/>
      <c r="K97" s="13">
        <v>226379</v>
      </c>
      <c r="L97" s="13">
        <v>199720</v>
      </c>
      <c r="M97" s="13">
        <v>219386</v>
      </c>
      <c r="N97" s="13">
        <v>204348</v>
      </c>
      <c r="O97" s="13">
        <v>222165</v>
      </c>
      <c r="P97" s="13">
        <v>216985</v>
      </c>
      <c r="Q97" s="13">
        <v>238747</v>
      </c>
      <c r="R97" s="13">
        <v>189165</v>
      </c>
    </row>
    <row r="98" spans="1:18" s="99" customFormat="1">
      <c r="A98" s="477"/>
      <c r="B98" s="12" t="s">
        <v>69</v>
      </c>
      <c r="C98" s="49"/>
      <c r="D98" s="49"/>
      <c r="E98" s="49"/>
      <c r="F98" s="49"/>
      <c r="G98" s="49"/>
      <c r="H98" s="49"/>
      <c r="I98" s="49"/>
      <c r="J98" s="49"/>
      <c r="K98" s="13">
        <v>128193</v>
      </c>
      <c r="L98" s="13">
        <v>119889</v>
      </c>
      <c r="M98" s="13">
        <v>137896</v>
      </c>
      <c r="N98" s="13">
        <v>125243</v>
      </c>
      <c r="O98" s="13">
        <v>139957</v>
      </c>
      <c r="P98" s="13">
        <v>137636</v>
      </c>
      <c r="Q98" s="13">
        <v>147625</v>
      </c>
      <c r="R98" s="13">
        <v>109828</v>
      </c>
    </row>
    <row r="99" spans="1:18" s="99" customFormat="1">
      <c r="A99" s="477"/>
      <c r="B99" s="12" t="s">
        <v>70</v>
      </c>
      <c r="C99" s="49"/>
      <c r="D99" s="49"/>
      <c r="E99" s="49"/>
      <c r="F99" s="49"/>
      <c r="G99" s="49"/>
      <c r="H99" s="49"/>
      <c r="I99" s="49"/>
      <c r="J99" s="49"/>
      <c r="K99" s="13">
        <v>34551</v>
      </c>
      <c r="L99" s="13">
        <v>32168</v>
      </c>
      <c r="M99" s="13">
        <v>41371</v>
      </c>
      <c r="N99" s="13">
        <v>36172</v>
      </c>
      <c r="O99" s="13">
        <v>41661</v>
      </c>
      <c r="P99" s="13">
        <v>40300</v>
      </c>
      <c r="Q99" s="13">
        <v>42055</v>
      </c>
      <c r="R99" s="13">
        <v>32861</v>
      </c>
    </row>
    <row r="100" spans="1:18" s="99" customFormat="1">
      <c r="A100" s="477"/>
      <c r="B100" s="12" t="s">
        <v>71</v>
      </c>
      <c r="C100" s="49"/>
      <c r="D100" s="49"/>
      <c r="E100" s="49"/>
      <c r="F100" s="49"/>
      <c r="G100" s="49"/>
      <c r="H100" s="49"/>
      <c r="I100" s="49"/>
      <c r="J100" s="49"/>
      <c r="K100" s="13">
        <v>22603</v>
      </c>
      <c r="L100" s="13">
        <v>17088</v>
      </c>
      <c r="M100" s="100">
        <v>32850</v>
      </c>
      <c r="N100" s="13">
        <v>25658</v>
      </c>
      <c r="O100" s="13">
        <v>31488</v>
      </c>
      <c r="P100" s="13">
        <v>29787</v>
      </c>
      <c r="Q100" s="13">
        <v>31749</v>
      </c>
      <c r="R100" s="13">
        <v>26844</v>
      </c>
    </row>
    <row r="101" spans="1:18" s="90" customFormat="1">
      <c r="A101" s="477"/>
      <c r="B101" s="81" t="s">
        <v>112</v>
      </c>
      <c r="C101" s="80"/>
      <c r="D101" s="80"/>
      <c r="E101" s="80"/>
      <c r="F101" s="80"/>
      <c r="G101" s="80"/>
      <c r="H101" s="80"/>
      <c r="I101" s="80"/>
      <c r="J101" s="80"/>
      <c r="K101" s="28">
        <f t="shared" ref="K101:R106" si="20">K95/K$94</f>
        <v>0.70162721671363293</v>
      </c>
      <c r="L101" s="28">
        <f t="shared" si="20"/>
        <v>0.66348798150755339</v>
      </c>
      <c r="M101" s="28">
        <f t="shared" si="20"/>
        <v>0.6827604744759791</v>
      </c>
      <c r="N101" s="28">
        <f t="shared" si="20"/>
        <v>0.66042165879140124</v>
      </c>
      <c r="O101" s="28">
        <f t="shared" si="20"/>
        <v>0.69779431103502887</v>
      </c>
      <c r="P101" s="28">
        <f t="shared" si="20"/>
        <v>0.65333085707736538</v>
      </c>
      <c r="Q101" s="28">
        <f t="shared" si="20"/>
        <v>0.68400141200523468</v>
      </c>
      <c r="R101" s="28">
        <f t="shared" si="20"/>
        <v>0.71673285383257368</v>
      </c>
    </row>
    <row r="102" spans="1:18" s="90" customFormat="1">
      <c r="A102" s="477"/>
      <c r="B102" s="81" t="s">
        <v>108</v>
      </c>
      <c r="C102" s="80"/>
      <c r="D102" s="80"/>
      <c r="E102" s="80"/>
      <c r="F102" s="80"/>
      <c r="G102" s="80"/>
      <c r="H102" s="80"/>
      <c r="I102" s="80"/>
      <c r="J102" s="80"/>
      <c r="K102" s="28">
        <f t="shared" si="20"/>
        <v>0.16098584006126462</v>
      </c>
      <c r="L102" s="28">
        <f t="shared" si="20"/>
        <v>0.17279234878572303</v>
      </c>
      <c r="M102" s="28">
        <f t="shared" si="20"/>
        <v>0.15943329121539213</v>
      </c>
      <c r="N102" s="28">
        <f t="shared" si="20"/>
        <v>0.17076430615719823</v>
      </c>
      <c r="O102" s="28">
        <f t="shared" si="20"/>
        <v>0.14812816790577601</v>
      </c>
      <c r="P102" s="28">
        <f t="shared" si="20"/>
        <v>0.16901952812265497</v>
      </c>
      <c r="Q102" s="28">
        <f t="shared" si="20"/>
        <v>0.1564281260901256</v>
      </c>
      <c r="R102" s="28">
        <f t="shared" si="20"/>
        <v>0.16711644148782531</v>
      </c>
    </row>
    <row r="103" spans="1:18" s="90" customFormat="1">
      <c r="A103" s="477"/>
      <c r="B103" s="81" t="s">
        <v>102</v>
      </c>
      <c r="C103" s="80"/>
      <c r="D103" s="80"/>
      <c r="E103" s="80"/>
      <c r="F103" s="80"/>
      <c r="G103" s="80"/>
      <c r="H103" s="80"/>
      <c r="I103" s="80"/>
      <c r="J103" s="80"/>
      <c r="K103" s="28">
        <f t="shared" si="20"/>
        <v>7.5539360692196938E-2</v>
      </c>
      <c r="L103" s="28">
        <f t="shared" si="20"/>
        <v>8.8645147774461752E-2</v>
      </c>
      <c r="M103" s="28">
        <f t="shared" si="20"/>
        <v>8.0232300864728268E-2</v>
      </c>
      <c r="N103" s="28">
        <f t="shared" si="20"/>
        <v>8.8132242354609494E-2</v>
      </c>
      <c r="O103" s="28">
        <f t="shared" si="20"/>
        <v>7.8642115983183089E-2</v>
      </c>
      <c r="P103" s="28">
        <f t="shared" si="20"/>
        <v>9.0761892093799909E-2</v>
      </c>
      <c r="Q103" s="28">
        <f t="shared" si="20"/>
        <v>8.2787822633833621E-2</v>
      </c>
      <c r="R103" s="28">
        <f t="shared" si="20"/>
        <v>6.1253890600774817E-2</v>
      </c>
    </row>
    <row r="104" spans="1:18" s="90" customFormat="1">
      <c r="A104" s="477"/>
      <c r="B104" s="81" t="s">
        <v>103</v>
      </c>
      <c r="C104" s="80"/>
      <c r="D104" s="80"/>
      <c r="E104" s="80"/>
      <c r="F104" s="80"/>
      <c r="G104" s="80"/>
      <c r="H104" s="80"/>
      <c r="I104" s="80"/>
      <c r="J104" s="80"/>
      <c r="K104" s="28">
        <f t="shared" si="20"/>
        <v>4.2776128815900774E-2</v>
      </c>
      <c r="L104" s="28">
        <f t="shared" si="20"/>
        <v>5.3212387950793333E-2</v>
      </c>
      <c r="M104" s="28">
        <f t="shared" si="20"/>
        <v>5.0430352711852942E-2</v>
      </c>
      <c r="N104" s="28">
        <f t="shared" si="20"/>
        <v>5.4015436555377869E-2</v>
      </c>
      <c r="O104" s="28">
        <f t="shared" si="20"/>
        <v>4.9542072903735308E-2</v>
      </c>
      <c r="P104" s="28">
        <f t="shared" si="20"/>
        <v>5.7571278107805809E-2</v>
      </c>
      <c r="Q104" s="28">
        <f t="shared" si="20"/>
        <v>5.1190391151803738E-2</v>
      </c>
      <c r="R104" s="28">
        <f t="shared" si="20"/>
        <v>3.5563620632262295E-2</v>
      </c>
    </row>
    <row r="105" spans="1:18" s="90" customFormat="1">
      <c r="A105" s="477"/>
      <c r="B105" s="81" t="s">
        <v>104</v>
      </c>
      <c r="C105" s="80"/>
      <c r="D105" s="80"/>
      <c r="E105" s="80"/>
      <c r="F105" s="80"/>
      <c r="G105" s="80"/>
      <c r="H105" s="80"/>
      <c r="I105" s="80"/>
      <c r="J105" s="80"/>
      <c r="K105" s="28">
        <f t="shared" si="20"/>
        <v>1.1529163267246945E-2</v>
      </c>
      <c r="L105" s="28">
        <f t="shared" si="20"/>
        <v>1.4277674312081341E-2</v>
      </c>
      <c r="M105" s="28">
        <f t="shared" si="20"/>
        <v>1.5129910382042032E-2</v>
      </c>
      <c r="N105" s="28">
        <f t="shared" si="20"/>
        <v>1.5600443706084398E-2</v>
      </c>
      <c r="O105" s="28">
        <f t="shared" si="20"/>
        <v>1.4747188773998563E-2</v>
      </c>
      <c r="P105" s="28">
        <f t="shared" si="20"/>
        <v>1.685694518690295E-2</v>
      </c>
      <c r="Q105" s="28">
        <f t="shared" si="20"/>
        <v>1.4582976459875403E-2</v>
      </c>
      <c r="R105" s="28">
        <f t="shared" si="20"/>
        <v>1.0640785023826085E-2</v>
      </c>
    </row>
    <row r="106" spans="1:18" s="90" customFormat="1">
      <c r="A106" s="478"/>
      <c r="B106" s="81" t="s">
        <v>105</v>
      </c>
      <c r="C106" s="80"/>
      <c r="D106" s="80"/>
      <c r="E106" s="80"/>
      <c r="F106" s="80"/>
      <c r="G106" s="80"/>
      <c r="H106" s="80"/>
      <c r="I106" s="80"/>
      <c r="J106" s="80"/>
      <c r="K106" s="28">
        <f t="shared" si="20"/>
        <v>7.5422904497578274E-3</v>
      </c>
      <c r="L106" s="28">
        <f t="shared" si="20"/>
        <v>7.5844596693871533E-3</v>
      </c>
      <c r="M106" s="28">
        <f t="shared" si="20"/>
        <v>1.2013670350005577E-2</v>
      </c>
      <c r="N106" s="28">
        <f t="shared" si="20"/>
        <v>1.1065912435328803E-2</v>
      </c>
      <c r="O106" s="28">
        <f t="shared" si="20"/>
        <v>1.1146143398278166E-2</v>
      </c>
      <c r="P106" s="28">
        <f t="shared" si="20"/>
        <v>1.245949941147092E-2</v>
      </c>
      <c r="Q106" s="28">
        <f t="shared" si="20"/>
        <v>1.1009271659126957E-2</v>
      </c>
      <c r="R106" s="28">
        <f t="shared" si="20"/>
        <v>8.6924084227378174E-3</v>
      </c>
    </row>
    <row r="107" spans="1:18" s="98" customFormat="1">
      <c r="A107" s="476" t="s">
        <v>113</v>
      </c>
      <c r="B107" s="12" t="s">
        <v>107</v>
      </c>
      <c r="C107" s="97"/>
      <c r="D107" s="97"/>
      <c r="E107" s="97"/>
      <c r="F107" s="97"/>
      <c r="G107" s="97"/>
      <c r="H107" s="97"/>
      <c r="I107" s="97"/>
      <c r="J107" s="97"/>
      <c r="K107" s="78">
        <f t="shared" ref="K107:Q107" si="21">SUM(K108:K113)</f>
        <v>528762</v>
      </c>
      <c r="L107" s="78">
        <f t="shared" si="21"/>
        <v>492558</v>
      </c>
      <c r="M107" s="78">
        <f t="shared" si="21"/>
        <v>562067</v>
      </c>
      <c r="N107" s="78">
        <f t="shared" si="21"/>
        <v>503457</v>
      </c>
      <c r="O107" s="78">
        <f t="shared" si="21"/>
        <v>518224</v>
      </c>
      <c r="P107" s="78">
        <f t="shared" si="21"/>
        <v>506778</v>
      </c>
      <c r="Q107" s="78">
        <f t="shared" si="21"/>
        <v>488548</v>
      </c>
      <c r="R107" s="78">
        <f>SUM(R108:R113)</f>
        <v>476740</v>
      </c>
    </row>
    <row r="108" spans="1:18" s="99" customFormat="1">
      <c r="A108" s="477"/>
      <c r="B108" s="12" t="s">
        <v>65</v>
      </c>
      <c r="C108" s="49"/>
      <c r="D108" s="49"/>
      <c r="E108" s="49"/>
      <c r="F108" s="49"/>
      <c r="G108" s="49"/>
      <c r="H108" s="49"/>
      <c r="I108" s="49"/>
      <c r="J108" s="49"/>
      <c r="K108" s="13">
        <v>393215</v>
      </c>
      <c r="L108" s="13">
        <v>370777</v>
      </c>
      <c r="M108" s="13">
        <v>415470</v>
      </c>
      <c r="N108" s="13">
        <v>385401</v>
      </c>
      <c r="O108" s="13">
        <v>399158</v>
      </c>
      <c r="P108" s="13">
        <v>384385</v>
      </c>
      <c r="Q108" s="13">
        <v>369649</v>
      </c>
      <c r="R108" s="13">
        <v>354972</v>
      </c>
    </row>
    <row r="109" spans="1:18" s="99" customFormat="1">
      <c r="A109" s="477"/>
      <c r="B109" s="12" t="s">
        <v>67</v>
      </c>
      <c r="C109" s="49"/>
      <c r="D109" s="49"/>
      <c r="E109" s="49"/>
      <c r="F109" s="49"/>
      <c r="G109" s="49"/>
      <c r="H109" s="49"/>
      <c r="I109" s="49"/>
      <c r="J109" s="49"/>
      <c r="K109" s="13">
        <v>94745</v>
      </c>
      <c r="L109" s="13">
        <v>86062</v>
      </c>
      <c r="M109" s="101">
        <v>101511</v>
      </c>
      <c r="N109" s="13">
        <v>83942</v>
      </c>
      <c r="O109" s="13">
        <v>84727</v>
      </c>
      <c r="P109" s="13">
        <v>85328</v>
      </c>
      <c r="Q109" s="13">
        <v>82801</v>
      </c>
      <c r="R109" s="13">
        <v>85469</v>
      </c>
    </row>
    <row r="110" spans="1:18" s="99" customFormat="1">
      <c r="A110" s="477"/>
      <c r="B110" s="12" t="s">
        <v>68</v>
      </c>
      <c r="C110" s="49"/>
      <c r="D110" s="49"/>
      <c r="E110" s="49"/>
      <c r="F110" s="49"/>
      <c r="G110" s="49"/>
      <c r="H110" s="49"/>
      <c r="I110" s="49"/>
      <c r="J110" s="49"/>
      <c r="K110" s="13">
        <v>31084</v>
      </c>
      <c r="L110" s="13">
        <v>27451</v>
      </c>
      <c r="M110" s="13">
        <v>33924</v>
      </c>
      <c r="N110" s="13">
        <v>26144</v>
      </c>
      <c r="O110" s="13">
        <v>25890</v>
      </c>
      <c r="P110" s="13">
        <v>27589</v>
      </c>
      <c r="Q110" s="13">
        <v>27036</v>
      </c>
      <c r="R110" s="13">
        <v>27167</v>
      </c>
    </row>
    <row r="111" spans="1:18" s="99" customFormat="1">
      <c r="A111" s="477"/>
      <c r="B111" s="12" t="s">
        <v>69</v>
      </c>
      <c r="C111" s="49"/>
      <c r="D111" s="49"/>
      <c r="E111" s="49"/>
      <c r="F111" s="49"/>
      <c r="G111" s="49"/>
      <c r="H111" s="49"/>
      <c r="I111" s="49"/>
      <c r="J111" s="49"/>
      <c r="K111" s="13">
        <v>8317</v>
      </c>
      <c r="L111" s="13">
        <v>7048</v>
      </c>
      <c r="M111" s="13">
        <v>9319</v>
      </c>
      <c r="N111" s="13">
        <v>6718</v>
      </c>
      <c r="O111" s="13">
        <v>7081</v>
      </c>
      <c r="P111" s="13">
        <v>8005</v>
      </c>
      <c r="Q111" s="13">
        <v>7681</v>
      </c>
      <c r="R111" s="13">
        <v>7705</v>
      </c>
    </row>
    <row r="112" spans="1:18" s="99" customFormat="1">
      <c r="A112" s="477"/>
      <c r="B112" s="12" t="s">
        <v>70</v>
      </c>
      <c r="C112" s="49"/>
      <c r="D112" s="49"/>
      <c r="E112" s="49"/>
      <c r="F112" s="49"/>
      <c r="G112" s="49"/>
      <c r="H112" s="49"/>
      <c r="I112" s="49"/>
      <c r="J112" s="49"/>
      <c r="K112" s="13">
        <v>981</v>
      </c>
      <c r="L112" s="13">
        <v>877</v>
      </c>
      <c r="M112" s="13">
        <v>1210</v>
      </c>
      <c r="N112" s="13">
        <v>848</v>
      </c>
      <c r="O112" s="13">
        <v>893</v>
      </c>
      <c r="P112" s="13">
        <v>1000</v>
      </c>
      <c r="Q112" s="13">
        <v>939</v>
      </c>
      <c r="R112" s="13">
        <v>955</v>
      </c>
    </row>
    <row r="113" spans="1:18" s="99" customFormat="1">
      <c r="A113" s="477"/>
      <c r="B113" s="12" t="s">
        <v>71</v>
      </c>
      <c r="C113" s="49"/>
      <c r="D113" s="49"/>
      <c r="E113" s="49"/>
      <c r="F113" s="49"/>
      <c r="G113" s="49"/>
      <c r="H113" s="49"/>
      <c r="I113" s="49"/>
      <c r="J113" s="49"/>
      <c r="K113" s="13">
        <v>420</v>
      </c>
      <c r="L113" s="13">
        <v>343</v>
      </c>
      <c r="M113" s="13">
        <v>633</v>
      </c>
      <c r="N113" s="13">
        <v>404</v>
      </c>
      <c r="O113" s="13">
        <v>475</v>
      </c>
      <c r="P113" s="13">
        <v>471</v>
      </c>
      <c r="Q113" s="13">
        <v>442</v>
      </c>
      <c r="R113" s="13">
        <v>472</v>
      </c>
    </row>
    <row r="114" spans="1:18" s="90" customFormat="1">
      <c r="A114" s="477"/>
      <c r="B114" s="81" t="s">
        <v>112</v>
      </c>
      <c r="C114" s="80"/>
      <c r="D114" s="80"/>
      <c r="E114" s="80"/>
      <c r="F114" s="80"/>
      <c r="G114" s="80"/>
      <c r="H114" s="80"/>
      <c r="I114" s="80"/>
      <c r="J114" s="80"/>
      <c r="K114" s="28">
        <f t="shared" ref="K114:R114" si="22">K108/K$107</f>
        <v>0.74365215352086567</v>
      </c>
      <c r="L114" s="28">
        <f t="shared" si="22"/>
        <v>0.75275805082853187</v>
      </c>
      <c r="M114" s="28">
        <f t="shared" si="22"/>
        <v>0.73918233947198464</v>
      </c>
      <c r="N114" s="28">
        <f t="shared" si="22"/>
        <v>0.7655092689147236</v>
      </c>
      <c r="O114" s="28">
        <f t="shared" si="22"/>
        <v>0.77024221186205188</v>
      </c>
      <c r="P114" s="28">
        <f t="shared" si="22"/>
        <v>0.75848793751899257</v>
      </c>
      <c r="Q114" s="28">
        <f t="shared" si="22"/>
        <v>0.7566278032045981</v>
      </c>
      <c r="R114" s="28">
        <f t="shared" si="22"/>
        <v>0.7445819524268994</v>
      </c>
    </row>
    <row r="115" spans="1:18" s="90" customFormat="1">
      <c r="A115" s="477"/>
      <c r="B115" s="81" t="s">
        <v>108</v>
      </c>
      <c r="C115" s="80"/>
      <c r="D115" s="80"/>
      <c r="E115" s="80"/>
      <c r="F115" s="80"/>
      <c r="G115" s="80"/>
      <c r="H115" s="80"/>
      <c r="I115" s="80"/>
      <c r="J115" s="80"/>
      <c r="K115" s="28">
        <f t="shared" ref="K115:R119" si="23">K109/K$107</f>
        <v>0.17918269467170486</v>
      </c>
      <c r="L115" s="28">
        <f t="shared" si="23"/>
        <v>0.17472460096069906</v>
      </c>
      <c r="M115" s="28">
        <f t="shared" si="23"/>
        <v>0.18060302419462448</v>
      </c>
      <c r="N115" s="28">
        <f t="shared" si="23"/>
        <v>0.16673122034255161</v>
      </c>
      <c r="O115" s="28">
        <f t="shared" si="23"/>
        <v>0.16349493655253328</v>
      </c>
      <c r="P115" s="28">
        <f t="shared" si="23"/>
        <v>0.1683735284483541</v>
      </c>
      <c r="Q115" s="28">
        <f t="shared" si="23"/>
        <v>0.16948385829028059</v>
      </c>
      <c r="R115" s="28">
        <f t="shared" si="23"/>
        <v>0.17927801317279859</v>
      </c>
    </row>
    <row r="116" spans="1:18" s="90" customFormat="1">
      <c r="A116" s="477"/>
      <c r="B116" s="81" t="s">
        <v>102</v>
      </c>
      <c r="C116" s="80"/>
      <c r="D116" s="80"/>
      <c r="E116" s="80"/>
      <c r="F116" s="80"/>
      <c r="G116" s="80"/>
      <c r="H116" s="80"/>
      <c r="I116" s="80"/>
      <c r="J116" s="80"/>
      <c r="K116" s="28">
        <f t="shared" si="23"/>
        <v>5.8786372696978978E-2</v>
      </c>
      <c r="L116" s="28">
        <f t="shared" si="23"/>
        <v>5.5731507761522504E-2</v>
      </c>
      <c r="M116" s="28">
        <f t="shared" si="23"/>
        <v>6.0355793882224007E-2</v>
      </c>
      <c r="N116" s="28">
        <f t="shared" si="23"/>
        <v>5.1928963148789274E-2</v>
      </c>
      <c r="O116" s="28">
        <f t="shared" si="23"/>
        <v>4.995909104943036E-2</v>
      </c>
      <c r="P116" s="28">
        <f t="shared" si="23"/>
        <v>5.4440011208063493E-2</v>
      </c>
      <c r="Q116" s="28">
        <f t="shared" si="23"/>
        <v>5.5339495812079878E-2</v>
      </c>
      <c r="R116" s="28">
        <f t="shared" si="23"/>
        <v>5.6984939379955531E-2</v>
      </c>
    </row>
    <row r="117" spans="1:18" s="90" customFormat="1">
      <c r="A117" s="477"/>
      <c r="B117" s="81" t="s">
        <v>103</v>
      </c>
      <c r="C117" s="80"/>
      <c r="D117" s="80"/>
      <c r="E117" s="80"/>
      <c r="F117" s="80"/>
      <c r="G117" s="80"/>
      <c r="H117" s="80"/>
      <c r="I117" s="80"/>
      <c r="J117" s="80"/>
      <c r="K117" s="28">
        <f t="shared" si="23"/>
        <v>1.5729193852810904E-2</v>
      </c>
      <c r="L117" s="28">
        <f t="shared" si="23"/>
        <v>1.430897478063497E-2</v>
      </c>
      <c r="M117" s="28">
        <f t="shared" si="23"/>
        <v>1.657987392962049E-2</v>
      </c>
      <c r="N117" s="28">
        <f t="shared" si="23"/>
        <v>1.3343741372152934E-2</v>
      </c>
      <c r="O117" s="28">
        <f t="shared" si="23"/>
        <v>1.3663975423754979E-2</v>
      </c>
      <c r="P117" s="28">
        <f t="shared" si="23"/>
        <v>1.579587117041387E-2</v>
      </c>
      <c r="Q117" s="28">
        <f t="shared" si="23"/>
        <v>1.5722098954452788E-2</v>
      </c>
      <c r="R117" s="28">
        <f t="shared" si="23"/>
        <v>1.6161849225993202E-2</v>
      </c>
    </row>
    <row r="118" spans="1:18" s="90" customFormat="1">
      <c r="A118" s="477"/>
      <c r="B118" s="81" t="s">
        <v>104</v>
      </c>
      <c r="C118" s="80"/>
      <c r="D118" s="80"/>
      <c r="E118" s="80"/>
      <c r="F118" s="80"/>
      <c r="G118" s="80"/>
      <c r="H118" s="80"/>
      <c r="I118" s="80"/>
      <c r="J118" s="80"/>
      <c r="K118" s="28">
        <f t="shared" si="23"/>
        <v>1.8552770433578813E-3</v>
      </c>
      <c r="L118" s="28">
        <f t="shared" si="23"/>
        <v>1.7805009765347432E-3</v>
      </c>
      <c r="M118" s="28">
        <f t="shared" si="23"/>
        <v>2.1527682642816606E-3</v>
      </c>
      <c r="N118" s="28">
        <f t="shared" si="23"/>
        <v>1.684354373859138E-3</v>
      </c>
      <c r="O118" s="28">
        <f t="shared" si="23"/>
        <v>1.7231930593720091E-3</v>
      </c>
      <c r="P118" s="28">
        <f t="shared" si="23"/>
        <v>1.9732506146675666E-3</v>
      </c>
      <c r="Q118" s="28">
        <f t="shared" si="23"/>
        <v>1.9220219916978474E-3</v>
      </c>
      <c r="R118" s="28">
        <f t="shared" si="23"/>
        <v>2.0031883206779377E-3</v>
      </c>
    </row>
    <row r="119" spans="1:18" s="90" customFormat="1">
      <c r="A119" s="477"/>
      <c r="B119" s="81" t="s">
        <v>105</v>
      </c>
      <c r="C119" s="80"/>
      <c r="D119" s="80"/>
      <c r="E119" s="80"/>
      <c r="F119" s="80"/>
      <c r="G119" s="80"/>
      <c r="H119" s="80"/>
      <c r="I119" s="80"/>
      <c r="J119" s="80"/>
      <c r="K119" s="28">
        <f t="shared" si="23"/>
        <v>7.9430821428166172E-4</v>
      </c>
      <c r="L119" s="28">
        <f t="shared" si="23"/>
        <v>6.9636469207687215E-4</v>
      </c>
      <c r="M119" s="28">
        <f t="shared" si="23"/>
        <v>1.1262002572647034E-3</v>
      </c>
      <c r="N119" s="28">
        <f t="shared" si="23"/>
        <v>8.0245184792345717E-4</v>
      </c>
      <c r="O119" s="28">
        <f t="shared" si="23"/>
        <v>9.1659205285745163E-4</v>
      </c>
      <c r="P119" s="28">
        <f t="shared" si="23"/>
        <v>9.2940103950842382E-4</v>
      </c>
      <c r="Q119" s="28">
        <f t="shared" si="23"/>
        <v>9.0472174689078656E-4</v>
      </c>
      <c r="R119" s="28">
        <f t="shared" si="23"/>
        <v>9.9005747367537857E-4</v>
      </c>
    </row>
    <row r="120" spans="1:18" s="104" customFormat="1">
      <c r="A120" s="529" t="s">
        <v>114</v>
      </c>
      <c r="B120" s="51" t="s">
        <v>107</v>
      </c>
      <c r="C120" s="102"/>
      <c r="D120" s="102"/>
      <c r="E120" s="102"/>
      <c r="F120" s="102"/>
      <c r="G120" s="102"/>
      <c r="H120" s="102"/>
      <c r="I120" s="102"/>
      <c r="J120" s="102"/>
      <c r="K120" s="103">
        <f t="shared" ref="K120:Q120" si="24">SUM(K121:K126)</f>
        <v>124999</v>
      </c>
      <c r="L120" s="103">
        <f t="shared" si="24"/>
        <v>127060</v>
      </c>
      <c r="M120" s="103">
        <f t="shared" si="24"/>
        <v>142738</v>
      </c>
      <c r="N120" s="103">
        <f t="shared" si="24"/>
        <v>126887</v>
      </c>
      <c r="O120" s="103">
        <f t="shared" si="24"/>
        <v>143753</v>
      </c>
      <c r="P120" s="103">
        <f t="shared" si="24"/>
        <v>154321</v>
      </c>
      <c r="Q120" s="103">
        <f t="shared" si="24"/>
        <v>149091</v>
      </c>
      <c r="R120" s="103">
        <f>SUM(R121:R126)</f>
        <v>155717</v>
      </c>
    </row>
    <row r="121" spans="1:18" s="2" customFormat="1">
      <c r="A121" s="530"/>
      <c r="B121" s="15" t="s">
        <v>65</v>
      </c>
      <c r="C121" s="105"/>
      <c r="D121" s="105"/>
      <c r="E121" s="105"/>
      <c r="F121" s="105"/>
      <c r="G121" s="105"/>
      <c r="H121" s="105"/>
      <c r="I121" s="105"/>
      <c r="J121" s="105"/>
      <c r="K121" s="105">
        <v>58450</v>
      </c>
      <c r="L121" s="105">
        <v>63431</v>
      </c>
      <c r="M121" s="105">
        <v>69077</v>
      </c>
      <c r="N121" s="105">
        <v>65031</v>
      </c>
      <c r="O121" s="105">
        <v>71525</v>
      </c>
      <c r="P121" s="105">
        <v>73441</v>
      </c>
      <c r="Q121" s="105">
        <v>71278</v>
      </c>
      <c r="R121" s="105">
        <v>73254</v>
      </c>
    </row>
    <row r="122" spans="1:18" s="2" customFormat="1">
      <c r="A122" s="530"/>
      <c r="B122" s="15" t="s">
        <v>67</v>
      </c>
      <c r="C122" s="105"/>
      <c r="D122" s="105"/>
      <c r="E122" s="105"/>
      <c r="F122" s="105"/>
      <c r="G122" s="105"/>
      <c r="H122" s="105"/>
      <c r="I122" s="105"/>
      <c r="J122" s="105"/>
      <c r="K122" s="105">
        <v>40330</v>
      </c>
      <c r="L122" s="105">
        <v>39543</v>
      </c>
      <c r="M122" s="105">
        <v>43727</v>
      </c>
      <c r="N122" s="105">
        <v>37707</v>
      </c>
      <c r="O122" s="105">
        <v>43619</v>
      </c>
      <c r="P122" s="105">
        <v>47532</v>
      </c>
      <c r="Q122" s="105">
        <v>45206</v>
      </c>
      <c r="R122" s="105">
        <v>46878</v>
      </c>
    </row>
    <row r="123" spans="1:18" s="2" customFormat="1">
      <c r="A123" s="530"/>
      <c r="B123" s="15" t="s">
        <v>68</v>
      </c>
      <c r="C123" s="105"/>
      <c r="D123" s="105"/>
      <c r="E123" s="105"/>
      <c r="F123" s="105"/>
      <c r="G123" s="105"/>
      <c r="H123" s="105"/>
      <c r="I123" s="105"/>
      <c r="J123" s="105"/>
      <c r="K123" s="105">
        <v>18891</v>
      </c>
      <c r="L123" s="105">
        <v>17715</v>
      </c>
      <c r="M123" s="105">
        <v>21216</v>
      </c>
      <c r="N123" s="105">
        <v>17200</v>
      </c>
      <c r="O123" s="105">
        <v>20130</v>
      </c>
      <c r="P123" s="105">
        <v>23129</v>
      </c>
      <c r="Q123" s="105">
        <v>22598</v>
      </c>
      <c r="R123" s="105">
        <v>24408</v>
      </c>
    </row>
    <row r="124" spans="1:18" s="2" customFormat="1">
      <c r="A124" s="530"/>
      <c r="B124" s="15" t="s">
        <v>69</v>
      </c>
      <c r="C124" s="105"/>
      <c r="D124" s="105"/>
      <c r="E124" s="105"/>
      <c r="F124" s="105"/>
      <c r="G124" s="105"/>
      <c r="H124" s="105"/>
      <c r="I124" s="105"/>
      <c r="J124" s="105"/>
      <c r="K124" s="105">
        <v>5981</v>
      </c>
      <c r="L124" s="105">
        <v>5266</v>
      </c>
      <c r="M124" s="105">
        <v>7034</v>
      </c>
      <c r="N124" s="105">
        <v>5538</v>
      </c>
      <c r="O124" s="105">
        <v>6790</v>
      </c>
      <c r="P124" s="105">
        <v>8242</v>
      </c>
      <c r="Q124" s="105">
        <v>7915</v>
      </c>
      <c r="R124" s="105">
        <v>8851</v>
      </c>
    </row>
    <row r="125" spans="1:18" s="2" customFormat="1">
      <c r="A125" s="530"/>
      <c r="B125" s="15" t="s">
        <v>70</v>
      </c>
      <c r="C125" s="105"/>
      <c r="D125" s="105"/>
      <c r="E125" s="105"/>
      <c r="F125" s="105"/>
      <c r="G125" s="105"/>
      <c r="H125" s="105"/>
      <c r="I125" s="105"/>
      <c r="J125" s="105"/>
      <c r="K125" s="105">
        <v>933</v>
      </c>
      <c r="L125" s="105">
        <v>813</v>
      </c>
      <c r="M125" s="105">
        <v>1096</v>
      </c>
      <c r="N125" s="105">
        <v>958</v>
      </c>
      <c r="O125" s="105">
        <v>1105</v>
      </c>
      <c r="P125" s="105">
        <v>1396</v>
      </c>
      <c r="Q125" s="105">
        <v>1365</v>
      </c>
      <c r="R125" s="105">
        <v>1504</v>
      </c>
    </row>
    <row r="126" spans="1:18" s="2" customFormat="1">
      <c r="A126" s="530"/>
      <c r="B126" s="15" t="s">
        <v>71</v>
      </c>
      <c r="C126" s="105"/>
      <c r="D126" s="105"/>
      <c r="E126" s="105"/>
      <c r="F126" s="105"/>
      <c r="G126" s="105"/>
      <c r="H126" s="105"/>
      <c r="I126" s="105"/>
      <c r="J126" s="105"/>
      <c r="K126" s="105">
        <v>414</v>
      </c>
      <c r="L126" s="105">
        <v>292</v>
      </c>
      <c r="M126" s="105">
        <v>588</v>
      </c>
      <c r="N126" s="105">
        <v>453</v>
      </c>
      <c r="O126" s="105">
        <v>584</v>
      </c>
      <c r="P126" s="105">
        <v>581</v>
      </c>
      <c r="Q126" s="105">
        <v>729</v>
      </c>
      <c r="R126" s="105">
        <v>822</v>
      </c>
    </row>
    <row r="127" spans="1:18" s="90" customFormat="1">
      <c r="A127" s="530"/>
      <c r="B127" s="81" t="s">
        <v>101</v>
      </c>
      <c r="C127" s="106"/>
      <c r="D127" s="106"/>
      <c r="E127" s="106"/>
      <c r="F127" s="106"/>
      <c r="G127" s="106"/>
      <c r="H127" s="106"/>
      <c r="I127" s="106"/>
      <c r="J127" s="106"/>
      <c r="K127" s="106">
        <f t="shared" ref="K127:R127" si="25">+K121/K$120</f>
        <v>0.46760374082992662</v>
      </c>
      <c r="L127" s="106">
        <f t="shared" si="25"/>
        <v>0.49922084054777272</v>
      </c>
      <c r="M127" s="106">
        <f t="shared" si="25"/>
        <v>0.48394260813518475</v>
      </c>
      <c r="N127" s="106">
        <f t="shared" si="25"/>
        <v>0.51251113195205178</v>
      </c>
      <c r="O127" s="106">
        <f t="shared" si="25"/>
        <v>0.49755483363825448</v>
      </c>
      <c r="P127" s="106">
        <f t="shared" si="25"/>
        <v>0.47589764192818862</v>
      </c>
      <c r="Q127" s="106">
        <f t="shared" si="25"/>
        <v>0.47808385482691779</v>
      </c>
      <c r="R127" s="106">
        <f t="shared" si="25"/>
        <v>0.47043033194834216</v>
      </c>
    </row>
    <row r="128" spans="1:18" s="90" customFormat="1">
      <c r="A128" s="530"/>
      <c r="B128" s="81" t="s">
        <v>115</v>
      </c>
      <c r="C128" s="106"/>
      <c r="D128" s="106"/>
      <c r="E128" s="106"/>
      <c r="F128" s="106"/>
      <c r="G128" s="106"/>
      <c r="H128" s="106"/>
      <c r="I128" s="106"/>
      <c r="J128" s="106"/>
      <c r="K128" s="106">
        <f t="shared" ref="K128:Q132" si="26">+K122/K$120</f>
        <v>0.32264258114064914</v>
      </c>
      <c r="L128" s="106">
        <f t="shared" si="26"/>
        <v>0.31121517393357467</v>
      </c>
      <c r="M128" s="106">
        <f t="shared" si="26"/>
        <v>0.30634449130574898</v>
      </c>
      <c r="N128" s="106">
        <f t="shared" si="26"/>
        <v>0.29716992284473587</v>
      </c>
      <c r="O128" s="106">
        <f t="shared" si="26"/>
        <v>0.30343018928300625</v>
      </c>
      <c r="P128" s="106">
        <f t="shared" si="26"/>
        <v>0.30800733535941316</v>
      </c>
      <c r="Q128" s="106">
        <f t="shared" si="26"/>
        <v>0.30321079072512763</v>
      </c>
      <c r="R128" s="106">
        <f>+R122/R$120</f>
        <v>0.30104612855372248</v>
      </c>
    </row>
    <row r="129" spans="1:18" s="90" customFormat="1">
      <c r="A129" s="530"/>
      <c r="B129" s="81" t="s">
        <v>102</v>
      </c>
      <c r="C129" s="106"/>
      <c r="D129" s="106"/>
      <c r="E129" s="106"/>
      <c r="F129" s="106"/>
      <c r="G129" s="106"/>
      <c r="H129" s="106"/>
      <c r="I129" s="106"/>
      <c r="J129" s="106"/>
      <c r="K129" s="106">
        <f t="shared" si="26"/>
        <v>0.15112920903367227</v>
      </c>
      <c r="L129" s="106">
        <f t="shared" si="26"/>
        <v>0.13942232016370218</v>
      </c>
      <c r="M129" s="106">
        <f t="shared" si="26"/>
        <v>0.14863596239263546</v>
      </c>
      <c r="N129" s="106">
        <f t="shared" si="26"/>
        <v>0.1355536816222308</v>
      </c>
      <c r="O129" s="106">
        <f t="shared" si="26"/>
        <v>0.14003186020465661</v>
      </c>
      <c r="P129" s="106">
        <f t="shared" si="26"/>
        <v>0.14987590800992737</v>
      </c>
      <c r="Q129" s="106">
        <f t="shared" si="26"/>
        <v>0.15157185879764706</v>
      </c>
      <c r="R129" s="106">
        <f>+R123/R$120</f>
        <v>0.15674589158537602</v>
      </c>
    </row>
    <row r="130" spans="1:18" s="90" customFormat="1">
      <c r="A130" s="530"/>
      <c r="B130" s="81" t="s">
        <v>103</v>
      </c>
      <c r="C130" s="106"/>
      <c r="D130" s="106"/>
      <c r="E130" s="106"/>
      <c r="F130" s="106"/>
      <c r="G130" s="106"/>
      <c r="H130" s="106"/>
      <c r="I130" s="106"/>
      <c r="J130" s="106"/>
      <c r="K130" s="106">
        <f t="shared" si="26"/>
        <v>4.7848382787062299E-2</v>
      </c>
      <c r="L130" s="106">
        <f t="shared" si="26"/>
        <v>4.1444986620494256E-2</v>
      </c>
      <c r="M130" s="106">
        <f t="shared" si="26"/>
        <v>4.9279098768372824E-2</v>
      </c>
      <c r="N130" s="106">
        <f t="shared" si="26"/>
        <v>4.3645133071157804E-2</v>
      </c>
      <c r="O130" s="106">
        <f t="shared" si="26"/>
        <v>4.7233796859891618E-2</v>
      </c>
      <c r="P130" s="106">
        <f t="shared" si="26"/>
        <v>5.3408155727347542E-2</v>
      </c>
      <c r="Q130" s="106">
        <f t="shared" si="26"/>
        <v>5.3088382263181549E-2</v>
      </c>
      <c r="R130" s="106">
        <f>+R124/R$120</f>
        <v>5.6840293609560937E-2</v>
      </c>
    </row>
    <row r="131" spans="1:18" s="90" customFormat="1">
      <c r="A131" s="530"/>
      <c r="B131" s="81" t="s">
        <v>104</v>
      </c>
      <c r="C131" s="106"/>
      <c r="D131" s="106"/>
      <c r="E131" s="106"/>
      <c r="F131" s="106"/>
      <c r="G131" s="106"/>
      <c r="H131" s="106"/>
      <c r="I131" s="106"/>
      <c r="J131" s="106"/>
      <c r="K131" s="106">
        <f t="shared" si="26"/>
        <v>7.4640597124776996E-3</v>
      </c>
      <c r="L131" s="106">
        <f t="shared" si="26"/>
        <v>6.3985518652605071E-3</v>
      </c>
      <c r="M131" s="106">
        <f t="shared" si="26"/>
        <v>7.678403788759826E-3</v>
      </c>
      <c r="N131" s="106">
        <f t="shared" si="26"/>
        <v>7.550024825238204E-3</v>
      </c>
      <c r="O131" s="106">
        <f t="shared" si="26"/>
        <v>7.6867961016465741E-3</v>
      </c>
      <c r="P131" s="106">
        <f t="shared" si="26"/>
        <v>9.046079276313658E-3</v>
      </c>
      <c r="Q131" s="106">
        <f t="shared" si="26"/>
        <v>9.155482222266937E-3</v>
      </c>
      <c r="R131" s="106">
        <f>+R125/R$120</f>
        <v>9.6585472363325785E-3</v>
      </c>
    </row>
    <row r="132" spans="1:18" s="90" customFormat="1">
      <c r="A132" s="531"/>
      <c r="B132" s="81" t="s">
        <v>105</v>
      </c>
      <c r="C132" s="106"/>
      <c r="D132" s="106"/>
      <c r="E132" s="106"/>
      <c r="F132" s="106"/>
      <c r="G132" s="106"/>
      <c r="H132" s="106"/>
      <c r="I132" s="106"/>
      <c r="J132" s="106"/>
      <c r="K132" s="106">
        <f t="shared" si="26"/>
        <v>3.3120264962119695E-3</v>
      </c>
      <c r="L132" s="106">
        <f t="shared" si="26"/>
        <v>2.2981268691956557E-3</v>
      </c>
      <c r="M132" s="106">
        <f t="shared" si="26"/>
        <v>4.1194356092981547E-3</v>
      </c>
      <c r="N132" s="106">
        <f t="shared" si="26"/>
        <v>3.5701056845854973E-3</v>
      </c>
      <c r="O132" s="106">
        <f t="shared" si="26"/>
        <v>4.0625239125444334E-3</v>
      </c>
      <c r="P132" s="106">
        <f t="shared" si="26"/>
        <v>3.7648796988096239E-3</v>
      </c>
      <c r="Q132" s="106">
        <f t="shared" si="26"/>
        <v>4.8896311648590459E-3</v>
      </c>
      <c r="R132" s="106">
        <f>+R126/R$120</f>
        <v>5.2788070666658108E-3</v>
      </c>
    </row>
    <row r="133" spans="1:18" s="104" customFormat="1">
      <c r="A133" s="532" t="s">
        <v>116</v>
      </c>
      <c r="B133" s="51" t="s">
        <v>107</v>
      </c>
      <c r="C133" s="103"/>
      <c r="D133" s="103"/>
      <c r="E133" s="103"/>
      <c r="F133" s="103"/>
      <c r="G133" s="103"/>
      <c r="H133" s="103"/>
      <c r="I133" s="103"/>
      <c r="J133" s="103"/>
      <c r="K133" s="103">
        <f>SUM(K134:K139)</f>
        <v>20714</v>
      </c>
      <c r="L133" s="103">
        <f t="shared" ref="L133:R133" si="27">SUM(L134:L139)</f>
        <v>18857</v>
      </c>
      <c r="M133" s="103">
        <f t="shared" si="27"/>
        <v>22181</v>
      </c>
      <c r="N133" s="103">
        <f t="shared" si="27"/>
        <v>18403</v>
      </c>
      <c r="O133" s="103">
        <f t="shared" si="27"/>
        <v>18675</v>
      </c>
      <c r="P133" s="103">
        <f t="shared" si="27"/>
        <v>17472</v>
      </c>
      <c r="Q133" s="103">
        <f t="shared" si="27"/>
        <v>16327</v>
      </c>
      <c r="R133" s="103">
        <f t="shared" si="27"/>
        <v>15421</v>
      </c>
    </row>
    <row r="134" spans="1:18" s="2" customFormat="1">
      <c r="A134" s="532"/>
      <c r="B134" s="12" t="s">
        <v>101</v>
      </c>
      <c r="C134" s="107"/>
      <c r="D134" s="107"/>
      <c r="E134" s="107"/>
      <c r="F134" s="107"/>
      <c r="G134" s="107"/>
      <c r="H134" s="107"/>
      <c r="I134" s="107"/>
      <c r="J134" s="107"/>
      <c r="K134" s="107">
        <v>11098</v>
      </c>
      <c r="L134" s="107">
        <v>10127</v>
      </c>
      <c r="M134" s="107">
        <v>11900</v>
      </c>
      <c r="N134" s="107">
        <v>9531</v>
      </c>
      <c r="O134" s="107">
        <v>9443</v>
      </c>
      <c r="P134" s="107">
        <v>9274</v>
      </c>
      <c r="Q134" s="107">
        <v>8694</v>
      </c>
      <c r="R134" s="107">
        <v>8281</v>
      </c>
    </row>
    <row r="135" spans="1:18" s="2" customFormat="1">
      <c r="A135" s="532"/>
      <c r="B135" s="12" t="s">
        <v>117</v>
      </c>
      <c r="C135" s="107"/>
      <c r="D135" s="107"/>
      <c r="E135" s="107"/>
      <c r="F135" s="107"/>
      <c r="G135" s="107"/>
      <c r="H135" s="107"/>
      <c r="I135" s="107"/>
      <c r="J135" s="107"/>
      <c r="K135" s="107">
        <v>5089</v>
      </c>
      <c r="L135" s="107">
        <v>4598</v>
      </c>
      <c r="M135" s="107">
        <v>5338</v>
      </c>
      <c r="N135" s="107">
        <v>4503</v>
      </c>
      <c r="O135" s="107">
        <v>4724</v>
      </c>
      <c r="P135" s="107">
        <v>4186</v>
      </c>
      <c r="Q135" s="107">
        <v>3909</v>
      </c>
      <c r="R135" s="107">
        <v>3598</v>
      </c>
    </row>
    <row r="136" spans="1:18" s="2" customFormat="1">
      <c r="A136" s="532"/>
      <c r="B136" s="12" t="s">
        <v>118</v>
      </c>
      <c r="C136" s="107"/>
      <c r="D136" s="107"/>
      <c r="E136" s="107"/>
      <c r="F136" s="107"/>
      <c r="G136" s="107"/>
      <c r="H136" s="107"/>
      <c r="I136" s="107"/>
      <c r="J136" s="107"/>
      <c r="K136" s="107">
        <v>2648</v>
      </c>
      <c r="L136" s="107">
        <v>2422</v>
      </c>
      <c r="M136" s="107">
        <v>2825</v>
      </c>
      <c r="N136" s="107">
        <v>2517</v>
      </c>
      <c r="O136" s="107">
        <v>2490</v>
      </c>
      <c r="P136" s="107">
        <v>2249</v>
      </c>
      <c r="Q136" s="107">
        <v>2095</v>
      </c>
      <c r="R136" s="107">
        <v>1962</v>
      </c>
    </row>
    <row r="137" spans="1:18" s="2" customFormat="1">
      <c r="A137" s="532"/>
      <c r="B137" s="12" t="s">
        <v>119</v>
      </c>
      <c r="C137" s="107"/>
      <c r="D137" s="107"/>
      <c r="E137" s="107"/>
      <c r="F137" s="107"/>
      <c r="G137" s="107"/>
      <c r="H137" s="107"/>
      <c r="I137" s="107"/>
      <c r="J137" s="107"/>
      <c r="K137" s="107">
        <v>1394</v>
      </c>
      <c r="L137" s="107">
        <v>1251</v>
      </c>
      <c r="M137" s="107">
        <v>1546</v>
      </c>
      <c r="N137" s="107">
        <v>1301</v>
      </c>
      <c r="O137" s="107">
        <v>1285</v>
      </c>
      <c r="P137" s="107">
        <v>1273</v>
      </c>
      <c r="Q137" s="107">
        <v>1152</v>
      </c>
      <c r="R137" s="107">
        <v>1119</v>
      </c>
    </row>
    <row r="138" spans="1:18" s="2" customFormat="1">
      <c r="A138" s="532"/>
      <c r="B138" s="12" t="s">
        <v>120</v>
      </c>
      <c r="C138" s="107"/>
      <c r="D138" s="107"/>
      <c r="E138" s="107"/>
      <c r="F138" s="107"/>
      <c r="G138" s="107"/>
      <c r="H138" s="107"/>
      <c r="I138" s="107"/>
      <c r="J138" s="107"/>
      <c r="K138" s="107">
        <v>326</v>
      </c>
      <c r="L138" s="107">
        <v>331</v>
      </c>
      <c r="M138" s="107">
        <v>378</v>
      </c>
      <c r="N138" s="107">
        <v>343</v>
      </c>
      <c r="O138" s="107">
        <v>368</v>
      </c>
      <c r="P138" s="107">
        <v>378</v>
      </c>
      <c r="Q138" s="107">
        <v>295</v>
      </c>
      <c r="R138" s="107">
        <v>278</v>
      </c>
    </row>
    <row r="139" spans="1:18" s="2" customFormat="1">
      <c r="A139" s="532"/>
      <c r="B139" s="12" t="s">
        <v>105</v>
      </c>
      <c r="C139" s="107"/>
      <c r="D139" s="107"/>
      <c r="E139" s="107"/>
      <c r="F139" s="107"/>
      <c r="G139" s="107"/>
      <c r="H139" s="107"/>
      <c r="I139" s="107"/>
      <c r="J139" s="107"/>
      <c r="K139" s="107">
        <v>159</v>
      </c>
      <c r="L139" s="107">
        <v>128</v>
      </c>
      <c r="M139" s="107">
        <v>194</v>
      </c>
      <c r="N139" s="107">
        <v>208</v>
      </c>
      <c r="O139" s="107">
        <v>365</v>
      </c>
      <c r="P139" s="107">
        <v>112</v>
      </c>
      <c r="Q139" s="107">
        <v>182</v>
      </c>
      <c r="R139" s="107">
        <v>183</v>
      </c>
    </row>
    <row r="140" spans="1:18" s="90" customFormat="1">
      <c r="A140" s="532"/>
      <c r="B140" s="81" t="s">
        <v>101</v>
      </c>
      <c r="C140" s="106"/>
      <c r="D140" s="106"/>
      <c r="E140" s="106"/>
      <c r="F140" s="106"/>
      <c r="G140" s="106"/>
      <c r="H140" s="106"/>
      <c r="I140" s="106"/>
      <c r="J140" s="106"/>
      <c r="K140" s="106">
        <f t="shared" ref="K140:R140" si="28">+K134/K$133</f>
        <v>0.53577290721251325</v>
      </c>
      <c r="L140" s="106">
        <f t="shared" si="28"/>
        <v>0.53704194728747945</v>
      </c>
      <c r="M140" s="106">
        <f t="shared" si="28"/>
        <v>0.53649519859339079</v>
      </c>
      <c r="N140" s="106">
        <f t="shared" si="28"/>
        <v>0.51790468945280665</v>
      </c>
      <c r="O140" s="106">
        <f t="shared" si="28"/>
        <v>0.50564926372155283</v>
      </c>
      <c r="P140" s="106">
        <f t="shared" si="28"/>
        <v>0.53079212454212454</v>
      </c>
      <c r="Q140" s="106">
        <f t="shared" si="28"/>
        <v>0.53249219084951305</v>
      </c>
      <c r="R140" s="106">
        <f t="shared" si="28"/>
        <v>0.536995006808897</v>
      </c>
    </row>
    <row r="141" spans="1:18" s="90" customFormat="1">
      <c r="A141" s="532"/>
      <c r="B141" s="81" t="s">
        <v>108</v>
      </c>
      <c r="C141" s="106"/>
      <c r="D141" s="106"/>
      <c r="E141" s="106"/>
      <c r="F141" s="106"/>
      <c r="G141" s="106"/>
      <c r="H141" s="106"/>
      <c r="I141" s="106"/>
      <c r="J141" s="106"/>
      <c r="K141" s="106">
        <f t="shared" ref="K141:Q145" si="29">+K135/K$133</f>
        <v>0.24567925074828617</v>
      </c>
      <c r="L141" s="106">
        <f t="shared" si="29"/>
        <v>0.24383518056954978</v>
      </c>
      <c r="M141" s="106">
        <f t="shared" si="29"/>
        <v>0.24065641765474957</v>
      </c>
      <c r="N141" s="106">
        <f t="shared" si="29"/>
        <v>0.24468836602727817</v>
      </c>
      <c r="O141" s="106">
        <f t="shared" si="29"/>
        <v>0.25295850066934406</v>
      </c>
      <c r="P141" s="106">
        <f t="shared" si="29"/>
        <v>0.23958333333333334</v>
      </c>
      <c r="Q141" s="106">
        <f t="shared" si="29"/>
        <v>0.23941936669320757</v>
      </c>
      <c r="R141" s="106">
        <f>+R135/R$133</f>
        <v>0.23331820245120291</v>
      </c>
    </row>
    <row r="142" spans="1:18" s="90" customFormat="1">
      <c r="A142" s="532"/>
      <c r="B142" s="81" t="s">
        <v>102</v>
      </c>
      <c r="C142" s="106"/>
      <c r="D142" s="106"/>
      <c r="E142" s="106"/>
      <c r="F142" s="106"/>
      <c r="G142" s="106"/>
      <c r="H142" s="106"/>
      <c r="I142" s="106"/>
      <c r="J142" s="106"/>
      <c r="K142" s="106">
        <f t="shared" si="29"/>
        <v>0.12783624601718643</v>
      </c>
      <c r="L142" s="106">
        <f t="shared" si="29"/>
        <v>0.12844036697247707</v>
      </c>
      <c r="M142" s="106">
        <f t="shared" si="29"/>
        <v>0.12736125512826293</v>
      </c>
      <c r="N142" s="106">
        <f t="shared" si="29"/>
        <v>0.1367711786121828</v>
      </c>
      <c r="O142" s="106">
        <f t="shared" si="29"/>
        <v>0.13333333333333333</v>
      </c>
      <c r="P142" s="106">
        <f t="shared" si="29"/>
        <v>0.12872023809523808</v>
      </c>
      <c r="Q142" s="106">
        <f t="shared" si="29"/>
        <v>0.1283150609419979</v>
      </c>
      <c r="R142" s="106">
        <f>+R136/R$133</f>
        <v>0.12722910317100058</v>
      </c>
    </row>
    <row r="143" spans="1:18" s="90" customFormat="1">
      <c r="A143" s="532"/>
      <c r="B143" s="81" t="s">
        <v>103</v>
      </c>
      <c r="C143" s="106"/>
      <c r="D143" s="106"/>
      <c r="E143" s="106"/>
      <c r="F143" s="106"/>
      <c r="G143" s="106"/>
      <c r="H143" s="106"/>
      <c r="I143" s="106"/>
      <c r="J143" s="106"/>
      <c r="K143" s="106">
        <f t="shared" si="29"/>
        <v>6.7297479965240894E-2</v>
      </c>
      <c r="L143" s="106">
        <f t="shared" si="29"/>
        <v>6.6341411677361198E-2</v>
      </c>
      <c r="M143" s="106">
        <f t="shared" si="29"/>
        <v>6.9699292187006892E-2</v>
      </c>
      <c r="N143" s="106">
        <f t="shared" si="29"/>
        <v>7.0694995381187856E-2</v>
      </c>
      <c r="O143" s="106">
        <f t="shared" si="29"/>
        <v>6.880856760374833E-2</v>
      </c>
      <c r="P143" s="106">
        <f t="shared" si="29"/>
        <v>7.2859432234432239E-2</v>
      </c>
      <c r="Q143" s="106">
        <f t="shared" si="29"/>
        <v>7.0557971458320573E-2</v>
      </c>
      <c r="R143" s="106">
        <f>+R137/R$133</f>
        <v>7.256338758835354E-2</v>
      </c>
    </row>
    <row r="144" spans="1:18" s="90" customFormat="1">
      <c r="A144" s="532"/>
      <c r="B144" s="81" t="s">
        <v>104</v>
      </c>
      <c r="C144" s="106"/>
      <c r="D144" s="106"/>
      <c r="E144" s="106"/>
      <c r="F144" s="106"/>
      <c r="G144" s="106"/>
      <c r="H144" s="106"/>
      <c r="I144" s="106"/>
      <c r="J144" s="106"/>
      <c r="K144" s="106">
        <f t="shared" si="29"/>
        <v>1.5738148112387756E-2</v>
      </c>
      <c r="L144" s="106">
        <f t="shared" si="29"/>
        <v>1.755316328154001E-2</v>
      </c>
      <c r="M144" s="106">
        <f t="shared" si="29"/>
        <v>1.7041612190613589E-2</v>
      </c>
      <c r="N144" s="106">
        <f t="shared" si="29"/>
        <v>1.8638265500190185E-2</v>
      </c>
      <c r="O144" s="106">
        <f t="shared" si="29"/>
        <v>1.9705488621151273E-2</v>
      </c>
      <c r="P144" s="106">
        <f t="shared" si="29"/>
        <v>2.1634615384615384E-2</v>
      </c>
      <c r="Q144" s="106">
        <f t="shared" si="29"/>
        <v>1.8068230538372022E-2</v>
      </c>
      <c r="R144" s="106">
        <f>+R138/R$133</f>
        <v>1.8027365281110173E-2</v>
      </c>
    </row>
    <row r="145" spans="1:18" s="90" customFormat="1">
      <c r="A145" s="532"/>
      <c r="B145" s="81" t="s">
        <v>105</v>
      </c>
      <c r="C145" s="106"/>
      <c r="D145" s="106"/>
      <c r="E145" s="106"/>
      <c r="F145" s="106"/>
      <c r="G145" s="106"/>
      <c r="H145" s="106"/>
      <c r="I145" s="106"/>
      <c r="J145" s="106"/>
      <c r="K145" s="106">
        <f t="shared" si="29"/>
        <v>7.6759679443854402E-3</v>
      </c>
      <c r="L145" s="106">
        <f t="shared" si="29"/>
        <v>6.7879302115925119E-3</v>
      </c>
      <c r="M145" s="106">
        <f t="shared" si="29"/>
        <v>8.7462242459762866E-3</v>
      </c>
      <c r="N145" s="106">
        <f t="shared" si="29"/>
        <v>1.1302505026354399E-2</v>
      </c>
      <c r="O145" s="106">
        <f t="shared" si="29"/>
        <v>1.9544846050870146E-2</v>
      </c>
      <c r="P145" s="106">
        <f t="shared" si="29"/>
        <v>6.41025641025641E-3</v>
      </c>
      <c r="Q145" s="106">
        <f t="shared" si="29"/>
        <v>1.114717951858884E-2</v>
      </c>
      <c r="R145" s="106">
        <f>+R139/R$133</f>
        <v>1.1866934699435835E-2</v>
      </c>
    </row>
    <row r="146" spans="1:18" s="104" customFormat="1">
      <c r="A146" s="529" t="s">
        <v>121</v>
      </c>
      <c r="B146" s="51" t="s">
        <v>107</v>
      </c>
      <c r="C146" s="102"/>
      <c r="D146" s="102"/>
      <c r="E146" s="102"/>
      <c r="F146" s="102"/>
      <c r="G146" s="102"/>
      <c r="H146" s="102"/>
      <c r="I146" s="102"/>
      <c r="J146" s="102"/>
      <c r="K146" s="103"/>
      <c r="L146" s="103"/>
      <c r="M146" s="103"/>
      <c r="N146" s="103"/>
      <c r="O146" s="103"/>
      <c r="P146" s="103"/>
      <c r="Q146" s="103">
        <f>SUM(Q147:Q152)</f>
        <v>374623</v>
      </c>
      <c r="R146" s="103">
        <f>SUM(R147:R152)</f>
        <v>0</v>
      </c>
    </row>
    <row r="147" spans="1:18" s="2" customFormat="1">
      <c r="A147" s="530"/>
      <c r="B147" s="15" t="s">
        <v>65</v>
      </c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8">
        <v>227309</v>
      </c>
      <c r="R147" s="108"/>
    </row>
    <row r="148" spans="1:18" s="2" customFormat="1">
      <c r="A148" s="530"/>
      <c r="B148" s="15" t="s">
        <v>67</v>
      </c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8">
        <v>97687</v>
      </c>
      <c r="R148" s="108"/>
    </row>
    <row r="149" spans="1:18" s="2" customFormat="1">
      <c r="A149" s="530"/>
      <c r="B149" s="15" t="s">
        <v>68</v>
      </c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8">
        <v>43435</v>
      </c>
      <c r="R149" s="108"/>
    </row>
    <row r="150" spans="1:18" s="2" customFormat="1">
      <c r="A150" s="530"/>
      <c r="B150" s="15" t="s">
        <v>69</v>
      </c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8">
        <v>4349</v>
      </c>
      <c r="R150" s="108"/>
    </row>
    <row r="151" spans="1:18" s="2" customFormat="1">
      <c r="A151" s="530"/>
      <c r="B151" s="15" t="s">
        <v>70</v>
      </c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8">
        <v>1087</v>
      </c>
      <c r="R151" s="108"/>
    </row>
    <row r="152" spans="1:18" s="2" customFormat="1">
      <c r="A152" s="530"/>
      <c r="B152" s="15" t="s">
        <v>71</v>
      </c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8">
        <v>756</v>
      </c>
      <c r="R152" s="108"/>
    </row>
    <row r="153" spans="1:18" s="90" customFormat="1">
      <c r="A153" s="530"/>
      <c r="B153" s="81" t="s">
        <v>101</v>
      </c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>
        <f>+Q147/Q$146</f>
        <v>0.60676733676255867</v>
      </c>
      <c r="R153" s="106" t="e">
        <f>+R147/R$146</f>
        <v>#DIV/0!</v>
      </c>
    </row>
    <row r="154" spans="1:18" s="90" customFormat="1">
      <c r="A154" s="530"/>
      <c r="B154" s="81" t="s">
        <v>115</v>
      </c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>
        <f t="shared" ref="Q154:R158" si="30">+Q148/Q$146</f>
        <v>0.26076081820923969</v>
      </c>
      <c r="R154" s="106" t="e">
        <f t="shared" si="30"/>
        <v>#DIV/0!</v>
      </c>
    </row>
    <row r="155" spans="1:18" s="90" customFormat="1">
      <c r="A155" s="530"/>
      <c r="B155" s="81" t="s">
        <v>122</v>
      </c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>
        <f t="shared" si="30"/>
        <v>0.11594322825880952</v>
      </c>
      <c r="R155" s="106" t="e">
        <f t="shared" si="30"/>
        <v>#DIV/0!</v>
      </c>
    </row>
    <row r="156" spans="1:18" s="90" customFormat="1">
      <c r="A156" s="530"/>
      <c r="B156" s="81" t="s">
        <v>123</v>
      </c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>
        <f t="shared" si="30"/>
        <v>1.1609004252274954E-2</v>
      </c>
      <c r="R156" s="106" t="e">
        <f t="shared" si="30"/>
        <v>#DIV/0!</v>
      </c>
    </row>
    <row r="157" spans="1:18" s="90" customFormat="1">
      <c r="A157" s="530"/>
      <c r="B157" s="81" t="s">
        <v>124</v>
      </c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>
        <f t="shared" si="30"/>
        <v>2.9015837255053746E-3</v>
      </c>
      <c r="R157" s="106" t="e">
        <f t="shared" si="30"/>
        <v>#DIV/0!</v>
      </c>
    </row>
    <row r="158" spans="1:18" s="90" customFormat="1">
      <c r="A158" s="531"/>
      <c r="B158" s="81" t="s">
        <v>125</v>
      </c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>
        <f t="shared" si="30"/>
        <v>2.0180287916118336E-3</v>
      </c>
      <c r="R158" s="106" t="e">
        <f t="shared" si="30"/>
        <v>#DIV/0!</v>
      </c>
    </row>
  </sheetData>
  <mergeCells count="12">
    <mergeCell ref="A146:A158"/>
    <mergeCell ref="A3:A15"/>
    <mergeCell ref="A16:A28"/>
    <mergeCell ref="A29:A41"/>
    <mergeCell ref="A42:A54"/>
    <mergeCell ref="A55:A67"/>
    <mergeCell ref="A68:A80"/>
    <mergeCell ref="A81:A93"/>
    <mergeCell ref="A94:A106"/>
    <mergeCell ref="A107:A119"/>
    <mergeCell ref="A120:A132"/>
    <mergeCell ref="A133:A145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"/>
  <sheetViews>
    <sheetView showGridLines="0" topLeftCell="A342" workbookViewId="0">
      <selection activeCell="A365" sqref="A365:XFD489"/>
    </sheetView>
  </sheetViews>
  <sheetFormatPr defaultRowHeight="16.5" outlineLevelRow="1"/>
  <cols>
    <col min="1" max="1" width="4.125" style="145" customWidth="1"/>
    <col min="2" max="12" width="10.875" style="150" customWidth="1"/>
    <col min="13" max="16384" width="9" style="150"/>
  </cols>
  <sheetData>
    <row r="1" spans="1:11" s="145" customFormat="1">
      <c r="D1" s="145">
        <v>13</v>
      </c>
      <c r="E1" s="145">
        <f>D1+1</f>
        <v>14</v>
      </c>
      <c r="F1" s="145">
        <f>E1+1</f>
        <v>15</v>
      </c>
      <c r="G1" s="145">
        <f>F1+1</f>
        <v>16</v>
      </c>
      <c r="H1" s="145">
        <f>G1+1</f>
        <v>17</v>
      </c>
      <c r="I1" s="145">
        <f>H1+1</f>
        <v>18</v>
      </c>
      <c r="J1" s="358"/>
    </row>
    <row r="2" spans="1:11" ht="21">
      <c r="B2" s="192" t="s">
        <v>468</v>
      </c>
      <c r="H2" s="359">
        <f ca="1">SUM(H9:H10)</f>
        <v>283554</v>
      </c>
      <c r="I2" s="360">
        <f ca="1">SUM(I9:I10)</f>
        <v>292990.88737415982</v>
      </c>
      <c r="J2" s="361">
        <f ca="1">(I2-H2)/H2</f>
        <v>3.3280741496010714E-2</v>
      </c>
      <c r="K2" s="362">
        <f ca="1">I15+I16</f>
        <v>0.17402208270770142</v>
      </c>
    </row>
    <row r="3" spans="1:11" outlineLevel="1">
      <c r="A3" s="145">
        <v>2</v>
      </c>
      <c r="B3" s="232" t="s">
        <v>469</v>
      </c>
      <c r="C3" s="232" t="s">
        <v>470</v>
      </c>
      <c r="D3" s="232">
        <f ca="1">OFFSET(活跃!$A$1,$A3-1,D$1-1)</f>
        <v>42795</v>
      </c>
      <c r="E3" s="232">
        <f ca="1">OFFSET(活跃!$A$1,$A3-1,E$1-1)</f>
        <v>42826</v>
      </c>
      <c r="F3" s="232">
        <f ca="1">OFFSET(活跃!$A$1,$A3-1,F$1-1)</f>
        <v>42856</v>
      </c>
      <c r="G3" s="232">
        <f ca="1">OFFSET(活跃!$A$1,$A3-1,G$1-1)</f>
        <v>42887</v>
      </c>
      <c r="H3" s="232">
        <f ca="1">OFFSET(活跃!$A$1,$A3-1,H$1-1)</f>
        <v>42917</v>
      </c>
      <c r="I3" s="232">
        <f ca="1">OFFSET(活跃!$A$1,$A3-1,I$1-1)</f>
        <v>42948</v>
      </c>
      <c r="J3" s="363" t="s">
        <v>471</v>
      </c>
    </row>
    <row r="4" spans="1:11" outlineLevel="1">
      <c r="A4" s="145">
        <v>3</v>
      </c>
      <c r="B4" s="501" t="s">
        <v>472</v>
      </c>
      <c r="C4" s="364" t="s">
        <v>473</v>
      </c>
      <c r="D4" s="365">
        <f ca="1">OFFSET(活跃!$A$1,$A4-1,D$1-1)</f>
        <v>1559602</v>
      </c>
      <c r="E4" s="365">
        <f ca="1">OFFSET(活跃!$A$1,$A4-1,E$1-1)</f>
        <v>1488495</v>
      </c>
      <c r="F4" s="365">
        <f ca="1">OFFSET(活跃!$A$1,$A4-1,F$1-1)</f>
        <v>1532903</v>
      </c>
      <c r="G4" s="365">
        <f ca="1">OFFSET(活跃!$A$1,$A4-1,G$1-1)</f>
        <v>1520576</v>
      </c>
      <c r="H4" s="365">
        <f ca="1">OFFSET(活跃!$A$1,$A4-1,H$1-1)</f>
        <v>1534808</v>
      </c>
      <c r="I4" s="366">
        <f ca="1">OFFSET(活跃!$A$1,$A4-1,I$1-1)</f>
        <v>1683642</v>
      </c>
      <c r="J4" s="169">
        <f t="shared" ref="J4:J10" ca="1" si="0">(I4-H4)/H4</f>
        <v>9.6972390031847627E-2</v>
      </c>
    </row>
    <row r="5" spans="1:11" outlineLevel="1">
      <c r="A5" s="145">
        <f t="shared" ref="A5:A29" si="1">+A4+1</f>
        <v>4</v>
      </c>
      <c r="B5" s="502"/>
      <c r="C5" s="367" t="s">
        <v>65</v>
      </c>
      <c r="D5" s="368">
        <f ca="1">OFFSET(活跃!$A$1,$A5-1,D$1-1)</f>
        <v>507055</v>
      </c>
      <c r="E5" s="369">
        <f ca="1">OFFSET(活跃!$A$1,$A5-1,E$1-1)</f>
        <v>490743</v>
      </c>
      <c r="F5" s="369">
        <f ca="1">OFFSET(活跃!$A$1,$A5-1,F$1-1)</f>
        <v>493611</v>
      </c>
      <c r="G5" s="369">
        <f ca="1">OFFSET(活跃!$A$1,$A5-1,G$1-1)</f>
        <v>481934</v>
      </c>
      <c r="H5" s="368">
        <f ca="1">OFFSET(活跃!$A$1,$A5-1,H$1-1)</f>
        <v>488578</v>
      </c>
      <c r="I5" s="368">
        <f ca="1">OFFSET(活跃!$A$1,$A5-1,I$1-1)</f>
        <v>558771.92554340395</v>
      </c>
      <c r="J5" s="169">
        <f t="shared" ca="1" si="0"/>
        <v>0.14366984502659544</v>
      </c>
    </row>
    <row r="6" spans="1:11" outlineLevel="1">
      <c r="A6" s="145">
        <f t="shared" si="1"/>
        <v>5</v>
      </c>
      <c r="B6" s="502"/>
      <c r="C6" s="367" t="s">
        <v>474</v>
      </c>
      <c r="D6" s="368">
        <f ca="1">OFFSET(活跃!$A$1,$A6-1,D$1-1)</f>
        <v>302380</v>
      </c>
      <c r="E6" s="369">
        <f ca="1">OFFSET(活跃!$A$1,$A6-1,E$1-1)</f>
        <v>288661</v>
      </c>
      <c r="F6" s="369">
        <f ca="1">OFFSET(活跃!$A$1,$A6-1,F$1-1)</f>
        <v>297600</v>
      </c>
      <c r="G6" s="369">
        <f ca="1">OFFSET(活跃!$A$1,$A6-1,G$1-1)</f>
        <v>294875</v>
      </c>
      <c r="H6" s="368">
        <f ca="1">OFFSET(活跃!$A$1,$A6-1,H$1-1)</f>
        <v>298442</v>
      </c>
      <c r="I6" s="368">
        <f ca="1">OFFSET(活跃!$A$1,$A6-1,I$1-1)</f>
        <v>324821.84398550855</v>
      </c>
      <c r="J6" s="169">
        <f t="shared" ca="1" si="0"/>
        <v>8.8391861686721529E-2</v>
      </c>
    </row>
    <row r="7" spans="1:11" outlineLevel="1">
      <c r="A7" s="145">
        <f t="shared" si="1"/>
        <v>6</v>
      </c>
      <c r="B7" s="502"/>
      <c r="C7" s="367" t="s">
        <v>475</v>
      </c>
      <c r="D7" s="368">
        <f ca="1">OFFSET(活跃!$A$1,$A7-1,D$1-1)</f>
        <v>235925</v>
      </c>
      <c r="E7" s="369">
        <f ca="1">OFFSET(活跃!$A$1,$A7-1,E$1-1)</f>
        <v>229828</v>
      </c>
      <c r="F7" s="369">
        <f ca="1">OFFSET(活跃!$A$1,$A7-1,F$1-1)</f>
        <v>236219</v>
      </c>
      <c r="G7" s="369">
        <f ca="1">OFFSET(活跃!$A$1,$A7-1,G$1-1)</f>
        <v>234789</v>
      </c>
      <c r="H7" s="368">
        <f ca="1">OFFSET(活跃!$A$1,$A7-1,H$1-1)</f>
        <v>239536</v>
      </c>
      <c r="I7" s="368">
        <f ca="1">OFFSET(活跃!$A$1,$A7-1,I$1-1)</f>
        <v>259959.26998478331</v>
      </c>
      <c r="J7" s="169">
        <f t="shared" ca="1" si="0"/>
        <v>8.526179774557191E-2</v>
      </c>
    </row>
    <row r="8" spans="1:11" outlineLevel="1">
      <c r="A8" s="145">
        <f t="shared" si="1"/>
        <v>7</v>
      </c>
      <c r="B8" s="502"/>
      <c r="C8" s="367" t="s">
        <v>476</v>
      </c>
      <c r="D8" s="368">
        <f ca="1">OFFSET(活跃!$A$1,$A8-1,D$1-1)</f>
        <v>227341</v>
      </c>
      <c r="E8" s="369">
        <f ca="1">OFFSET(活跃!$A$1,$A8-1,E$1-1)</f>
        <v>220232</v>
      </c>
      <c r="F8" s="369">
        <f ca="1">OFFSET(活跃!$A$1,$A8-1,F$1-1)</f>
        <v>224207</v>
      </c>
      <c r="G8" s="369">
        <f ca="1">OFFSET(活跃!$A$1,$A8-1,G$1-1)</f>
        <v>223747</v>
      </c>
      <c r="H8" s="368">
        <f ca="1">OFFSET(活跃!$A$1,$A8-1,H$1-1)</f>
        <v>224698</v>
      </c>
      <c r="I8" s="368">
        <f ca="1">OFFSET(活跃!$A$1,$A8-1,I$1-1)</f>
        <v>239003.34818139134</v>
      </c>
      <c r="J8" s="169">
        <f t="shared" ca="1" si="0"/>
        <v>6.36647775298015E-2</v>
      </c>
    </row>
    <row r="9" spans="1:11" outlineLevel="1">
      <c r="A9" s="145">
        <f t="shared" si="1"/>
        <v>8</v>
      </c>
      <c r="B9" s="502"/>
      <c r="C9" s="367" t="s">
        <v>477</v>
      </c>
      <c r="D9" s="368">
        <f ca="1">OFFSET(活跃!$A$1,$A9-1,D$1-1)</f>
        <v>109878</v>
      </c>
      <c r="E9" s="369">
        <f ca="1">OFFSET(活跃!$A$1,$A9-1,E$1-1)</f>
        <v>108128</v>
      </c>
      <c r="F9" s="369">
        <f ca="1">OFFSET(活跃!$A$1,$A9-1,F$1-1)</f>
        <v>107965</v>
      </c>
      <c r="G9" s="369">
        <f ca="1">OFFSET(活跃!$A$1,$A9-1,G$1-1)</f>
        <v>110794</v>
      </c>
      <c r="H9" s="368">
        <f ca="1">OFFSET(活跃!$A$1,$A9-1,H$1-1)</f>
        <v>107474</v>
      </c>
      <c r="I9" s="368">
        <f ca="1">OFFSET(活跃!$A$1,$A9-1,I$1-1)</f>
        <v>122303.96620479073</v>
      </c>
      <c r="J9" s="169">
        <f t="shared" ca="1" si="0"/>
        <v>0.13798654748860872</v>
      </c>
    </row>
    <row r="10" spans="1:11" outlineLevel="1">
      <c r="A10" s="145">
        <f t="shared" si="1"/>
        <v>9</v>
      </c>
      <c r="B10" s="502"/>
      <c r="C10" s="367" t="s">
        <v>71</v>
      </c>
      <c r="D10" s="368">
        <f ca="1">OFFSET(活跃!$A$1,$A10-1,D$1-1)</f>
        <v>177023</v>
      </c>
      <c r="E10" s="369">
        <f ca="1">OFFSET(活跃!$A$1,$A10-1,E$1-1)</f>
        <v>150903</v>
      </c>
      <c r="F10" s="369">
        <f ca="1">OFFSET(活跃!$A$1,$A10-1,F$1-1)</f>
        <v>173301</v>
      </c>
      <c r="G10" s="369">
        <f ca="1">OFFSET(活跃!$A$1,$A10-1,G$1-1)</f>
        <v>174437</v>
      </c>
      <c r="H10" s="368">
        <f ca="1">OFFSET(活跃!$A$1,$A10-1,H$1-1)</f>
        <v>176080</v>
      </c>
      <c r="I10" s="368">
        <f ca="1">OFFSET(活跃!$A$1,$A10-1,I$1-1)</f>
        <v>170686.92116936907</v>
      </c>
      <c r="J10" s="169">
        <f t="shared" ca="1" si="0"/>
        <v>-3.0628571278003894E-2</v>
      </c>
    </row>
    <row r="11" spans="1:11" outlineLevel="1">
      <c r="A11" s="145">
        <f t="shared" si="1"/>
        <v>10</v>
      </c>
      <c r="B11" s="502"/>
      <c r="C11" s="280" t="s">
        <v>65</v>
      </c>
      <c r="D11" s="370">
        <f ca="1">OFFSET(活跃!$A$1,$A11-1,D$1-1)</f>
        <v>0.325118203233902</v>
      </c>
      <c r="E11" s="370">
        <f ca="1">OFFSET(活跃!$A$1,$A11-1,E$1-1)</f>
        <v>0.32969072788286152</v>
      </c>
      <c r="F11" s="370">
        <f ca="1">OFFSET(活跃!$A$1,$A11-1,F$1-1)</f>
        <v>0.32201059036351287</v>
      </c>
      <c r="G11" s="370">
        <f ca="1">OFFSET(活跃!$A$1,$A11-1,G$1-1)</f>
        <v>0.31694173786775537</v>
      </c>
      <c r="H11" s="370">
        <f ca="1">OFFSET(活跃!$A$1,$A11-1,H$1-1)</f>
        <v>0.31833167405955665</v>
      </c>
      <c r="I11" s="158">
        <f ca="1">OFFSET(活跃!$A$1,$A11-1,I$1-1)</f>
        <v>0.33188286199999995</v>
      </c>
      <c r="J11" s="169">
        <f t="shared" ref="J11:J16" ca="1" si="2">I11-H11</f>
        <v>1.3551187940443299E-2</v>
      </c>
    </row>
    <row r="12" spans="1:11" outlineLevel="1">
      <c r="A12" s="145">
        <f t="shared" si="1"/>
        <v>11</v>
      </c>
      <c r="B12" s="502"/>
      <c r="C12" s="280" t="s">
        <v>474</v>
      </c>
      <c r="D12" s="370">
        <f ca="1">OFFSET(活跃!$A$1,$A12-1,D$1-1)</f>
        <v>0.19388279830366978</v>
      </c>
      <c r="E12" s="370">
        <f ca="1">OFFSET(活跃!$A$1,$A12-1,E$1-1)</f>
        <v>0.19392809515651716</v>
      </c>
      <c r="F12" s="370">
        <f ca="1">OFFSET(活跃!$A$1,$A12-1,F$1-1)</f>
        <v>0.19414144273969064</v>
      </c>
      <c r="G12" s="370">
        <f ca="1">OFFSET(活跃!$A$1,$A12-1,G$1-1)</f>
        <v>0.19392322383096933</v>
      </c>
      <c r="H12" s="370">
        <f ca="1">OFFSET(活跃!$A$1,$A12-1,H$1-1)</f>
        <v>0.19444907766964989</v>
      </c>
      <c r="I12" s="158">
        <f ca="1">OFFSET(活跃!$A$1,$A12-1,I$1-1)</f>
        <v>0.19292809515651696</v>
      </c>
      <c r="J12" s="169">
        <f t="shared" ca="1" si="2"/>
        <v>-1.5209825131329291E-3</v>
      </c>
    </row>
    <row r="13" spans="1:11" outlineLevel="1">
      <c r="A13" s="145">
        <f t="shared" si="1"/>
        <v>12</v>
      </c>
      <c r="B13" s="502"/>
      <c r="C13" s="280" t="s">
        <v>475</v>
      </c>
      <c r="D13" s="370">
        <f ca="1">OFFSET(活跃!$A$1,$A13-1,D$1-1)</f>
        <v>0.15127256825779911</v>
      </c>
      <c r="E13" s="370">
        <f ca="1">OFFSET(活跃!$A$1,$A13-1,E$1-1)</f>
        <v>0.15440293719495196</v>
      </c>
      <c r="F13" s="370">
        <f ca="1">OFFSET(活跃!$A$1,$A13-1,F$1-1)</f>
        <v>0.154099117817631</v>
      </c>
      <c r="G13" s="370">
        <f ca="1">OFFSET(活跃!$A$1,$A13-1,G$1-1)</f>
        <v>0.15440793488783197</v>
      </c>
      <c r="H13" s="370">
        <f ca="1">OFFSET(活跃!$A$1,$A13-1,H$1-1)</f>
        <v>0.15606903273894845</v>
      </c>
      <c r="I13" s="158">
        <f ca="1">OFFSET(活跃!$A$1,$A13-1,I$1-1)</f>
        <v>0.15440293719495196</v>
      </c>
      <c r="J13" s="169">
        <f t="shared" ca="1" si="2"/>
        <v>-1.6660955439964931E-3</v>
      </c>
    </row>
    <row r="14" spans="1:11" outlineLevel="1">
      <c r="A14" s="145">
        <f t="shared" si="1"/>
        <v>13</v>
      </c>
      <c r="B14" s="502"/>
      <c r="C14" s="280" t="s">
        <v>476</v>
      </c>
      <c r="D14" s="370">
        <f ca="1">OFFSET(活跃!$A$1,$A14-1,D$1-1)</f>
        <v>0.14576859993767641</v>
      </c>
      <c r="E14" s="370">
        <f ca="1">OFFSET(活跃!$A$1,$A14-1,E$1-1)</f>
        <v>0.14795615705796794</v>
      </c>
      <c r="F14" s="370">
        <f ca="1">OFFSET(活跃!$A$1,$A14-1,F$1-1)</f>
        <v>0.14626300555221042</v>
      </c>
      <c r="G14" s="370">
        <f ca="1">OFFSET(活跃!$A$1,$A14-1,G$1-1)</f>
        <v>0.14714621301401573</v>
      </c>
      <c r="H14" s="370">
        <f ca="1">OFFSET(活跃!$A$1,$A14-1,H$1-1)</f>
        <v>0.14640137398293468</v>
      </c>
      <c r="I14" s="158">
        <f ca="1">OFFSET(活跃!$A$1,$A14-1,I$1-1)</f>
        <v>0.14195615705796799</v>
      </c>
      <c r="J14" s="169">
        <f t="shared" ca="1" si="2"/>
        <v>-4.4452169249666884E-3</v>
      </c>
    </row>
    <row r="15" spans="1:11" outlineLevel="1">
      <c r="A15" s="145">
        <f t="shared" si="1"/>
        <v>14</v>
      </c>
      <c r="B15" s="502"/>
      <c r="C15" s="280" t="s">
        <v>477</v>
      </c>
      <c r="D15" s="370">
        <f ca="1">OFFSET(活跃!$A$1,$A15-1,D$1-1)</f>
        <v>7.0452589827404682E-2</v>
      </c>
      <c r="E15" s="370">
        <f ca="1">OFFSET(活跃!$A$1,$A15-1,E$1-1)</f>
        <v>7.264250131844581E-2</v>
      </c>
      <c r="F15" s="370">
        <f ca="1">OFFSET(活跃!$A$1,$A15-1,F$1-1)</f>
        <v>7.0431723338006388E-2</v>
      </c>
      <c r="G15" s="370">
        <f ca="1">OFFSET(活跃!$A$1,$A15-1,G$1-1)</f>
        <v>7.2863178164064138E-2</v>
      </c>
      <c r="H15" s="370">
        <f ca="1">OFFSET(活跃!$A$1,$A15-1,H$1-1)</f>
        <v>7.0024393930706641E-2</v>
      </c>
      <c r="I15" s="158">
        <f ca="1">OFFSET(活跃!$A$1,$A15-1,I$1-1)</f>
        <v>7.264250131844581E-2</v>
      </c>
      <c r="J15" s="169">
        <f t="shared" ca="1" si="2"/>
        <v>2.6181073877391686E-3</v>
      </c>
    </row>
    <row r="16" spans="1:11" outlineLevel="1">
      <c r="A16" s="145">
        <f t="shared" si="1"/>
        <v>15</v>
      </c>
      <c r="B16" s="502"/>
      <c r="C16" s="280" t="s">
        <v>71</v>
      </c>
      <c r="D16" s="370">
        <f ca="1">OFFSET(活跃!$A$1,$A16-1,D$1-1)</f>
        <v>0.11350524043954804</v>
      </c>
      <c r="E16" s="370">
        <f ca="1">OFFSET(活跃!$A$1,$A16-1,E$1-1)</f>
        <v>0.1013795813892556</v>
      </c>
      <c r="F16" s="370">
        <f ca="1">OFFSET(活跃!$A$1,$A16-1,F$1-1)</f>
        <v>0.11305412018894868</v>
      </c>
      <c r="G16" s="370">
        <f ca="1">OFFSET(活跃!$A$1,$A16-1,G$1-1)</f>
        <v>0.11471771223536344</v>
      </c>
      <c r="H16" s="370">
        <f ca="1">OFFSET(活跃!$A$1,$A16-1,H$1-1)</f>
        <v>0.1147244476182037</v>
      </c>
      <c r="I16" s="158">
        <f ca="1">OFFSET(活跃!$A$1,$A16-1,I$1-1)</f>
        <v>0.1013795813892556</v>
      </c>
      <c r="J16" s="169">
        <f t="shared" ca="1" si="2"/>
        <v>-1.3344866228948107E-2</v>
      </c>
    </row>
    <row r="17" spans="1:11" outlineLevel="1">
      <c r="A17" s="145">
        <f t="shared" si="1"/>
        <v>16</v>
      </c>
      <c r="B17" s="501" t="s">
        <v>478</v>
      </c>
      <c r="C17" s="364" t="s">
        <v>473</v>
      </c>
      <c r="D17" s="365">
        <f ca="1">OFFSET(活跃!$A$1,$A17-1,D$1-1)</f>
        <v>2879791</v>
      </c>
      <c r="E17" s="365">
        <f ca="1">OFFSET(活跃!$A$1,$A17-1,E$1-1)</f>
        <v>2454866</v>
      </c>
      <c r="F17" s="365">
        <f ca="1">OFFSET(活跃!$A$1,$A17-1,F$1-1)</f>
        <v>2952354</v>
      </c>
      <c r="G17" s="365">
        <f ca="1">OFFSET(活跃!$A$1,$A17-1,G$1-1)</f>
        <v>2520707</v>
      </c>
      <c r="H17" s="365">
        <f ca="1">OFFSET(活跃!$A$1,$A17-1,H$1-1)</f>
        <v>3001652</v>
      </c>
      <c r="I17" s="366">
        <f ca="1">OFFSET(活跃!$A$1,$A17-1,I$1-1)</f>
        <v>3228626</v>
      </c>
      <c r="J17" s="169">
        <f t="shared" ref="J17:J23" ca="1" si="3">(I17-H17)/H17</f>
        <v>7.5616360590768011E-2</v>
      </c>
    </row>
    <row r="18" spans="1:11" outlineLevel="1">
      <c r="A18" s="145">
        <f t="shared" si="1"/>
        <v>17</v>
      </c>
      <c r="B18" s="502"/>
      <c r="C18" s="367" t="s">
        <v>65</v>
      </c>
      <c r="D18" s="368">
        <f ca="1">OFFSET(活跃!$A$1,$A18-1,D$1-1)</f>
        <v>1978661</v>
      </c>
      <c r="E18" s="369">
        <f ca="1">OFFSET(活跃!$A$1,$A18-1,E$1-1)</f>
        <v>1640883</v>
      </c>
      <c r="F18" s="369">
        <f ca="1">OFFSET(活跃!$A$1,$A18-1,F$1-1)</f>
        <v>2068639</v>
      </c>
      <c r="G18" s="369">
        <f ca="1">OFFSET(活跃!$A$1,$A18-1,G$1-1)</f>
        <v>1664085</v>
      </c>
      <c r="H18" s="368">
        <f ca="1">OFFSET(活跃!$A$1,$A18-1,H$1-1)</f>
        <v>2059244</v>
      </c>
      <c r="I18" s="368">
        <f ca="1">OFFSET(活跃!$A$1,$A18-1,I$1-1)</f>
        <v>2260986</v>
      </c>
      <c r="J18" s="169">
        <f t="shared" ca="1" si="3"/>
        <v>9.7968963367138617E-2</v>
      </c>
    </row>
    <row r="19" spans="1:11" outlineLevel="1">
      <c r="A19" s="145">
        <f t="shared" si="1"/>
        <v>18</v>
      </c>
      <c r="B19" s="502"/>
      <c r="C19" s="367" t="s">
        <v>474</v>
      </c>
      <c r="D19" s="368">
        <f ca="1">OFFSET(活跃!$A$1,$A19-1,D$1-1)</f>
        <v>456882</v>
      </c>
      <c r="E19" s="369">
        <f ca="1">OFFSET(活跃!$A$1,$A19-1,E$1-1)</f>
        <v>412609</v>
      </c>
      <c r="F19" s="369">
        <f ca="1">OFFSET(活跃!$A$1,$A19-1,F$1-1)</f>
        <v>438034</v>
      </c>
      <c r="G19" s="369">
        <f ca="1">OFFSET(活跃!$A$1,$A19-1,G$1-1)</f>
        <v>421607</v>
      </c>
      <c r="H19" s="368">
        <f ca="1">OFFSET(活跃!$A$1,$A19-1,H$1-1)</f>
        <v>468655</v>
      </c>
      <c r="I19" s="368">
        <f ca="1">OFFSET(活跃!$A$1,$A19-1,I$1-1)</f>
        <v>461249</v>
      </c>
      <c r="J19" s="169">
        <f t="shared" ca="1" si="3"/>
        <v>-1.5802669340986439E-2</v>
      </c>
    </row>
    <row r="20" spans="1:11" outlineLevel="1">
      <c r="A20" s="145">
        <f t="shared" si="1"/>
        <v>19</v>
      </c>
      <c r="B20" s="502"/>
      <c r="C20" s="367" t="s">
        <v>475</v>
      </c>
      <c r="D20" s="368">
        <f ca="1">OFFSET(活跃!$A$1,$A20-1,D$1-1)</f>
        <v>226593</v>
      </c>
      <c r="E20" s="369">
        <f ca="1">OFFSET(活跃!$A$1,$A20-1,E$1-1)</f>
        <v>210061</v>
      </c>
      <c r="F20" s="369">
        <f ca="1">OFFSET(活跃!$A$1,$A20-1,F$1-1)</f>
        <v>228294</v>
      </c>
      <c r="G20" s="369">
        <f ca="1">OFFSET(活跃!$A$1,$A20-1,G$1-1)</f>
        <v>222746</v>
      </c>
      <c r="H20" s="368">
        <f ca="1">OFFSET(活跃!$A$1,$A20-1,H$1-1)</f>
        <v>245799</v>
      </c>
      <c r="I20" s="368">
        <f ca="1">OFFSET(活跃!$A$1,$A20-1,I$1-1)</f>
        <v>256149</v>
      </c>
      <c r="J20" s="169">
        <f t="shared" ca="1" si="3"/>
        <v>4.2107575702098055E-2</v>
      </c>
    </row>
    <row r="21" spans="1:11" outlineLevel="1">
      <c r="A21" s="145">
        <f t="shared" si="1"/>
        <v>20</v>
      </c>
      <c r="B21" s="502"/>
      <c r="C21" s="367" t="s">
        <v>476</v>
      </c>
      <c r="D21" s="369">
        <f ca="1">OFFSET(活跃!$A$1,$A21-1,D$1-1)</f>
        <v>141435</v>
      </c>
      <c r="E21" s="369">
        <f ca="1">OFFSET(活跃!$A$1,$A21-1,E$1-1)</f>
        <v>127920</v>
      </c>
      <c r="F21" s="369">
        <f ca="1">OFFSET(活跃!$A$1,$A21-1,F$1-1)</f>
        <v>142667</v>
      </c>
      <c r="G21" s="369">
        <f ca="1">OFFSET(活跃!$A$1,$A21-1,G$1-1)</f>
        <v>140469</v>
      </c>
      <c r="H21" s="368">
        <f ca="1">OFFSET(活跃!$A$1,$A21-1,H$1-1)</f>
        <v>151627</v>
      </c>
      <c r="I21" s="368">
        <f ca="1">OFFSET(活跃!$A$1,$A21-1,I$1-1)</f>
        <v>162760</v>
      </c>
      <c r="J21" s="169">
        <f t="shared" ca="1" si="3"/>
        <v>7.3423598699440068E-2</v>
      </c>
    </row>
    <row r="22" spans="1:11" outlineLevel="1">
      <c r="A22" s="145">
        <f t="shared" si="1"/>
        <v>21</v>
      </c>
      <c r="B22" s="502"/>
      <c r="C22" s="367" t="s">
        <v>477</v>
      </c>
      <c r="D22" s="369">
        <f ca="1">OFFSET(活跃!$A$1,$A22-1,D$1-1)</f>
        <v>42313</v>
      </c>
      <c r="E22" s="369">
        <f ca="1">OFFSET(活跃!$A$1,$A22-1,E$1-1)</f>
        <v>36966</v>
      </c>
      <c r="F22" s="369">
        <f ca="1">OFFSET(活跃!$A$1,$A22-1,F$1-1)</f>
        <v>42418</v>
      </c>
      <c r="G22" s="369">
        <f ca="1">OFFSET(活跃!$A$1,$A22-1,G$1-1)</f>
        <v>41143</v>
      </c>
      <c r="H22" s="369">
        <f ca="1">OFFSET(活跃!$A$1,$A22-1,H$1-1)</f>
        <v>43413</v>
      </c>
      <c r="I22" s="368">
        <f ca="1">OFFSET(活跃!$A$1,$A22-1,I$1-1)</f>
        <v>50024</v>
      </c>
      <c r="J22" s="169">
        <f t="shared" ca="1" si="3"/>
        <v>0.15228157464353995</v>
      </c>
    </row>
    <row r="23" spans="1:11" outlineLevel="1">
      <c r="A23" s="145">
        <f t="shared" si="1"/>
        <v>22</v>
      </c>
      <c r="B23" s="502"/>
      <c r="C23" s="367" t="s">
        <v>71</v>
      </c>
      <c r="D23" s="369">
        <f ca="1">OFFSET(活跃!$A$1,$A23-1,D$1-1)</f>
        <v>33907</v>
      </c>
      <c r="E23" s="369">
        <f ca="1">OFFSET(活跃!$A$1,$A23-1,E$1-1)</f>
        <v>26427</v>
      </c>
      <c r="F23" s="369">
        <f ca="1">OFFSET(活跃!$A$1,$A23-1,F$1-1)</f>
        <v>32302</v>
      </c>
      <c r="G23" s="369">
        <f ca="1">OFFSET(活跃!$A$1,$A23-1,G$1-1)</f>
        <v>30657</v>
      </c>
      <c r="H23" s="369">
        <f ca="1">OFFSET(活跃!$A$1,$A23-1,H$1-1)</f>
        <v>32914</v>
      </c>
      <c r="I23" s="368">
        <f ca="1">OFFSET(活跃!$A$1,$A23-1,I$1-1)</f>
        <v>37458</v>
      </c>
      <c r="J23" s="169">
        <f t="shared" ca="1" si="3"/>
        <v>0.13805675396487815</v>
      </c>
    </row>
    <row r="24" spans="1:11" outlineLevel="1">
      <c r="A24" s="145">
        <f t="shared" si="1"/>
        <v>23</v>
      </c>
      <c r="B24" s="502"/>
      <c r="C24" s="280" t="s">
        <v>65</v>
      </c>
      <c r="D24" s="370">
        <f ca="1">OFFSET(活跃!$A$1,$A24-1,D$1-1)</f>
        <v>0.68708493081615996</v>
      </c>
      <c r="E24" s="370">
        <f ca="1">OFFSET(活跃!$A$1,$A24-1,E$1-1)</f>
        <v>0.6684205981100394</v>
      </c>
      <c r="F24" s="370">
        <f ca="1">OFFSET(活跃!$A$1,$A24-1,F$1-1)</f>
        <v>0.70067444486670638</v>
      </c>
      <c r="G24" s="370">
        <f ca="1">OFFSET(活跃!$A$1,$A24-1,G$1-1)</f>
        <v>0.66016597724368598</v>
      </c>
      <c r="H24" s="370">
        <f ca="1">OFFSET(活跃!$A$1,$A24-1,H$1-1)</f>
        <v>0.68603688901977977</v>
      </c>
      <c r="I24" s="158">
        <f ca="1">OFFSET(活跃!$A$1,$A24-1,I$1-1)</f>
        <v>0.70029356140971422</v>
      </c>
      <c r="J24" s="169">
        <f t="shared" ref="J24:J29" ca="1" si="4">I24-H24</f>
        <v>1.4256672389934444E-2</v>
      </c>
    </row>
    <row r="25" spans="1:11" outlineLevel="1">
      <c r="A25" s="145">
        <f t="shared" si="1"/>
        <v>24</v>
      </c>
      <c r="B25" s="502"/>
      <c r="C25" s="280" t="s">
        <v>474</v>
      </c>
      <c r="D25" s="370">
        <f ca="1">OFFSET(活跃!$A$1,$A25-1,D$1-1)</f>
        <v>0.15865109655527085</v>
      </c>
      <c r="E25" s="370">
        <f ca="1">OFFSET(活跃!$A$1,$A25-1,E$1-1)</f>
        <v>0.16807801321945881</v>
      </c>
      <c r="F25" s="370">
        <f ca="1">OFFSET(活跃!$A$1,$A25-1,F$1-1)</f>
        <v>0.14836770929231385</v>
      </c>
      <c r="G25" s="370">
        <f ca="1">OFFSET(活跃!$A$1,$A25-1,G$1-1)</f>
        <v>0.16725744007534393</v>
      </c>
      <c r="H25" s="370">
        <f ca="1">OFFSET(活跃!$A$1,$A25-1,H$1-1)</f>
        <v>0.15613235644904871</v>
      </c>
      <c r="I25" s="158">
        <f ca="1">OFFSET(活跃!$A$1,$A25-1,I$1-1)</f>
        <v>0.14286231976078989</v>
      </c>
      <c r="J25" s="169">
        <f t="shared" ca="1" si="4"/>
        <v>-1.3270036688258824E-2</v>
      </c>
    </row>
    <row r="26" spans="1:11" outlineLevel="1">
      <c r="A26" s="145">
        <f t="shared" si="1"/>
        <v>25</v>
      </c>
      <c r="B26" s="502"/>
      <c r="C26" s="280" t="s">
        <v>475</v>
      </c>
      <c r="D26" s="370">
        <f ca="1">OFFSET(活跃!$A$1,$A26-1,D$1-1)</f>
        <v>7.8683835042195768E-2</v>
      </c>
      <c r="E26" s="370">
        <f ca="1">OFFSET(活跃!$A$1,$A26-1,E$1-1)</f>
        <v>8.5569232699463024E-2</v>
      </c>
      <c r="F26" s="370">
        <f ca="1">OFFSET(活跃!$A$1,$A26-1,F$1-1)</f>
        <v>7.7326093009171662E-2</v>
      </c>
      <c r="G26" s="370">
        <f ca="1">OFFSET(活跃!$A$1,$A26-1,G$1-1)</f>
        <v>8.8366478134904211E-2</v>
      </c>
      <c r="H26" s="370">
        <f ca="1">OFFSET(活跃!$A$1,$A26-1,H$1-1)</f>
        <v>8.1887907059179407E-2</v>
      </c>
      <c r="I26" s="158">
        <f ca="1">OFFSET(活跃!$A$1,$A26-1,I$1-1)</f>
        <v>7.9336844837401416E-2</v>
      </c>
      <c r="J26" s="169">
        <f t="shared" ca="1" si="4"/>
        <v>-2.5510622217779916E-3</v>
      </c>
    </row>
    <row r="27" spans="1:11" outlineLevel="1">
      <c r="A27" s="145">
        <f t="shared" si="1"/>
        <v>26</v>
      </c>
      <c r="B27" s="502"/>
      <c r="C27" s="280" t="s">
        <v>476</v>
      </c>
      <c r="D27" s="370">
        <f ca="1">OFFSET(活跃!$A$1,$A27-1,D$1-1)</f>
        <v>4.9112939098705427E-2</v>
      </c>
      <c r="E27" s="370">
        <f ca="1">OFFSET(活跃!$A$1,$A27-1,E$1-1)</f>
        <v>5.2108750538725941E-2</v>
      </c>
      <c r="F27" s="370">
        <f ca="1">OFFSET(活跃!$A$1,$A27-1,F$1-1)</f>
        <v>4.8323134691842511E-2</v>
      </c>
      <c r="G27" s="370">
        <f ca="1">OFFSET(活跃!$A$1,$A27-1,G$1-1)</f>
        <v>5.5726032418682535E-2</v>
      </c>
      <c r="H27" s="370">
        <f ca="1">OFFSET(活跃!$A$1,$A27-1,H$1-1)</f>
        <v>5.0514516672818838E-2</v>
      </c>
      <c r="I27" s="158">
        <f ca="1">OFFSET(活跃!$A$1,$A27-1,I$1-1)</f>
        <v>5.0411537291714804E-2</v>
      </c>
      <c r="J27" s="169">
        <f t="shared" ca="1" si="4"/>
        <v>-1.0297938110403332E-4</v>
      </c>
    </row>
    <row r="28" spans="1:11" outlineLevel="1">
      <c r="A28" s="145">
        <f t="shared" si="1"/>
        <v>27</v>
      </c>
      <c r="B28" s="502"/>
      <c r="C28" s="280" t="s">
        <v>477</v>
      </c>
      <c r="D28" s="370">
        <f ca="1">OFFSET(活跃!$A$1,$A28-1,D$1-1)</f>
        <v>1.46930801575531E-2</v>
      </c>
      <c r="E28" s="370">
        <f ca="1">OFFSET(活跃!$A$1,$A28-1,E$1-1)</f>
        <v>1.5058255725567099E-2</v>
      </c>
      <c r="F28" s="370">
        <f ca="1">OFFSET(活跃!$A$1,$A28-1,F$1-1)</f>
        <v>1.4367518258311842E-2</v>
      </c>
      <c r="G28" s="370">
        <f ca="1">OFFSET(活跃!$A$1,$A28-1,G$1-1)</f>
        <v>1.6322008071545008E-2</v>
      </c>
      <c r="H28" s="370">
        <f ca="1">OFFSET(活跃!$A$1,$A28-1,H$1-1)</f>
        <v>1.4463035688347616E-2</v>
      </c>
      <c r="I28" s="158">
        <f ca="1">OFFSET(活跃!$A$1,$A28-1,I$1-1)</f>
        <v>1.5493897404035029E-2</v>
      </c>
      <c r="J28" s="169">
        <f t="shared" ca="1" si="4"/>
        <v>1.0308617156874131E-3</v>
      </c>
    </row>
    <row r="29" spans="1:11" outlineLevel="1">
      <c r="A29" s="145">
        <f t="shared" si="1"/>
        <v>28</v>
      </c>
      <c r="B29" s="503"/>
      <c r="C29" s="280" t="s">
        <v>71</v>
      </c>
      <c r="D29" s="370">
        <f ca="1">OFFSET(活跃!$A$1,$A29-1,D$1-1)</f>
        <v>1.1774118330114929E-2</v>
      </c>
      <c r="E29" s="370">
        <f ca="1">OFFSET(活跃!$A$1,$A29-1,E$1-1)</f>
        <v>1.0765149706745704E-2</v>
      </c>
      <c r="F29" s="370">
        <f ca="1">OFFSET(活跃!$A$1,$A29-1,F$1-1)</f>
        <v>1.0941099881653758E-2</v>
      </c>
      <c r="G29" s="370">
        <f ca="1">OFFSET(活跃!$A$1,$A29-1,G$1-1)</f>
        <v>1.2162064055838303E-2</v>
      </c>
      <c r="H29" s="370">
        <f ca="1">OFFSET(活跃!$A$1,$A29-1,H$1-1)</f>
        <v>1.0965295110825638E-2</v>
      </c>
      <c r="I29" s="158">
        <f ca="1">OFFSET(活跃!$A$1,$A29-1,I$1-1)</f>
        <v>1.1601839296344637E-2</v>
      </c>
      <c r="J29" s="169">
        <f t="shared" ca="1" si="4"/>
        <v>6.3654418551899877E-4</v>
      </c>
    </row>
    <row r="30" spans="1:11" outlineLevel="1">
      <c r="H30" s="359">
        <f ca="1">SUM(H21:H23)</f>
        <v>227954</v>
      </c>
      <c r="I30" s="359">
        <f ca="1">SUM(I21:I23)</f>
        <v>250242</v>
      </c>
      <c r="J30" s="361">
        <f ca="1">(I30-H30)/H30</f>
        <v>9.7774112320906853E-2</v>
      </c>
      <c r="K30" s="362">
        <f ca="1">SUM(I27:I29)</f>
        <v>7.7507273992094464E-2</v>
      </c>
    </row>
    <row r="31" spans="1:11" s="182" customFormat="1" outlineLevel="1">
      <c r="A31" s="145"/>
    </row>
    <row r="32" spans="1:11" s="182" customFormat="1" outlineLevel="1">
      <c r="A32" s="145"/>
      <c r="B32" s="173" t="s">
        <v>479</v>
      </c>
      <c r="C32" s="173"/>
      <c r="D32" s="173"/>
      <c r="E32" s="173"/>
      <c r="F32" s="175"/>
      <c r="G32" s="175"/>
      <c r="H32" s="175"/>
      <c r="I32" s="175"/>
      <c r="J32" s="175"/>
      <c r="K32" s="175"/>
    </row>
    <row r="33" spans="1:21" s="176" customFormat="1" ht="20.25" customHeight="1" outlineLevel="1">
      <c r="A33" s="282"/>
      <c r="B33" s="177" t="str">
        <f ca="1">"登录："&amp;TEXT(I4/10000,"0")&amp;"万人("&amp;IF(J4&gt;0,"+","")&amp;TEXT(J4,"0.0%")&amp;")"</f>
        <v>登录：168万人(+9.7%)</v>
      </c>
      <c r="H33" s="371"/>
      <c r="I33" s="371"/>
      <c r="J33" s="372"/>
      <c r="K33" s="373"/>
    </row>
    <row r="34" spans="1:21" s="176" customFormat="1" ht="20.25" customHeight="1" outlineLevel="1">
      <c r="A34" s="282"/>
      <c r="B34" s="177" t="str">
        <f ca="1" xml:space="preserve"> "   1天："&amp;TEXT(I5/10000,"0")&amp;"万人("&amp;IF(J5&gt;0,"+","")&amp;TEXT(J5,"0%")&amp;")，占比"&amp;TEXT(I11,"0.0%")</f>
        <v xml:space="preserve">   1天：56万人(+14%)，占比33.2%</v>
      </c>
      <c r="H34" s="371"/>
      <c r="I34" s="371"/>
      <c r="J34" s="372"/>
      <c r="K34" s="373"/>
    </row>
    <row r="35" spans="1:21" s="177" customFormat="1" ht="20.25" customHeight="1" outlineLevel="1">
      <c r="A35" s="282"/>
      <c r="B35" s="177" t="str">
        <f ca="1" xml:space="preserve"> "   16天以上："&amp;TEXT(I2/10000,"0")&amp;"万人("&amp;IF(J2&gt;0,"+","")&amp;TEXT(J2,"0.0%")&amp;")，占比"&amp;TEXT(K2,"0.0%")</f>
        <v xml:space="preserve">   16天以上：29万人(+3.3%)，占比17.4%</v>
      </c>
      <c r="C35" s="176"/>
      <c r="D35" s="176"/>
      <c r="E35" s="176"/>
      <c r="F35" s="176"/>
      <c r="G35" s="176"/>
      <c r="H35" s="371"/>
      <c r="I35" s="371"/>
      <c r="J35" s="372"/>
      <c r="K35" s="373"/>
    </row>
    <row r="36" spans="1:21" outlineLevel="1">
      <c r="H36" s="374"/>
      <c r="I36" s="374"/>
      <c r="J36" s="375"/>
    </row>
    <row r="37" spans="1:21" outlineLevel="1">
      <c r="H37" s="374"/>
      <c r="I37" s="374"/>
      <c r="J37" s="375"/>
    </row>
    <row r="38" spans="1:21" outlineLevel="1">
      <c r="H38" s="374"/>
      <c r="I38" s="374"/>
      <c r="J38" s="375"/>
    </row>
    <row r="39" spans="1:21" ht="20.25" outlineLevel="1">
      <c r="H39" s="374"/>
      <c r="I39" s="374"/>
      <c r="J39" s="375"/>
      <c r="Q39" s="376"/>
      <c r="R39" s="377"/>
      <c r="S39" s="377"/>
      <c r="T39" s="377"/>
      <c r="U39" s="376"/>
    </row>
    <row r="40" spans="1:21" ht="20.25" outlineLevel="1">
      <c r="H40" s="374"/>
      <c r="I40" s="374"/>
      <c r="J40" s="375"/>
      <c r="Q40" s="376"/>
      <c r="R40" s="377"/>
      <c r="S40" s="377"/>
      <c r="T40" s="377"/>
      <c r="U40" s="376"/>
    </row>
    <row r="41" spans="1:21" ht="20.25" outlineLevel="1">
      <c r="H41" s="374"/>
      <c r="I41" s="374"/>
      <c r="J41" s="375"/>
      <c r="Q41" s="376"/>
      <c r="R41" s="377"/>
      <c r="S41" s="377"/>
      <c r="T41" s="377"/>
      <c r="U41" s="377"/>
    </row>
    <row r="42" spans="1:21" outlineLevel="1">
      <c r="H42" s="374"/>
      <c r="I42" s="374"/>
      <c r="J42" s="375"/>
    </row>
    <row r="43" spans="1:21" outlineLevel="1">
      <c r="H43" s="374"/>
      <c r="I43" s="374"/>
      <c r="J43" s="375"/>
    </row>
    <row r="44" spans="1:21" outlineLevel="1">
      <c r="H44" s="374"/>
      <c r="I44" s="374"/>
      <c r="J44" s="375"/>
    </row>
    <row r="45" spans="1:21" outlineLevel="1">
      <c r="H45" s="374"/>
      <c r="I45" s="374"/>
      <c r="J45" s="375"/>
    </row>
    <row r="46" spans="1:21" outlineLevel="1">
      <c r="H46" s="374"/>
      <c r="I46" s="374"/>
      <c r="J46" s="375"/>
    </row>
    <row r="47" spans="1:21" outlineLevel="1">
      <c r="H47" s="374"/>
      <c r="I47" s="374"/>
      <c r="J47" s="375"/>
    </row>
    <row r="48" spans="1:21" outlineLevel="1">
      <c r="H48" s="374"/>
      <c r="I48" s="374"/>
      <c r="J48" s="375"/>
    </row>
    <row r="49" spans="1:17" outlineLevel="1">
      <c r="H49" s="374"/>
      <c r="I49" s="374"/>
      <c r="J49" s="375"/>
    </row>
    <row r="50" spans="1:17" outlineLevel="1"/>
    <row r="51" spans="1:17" outlineLevel="1">
      <c r="B51" s="173" t="s">
        <v>480</v>
      </c>
      <c r="C51" s="173"/>
      <c r="D51" s="173"/>
      <c r="E51" s="173"/>
      <c r="F51" s="175"/>
      <c r="G51" s="175"/>
      <c r="H51" s="175"/>
      <c r="I51" s="175"/>
      <c r="J51" s="175"/>
      <c r="K51" s="175"/>
    </row>
    <row r="52" spans="1:17" s="176" customFormat="1" ht="20.25" customHeight="1" outlineLevel="1">
      <c r="A52" s="282"/>
      <c r="B52" s="177" t="str">
        <f ca="1">"匿名："&amp;TEXT(I17/10000,"0")&amp;"万人("&amp;IF(J17&gt;0,"+","")&amp;TEXT(J17,"00.0%")&amp;")"</f>
        <v>匿名：323万人(+07.6%)</v>
      </c>
      <c r="H52" s="371"/>
      <c r="I52" s="371"/>
      <c r="J52" s="372"/>
      <c r="K52" s="373"/>
    </row>
    <row r="53" spans="1:17" s="176" customFormat="1" ht="20.25" customHeight="1" outlineLevel="1">
      <c r="A53" s="282"/>
      <c r="B53" s="177" t="str">
        <f ca="1" xml:space="preserve"> "   超8天："&amp;TEXT(I30/10000,"0")&amp;"万人("&amp;IF(J30&gt;0,"+","")&amp;TEXT(J30,"0.0%")&amp;")，占比"&amp;TEXT(K30,"0.0%")</f>
        <v xml:space="preserve">   超8天：25万人(+9.8%)，占比7.8%</v>
      </c>
      <c r="H53" s="371"/>
      <c r="I53" s="371"/>
      <c r="J53" s="372"/>
      <c r="K53" s="373"/>
    </row>
    <row r="54" spans="1:17" outlineLevel="1"/>
    <row r="55" spans="1:17" outlineLevel="1">
      <c r="H55" s="374"/>
      <c r="I55" s="374"/>
      <c r="J55" s="375"/>
    </row>
    <row r="56" spans="1:17" outlineLevel="1">
      <c r="H56" s="374"/>
      <c r="I56" s="374"/>
      <c r="J56" s="375"/>
    </row>
    <row r="57" spans="1:17" ht="20.25" outlineLevel="1">
      <c r="H57" s="374"/>
      <c r="I57" s="374"/>
      <c r="J57" s="375"/>
      <c r="Q57" s="376"/>
    </row>
    <row r="58" spans="1:17" ht="20.25" outlineLevel="1">
      <c r="H58" s="374"/>
      <c r="I58" s="374"/>
      <c r="J58" s="375"/>
      <c r="Q58" s="376"/>
    </row>
    <row r="59" spans="1:17" outlineLevel="1">
      <c r="H59" s="374"/>
      <c r="I59" s="374"/>
      <c r="J59" s="375"/>
    </row>
    <row r="60" spans="1:17" outlineLevel="1">
      <c r="H60" s="374"/>
      <c r="I60" s="374"/>
      <c r="J60" s="375"/>
    </row>
    <row r="61" spans="1:17" outlineLevel="1">
      <c r="H61" s="374"/>
      <c r="I61" s="374"/>
      <c r="J61" s="375"/>
    </row>
    <row r="62" spans="1:17" outlineLevel="1">
      <c r="H62" s="374"/>
      <c r="I62" s="374"/>
      <c r="J62" s="375"/>
    </row>
    <row r="63" spans="1:17" outlineLevel="1">
      <c r="H63" s="374"/>
      <c r="I63" s="374"/>
      <c r="J63" s="375"/>
    </row>
    <row r="64" spans="1:17" outlineLevel="1">
      <c r="H64" s="374"/>
      <c r="I64" s="374"/>
      <c r="J64" s="375"/>
    </row>
    <row r="65" spans="1:14" outlineLevel="1">
      <c r="H65" s="374"/>
      <c r="I65" s="374"/>
      <c r="J65" s="375"/>
    </row>
    <row r="66" spans="1:14" outlineLevel="1">
      <c r="H66" s="374"/>
      <c r="I66" s="374"/>
      <c r="J66" s="375"/>
    </row>
    <row r="67" spans="1:14" outlineLevel="1">
      <c r="H67" s="374"/>
      <c r="I67" s="374"/>
      <c r="J67" s="375"/>
    </row>
    <row r="68" spans="1:14" outlineLevel="1">
      <c r="H68" s="374"/>
      <c r="I68" s="374"/>
      <c r="J68" s="375"/>
    </row>
    <row r="69" spans="1:14">
      <c r="H69" s="374"/>
      <c r="I69" s="374"/>
      <c r="J69" s="375"/>
    </row>
    <row r="70" spans="1:14" ht="21">
      <c r="B70" s="192" t="s">
        <v>481</v>
      </c>
      <c r="H70" s="374"/>
      <c r="I70" s="374"/>
      <c r="J70" s="375"/>
    </row>
    <row r="71" spans="1:14" outlineLevel="1">
      <c r="A71" s="145">
        <v>2</v>
      </c>
      <c r="B71" s="232" t="s">
        <v>469</v>
      </c>
      <c r="C71" s="232" t="s">
        <v>470</v>
      </c>
      <c r="D71" s="232">
        <f ca="1">OFFSET(活跃!$A$1,$A71-1,D$1-1)</f>
        <v>42795</v>
      </c>
      <c r="E71" s="232">
        <f ca="1">OFFSET(活跃!$A$1,$A71-1,E$1-1)</f>
        <v>42826</v>
      </c>
      <c r="F71" s="232">
        <f ca="1">OFFSET(活跃!$A$1,$A71-1,F$1-1)</f>
        <v>42856</v>
      </c>
      <c r="G71" s="232">
        <f ca="1">OFFSET(活跃!$A$1,$A71-1,G$1-1)</f>
        <v>42887</v>
      </c>
      <c r="H71" s="232">
        <f ca="1">OFFSET(活跃!$A$1,$A71-1,H$1-1)</f>
        <v>42917</v>
      </c>
      <c r="I71" s="232">
        <f ca="1">OFFSET(活跃!$A$1,$A71-1,I$1-1)</f>
        <v>42948</v>
      </c>
      <c r="J71" s="363" t="s">
        <v>482</v>
      </c>
    </row>
    <row r="72" spans="1:14" outlineLevel="1">
      <c r="A72" s="145">
        <v>68</v>
      </c>
      <c r="B72" s="501" t="s">
        <v>483</v>
      </c>
      <c r="C72" s="378" t="s">
        <v>473</v>
      </c>
      <c r="D72" s="365">
        <f ca="1">OFFSET(活跃!$A$1,$A72-1,D$1-1)</f>
        <v>1461014</v>
      </c>
      <c r="E72" s="365">
        <f ca="1">OFFSET(活跃!$A$1,$A72-1,E$1-1)</f>
        <v>1408589</v>
      </c>
      <c r="F72" s="365">
        <f ca="1">OFFSET(活跃!$A$1,$A72-1,F$1-1)</f>
        <v>1458645</v>
      </c>
      <c r="G72" s="365">
        <f ca="1">OFFSET(活跃!$A$1,$A72-1,G$1-1)</f>
        <v>1448931</v>
      </c>
      <c r="H72" s="365">
        <f ca="1">OFFSET(活跃!$A$1,$A72-1,H$1-1)</f>
        <v>1462619</v>
      </c>
      <c r="I72" s="365">
        <f ca="1">OFFSET(活跃!$A$1,$A72-1,I$1-1)</f>
        <v>1528286</v>
      </c>
      <c r="J72" s="169">
        <f t="shared" ref="J72:J78" ca="1" si="5">(I72-H72)/H72</f>
        <v>4.4896859674323934E-2</v>
      </c>
    </row>
    <row r="73" spans="1:14" outlineLevel="1">
      <c r="A73" s="145">
        <f t="shared" ref="A73:A97" si="6">+A72+1</f>
        <v>69</v>
      </c>
      <c r="B73" s="502"/>
      <c r="C73" s="379" t="s">
        <v>65</v>
      </c>
      <c r="D73" s="380">
        <f ca="1">OFFSET(活跃!$A$1,$A73-1,D$1-1)</f>
        <v>460782</v>
      </c>
      <c r="E73" s="381">
        <f ca="1">OFFSET(活跃!$A$1,$A73-1,E$1-1)</f>
        <v>453078</v>
      </c>
      <c r="F73" s="381">
        <f ca="1">OFFSET(活跃!$A$1,$A73-1,F$1-1)</f>
        <v>458949</v>
      </c>
      <c r="G73" s="381">
        <f ca="1">OFFSET(活跃!$A$1,$A73-1,G$1-1)</f>
        <v>447978</v>
      </c>
      <c r="H73" s="381">
        <f ca="1">OFFSET(活跃!$A$1,$A73-1,H$1-1)</f>
        <v>457247</v>
      </c>
      <c r="I73" s="368">
        <f ca="1">OFFSET(活跃!$A$1,$A73-1,I$1-1)</f>
        <v>470321</v>
      </c>
      <c r="J73" s="169">
        <f t="shared" ca="1" si="5"/>
        <v>2.8592861188810423E-2</v>
      </c>
      <c r="K73" s="382">
        <f ca="1">+I73-H73</f>
        <v>13074</v>
      </c>
      <c r="L73" s="383">
        <f ca="1">+I349</f>
        <v>0</v>
      </c>
      <c r="M73" s="384">
        <f ca="1">+L73/K73</f>
        <v>0</v>
      </c>
      <c r="N73" s="384">
        <f ca="1">+L73/I73</f>
        <v>0</v>
      </c>
    </row>
    <row r="74" spans="1:14" outlineLevel="1">
      <c r="A74" s="145">
        <f t="shared" si="6"/>
        <v>70</v>
      </c>
      <c r="B74" s="502"/>
      <c r="C74" s="379" t="s">
        <v>474</v>
      </c>
      <c r="D74" s="380">
        <f ca="1">OFFSET(活跃!$A$1,$A74-1,D$1-1)</f>
        <v>282335</v>
      </c>
      <c r="E74" s="381">
        <f ca="1">OFFSET(活跃!$A$1,$A74-1,E$1-1)</f>
        <v>272357</v>
      </c>
      <c r="F74" s="381">
        <f ca="1">OFFSET(活跃!$A$1,$A74-1,F$1-1)</f>
        <v>281776</v>
      </c>
      <c r="G74" s="381">
        <f ca="1">OFFSET(活跃!$A$1,$A74-1,G$1-1)</f>
        <v>280204</v>
      </c>
      <c r="H74" s="381">
        <f ca="1">OFFSET(活跃!$A$1,$A74-1,H$1-1)</f>
        <v>284261</v>
      </c>
      <c r="I74" s="368">
        <f ca="1">OFFSET(活跃!$A$1,$A74-1,I$1-1)</f>
        <v>299951</v>
      </c>
      <c r="J74" s="169">
        <f t="shared" ca="1" si="5"/>
        <v>5.5195753198644906E-2</v>
      </c>
    </row>
    <row r="75" spans="1:14" outlineLevel="1">
      <c r="A75" s="145">
        <f t="shared" si="6"/>
        <v>71</v>
      </c>
      <c r="B75" s="502"/>
      <c r="C75" s="379" t="s">
        <v>475</v>
      </c>
      <c r="D75" s="381">
        <f ca="1">OFFSET(活跃!$A$1,$A75-1,D$1-1)</f>
        <v>224379</v>
      </c>
      <c r="E75" s="381">
        <f ca="1">OFFSET(活跃!$A$1,$A75-1,E$1-1)</f>
        <v>220516</v>
      </c>
      <c r="F75" s="381">
        <f ca="1">OFFSET(活跃!$A$1,$A75-1,F$1-1)</f>
        <v>227869</v>
      </c>
      <c r="G75" s="381">
        <f ca="1">OFFSET(活跃!$A$1,$A75-1,G$1-1)</f>
        <v>226925</v>
      </c>
      <c r="H75" s="381">
        <f ca="1">OFFSET(活跃!$A$1,$A75-1,H$1-1)</f>
        <v>231145</v>
      </c>
      <c r="I75" s="368">
        <f ca="1">OFFSET(活跃!$A$1,$A75-1,I$1-1)</f>
        <v>244222</v>
      </c>
      <c r="J75" s="169">
        <f t="shared" ca="1" si="5"/>
        <v>5.6574877241558331E-2</v>
      </c>
    </row>
    <row r="76" spans="1:14" outlineLevel="1">
      <c r="A76" s="145">
        <f t="shared" si="6"/>
        <v>72</v>
      </c>
      <c r="B76" s="502"/>
      <c r="C76" s="379" t="s">
        <v>476</v>
      </c>
      <c r="D76" s="381">
        <f ca="1">OFFSET(活跃!$A$1,$A76-1,D$1-1)</f>
        <v>218779</v>
      </c>
      <c r="E76" s="381">
        <f ca="1">OFFSET(活跃!$A$1,$A76-1,E$1-1)</f>
        <v>213474</v>
      </c>
      <c r="F76" s="381">
        <f ca="1">OFFSET(活跃!$A$1,$A76-1,F$1-1)</f>
        <v>218439</v>
      </c>
      <c r="G76" s="381">
        <f ca="1">OFFSET(活跃!$A$1,$A76-1,G$1-1)</f>
        <v>218136</v>
      </c>
      <c r="H76" s="381">
        <f ca="1">OFFSET(活跃!$A$1,$A76-1,H$1-1)</f>
        <v>217404</v>
      </c>
      <c r="I76" s="368">
        <f ca="1">OFFSET(活跃!$A$1,$A76-1,I$1-1)</f>
        <v>230291</v>
      </c>
      <c r="J76" s="169">
        <f t="shared" ca="1" si="5"/>
        <v>5.9276738238486872E-2</v>
      </c>
    </row>
    <row r="77" spans="1:14" outlineLevel="1">
      <c r="A77" s="145">
        <f t="shared" si="6"/>
        <v>73</v>
      </c>
      <c r="B77" s="502"/>
      <c r="C77" s="379" t="s">
        <v>477</v>
      </c>
      <c r="D77" s="381">
        <f ca="1">OFFSET(活跃!$A$1,$A77-1,D$1-1)</f>
        <v>106193</v>
      </c>
      <c r="E77" s="381">
        <f ca="1">OFFSET(活跃!$A$1,$A77-1,E$1-1)</f>
        <v>105283</v>
      </c>
      <c r="F77" s="381">
        <f ca="1">OFFSET(活跃!$A$1,$A77-1,F$1-1)</f>
        <v>105577</v>
      </c>
      <c r="G77" s="381">
        <f ca="1">OFFSET(活跃!$A$1,$A77-1,G$1-1)</f>
        <v>108078</v>
      </c>
      <c r="H77" s="381">
        <f ca="1">OFFSET(活跃!$A$1,$A77-1,H$1-1)</f>
        <v>104002</v>
      </c>
      <c r="I77" s="368">
        <f ca="1">OFFSET(活跃!$A$1,$A77-1,I$1-1)</f>
        <v>110387</v>
      </c>
      <c r="J77" s="169">
        <f t="shared" ca="1" si="5"/>
        <v>6.1393050133651275E-2</v>
      </c>
    </row>
    <row r="78" spans="1:14" outlineLevel="1">
      <c r="A78" s="145">
        <f t="shared" si="6"/>
        <v>74</v>
      </c>
      <c r="B78" s="502"/>
      <c r="C78" s="379" t="s">
        <v>71</v>
      </c>
      <c r="D78" s="380">
        <f ca="1">OFFSET(活跃!$A$1,$A78-1,D$1-1)</f>
        <v>168546</v>
      </c>
      <c r="E78" s="381">
        <f ca="1">OFFSET(活跃!$A$1,$A78-1,E$1-1)</f>
        <v>143881</v>
      </c>
      <c r="F78" s="381">
        <f ca="1">OFFSET(活跃!$A$1,$A78-1,F$1-1)</f>
        <v>166035</v>
      </c>
      <c r="G78" s="381">
        <f ca="1">OFFSET(活跃!$A$1,$A78-1,G$1-1)</f>
        <v>167610</v>
      </c>
      <c r="H78" s="381">
        <f ca="1">OFFSET(活跃!$A$1,$A78-1,H$1-1)</f>
        <v>168560</v>
      </c>
      <c r="I78" s="368">
        <f ca="1">OFFSET(活跃!$A$1,$A78-1,I$1-1)</f>
        <v>173114</v>
      </c>
      <c r="J78" s="169">
        <f t="shared" ca="1" si="5"/>
        <v>2.7017085904129094E-2</v>
      </c>
      <c r="K78" s="361">
        <f ca="1">(SUM(I77:I78)-SUM(H77:H78))/SUM(H77:H78)</f>
        <v>4.0133987863311835E-2</v>
      </c>
    </row>
    <row r="79" spans="1:14" outlineLevel="1">
      <c r="A79" s="145">
        <f t="shared" si="6"/>
        <v>75</v>
      </c>
      <c r="B79" s="502"/>
      <c r="C79" s="385" t="s">
        <v>484</v>
      </c>
      <c r="D79" s="281">
        <f ca="1">OFFSET(活跃!$A$1,$A79-1,D$1-1)</f>
        <v>0.3153850681786759</v>
      </c>
      <c r="E79" s="281">
        <f ca="1">OFFSET(活跃!$A$1,$A79-1,E$1-1)</f>
        <v>0.32165379681369088</v>
      </c>
      <c r="F79" s="281">
        <f ca="1">OFFSET(活跃!$A$1,$A79-1,F$1-1)</f>
        <v>0.31464064251411411</v>
      </c>
      <c r="G79" s="281">
        <f ca="1">OFFSET(活跃!$A$1,$A79-1,G$1-1)</f>
        <v>0.30917828385202606</v>
      </c>
      <c r="H79" s="281">
        <f ca="1">OFFSET(活跃!$A$1,$A79-1,H$1-1)</f>
        <v>0.31262208408341474</v>
      </c>
      <c r="I79" s="235">
        <f ca="1">OFFSET(活跃!$A$1,$A79-1,I$1-1)</f>
        <v>0.30774410025348659</v>
      </c>
      <c r="J79" s="169">
        <f t="shared" ref="J79:J84" ca="1" si="7">I79-H79</f>
        <v>-4.8779838299281564E-3</v>
      </c>
    </row>
    <row r="80" spans="1:14" outlineLevel="1">
      <c r="A80" s="145">
        <f t="shared" si="6"/>
        <v>76</v>
      </c>
      <c r="B80" s="502"/>
      <c r="C80" s="385" t="s">
        <v>485</v>
      </c>
      <c r="D80" s="281">
        <f ca="1">OFFSET(活跃!$A$1,$A80-1,D$1-1)</f>
        <v>0.19324592372147015</v>
      </c>
      <c r="E80" s="281">
        <f ca="1">OFFSET(活跃!$A$1,$A80-1,E$1-1)</f>
        <v>0.19335448452316467</v>
      </c>
      <c r="F80" s="281">
        <f ca="1">OFFSET(活跃!$A$1,$A80-1,F$1-1)</f>
        <v>0.19317654398431422</v>
      </c>
      <c r="G80" s="281">
        <f ca="1">OFFSET(活跃!$A$1,$A80-1,G$1-1)</f>
        <v>0.19338671061630955</v>
      </c>
      <c r="H80" s="281">
        <f ca="1">OFFSET(活跃!$A$1,$A80-1,H$1-1)</f>
        <v>0.19435068189323398</v>
      </c>
      <c r="I80" s="281">
        <f ca="1">OFFSET(活跃!$A$1,$A80-1,I$1-1)</f>
        <v>0.19626627476794264</v>
      </c>
      <c r="J80" s="169">
        <f t="shared" ca="1" si="7"/>
        <v>1.9155928747086604E-3</v>
      </c>
    </row>
    <row r="81" spans="1:11" outlineLevel="1">
      <c r="A81" s="145">
        <f t="shared" si="6"/>
        <v>77</v>
      </c>
      <c r="B81" s="502"/>
      <c r="C81" s="385" t="s">
        <v>486</v>
      </c>
      <c r="D81" s="281">
        <f ca="1">OFFSET(活跃!$A$1,$A81-1,D$1-1)</f>
        <v>0.15357758378769815</v>
      </c>
      <c r="E81" s="281">
        <f ca="1">OFFSET(活跃!$A$1,$A81-1,E$1-1)</f>
        <v>0.15655098825846289</v>
      </c>
      <c r="F81" s="281">
        <f ca="1">OFFSET(活跃!$A$1,$A81-1,F$1-1)</f>
        <v>0.15621964220218079</v>
      </c>
      <c r="G81" s="281">
        <f ca="1">OFFSET(活跃!$A$1,$A81-1,G$1-1)</f>
        <v>0.15661546340025853</v>
      </c>
      <c r="H81" s="281">
        <f ca="1">OFFSET(活跃!$A$1,$A81-1,H$1-1)</f>
        <v>0.15803500433127152</v>
      </c>
      <c r="I81" s="281">
        <f ca="1">OFFSET(活跃!$A$1,$A81-1,I$1-1)</f>
        <v>0.15980124139068211</v>
      </c>
      <c r="J81" s="169">
        <f t="shared" ca="1" si="7"/>
        <v>1.7662370594105914E-3</v>
      </c>
    </row>
    <row r="82" spans="1:11" outlineLevel="1">
      <c r="A82" s="145">
        <f t="shared" si="6"/>
        <v>78</v>
      </c>
      <c r="B82" s="502"/>
      <c r="C82" s="385" t="s">
        <v>487</v>
      </c>
      <c r="D82" s="281">
        <f ca="1">OFFSET(活跃!$A$1,$A82-1,D$1-1)</f>
        <v>0.14974462941491321</v>
      </c>
      <c r="E82" s="281">
        <f ca="1">OFFSET(活跃!$A$1,$A82-1,E$1-1)</f>
        <v>0.15155165914258878</v>
      </c>
      <c r="F82" s="281">
        <f ca="1">OFFSET(活跃!$A$1,$A82-1,F$1-1)</f>
        <v>0.14975473813025103</v>
      </c>
      <c r="G82" s="281">
        <f ca="1">OFFSET(活跃!$A$1,$A82-1,G$1-1)</f>
        <v>0.15054961209332948</v>
      </c>
      <c r="H82" s="281">
        <f ca="1">OFFSET(活跃!$A$1,$A82-1,H$1-1)</f>
        <v>0.14864021320658352</v>
      </c>
      <c r="I82" s="281">
        <f ca="1">OFFSET(活跃!$A$1,$A82-1,I$1-1)</f>
        <v>0.15068580095610376</v>
      </c>
      <c r="J82" s="169">
        <f t="shared" ca="1" si="7"/>
        <v>2.045587749520239E-3</v>
      </c>
    </row>
    <row r="83" spans="1:11" outlineLevel="1">
      <c r="A83" s="145">
        <f t="shared" si="6"/>
        <v>79</v>
      </c>
      <c r="B83" s="502"/>
      <c r="C83" s="385" t="s">
        <v>488</v>
      </c>
      <c r="D83" s="281">
        <f ca="1">OFFSET(活跃!$A$1,$A83-1,D$1-1)</f>
        <v>7.2684450662348202E-2</v>
      </c>
      <c r="E83" s="281">
        <f ca="1">OFFSET(活跃!$A$1,$A83-1,E$1-1)</f>
        <v>7.4743590926806894E-2</v>
      </c>
      <c r="F83" s="281">
        <f ca="1">OFFSET(活跃!$A$1,$A83-1,F$1-1)</f>
        <v>7.238018846258E-2</v>
      </c>
      <c r="G83" s="281">
        <f ca="1">OFFSET(活跃!$A$1,$A83-1,G$1-1)</f>
        <v>7.4591543696697779E-2</v>
      </c>
      <c r="H83" s="281">
        <f ca="1">OFFSET(活跃!$A$1,$A83-1,H$1-1)</f>
        <v>7.1106692857128201E-2</v>
      </c>
      <c r="I83" s="235">
        <f ca="1">OFFSET(活跃!$A$1,$A83-1,I$1-1)</f>
        <v>7.2229281692039321E-2</v>
      </c>
      <c r="J83" s="169">
        <f t="shared" ca="1" si="7"/>
        <v>1.1225888349111202E-3</v>
      </c>
    </row>
    <row r="84" spans="1:11" outlineLevel="1">
      <c r="A84" s="145">
        <f t="shared" si="6"/>
        <v>80</v>
      </c>
      <c r="B84" s="503"/>
      <c r="C84" s="385" t="s">
        <v>489</v>
      </c>
      <c r="D84" s="281">
        <f ca="1">OFFSET(活跃!$A$1,$A84-1,D$1-1)</f>
        <v>0.1153623442348944</v>
      </c>
      <c r="E84" s="281">
        <f ca="1">OFFSET(活跃!$A$1,$A84-1,E$1-1)</f>
        <v>0.10214548033528588</v>
      </c>
      <c r="F84" s="281">
        <f ca="1">OFFSET(活跃!$A$1,$A84-1,F$1-1)</f>
        <v>0.11382824470655986</v>
      </c>
      <c r="G84" s="281">
        <f ca="1">OFFSET(活跃!$A$1,$A84-1,G$1-1)</f>
        <v>0.11567838634137857</v>
      </c>
      <c r="H84" s="281">
        <f ca="1">OFFSET(活跃!$A$1,$A84-1,H$1-1)</f>
        <v>0.11524532362836802</v>
      </c>
      <c r="I84" s="235">
        <f ca="1">OFFSET(活跃!$A$1,$A84-1,I$1-1)</f>
        <v>0.11327330093974557</v>
      </c>
      <c r="J84" s="169">
        <f t="shared" ca="1" si="7"/>
        <v>-1.9720226886224546E-3</v>
      </c>
    </row>
    <row r="85" spans="1:11" outlineLevel="1">
      <c r="A85" s="145">
        <f t="shared" si="6"/>
        <v>81</v>
      </c>
      <c r="B85" s="528" t="s">
        <v>490</v>
      </c>
      <c r="C85" s="364" t="s">
        <v>473</v>
      </c>
      <c r="D85" s="365">
        <f ca="1">OFFSET(活跃!$A$1,$A85-1,D$1-1)</f>
        <v>740143</v>
      </c>
      <c r="E85" s="365">
        <f ca="1">OFFSET(活跃!$A$1,$A85-1,E$1-1)</f>
        <v>630690</v>
      </c>
      <c r="F85" s="365">
        <f ca="1">OFFSET(活跃!$A$1,$A85-1,F$1-1)</f>
        <v>652775</v>
      </c>
      <c r="G85" s="365">
        <f ca="1">OFFSET(活跃!$A$1,$A85-1,G$1-1)</f>
        <v>617800</v>
      </c>
      <c r="H85" s="365">
        <f ca="1">OFFSET(活跃!$A$1,$A85-1,H$1-1)</f>
        <v>601325</v>
      </c>
      <c r="I85" s="366">
        <f ca="1">OFFSET(活跃!$A$1,$A85-1,I$1-1)</f>
        <v>609080</v>
      </c>
      <c r="J85" s="169">
        <f t="shared" ref="J85:J91" ca="1" si="8">(I85-H85)/H85</f>
        <v>1.2896520184592359E-2</v>
      </c>
    </row>
    <row r="86" spans="1:11" outlineLevel="1">
      <c r="A86" s="145">
        <f t="shared" si="6"/>
        <v>82</v>
      </c>
      <c r="B86" s="528"/>
      <c r="C86" s="197" t="s">
        <v>65</v>
      </c>
      <c r="D86" s="368">
        <f ca="1">OFFSET(活跃!$A$1,$A86-1,D$1-1)</f>
        <v>335227</v>
      </c>
      <c r="E86" s="386">
        <f ca="1">OFFSET(活跃!$A$1,$A86-1,E$1-1)</f>
        <v>306312</v>
      </c>
      <c r="F86" s="386">
        <f ca="1">OFFSET(活跃!$A$1,$A86-1,F$1-1)</f>
        <v>317660</v>
      </c>
      <c r="G86" s="386">
        <f ca="1">OFFSET(活跃!$A$1,$A86-1,G$1-1)</f>
        <v>300751</v>
      </c>
      <c r="H86" s="368">
        <f ca="1">OFFSET(活跃!$A$1,$A86-1,H$1-1)</f>
        <v>305714</v>
      </c>
      <c r="I86" s="368">
        <f ca="1">OFFSET(活跃!$A$1,$A86-1,I$1-1)</f>
        <v>312932</v>
      </c>
      <c r="J86" s="169">
        <f t="shared" ca="1" si="8"/>
        <v>2.3610302439534991E-2</v>
      </c>
    </row>
    <row r="87" spans="1:11" outlineLevel="1">
      <c r="A87" s="145">
        <f t="shared" si="6"/>
        <v>83</v>
      </c>
      <c r="B87" s="528"/>
      <c r="C87" s="197" t="s">
        <v>474</v>
      </c>
      <c r="D87" s="368">
        <f ca="1">OFFSET(活跃!$A$1,$A87-1,D$1-1)</f>
        <v>196877</v>
      </c>
      <c r="E87" s="386">
        <f ca="1">OFFSET(活跃!$A$1,$A87-1,E$1-1)</f>
        <v>171797</v>
      </c>
      <c r="F87" s="387">
        <f ca="1">OFFSET(活跃!$A$1,$A87-1,F$1-1)</f>
        <v>177058</v>
      </c>
      <c r="G87" s="386">
        <f ca="1">OFFSET(活跃!$A$1,$A87-1,G$1-1)</f>
        <v>166117</v>
      </c>
      <c r="H87" s="368">
        <f ca="1">OFFSET(活跃!$A$1,$A87-1,H$1-1)</f>
        <v>160788</v>
      </c>
      <c r="I87" s="368">
        <f ca="1">OFFSET(活跃!$A$1,$A87-1,I$1-1)</f>
        <v>168727</v>
      </c>
      <c r="J87" s="169">
        <f t="shared" ca="1" si="8"/>
        <v>4.9375575291688435E-2</v>
      </c>
    </row>
    <row r="88" spans="1:11" outlineLevel="1">
      <c r="A88" s="145">
        <f t="shared" si="6"/>
        <v>84</v>
      </c>
      <c r="B88" s="528"/>
      <c r="C88" s="197" t="s">
        <v>475</v>
      </c>
      <c r="D88" s="368">
        <f ca="1">OFFSET(活跃!$A$1,$A88-1,D$1-1)</f>
        <v>120680</v>
      </c>
      <c r="E88" s="386">
        <f ca="1">OFFSET(活跃!$A$1,$A88-1,E$1-1)</f>
        <v>93860</v>
      </c>
      <c r="F88" s="386">
        <f ca="1">OFFSET(活跃!$A$1,$A88-1,F$1-1)</f>
        <v>97026</v>
      </c>
      <c r="G88" s="386">
        <f ca="1">OFFSET(活跃!$A$1,$A88-1,G$1-1)</f>
        <v>91911</v>
      </c>
      <c r="H88" s="368">
        <f ca="1">OFFSET(活跃!$A$1,$A88-1,H$1-1)</f>
        <v>83447</v>
      </c>
      <c r="I88" s="368">
        <f ca="1">OFFSET(活跃!$A$1,$A88-1,I$1-1)</f>
        <v>80276</v>
      </c>
      <c r="J88" s="169">
        <f t="shared" ca="1" si="8"/>
        <v>-3.8000167771160137E-2</v>
      </c>
    </row>
    <row r="89" spans="1:11" outlineLevel="1">
      <c r="A89" s="145">
        <f t="shared" si="6"/>
        <v>85</v>
      </c>
      <c r="B89" s="528"/>
      <c r="C89" s="197" t="s">
        <v>476</v>
      </c>
      <c r="D89" s="368">
        <f ca="1">OFFSET(活跃!$A$1,$A89-1,D$1-1)</f>
        <v>62296</v>
      </c>
      <c r="E89" s="386">
        <f ca="1">OFFSET(活跃!$A$1,$A89-1,E$1-1)</f>
        <v>42287</v>
      </c>
      <c r="F89" s="386">
        <f ca="1">OFFSET(活跃!$A$1,$A89-1,F$1-1)</f>
        <v>43341</v>
      </c>
      <c r="G89" s="386">
        <f ca="1">OFFSET(活跃!$A$1,$A89-1,G$1-1)</f>
        <v>42387</v>
      </c>
      <c r="H89" s="368">
        <f ca="1">OFFSET(活跃!$A$1,$A89-1,H$1-1)</f>
        <v>36062</v>
      </c>
      <c r="I89" s="368">
        <f ca="1">OFFSET(活跃!$A$1,$A89-1,I$1-1)</f>
        <v>33060</v>
      </c>
      <c r="J89" s="169">
        <f t="shared" ca="1" si="8"/>
        <v>-8.3245521601685982E-2</v>
      </c>
    </row>
    <row r="90" spans="1:11" outlineLevel="1">
      <c r="A90" s="145">
        <f t="shared" si="6"/>
        <v>86</v>
      </c>
      <c r="B90" s="528"/>
      <c r="C90" s="197" t="s">
        <v>477</v>
      </c>
      <c r="D90" s="386">
        <f ca="1">OFFSET(活跃!$A$1,$A90-1,D$1-1)</f>
        <v>13944</v>
      </c>
      <c r="E90" s="386">
        <f ca="1">OFFSET(活跃!$A$1,$A90-1,E$1-1)</f>
        <v>8934</v>
      </c>
      <c r="F90" s="386">
        <f ca="1">OFFSET(活跃!$A$1,$A90-1,F$1-1)</f>
        <v>9278</v>
      </c>
      <c r="G90" s="386">
        <f ca="1">OFFSET(活跃!$A$1,$A90-1,G$1-1)</f>
        <v>9248</v>
      </c>
      <c r="H90" s="386">
        <f ca="1">OFFSET(活跃!$A$1,$A90-1,H$1-1)</f>
        <v>8014</v>
      </c>
      <c r="I90" s="388">
        <f ca="1">OFFSET(活跃!$A$1,$A90-1,I$1-1)</f>
        <v>7290</v>
      </c>
      <c r="J90" s="169">
        <f t="shared" ca="1" si="8"/>
        <v>-9.0341901672073871E-2</v>
      </c>
    </row>
    <row r="91" spans="1:11" outlineLevel="1">
      <c r="A91" s="145">
        <f t="shared" si="6"/>
        <v>87</v>
      </c>
      <c r="B91" s="528"/>
      <c r="C91" s="197" t="s">
        <v>71</v>
      </c>
      <c r="D91" s="386">
        <f ca="1">OFFSET(活跃!$A$1,$A91-1,D$1-1)</f>
        <v>11119</v>
      </c>
      <c r="E91" s="386">
        <f ca="1">OFFSET(活跃!$A$1,$A91-1,E$1-1)</f>
        <v>7500</v>
      </c>
      <c r="F91" s="386">
        <f ca="1">OFFSET(活跃!$A$1,$A91-1,F$1-1)</f>
        <v>8412</v>
      </c>
      <c r="G91" s="386">
        <f ca="1">OFFSET(活跃!$A$1,$A91-1,G$1-1)</f>
        <v>7386</v>
      </c>
      <c r="H91" s="386">
        <f ca="1">OFFSET(活跃!$A$1,$A91-1,H$1-1)</f>
        <v>7300</v>
      </c>
      <c r="I91" s="388">
        <f ca="1">OFFSET(活跃!$A$1,$A91-1,I$1-1)</f>
        <v>6795</v>
      </c>
      <c r="J91" s="169">
        <f t="shared" ca="1" si="8"/>
        <v>-6.9178082191780815E-2</v>
      </c>
      <c r="K91" s="389">
        <f ca="1">(SUM(I90:I91)-SUM(H90:H91))/SUM(H90:H91)</f>
        <v>-8.0253362935875663E-2</v>
      </c>
    </row>
    <row r="92" spans="1:11" outlineLevel="1">
      <c r="A92" s="145">
        <f t="shared" si="6"/>
        <v>88</v>
      </c>
      <c r="B92" s="528"/>
      <c r="C92" s="280" t="s">
        <v>484</v>
      </c>
      <c r="D92" s="370">
        <f ca="1">OFFSET(活跃!$A$1,$A92-1,D$1-1)</f>
        <v>0.45292193535573533</v>
      </c>
      <c r="E92" s="370">
        <f ca="1">OFFSET(活跃!$A$1,$A92-1,E$1-1)</f>
        <v>0.48567759120962756</v>
      </c>
      <c r="F92" s="370">
        <f ca="1">OFFSET(活跃!$A$1,$A92-1,F$1-1)</f>
        <v>0.48663015587300373</v>
      </c>
      <c r="G92" s="370">
        <f ca="1">OFFSET(活跃!$A$1,$A92-1,G$1-1)</f>
        <v>0.48680964713499514</v>
      </c>
      <c r="H92" s="370">
        <f ca="1">OFFSET(活跃!$A$1,$A92-1,H$1-1)</f>
        <v>0.50840061530786185</v>
      </c>
      <c r="I92" s="158">
        <f ca="1">OFFSET(活跃!$A$1,$A92-1,I$1-1)</f>
        <v>0.51377815722072639</v>
      </c>
      <c r="J92" s="169">
        <f t="shared" ref="J92:J97" ca="1" si="9">I92-H92</f>
        <v>5.3775419128645474E-3</v>
      </c>
    </row>
    <row r="93" spans="1:11" outlineLevel="1">
      <c r="A93" s="145">
        <f t="shared" si="6"/>
        <v>89</v>
      </c>
      <c r="B93" s="528"/>
      <c r="C93" s="280" t="s">
        <v>485</v>
      </c>
      <c r="D93" s="370">
        <f ca="1">OFFSET(活跃!$A$1,$A93-1,D$1-1)</f>
        <v>0.26599859756830774</v>
      </c>
      <c r="E93" s="370">
        <f ca="1">OFFSET(活跃!$A$1,$A93-1,E$1-1)</f>
        <v>0.27239531306981241</v>
      </c>
      <c r="F93" s="370">
        <f ca="1">OFFSET(活跃!$A$1,$A93-1,F$1-1)</f>
        <v>0.27123894144230398</v>
      </c>
      <c r="G93" s="370">
        <f ca="1">OFFSET(活跃!$A$1,$A93-1,G$1-1)</f>
        <v>0.2688847523470379</v>
      </c>
      <c r="H93" s="370">
        <f ca="1">OFFSET(活跃!$A$1,$A93-1,H$1-1)</f>
        <v>0.26738951482143597</v>
      </c>
      <c r="I93" s="370">
        <f ca="1">OFFSET(活跃!$A$1,$A93-1,I$1-1)</f>
        <v>0.27701943915413413</v>
      </c>
      <c r="J93" s="169">
        <f t="shared" ca="1" si="9"/>
        <v>9.6299243326981587E-3</v>
      </c>
    </row>
    <row r="94" spans="1:11" outlineLevel="1">
      <c r="A94" s="145">
        <f t="shared" si="6"/>
        <v>90</v>
      </c>
      <c r="B94" s="528"/>
      <c r="C94" s="280" t="s">
        <v>486</v>
      </c>
      <c r="D94" s="370">
        <f ca="1">OFFSET(活跃!$A$1,$A94-1,D$1-1)</f>
        <v>0.16304957285281357</v>
      </c>
      <c r="E94" s="370">
        <f ca="1">OFFSET(活跃!$A$1,$A94-1,E$1-1)</f>
        <v>0.14882113241053449</v>
      </c>
      <c r="F94" s="370">
        <f ca="1">OFFSET(活跃!$A$1,$A94-1,F$1-1)</f>
        <v>0.14863620696258281</v>
      </c>
      <c r="G94" s="370">
        <f ca="1">OFFSET(活跃!$A$1,$A94-1,G$1-1)</f>
        <v>0.14877144707024928</v>
      </c>
      <c r="H94" s="370">
        <f ca="1">OFFSET(活跃!$A$1,$A94-1,H$1-1)</f>
        <v>0.13877187876772129</v>
      </c>
      <c r="I94" s="370">
        <f ca="1">OFFSET(活跃!$A$1,$A94-1,I$1-1)</f>
        <v>0.13179877848558483</v>
      </c>
      <c r="J94" s="169">
        <f t="shared" ca="1" si="9"/>
        <v>-6.9731002821364629E-3</v>
      </c>
    </row>
    <row r="95" spans="1:11" outlineLevel="1">
      <c r="A95" s="145">
        <f t="shared" si="6"/>
        <v>91</v>
      </c>
      <c r="B95" s="528"/>
      <c r="C95" s="280" t="s">
        <v>487</v>
      </c>
      <c r="D95" s="370">
        <f ca="1">OFFSET(活跃!$A$1,$A95-1,D$1-1)</f>
        <v>8.4167518979440456E-2</v>
      </c>
      <c r="E95" s="370">
        <f ca="1">OFFSET(活跃!$A$1,$A95-1,E$1-1)</f>
        <v>6.7048787835545201E-2</v>
      </c>
      <c r="F95" s="370">
        <f ca="1">OFFSET(活跃!$A$1,$A95-1,F$1-1)</f>
        <v>6.6395005936195475E-2</v>
      </c>
      <c r="G95" s="370">
        <f ca="1">OFFSET(活跃!$A$1,$A95-1,G$1-1)</f>
        <v>6.8609582389122695E-2</v>
      </c>
      <c r="H95" s="370">
        <f ca="1">OFFSET(活跃!$A$1,$A95-1,H$1-1)</f>
        <v>5.9970897601130835E-2</v>
      </c>
      <c r="I95" s="370">
        <f ca="1">OFFSET(活跃!$A$1,$A95-1,I$1-1)</f>
        <v>5.4278584094043472E-2</v>
      </c>
      <c r="J95" s="169">
        <f t="shared" ca="1" si="9"/>
        <v>-5.6923135070873626E-3</v>
      </c>
    </row>
    <row r="96" spans="1:11" outlineLevel="1">
      <c r="A96" s="145">
        <f t="shared" si="6"/>
        <v>92</v>
      </c>
      <c r="B96" s="528"/>
      <c r="C96" s="280" t="s">
        <v>488</v>
      </c>
      <c r="D96" s="370">
        <f ca="1">OFFSET(活跃!$A$1,$A96-1,D$1-1)</f>
        <v>1.8839602617332057E-2</v>
      </c>
      <c r="E96" s="370">
        <f ca="1">OFFSET(活跃!$A$1,$A96-1,E$1-1)</f>
        <v>1.4165437853779194E-2</v>
      </c>
      <c r="F96" s="370">
        <f ca="1">OFFSET(活跃!$A$1,$A96-1,F$1-1)</f>
        <v>1.4213166864539849E-2</v>
      </c>
      <c r="G96" s="370">
        <f ca="1">OFFSET(活跃!$A$1,$A96-1,G$1-1)</f>
        <v>1.496924571058595E-2</v>
      </c>
      <c r="H96" s="370">
        <f ca="1">OFFSET(活跃!$A$1,$A96-1,H$1-1)</f>
        <v>1.3327235687855985E-2</v>
      </c>
      <c r="I96" s="158">
        <f ca="1">OFFSET(活跃!$A$1,$A96-1,I$1-1)</f>
        <v>1.1968871084258226E-2</v>
      </c>
      <c r="J96" s="169">
        <f t="shared" ca="1" si="9"/>
        <v>-1.3583646035977594E-3</v>
      </c>
    </row>
    <row r="97" spans="1:18" outlineLevel="1">
      <c r="A97" s="145">
        <f t="shared" si="6"/>
        <v>93</v>
      </c>
      <c r="B97" s="528"/>
      <c r="C97" s="280" t="s">
        <v>489</v>
      </c>
      <c r="D97" s="370">
        <f ca="1">OFFSET(活跃!$A$1,$A97-1,D$1-1)</f>
        <v>1.5022772626370849E-2</v>
      </c>
      <c r="E97" s="370">
        <f ca="1">OFFSET(活跃!$A$1,$A97-1,E$1-1)</f>
        <v>1.1891737620701138E-2</v>
      </c>
      <c r="F97" s="370">
        <f ca="1">OFFSET(活跃!$A$1,$A97-1,F$1-1)</f>
        <v>1.2886522921374134E-2</v>
      </c>
      <c r="G97" s="370">
        <f ca="1">OFFSET(活跃!$A$1,$A97-1,G$1-1)</f>
        <v>1.1955325348009064E-2</v>
      </c>
      <c r="H97" s="370">
        <f ca="1">OFFSET(活跃!$A$1,$A97-1,H$1-1)</f>
        <v>1.2139857813994097E-2</v>
      </c>
      <c r="I97" s="158">
        <f ca="1">OFFSET(活跃!$A$1,$A97-1,I$1-1)</f>
        <v>1.1156169961253038E-2</v>
      </c>
      <c r="J97" s="169">
        <f t="shared" ca="1" si="9"/>
        <v>-9.8368785274105877E-4</v>
      </c>
    </row>
    <row r="98" spans="1:18" outlineLevel="1">
      <c r="H98" s="359">
        <f ca="1">SUM(H90:H91)</f>
        <v>15314</v>
      </c>
      <c r="I98" s="359">
        <f ca="1">SUM(I90:I91)</f>
        <v>14085</v>
      </c>
      <c r="J98" s="375">
        <f ca="1">(I98-H98)/H98</f>
        <v>-8.0253362935875663E-2</v>
      </c>
    </row>
    <row r="99" spans="1:18" outlineLevel="1">
      <c r="H99" s="359"/>
      <c r="I99" s="359"/>
      <c r="J99" s="375"/>
    </row>
    <row r="100" spans="1:18" outlineLevel="1">
      <c r="B100" s="173" t="s">
        <v>491</v>
      </c>
      <c r="C100" s="173"/>
      <c r="D100" s="173"/>
      <c r="E100" s="173"/>
      <c r="F100" s="175"/>
      <c r="G100" s="175"/>
      <c r="H100" s="175"/>
      <c r="I100" s="175"/>
      <c r="J100" s="175"/>
      <c r="K100" s="175"/>
    </row>
    <row r="101" spans="1:18" s="176" customFormat="1" ht="20.25" customHeight="1" outlineLevel="1">
      <c r="A101" s="282"/>
      <c r="B101" s="177" t="str">
        <f ca="1">"游戏登录："&amp;TEXT(I72/10000,"0")&amp;"万("&amp;IF(J72&gt;0,"+","")&amp;TEXT(J72,"0.0%")&amp;")"</f>
        <v>游戏登录：153万(+4.5%)</v>
      </c>
      <c r="H101" s="371"/>
      <c r="I101" s="371"/>
      <c r="J101" s="372"/>
      <c r="K101" s="373"/>
    </row>
    <row r="102" spans="1:18" s="176" customFormat="1" ht="20.25" customHeight="1" outlineLevel="1">
      <c r="A102" s="282"/>
      <c r="B102" s="177" t="str">
        <f ca="1" xml:space="preserve"> "   1天："&amp;TEXT(I73/10000,"0")&amp;"万人("&amp;IF(J73&gt;0,"+","")&amp;TEXT(J73,"0.0%")&amp;")，占比"&amp;TEXT(I79,"0%")&amp;"，手游内置占增加部分的"&amp;TEXT(M73,"0%")</f>
        <v xml:space="preserve">   1天：47万人(+2.9%)，占比31%，手游内置占增加部分的0%</v>
      </c>
      <c r="H102" s="371"/>
      <c r="I102" s="371"/>
      <c r="J102" s="372"/>
      <c r="K102" s="373"/>
    </row>
    <row r="103" spans="1:18" s="176" customFormat="1" ht="20.25" customHeight="1" outlineLevel="1">
      <c r="A103" s="282"/>
      <c r="B103" s="177" t="str">
        <f ca="1" xml:space="preserve"> "   超16天："&amp;TEXT(SUM(I77:I78)/10000,"0.0")&amp;"万人("&amp;IF(K78&gt;0,"+","")&amp;TEXT(K78,"0.0%")&amp;")，占比"&amp;TEXT(SUM(I83:I84),"0%")</f>
        <v xml:space="preserve">   超16天：28.4万人(+4.0%)，占比19%</v>
      </c>
      <c r="H103" s="371"/>
      <c r="I103" s="371"/>
      <c r="J103" s="372"/>
      <c r="K103" s="373"/>
    </row>
    <row r="104" spans="1:18" outlineLevel="1"/>
    <row r="105" spans="1:18" outlineLevel="1"/>
    <row r="106" spans="1:18" ht="20.25" outlineLevel="1">
      <c r="R106" s="186"/>
    </row>
    <row r="107" spans="1:18" ht="20.25" outlineLevel="1">
      <c r="R107" s="186"/>
    </row>
    <row r="108" spans="1:18" ht="20.25" outlineLevel="1">
      <c r="R108" s="186"/>
    </row>
    <row r="109" spans="1:18" outlineLevel="1"/>
    <row r="110" spans="1:18" outlineLevel="1"/>
    <row r="111" spans="1:18" outlineLevel="1"/>
    <row r="112" spans="1:18" outlineLevel="1"/>
    <row r="113" spans="1:18" outlineLevel="1"/>
    <row r="114" spans="1:18" outlineLevel="1"/>
    <row r="115" spans="1:18" outlineLevel="1"/>
    <row r="116" spans="1:18" outlineLevel="1"/>
    <row r="117" spans="1:18" outlineLevel="1"/>
    <row r="118" spans="1:18" outlineLevel="1">
      <c r="B118" s="173" t="s">
        <v>492</v>
      </c>
      <c r="C118" s="173"/>
      <c r="D118" s="173"/>
      <c r="E118" s="173"/>
      <c r="F118" s="175"/>
      <c r="G118" s="175"/>
      <c r="H118" s="175"/>
      <c r="I118" s="175"/>
      <c r="J118" s="175"/>
      <c r="K118" s="175"/>
    </row>
    <row r="119" spans="1:18" s="176" customFormat="1" ht="20.25" customHeight="1" outlineLevel="1">
      <c r="A119" s="282"/>
      <c r="B119" s="177" t="str">
        <f ca="1">"娱乐登录："&amp;TEXT(I85/10000,"0.0")&amp;"万("&amp;IF(J85&gt;0,"+","")&amp;TEXT(J85,"0.0%"&amp;")")</f>
        <v>娱乐登录：60.9万(+1.3%)</v>
      </c>
      <c r="H119" s="371"/>
      <c r="I119" s="371"/>
      <c r="J119" s="372"/>
      <c r="K119" s="373"/>
    </row>
    <row r="120" spans="1:18" s="176" customFormat="1" ht="20.25" customHeight="1" outlineLevel="1">
      <c r="A120" s="282"/>
      <c r="B120" s="177" t="str">
        <f ca="1" xml:space="preserve"> "   1天："&amp;TEXT(I86/10000,"0")&amp;"万人("&amp;IF(J86&gt;0,"+","")&amp;TEXT(J86,"0.0%")&amp;")，占比"&amp;TEXT(I92,"0%")</f>
        <v xml:space="preserve">   1天：31万人(+2.4%)，占比51%</v>
      </c>
      <c r="H120" s="371"/>
      <c r="I120" s="371"/>
      <c r="J120" s="372"/>
      <c r="K120" s="373"/>
    </row>
    <row r="121" spans="1:18" s="176" customFormat="1" ht="20.25" customHeight="1" outlineLevel="1">
      <c r="A121" s="282"/>
      <c r="B121" s="177" t="str">
        <f ca="1" xml:space="preserve"> "   超16天："&amp;TEXT(SUM(I90:I91)/10000,"0.0")&amp;"万人("&amp;IF(K91&gt;0,"+","")&amp;TEXT(K91,"0%")&amp;")，占比"&amp;TEXT(SUM(I96:I97),"0.0%")</f>
        <v xml:space="preserve">   超16天：1.4万人(-8%)，占比2.3%</v>
      </c>
      <c r="H121" s="371"/>
      <c r="I121" s="371"/>
      <c r="J121" s="372"/>
      <c r="K121" s="373"/>
    </row>
    <row r="122" spans="1:18" outlineLevel="1"/>
    <row r="123" spans="1:18" outlineLevel="1"/>
    <row r="124" spans="1:18" ht="20.25" outlineLevel="1">
      <c r="R124" s="186"/>
    </row>
    <row r="125" spans="1:18" ht="20.25" outlineLevel="1">
      <c r="R125" s="186"/>
    </row>
    <row r="126" spans="1:18" ht="20.25" outlineLevel="1">
      <c r="R126" s="186"/>
    </row>
    <row r="127" spans="1:18" outlineLevel="1"/>
    <row r="128" spans="1:18" outlineLevel="1"/>
    <row r="129" spans="1:12" outlineLevel="1"/>
    <row r="130" spans="1:12" outlineLevel="1"/>
    <row r="131" spans="1:12" outlineLevel="1"/>
    <row r="132" spans="1:12" outlineLevel="1"/>
    <row r="133" spans="1:12" outlineLevel="1"/>
    <row r="134" spans="1:12" outlineLevel="1"/>
    <row r="135" spans="1:12" outlineLevel="1"/>
    <row r="136" spans="1:12" outlineLevel="1"/>
    <row r="138" spans="1:12" s="391" customFormat="1" ht="21">
      <c r="A138" s="145"/>
      <c r="B138" s="390" t="s">
        <v>493</v>
      </c>
    </row>
    <row r="139" spans="1:12" s="391" customFormat="1" outlineLevel="1">
      <c r="A139" s="145">
        <v>2</v>
      </c>
      <c r="B139" s="232" t="s">
        <v>469</v>
      </c>
      <c r="C139" s="232" t="s">
        <v>470</v>
      </c>
      <c r="D139" s="232">
        <f ca="1">OFFSET(活跃!$A$1,$A139-1,D$1-1)</f>
        <v>42795</v>
      </c>
      <c r="E139" s="232">
        <f ca="1">OFFSET(活跃!$A$1,$A139-1,E$1-1)</f>
        <v>42826</v>
      </c>
      <c r="F139" s="232">
        <f ca="1">OFFSET(活跃!$A$1,$A139-1,F$1-1)</f>
        <v>42856</v>
      </c>
      <c r="G139" s="232">
        <f ca="1">OFFSET(活跃!$A$1,$A139-1,G$1-1)</f>
        <v>42887</v>
      </c>
      <c r="H139" s="232">
        <f ca="1">OFFSET(活跃!$A$1,$A139-1,H$1-1)</f>
        <v>42917</v>
      </c>
      <c r="I139" s="232">
        <f ca="1">OFFSET(活跃!$A$1,$A139-1,I$1-1)</f>
        <v>42948</v>
      </c>
      <c r="J139" s="363" t="s">
        <v>471</v>
      </c>
      <c r="L139" s="391" t="s">
        <v>494</v>
      </c>
    </row>
    <row r="140" spans="1:12" s="391" customFormat="1" outlineLevel="1">
      <c r="A140" s="145">
        <v>94</v>
      </c>
      <c r="B140" s="533" t="s">
        <v>483</v>
      </c>
      <c r="C140" s="392" t="s">
        <v>473</v>
      </c>
      <c r="D140" s="393">
        <f ca="1">OFFSET(活跃!$A$1,$A140-1,D$1-1)</f>
        <v>2734385</v>
      </c>
      <c r="E140" s="393">
        <f ca="1">OFFSET(活跃!$A$1,$A140-1,E$1-1)</f>
        <v>2318652</v>
      </c>
      <c r="F140" s="393">
        <f ca="1">OFFSET(活跃!$A$1,$A140-1,F$1-1)</f>
        <v>2825013</v>
      </c>
      <c r="G140" s="393">
        <f ca="1">OFFSET(活跃!$A$1,$A140-1,G$1-1)</f>
        <v>2390706</v>
      </c>
      <c r="H140" s="393">
        <f ca="1">OFFSET(活跃!$A$1,$A140-1,H$1-1)</f>
        <v>2883842</v>
      </c>
      <c r="I140" s="393">
        <f ca="1">OFFSET(活跃!$A$1,$A140-1,I$1-1)</f>
        <v>3088212</v>
      </c>
      <c r="J140" s="169">
        <f t="shared" ref="J140:J146" ca="1" si="10">IFERROR((I140-H140)/H140,"")</f>
        <v>7.0867266653304867E-2</v>
      </c>
    </row>
    <row r="141" spans="1:12" s="391" customFormat="1" outlineLevel="1">
      <c r="A141" s="145">
        <f t="shared" ref="A141:A165" si="11">+A140+1</f>
        <v>95</v>
      </c>
      <c r="B141" s="534"/>
      <c r="C141" s="392" t="s">
        <v>65</v>
      </c>
      <c r="D141" s="394">
        <f ca="1">OFFSET(活跃!$A$1,$A141-1,D$1-1)</f>
        <v>1866930</v>
      </c>
      <c r="E141" s="394">
        <f ca="1">OFFSET(活跃!$A$1,$A141-1,E$1-1)</f>
        <v>1531288</v>
      </c>
      <c r="F141" s="394">
        <f ca="1">OFFSET(活跃!$A$1,$A141-1,F$1-1)</f>
        <v>1971278</v>
      </c>
      <c r="G141" s="394">
        <f ca="1">OFFSET(活跃!$A$1,$A141-1,G$1-1)</f>
        <v>1561922</v>
      </c>
      <c r="H141" s="394">
        <f ca="1">OFFSET(活跃!$A$1,$A141-1,H$1-1)</f>
        <v>1972552</v>
      </c>
      <c r="I141" s="395">
        <f ca="1">OFFSET(活跃!$A$1,$A141-1,I$1-1)</f>
        <v>2213423</v>
      </c>
      <c r="J141" s="169">
        <f t="shared" ca="1" si="10"/>
        <v>0.12211135625321919</v>
      </c>
    </row>
    <row r="142" spans="1:12" s="391" customFormat="1" outlineLevel="1">
      <c r="A142" s="145">
        <f t="shared" si="11"/>
        <v>96</v>
      </c>
      <c r="B142" s="534"/>
      <c r="C142" s="392" t="s">
        <v>474</v>
      </c>
      <c r="D142" s="394">
        <f ca="1">OFFSET(活跃!$A$1,$A142-1,D$1-1)</f>
        <v>435952</v>
      </c>
      <c r="E142" s="394">
        <f ca="1">OFFSET(活跃!$A$1,$A142-1,E$1-1)</f>
        <v>395943</v>
      </c>
      <c r="F142" s="394">
        <f ca="1">OFFSET(活跃!$A$1,$A142-1,F$1-1)</f>
        <v>418464</v>
      </c>
      <c r="G142" s="394">
        <f ca="1">OFFSET(活跃!$A$1,$A142-1,G$1-1)</f>
        <v>404076</v>
      </c>
      <c r="H142" s="394">
        <f ca="1">OFFSET(活跃!$A$1,$A142-1,H$1-1)</f>
        <v>451114</v>
      </c>
      <c r="I142" s="395">
        <f ca="1">OFFSET(活跃!$A$1,$A142-1,I$1-1)</f>
        <v>516091</v>
      </c>
      <c r="J142" s="169">
        <f t="shared" ca="1" si="10"/>
        <v>0.14403676232615259</v>
      </c>
    </row>
    <row r="143" spans="1:12" s="391" customFormat="1" outlineLevel="1">
      <c r="A143" s="145">
        <f t="shared" si="11"/>
        <v>97</v>
      </c>
      <c r="B143" s="534"/>
      <c r="C143" s="392" t="s">
        <v>475</v>
      </c>
      <c r="D143" s="394">
        <f ca="1">OFFSET(活跃!$A$1,$A143-1,D$1-1)</f>
        <v>219386</v>
      </c>
      <c r="E143" s="394">
        <f ca="1">OFFSET(活跃!$A$1,$A143-1,E$1-1)</f>
        <v>204348</v>
      </c>
      <c r="F143" s="394">
        <f ca="1">OFFSET(活跃!$A$1,$A143-1,F$1-1)</f>
        <v>222165</v>
      </c>
      <c r="G143" s="394">
        <f ca="1">OFFSET(活跃!$A$1,$A143-1,G$1-1)</f>
        <v>216985</v>
      </c>
      <c r="H143" s="394">
        <f ca="1">OFFSET(活跃!$A$1,$A143-1,H$1-1)</f>
        <v>238747</v>
      </c>
      <c r="I143" s="395">
        <f ca="1">OFFSET(活跃!$A$1,$A143-1,I$1-1)</f>
        <v>189165</v>
      </c>
      <c r="J143" s="169">
        <f t="shared" ca="1" si="10"/>
        <v>-0.20767590796952423</v>
      </c>
    </row>
    <row r="144" spans="1:12" s="391" customFormat="1" outlineLevel="1">
      <c r="A144" s="145">
        <f t="shared" si="11"/>
        <v>98</v>
      </c>
      <c r="B144" s="534"/>
      <c r="C144" s="392" t="s">
        <v>476</v>
      </c>
      <c r="D144" s="394">
        <f ca="1">OFFSET(活跃!$A$1,$A144-1,D$1-1)</f>
        <v>137896</v>
      </c>
      <c r="E144" s="394">
        <f ca="1">OFFSET(活跃!$A$1,$A144-1,E$1-1)</f>
        <v>125243</v>
      </c>
      <c r="F144" s="394">
        <f ca="1">OFFSET(活跃!$A$1,$A144-1,F$1-1)</f>
        <v>139957</v>
      </c>
      <c r="G144" s="394">
        <f ca="1">OFFSET(活跃!$A$1,$A144-1,G$1-1)</f>
        <v>137636</v>
      </c>
      <c r="H144" s="394">
        <f ca="1">OFFSET(活跃!$A$1,$A144-1,H$1-1)</f>
        <v>147625</v>
      </c>
      <c r="I144" s="395">
        <f ca="1">OFFSET(活跃!$A$1,$A144-1,I$1-1)</f>
        <v>109828</v>
      </c>
      <c r="J144" s="169">
        <f t="shared" ca="1" si="10"/>
        <v>-0.25603386960203217</v>
      </c>
    </row>
    <row r="145" spans="1:10" s="391" customFormat="1" outlineLevel="1">
      <c r="A145" s="145">
        <f t="shared" si="11"/>
        <v>99</v>
      </c>
      <c r="B145" s="534"/>
      <c r="C145" s="392" t="s">
        <v>477</v>
      </c>
      <c r="D145" s="394">
        <f ca="1">OFFSET(活跃!$A$1,$A145-1,D$1-1)</f>
        <v>41371</v>
      </c>
      <c r="E145" s="394">
        <f ca="1">OFFSET(活跃!$A$1,$A145-1,E$1-1)</f>
        <v>36172</v>
      </c>
      <c r="F145" s="394">
        <f ca="1">OFFSET(活跃!$A$1,$A145-1,F$1-1)</f>
        <v>41661</v>
      </c>
      <c r="G145" s="394">
        <f ca="1">OFFSET(活跃!$A$1,$A145-1,G$1-1)</f>
        <v>40300</v>
      </c>
      <c r="H145" s="394">
        <f ca="1">OFFSET(活跃!$A$1,$A145-1,H$1-1)</f>
        <v>42055</v>
      </c>
      <c r="I145" s="395">
        <f ca="1">OFFSET(活跃!$A$1,$A145-1,I$1-1)</f>
        <v>32861</v>
      </c>
      <c r="J145" s="169">
        <f t="shared" ca="1" si="10"/>
        <v>-0.21861847580549282</v>
      </c>
    </row>
    <row r="146" spans="1:10" s="391" customFormat="1" outlineLevel="1">
      <c r="A146" s="145">
        <f t="shared" si="11"/>
        <v>100</v>
      </c>
      <c r="B146" s="534"/>
      <c r="C146" s="392" t="s">
        <v>71</v>
      </c>
      <c r="D146" s="394">
        <f ca="1">OFFSET(活跃!$A$1,$A146-1,D$1-1)</f>
        <v>32850</v>
      </c>
      <c r="E146" s="394">
        <f ca="1">OFFSET(活跃!$A$1,$A146-1,E$1-1)</f>
        <v>25658</v>
      </c>
      <c r="F146" s="394">
        <f ca="1">OFFSET(活跃!$A$1,$A146-1,F$1-1)</f>
        <v>31488</v>
      </c>
      <c r="G146" s="394">
        <f ca="1">OFFSET(活跃!$A$1,$A146-1,G$1-1)</f>
        <v>29787</v>
      </c>
      <c r="H146" s="394">
        <f ca="1">OFFSET(活跃!$A$1,$A146-1,H$1-1)</f>
        <v>31749</v>
      </c>
      <c r="I146" s="395">
        <f ca="1">OFFSET(活跃!$A$1,$A146-1,I$1-1)</f>
        <v>26844</v>
      </c>
      <c r="J146" s="169">
        <f t="shared" ca="1" si="10"/>
        <v>-0.15449305489936691</v>
      </c>
    </row>
    <row r="147" spans="1:10" s="391" customFormat="1" outlineLevel="1">
      <c r="A147" s="145">
        <f t="shared" si="11"/>
        <v>101</v>
      </c>
      <c r="B147" s="534"/>
      <c r="C147" s="396" t="s">
        <v>65</v>
      </c>
      <c r="D147" s="397">
        <f ca="1">OFFSET(活跃!$A$1,$A147-1,D$1-1)</f>
        <v>0.6827604744759791</v>
      </c>
      <c r="E147" s="397">
        <f ca="1">OFFSET(活跃!$A$1,$A147-1,E$1-1)</f>
        <v>0.66042165879140124</v>
      </c>
      <c r="F147" s="397">
        <f ca="1">OFFSET(活跃!$A$1,$A147-1,F$1-1)</f>
        <v>0.69779431103502887</v>
      </c>
      <c r="G147" s="397">
        <f ca="1">OFFSET(活跃!$A$1,$A147-1,G$1-1)</f>
        <v>0.65333085707736538</v>
      </c>
      <c r="H147" s="397">
        <f ca="1">OFFSET(活跃!$A$1,$A147-1,H$1-1)</f>
        <v>0.68400141200523468</v>
      </c>
      <c r="I147" s="397">
        <f ca="1">OFFSET(活跃!$A$1,$A147-1,I$1-1)</f>
        <v>0.71673285383257368</v>
      </c>
      <c r="J147" s="169">
        <f t="shared" ref="J147:J152" ca="1" si="12">I147-H147</f>
        <v>3.2731441827339003E-2</v>
      </c>
    </row>
    <row r="148" spans="1:10" s="391" customFormat="1" outlineLevel="1">
      <c r="A148" s="145">
        <f t="shared" si="11"/>
        <v>102</v>
      </c>
      <c r="B148" s="534"/>
      <c r="C148" s="396" t="s">
        <v>474</v>
      </c>
      <c r="D148" s="397">
        <f ca="1">OFFSET(活跃!$A$1,$A148-1,D$1-1)</f>
        <v>0.15943329121539213</v>
      </c>
      <c r="E148" s="397">
        <f ca="1">OFFSET(活跃!$A$1,$A148-1,E$1-1)</f>
        <v>0.17076430615719823</v>
      </c>
      <c r="F148" s="397">
        <f ca="1">OFFSET(活跃!$A$1,$A148-1,F$1-1)</f>
        <v>0.14812816790577601</v>
      </c>
      <c r="G148" s="397">
        <f ca="1">OFFSET(活跃!$A$1,$A148-1,G$1-1)</f>
        <v>0.16901952812265497</v>
      </c>
      <c r="H148" s="397">
        <f ca="1">OFFSET(活跃!$A$1,$A148-1,H$1-1)</f>
        <v>0.1564281260901256</v>
      </c>
      <c r="I148" s="397">
        <f ca="1">OFFSET(活跃!$A$1,$A148-1,I$1-1)</f>
        <v>0.16711644148782531</v>
      </c>
      <c r="J148" s="169">
        <f t="shared" ca="1" si="12"/>
        <v>1.068831539769971E-2</v>
      </c>
    </row>
    <row r="149" spans="1:10" s="391" customFormat="1" outlineLevel="1">
      <c r="A149" s="145">
        <f t="shared" si="11"/>
        <v>103</v>
      </c>
      <c r="B149" s="534"/>
      <c r="C149" s="396" t="s">
        <v>475</v>
      </c>
      <c r="D149" s="397">
        <f ca="1">OFFSET(活跃!$A$1,$A149-1,D$1-1)</f>
        <v>8.0232300864728268E-2</v>
      </c>
      <c r="E149" s="397">
        <f ca="1">OFFSET(活跃!$A$1,$A149-1,E$1-1)</f>
        <v>8.8132242354609494E-2</v>
      </c>
      <c r="F149" s="397">
        <f ca="1">OFFSET(活跃!$A$1,$A149-1,F$1-1)</f>
        <v>7.8642115983183089E-2</v>
      </c>
      <c r="G149" s="397">
        <f ca="1">OFFSET(活跃!$A$1,$A149-1,G$1-1)</f>
        <v>9.0761892093799909E-2</v>
      </c>
      <c r="H149" s="397">
        <f ca="1">OFFSET(活跃!$A$1,$A149-1,H$1-1)</f>
        <v>8.2787822633833621E-2</v>
      </c>
      <c r="I149" s="397">
        <f ca="1">OFFSET(活跃!$A$1,$A149-1,I$1-1)</f>
        <v>6.1253890600774817E-2</v>
      </c>
      <c r="J149" s="169">
        <f t="shared" ca="1" si="12"/>
        <v>-2.1533932033058804E-2</v>
      </c>
    </row>
    <row r="150" spans="1:10" s="391" customFormat="1" outlineLevel="1">
      <c r="A150" s="145">
        <f t="shared" si="11"/>
        <v>104</v>
      </c>
      <c r="B150" s="534"/>
      <c r="C150" s="396" t="s">
        <v>476</v>
      </c>
      <c r="D150" s="397">
        <f ca="1">OFFSET(活跃!$A$1,$A150-1,D$1-1)</f>
        <v>5.0430352711852942E-2</v>
      </c>
      <c r="E150" s="397">
        <f ca="1">OFFSET(活跃!$A$1,$A150-1,E$1-1)</f>
        <v>5.4015436555377869E-2</v>
      </c>
      <c r="F150" s="397">
        <f ca="1">OFFSET(活跃!$A$1,$A150-1,F$1-1)</f>
        <v>4.9542072903735308E-2</v>
      </c>
      <c r="G150" s="397">
        <f ca="1">OFFSET(活跃!$A$1,$A150-1,G$1-1)</f>
        <v>5.7571278107805809E-2</v>
      </c>
      <c r="H150" s="397">
        <f ca="1">OFFSET(活跃!$A$1,$A150-1,H$1-1)</f>
        <v>5.1190391151803738E-2</v>
      </c>
      <c r="I150" s="397">
        <f ca="1">OFFSET(活跃!$A$1,$A150-1,I$1-1)</f>
        <v>3.5563620632262295E-2</v>
      </c>
      <c r="J150" s="169">
        <f t="shared" ca="1" si="12"/>
        <v>-1.5626770519541443E-2</v>
      </c>
    </row>
    <row r="151" spans="1:10" s="391" customFormat="1" outlineLevel="1">
      <c r="A151" s="145">
        <f t="shared" si="11"/>
        <v>105</v>
      </c>
      <c r="B151" s="534"/>
      <c r="C151" s="396" t="s">
        <v>477</v>
      </c>
      <c r="D151" s="397">
        <f ca="1">OFFSET(活跃!$A$1,$A151-1,D$1-1)</f>
        <v>1.5129910382042032E-2</v>
      </c>
      <c r="E151" s="397">
        <f ca="1">OFFSET(活跃!$A$1,$A151-1,E$1-1)</f>
        <v>1.5600443706084398E-2</v>
      </c>
      <c r="F151" s="397">
        <f ca="1">OFFSET(活跃!$A$1,$A151-1,F$1-1)</f>
        <v>1.4747188773998563E-2</v>
      </c>
      <c r="G151" s="397">
        <f ca="1">OFFSET(活跃!$A$1,$A151-1,G$1-1)</f>
        <v>1.685694518690295E-2</v>
      </c>
      <c r="H151" s="397">
        <f ca="1">OFFSET(活跃!$A$1,$A151-1,H$1-1)</f>
        <v>1.4582976459875403E-2</v>
      </c>
      <c r="I151" s="397">
        <f ca="1">OFFSET(活跃!$A$1,$A151-1,I$1-1)</f>
        <v>1.0640785023826085E-2</v>
      </c>
      <c r="J151" s="169">
        <f t="shared" ca="1" si="12"/>
        <v>-3.9421914360493176E-3</v>
      </c>
    </row>
    <row r="152" spans="1:10" s="391" customFormat="1" outlineLevel="1">
      <c r="A152" s="145">
        <f t="shared" si="11"/>
        <v>106</v>
      </c>
      <c r="B152" s="535"/>
      <c r="C152" s="396" t="s">
        <v>71</v>
      </c>
      <c r="D152" s="397">
        <f ca="1">OFFSET(活跃!$A$1,$A152-1,D$1-1)</f>
        <v>1.2013670350005577E-2</v>
      </c>
      <c r="E152" s="397">
        <f ca="1">OFFSET(活跃!$A$1,$A152-1,E$1-1)</f>
        <v>1.1065912435328803E-2</v>
      </c>
      <c r="F152" s="397">
        <f ca="1">OFFSET(活跃!$A$1,$A152-1,F$1-1)</f>
        <v>1.1146143398278166E-2</v>
      </c>
      <c r="G152" s="397">
        <f ca="1">OFFSET(活跃!$A$1,$A152-1,G$1-1)</f>
        <v>1.245949941147092E-2</v>
      </c>
      <c r="H152" s="397">
        <f ca="1">OFFSET(活跃!$A$1,$A152-1,H$1-1)</f>
        <v>1.1009271659126957E-2</v>
      </c>
      <c r="I152" s="397">
        <f ca="1">OFFSET(活跃!$A$1,$A152-1,I$1-1)</f>
        <v>8.6924084227378174E-3</v>
      </c>
      <c r="J152" s="169">
        <f t="shared" ca="1" si="12"/>
        <v>-2.3168632363891398E-3</v>
      </c>
    </row>
    <row r="153" spans="1:10" s="391" customFormat="1" outlineLevel="1">
      <c r="A153" s="145">
        <f t="shared" si="11"/>
        <v>107</v>
      </c>
      <c r="B153" s="536" t="s">
        <v>490</v>
      </c>
      <c r="C153" s="392" t="s">
        <v>473</v>
      </c>
      <c r="D153" s="393">
        <f ca="1">OFFSET(活跃!$A$1,$A153-1,D$1-1)</f>
        <v>562067</v>
      </c>
      <c r="E153" s="393">
        <f ca="1">OFFSET(活跃!$A$1,$A153-1,E$1-1)</f>
        <v>503457</v>
      </c>
      <c r="F153" s="393">
        <f ca="1">OFFSET(活跃!$A$1,$A153-1,F$1-1)</f>
        <v>518224</v>
      </c>
      <c r="G153" s="393">
        <f ca="1">OFFSET(活跃!$A$1,$A153-1,G$1-1)</f>
        <v>506778</v>
      </c>
      <c r="H153" s="393">
        <f ca="1">OFFSET(活跃!$A$1,$A153-1,H$1-1)</f>
        <v>488548</v>
      </c>
      <c r="I153" s="393">
        <f ca="1">OFFSET(活跃!$A$1,$A153-1,I$1-1)</f>
        <v>476740</v>
      </c>
      <c r="J153" s="169">
        <f t="shared" ref="J153:J159" ca="1" si="13">IFERROR((I153-H153)/H153,"")</f>
        <v>-2.4169580061733954E-2</v>
      </c>
    </row>
    <row r="154" spans="1:10" s="391" customFormat="1" outlineLevel="1">
      <c r="A154" s="145">
        <f t="shared" si="11"/>
        <v>108</v>
      </c>
      <c r="B154" s="536"/>
      <c r="C154" s="392" t="s">
        <v>65</v>
      </c>
      <c r="D154" s="395">
        <f ca="1">OFFSET(活跃!$A$1,$A154-1,D$1-1)</f>
        <v>415470</v>
      </c>
      <c r="E154" s="395">
        <f ca="1">OFFSET(活跃!$A$1,$A154-1,E$1-1)</f>
        <v>385401</v>
      </c>
      <c r="F154" s="395">
        <f ca="1">OFFSET(活跃!$A$1,$A154-1,F$1-1)</f>
        <v>399158</v>
      </c>
      <c r="G154" s="395">
        <f ca="1">OFFSET(活跃!$A$1,$A154-1,G$1-1)</f>
        <v>384385</v>
      </c>
      <c r="H154" s="395">
        <f ca="1">OFFSET(活跃!$A$1,$A154-1,H$1-1)</f>
        <v>369649</v>
      </c>
      <c r="I154" s="395">
        <f ca="1">OFFSET(活跃!$A$1,$A154-1,I$1-1)</f>
        <v>354972</v>
      </c>
      <c r="J154" s="169">
        <f t="shared" ca="1" si="13"/>
        <v>-3.9705233884035934E-2</v>
      </c>
    </row>
    <row r="155" spans="1:10" s="391" customFormat="1" outlineLevel="1">
      <c r="A155" s="145">
        <f t="shared" si="11"/>
        <v>109</v>
      </c>
      <c r="B155" s="536"/>
      <c r="C155" s="392" t="s">
        <v>474</v>
      </c>
      <c r="D155" s="395">
        <f ca="1">OFFSET(活跃!$A$1,$A155-1,D$1-1)</f>
        <v>101511</v>
      </c>
      <c r="E155" s="395">
        <f ca="1">OFFSET(活跃!$A$1,$A155-1,E$1-1)</f>
        <v>83942</v>
      </c>
      <c r="F155" s="398">
        <f ca="1">OFFSET(活跃!$A$1,$A155-1,F$1-1)</f>
        <v>84727</v>
      </c>
      <c r="G155" s="395">
        <f ca="1">OFFSET(活跃!$A$1,$A155-1,G$1-1)</f>
        <v>85328</v>
      </c>
      <c r="H155" s="395">
        <f ca="1">OFFSET(活跃!$A$1,$A155-1,H$1-1)</f>
        <v>82801</v>
      </c>
      <c r="I155" s="395">
        <f ca="1">OFFSET(活跃!$A$1,$A155-1,I$1-1)</f>
        <v>85469</v>
      </c>
      <c r="J155" s="169">
        <f t="shared" ca="1" si="13"/>
        <v>3.2221833069648917E-2</v>
      </c>
    </row>
    <row r="156" spans="1:10" s="391" customFormat="1" outlineLevel="1">
      <c r="A156" s="145">
        <f t="shared" si="11"/>
        <v>110</v>
      </c>
      <c r="B156" s="536"/>
      <c r="C156" s="392" t="s">
        <v>475</v>
      </c>
      <c r="D156" s="395">
        <f ca="1">OFFSET(活跃!$A$1,$A156-1,D$1-1)</f>
        <v>33924</v>
      </c>
      <c r="E156" s="395">
        <f ca="1">OFFSET(活跃!$A$1,$A156-1,E$1-1)</f>
        <v>26144</v>
      </c>
      <c r="F156" s="395">
        <f ca="1">OFFSET(活跃!$A$1,$A156-1,F$1-1)</f>
        <v>25890</v>
      </c>
      <c r="G156" s="395">
        <f ca="1">OFFSET(活跃!$A$1,$A156-1,G$1-1)</f>
        <v>27589</v>
      </c>
      <c r="H156" s="395">
        <f ca="1">OFFSET(活跃!$A$1,$A156-1,H$1-1)</f>
        <v>27036</v>
      </c>
      <c r="I156" s="395">
        <f ca="1">OFFSET(活跃!$A$1,$A156-1,I$1-1)</f>
        <v>27167</v>
      </c>
      <c r="J156" s="169">
        <f t="shared" ca="1" si="13"/>
        <v>4.8453913300784144E-3</v>
      </c>
    </row>
    <row r="157" spans="1:10" s="391" customFormat="1" outlineLevel="1">
      <c r="A157" s="145">
        <f t="shared" si="11"/>
        <v>111</v>
      </c>
      <c r="B157" s="536"/>
      <c r="C157" s="392" t="s">
        <v>476</v>
      </c>
      <c r="D157" s="395">
        <f ca="1">OFFSET(活跃!$A$1,$A157-1,D$1-1)</f>
        <v>9319</v>
      </c>
      <c r="E157" s="395">
        <f ca="1">OFFSET(活跃!$A$1,$A157-1,E$1-1)</f>
        <v>6718</v>
      </c>
      <c r="F157" s="395">
        <f ca="1">OFFSET(活跃!$A$1,$A157-1,F$1-1)</f>
        <v>7081</v>
      </c>
      <c r="G157" s="395">
        <f ca="1">OFFSET(活跃!$A$1,$A157-1,G$1-1)</f>
        <v>8005</v>
      </c>
      <c r="H157" s="395">
        <f ca="1">OFFSET(活跃!$A$1,$A157-1,H$1-1)</f>
        <v>7681</v>
      </c>
      <c r="I157" s="395">
        <f ca="1">OFFSET(活跃!$A$1,$A157-1,I$1-1)</f>
        <v>7705</v>
      </c>
      <c r="J157" s="169">
        <f t="shared" ca="1" si="13"/>
        <v>3.1245931519333419E-3</v>
      </c>
    </row>
    <row r="158" spans="1:10" s="391" customFormat="1" outlineLevel="1">
      <c r="A158" s="145">
        <f t="shared" si="11"/>
        <v>112</v>
      </c>
      <c r="B158" s="536"/>
      <c r="C158" s="392" t="s">
        <v>477</v>
      </c>
      <c r="D158" s="395">
        <f ca="1">OFFSET(活跃!$A$1,$A158-1,D$1-1)</f>
        <v>1210</v>
      </c>
      <c r="E158" s="395">
        <f ca="1">OFFSET(活跃!$A$1,$A158-1,E$1-1)</f>
        <v>848</v>
      </c>
      <c r="F158" s="395">
        <f ca="1">OFFSET(活跃!$A$1,$A158-1,F$1-1)</f>
        <v>893</v>
      </c>
      <c r="G158" s="395">
        <f ca="1">OFFSET(活跃!$A$1,$A158-1,G$1-1)</f>
        <v>1000</v>
      </c>
      <c r="H158" s="395">
        <f ca="1">OFFSET(活跃!$A$1,$A158-1,H$1-1)</f>
        <v>939</v>
      </c>
      <c r="I158" s="395">
        <f ca="1">OFFSET(活跃!$A$1,$A158-1,I$1-1)</f>
        <v>955</v>
      </c>
      <c r="J158" s="169">
        <f t="shared" ca="1" si="13"/>
        <v>1.7039403620873271E-2</v>
      </c>
    </row>
    <row r="159" spans="1:10" s="391" customFormat="1" outlineLevel="1">
      <c r="A159" s="145">
        <f t="shared" si="11"/>
        <v>113</v>
      </c>
      <c r="B159" s="536"/>
      <c r="C159" s="392" t="s">
        <v>71</v>
      </c>
      <c r="D159" s="395">
        <f ca="1">OFFSET(活跃!$A$1,$A159-1,D$1-1)</f>
        <v>633</v>
      </c>
      <c r="E159" s="395">
        <f ca="1">OFFSET(活跃!$A$1,$A159-1,E$1-1)</f>
        <v>404</v>
      </c>
      <c r="F159" s="395">
        <f ca="1">OFFSET(活跃!$A$1,$A159-1,F$1-1)</f>
        <v>475</v>
      </c>
      <c r="G159" s="395">
        <f ca="1">OFFSET(活跃!$A$1,$A159-1,G$1-1)</f>
        <v>471</v>
      </c>
      <c r="H159" s="395">
        <f ca="1">OFFSET(活跃!$A$1,$A159-1,H$1-1)</f>
        <v>442</v>
      </c>
      <c r="I159" s="395">
        <f ca="1">OFFSET(活跃!$A$1,$A159-1,I$1-1)</f>
        <v>472</v>
      </c>
      <c r="J159" s="169">
        <f t="shared" ca="1" si="13"/>
        <v>6.7873303167420809E-2</v>
      </c>
    </row>
    <row r="160" spans="1:10" s="391" customFormat="1" outlineLevel="1">
      <c r="A160" s="145">
        <f t="shared" si="11"/>
        <v>114</v>
      </c>
      <c r="B160" s="536"/>
      <c r="C160" s="396" t="s">
        <v>65</v>
      </c>
      <c r="D160" s="399">
        <f ca="1">OFFSET(活跃!$A$1,$A160-1,D$1-1)</f>
        <v>0.73918233947198464</v>
      </c>
      <c r="E160" s="399">
        <f ca="1">OFFSET(活跃!$A$1,$A160-1,E$1-1)</f>
        <v>0.7655092689147236</v>
      </c>
      <c r="F160" s="399">
        <f ca="1">OFFSET(活跃!$A$1,$A160-1,F$1-1)</f>
        <v>0.77024221186205188</v>
      </c>
      <c r="G160" s="399">
        <f ca="1">OFFSET(活跃!$A$1,$A160-1,G$1-1)</f>
        <v>0.75848793751899257</v>
      </c>
      <c r="H160" s="399">
        <f ca="1">OFFSET(活跃!$A$1,$A160-1,H$1-1)</f>
        <v>0.7566278032045981</v>
      </c>
      <c r="I160" s="399">
        <f ca="1">OFFSET(活跃!$A$1,$A160-1,I$1-1)</f>
        <v>0.7445819524268994</v>
      </c>
      <c r="J160" s="169">
        <f t="shared" ref="J160:J165" ca="1" si="14">I160-H160</f>
        <v>-1.2045850777698708E-2</v>
      </c>
    </row>
    <row r="161" spans="1:18" s="391" customFormat="1" outlineLevel="1">
      <c r="A161" s="145">
        <f t="shared" si="11"/>
        <v>115</v>
      </c>
      <c r="B161" s="536"/>
      <c r="C161" s="396" t="s">
        <v>474</v>
      </c>
      <c r="D161" s="399">
        <f ca="1">OFFSET(活跃!$A$1,$A161-1,D$1-1)</f>
        <v>0.18060302419462448</v>
      </c>
      <c r="E161" s="399">
        <f ca="1">OFFSET(活跃!$A$1,$A161-1,E$1-1)</f>
        <v>0.16673122034255161</v>
      </c>
      <c r="F161" s="399">
        <f ca="1">OFFSET(活跃!$A$1,$A161-1,F$1-1)</f>
        <v>0.16349493655253328</v>
      </c>
      <c r="G161" s="399">
        <f ca="1">OFFSET(活跃!$A$1,$A161-1,G$1-1)</f>
        <v>0.1683735284483541</v>
      </c>
      <c r="H161" s="399">
        <f ca="1">OFFSET(活跃!$A$1,$A161-1,H$1-1)</f>
        <v>0.16948385829028059</v>
      </c>
      <c r="I161" s="399">
        <f ca="1">OFFSET(活跃!$A$1,$A161-1,I$1-1)</f>
        <v>0.17927801317279859</v>
      </c>
      <c r="J161" s="169">
        <f t="shared" ca="1" si="14"/>
        <v>9.7941548825180025E-3</v>
      </c>
    </row>
    <row r="162" spans="1:18" s="391" customFormat="1" outlineLevel="1">
      <c r="A162" s="145">
        <f t="shared" si="11"/>
        <v>116</v>
      </c>
      <c r="B162" s="536"/>
      <c r="C162" s="396" t="s">
        <v>475</v>
      </c>
      <c r="D162" s="399">
        <f ca="1">OFFSET(活跃!$A$1,$A162-1,D$1-1)</f>
        <v>6.0355793882224007E-2</v>
      </c>
      <c r="E162" s="399">
        <f ca="1">OFFSET(活跃!$A$1,$A162-1,E$1-1)</f>
        <v>5.1928963148789274E-2</v>
      </c>
      <c r="F162" s="399">
        <f ca="1">OFFSET(活跃!$A$1,$A162-1,F$1-1)</f>
        <v>4.995909104943036E-2</v>
      </c>
      <c r="G162" s="399">
        <f ca="1">OFFSET(活跃!$A$1,$A162-1,G$1-1)</f>
        <v>5.4440011208063493E-2</v>
      </c>
      <c r="H162" s="399">
        <f ca="1">OFFSET(活跃!$A$1,$A162-1,H$1-1)</f>
        <v>5.5339495812079878E-2</v>
      </c>
      <c r="I162" s="399">
        <f ca="1">OFFSET(活跃!$A$1,$A162-1,I$1-1)</f>
        <v>5.6984939379955531E-2</v>
      </c>
      <c r="J162" s="169">
        <f t="shared" ca="1" si="14"/>
        <v>1.6454435678756527E-3</v>
      </c>
    </row>
    <row r="163" spans="1:18" s="391" customFormat="1" outlineLevel="1">
      <c r="A163" s="145">
        <f t="shared" si="11"/>
        <v>117</v>
      </c>
      <c r="B163" s="536"/>
      <c r="C163" s="396" t="s">
        <v>476</v>
      </c>
      <c r="D163" s="399">
        <f ca="1">OFFSET(活跃!$A$1,$A163-1,D$1-1)</f>
        <v>1.657987392962049E-2</v>
      </c>
      <c r="E163" s="399">
        <f ca="1">OFFSET(活跃!$A$1,$A163-1,E$1-1)</f>
        <v>1.3343741372152934E-2</v>
      </c>
      <c r="F163" s="399">
        <f ca="1">OFFSET(活跃!$A$1,$A163-1,F$1-1)</f>
        <v>1.3663975423754979E-2</v>
      </c>
      <c r="G163" s="399">
        <f ca="1">OFFSET(活跃!$A$1,$A163-1,G$1-1)</f>
        <v>1.579587117041387E-2</v>
      </c>
      <c r="H163" s="399">
        <f ca="1">OFFSET(活跃!$A$1,$A163-1,H$1-1)</f>
        <v>1.5722098954452788E-2</v>
      </c>
      <c r="I163" s="399">
        <f ca="1">OFFSET(活跃!$A$1,$A163-1,I$1-1)</f>
        <v>1.6161849225993202E-2</v>
      </c>
      <c r="J163" s="169">
        <f t="shared" ca="1" si="14"/>
        <v>4.3975027154041432E-4</v>
      </c>
    </row>
    <row r="164" spans="1:18" s="391" customFormat="1" outlineLevel="1">
      <c r="A164" s="145">
        <f t="shared" si="11"/>
        <v>118</v>
      </c>
      <c r="B164" s="536"/>
      <c r="C164" s="396" t="s">
        <v>477</v>
      </c>
      <c r="D164" s="399">
        <f ca="1">OFFSET(活跃!$A$1,$A164-1,D$1-1)</f>
        <v>2.1527682642816606E-3</v>
      </c>
      <c r="E164" s="399">
        <f ca="1">OFFSET(活跃!$A$1,$A164-1,E$1-1)</f>
        <v>1.684354373859138E-3</v>
      </c>
      <c r="F164" s="399">
        <f ca="1">OFFSET(活跃!$A$1,$A164-1,F$1-1)</f>
        <v>1.7231930593720091E-3</v>
      </c>
      <c r="G164" s="399">
        <f ca="1">OFFSET(活跃!$A$1,$A164-1,G$1-1)</f>
        <v>1.9732506146675666E-3</v>
      </c>
      <c r="H164" s="399">
        <f ca="1">OFFSET(活跃!$A$1,$A164-1,H$1-1)</f>
        <v>1.9220219916978474E-3</v>
      </c>
      <c r="I164" s="399">
        <f ca="1">OFFSET(活跃!$A$1,$A164-1,I$1-1)</f>
        <v>2.0031883206779377E-3</v>
      </c>
      <c r="J164" s="169">
        <f t="shared" ca="1" si="14"/>
        <v>8.1166328980090269E-5</v>
      </c>
    </row>
    <row r="165" spans="1:18" s="391" customFormat="1" outlineLevel="1">
      <c r="A165" s="145">
        <f t="shared" si="11"/>
        <v>119</v>
      </c>
      <c r="B165" s="536"/>
      <c r="C165" s="396" t="s">
        <v>71</v>
      </c>
      <c r="D165" s="399">
        <f ca="1">OFFSET(活跃!$A$1,$A165-1,D$1-1)</f>
        <v>1.1262002572647034E-3</v>
      </c>
      <c r="E165" s="399">
        <f ca="1">OFFSET(活跃!$A$1,$A165-1,E$1-1)</f>
        <v>8.0245184792345717E-4</v>
      </c>
      <c r="F165" s="399">
        <f ca="1">OFFSET(活跃!$A$1,$A165-1,F$1-1)</f>
        <v>9.1659205285745163E-4</v>
      </c>
      <c r="G165" s="399">
        <f ca="1">OFFSET(活跃!$A$1,$A165-1,G$1-1)</f>
        <v>9.2940103950842382E-4</v>
      </c>
      <c r="H165" s="399">
        <f ca="1">OFFSET(活跃!$A$1,$A165-1,H$1-1)</f>
        <v>9.0472174689078656E-4</v>
      </c>
      <c r="I165" s="399">
        <f ca="1">OFFSET(活跃!$A$1,$A165-1,I$1-1)</f>
        <v>9.9005747367537857E-4</v>
      </c>
      <c r="J165" s="169">
        <f t="shared" ca="1" si="14"/>
        <v>8.5335726784592004E-5</v>
      </c>
    </row>
    <row r="166" spans="1:18" s="391" customFormat="1" outlineLevel="1">
      <c r="A166" s="145"/>
    </row>
    <row r="167" spans="1:18" s="391" customFormat="1" outlineLevel="1">
      <c r="A167" s="145"/>
      <c r="H167" s="398"/>
      <c r="I167" s="398"/>
      <c r="J167" s="400"/>
    </row>
    <row r="168" spans="1:18" s="391" customFormat="1" outlineLevel="1">
      <c r="A168" s="145"/>
      <c r="B168" s="401" t="s">
        <v>495</v>
      </c>
      <c r="C168" s="401"/>
      <c r="D168" s="401"/>
      <c r="E168" s="401"/>
    </row>
    <row r="169" spans="1:18" s="176" customFormat="1" ht="20.25" customHeight="1" outlineLevel="1">
      <c r="A169" s="282"/>
      <c r="B169" s="177" t="str">
        <f ca="1">"游戏匿名："&amp;TEXT(I141/10000,"0")&amp;"万("&amp;IF(J141&gt;0,"+","")&amp;TEXT(J141,"0.0%"&amp;")")</f>
        <v>游戏匿名：221万(+12.2%)</v>
      </c>
      <c r="H169" s="371"/>
      <c r="I169" s="371"/>
      <c r="J169" s="372"/>
      <c r="K169" s="373"/>
    </row>
    <row r="170" spans="1:18" s="176" customFormat="1" ht="20.25" customHeight="1" outlineLevel="1">
      <c r="A170" s="282"/>
      <c r="B170" s="177" t="str">
        <f ca="1" xml:space="preserve"> "   1天："&amp;TEXT(I142/10000,"0")&amp;"万人("&amp;IF(J142&gt;0,"+","")&amp;TEXT(J142,"0.0%")&amp;")，占比"&amp;TEXT(I148,"0%")</f>
        <v xml:space="preserve">   1天：52万人(+14.4%)，占比17%</v>
      </c>
      <c r="H170" s="371"/>
      <c r="I170" s="371"/>
      <c r="J170" s="372"/>
      <c r="K170" s="373"/>
    </row>
    <row r="171" spans="1:18" s="176" customFormat="1" ht="20.25" customHeight="1" outlineLevel="1">
      <c r="A171" s="282"/>
      <c r="B171" s="177" t="str">
        <f ca="1" xml:space="preserve"> "   超16天："&amp;TEXT(SUM(I146:I147)/10000,"0.0")&amp;"万人("&amp;IF(K147&gt;0,"+","")&amp;TEXT(K147,"0.0%")&amp;")，占比"&amp;TEXT(SUM(I152:I153),"0%")</f>
        <v xml:space="preserve">   超16天：2.7万人(0.0%)，占比47674001%</v>
      </c>
      <c r="H171" s="371"/>
      <c r="I171" s="371"/>
      <c r="J171" s="372"/>
      <c r="K171" s="373"/>
    </row>
    <row r="172" spans="1:18" s="391" customFormat="1" outlineLevel="1">
      <c r="A172" s="145"/>
    </row>
    <row r="173" spans="1:18" s="391" customFormat="1" outlineLevel="1">
      <c r="A173" s="145"/>
    </row>
    <row r="174" spans="1:18" s="391" customFormat="1" ht="20.25" outlineLevel="1">
      <c r="A174" s="145"/>
      <c r="R174" s="402"/>
    </row>
    <row r="175" spans="1:18" s="391" customFormat="1" ht="20.25" outlineLevel="1">
      <c r="A175" s="145"/>
      <c r="R175" s="402"/>
    </row>
    <row r="176" spans="1:18" s="391" customFormat="1" ht="20.25" outlineLevel="1">
      <c r="A176" s="145"/>
      <c r="R176" s="402"/>
    </row>
    <row r="177" spans="1:18" s="391" customFormat="1" outlineLevel="1">
      <c r="A177" s="145"/>
    </row>
    <row r="178" spans="1:18" s="391" customFormat="1" outlineLevel="1">
      <c r="A178" s="145"/>
    </row>
    <row r="179" spans="1:18" s="391" customFormat="1" outlineLevel="1">
      <c r="A179" s="145"/>
    </row>
    <row r="180" spans="1:18" s="391" customFormat="1" outlineLevel="1">
      <c r="A180" s="145"/>
    </row>
    <row r="181" spans="1:18" s="391" customFormat="1" outlineLevel="1">
      <c r="A181" s="145"/>
    </row>
    <row r="182" spans="1:18" s="391" customFormat="1" outlineLevel="1">
      <c r="A182" s="145"/>
    </row>
    <row r="183" spans="1:18" s="391" customFormat="1" outlineLevel="1">
      <c r="A183" s="145"/>
    </row>
    <row r="184" spans="1:18" s="391" customFormat="1" outlineLevel="1">
      <c r="A184" s="145"/>
    </row>
    <row r="185" spans="1:18" s="391" customFormat="1" outlineLevel="1">
      <c r="A185" s="145"/>
    </row>
    <row r="186" spans="1:18" s="391" customFormat="1" outlineLevel="1">
      <c r="A186" s="145"/>
      <c r="B186" s="401" t="s">
        <v>496</v>
      </c>
      <c r="C186" s="401"/>
      <c r="D186" s="401"/>
      <c r="E186" s="401"/>
    </row>
    <row r="187" spans="1:18" s="176" customFormat="1" ht="20.25" customHeight="1" outlineLevel="1">
      <c r="A187" s="282"/>
      <c r="B187" s="177" t="str">
        <f ca="1">"娱乐匿名："&amp;TEXT(I154/10000,"0.0")&amp;"万("&amp;IF(J154&gt;0,"+","")&amp;TEXT(J154,"0.0%"&amp;")")</f>
        <v>娱乐匿名：35.5万(-4.0%)</v>
      </c>
      <c r="H187" s="371"/>
      <c r="I187" s="371"/>
      <c r="J187" s="372"/>
      <c r="K187" s="373"/>
    </row>
    <row r="188" spans="1:18" s="176" customFormat="1" ht="20.25" customHeight="1" outlineLevel="1">
      <c r="A188" s="282"/>
      <c r="B188" s="177" t="str">
        <f ca="1" xml:space="preserve"> "   1天："&amp;TEXT(I155/10000,"0")&amp;"万人("&amp;IF(J155&gt;0,"+","")&amp;TEXT(J155,"0.0%")&amp;")，占比"&amp;TEXT(I161,"0%")</f>
        <v xml:space="preserve">   1天：9万人(+3.2%)，占比18%</v>
      </c>
      <c r="H188" s="371"/>
      <c r="I188" s="371"/>
      <c r="J188" s="372"/>
      <c r="K188" s="373"/>
    </row>
    <row r="189" spans="1:18" s="176" customFormat="1" ht="20.25" customHeight="1" outlineLevel="1">
      <c r="A189" s="282"/>
      <c r="B189" s="177" t="str">
        <f ca="1" xml:space="preserve"> "   超16天："&amp;TEXT(SUM(I159:I160)/10000,"0.0")&amp;"万人("&amp;IF(K160&gt;0,"+","")&amp;TEXT(K160,"0%")&amp;")，占比"&amp;TEXT(SUM(I165:I166),"0.0%")</f>
        <v xml:space="preserve">   超16天：0.0万人(0%)，占比0.1%</v>
      </c>
      <c r="H189" s="371"/>
      <c r="I189" s="371"/>
      <c r="J189" s="372"/>
      <c r="K189" s="373"/>
    </row>
    <row r="190" spans="1:18" s="391" customFormat="1" outlineLevel="1">
      <c r="A190" s="145"/>
    </row>
    <row r="191" spans="1:18" s="391" customFormat="1" outlineLevel="1">
      <c r="A191" s="145"/>
    </row>
    <row r="192" spans="1:18" s="391" customFormat="1" ht="20.25" outlineLevel="1">
      <c r="A192" s="145"/>
      <c r="R192" s="402"/>
    </row>
    <row r="193" spans="1:18" s="391" customFormat="1" ht="20.25" outlineLevel="1">
      <c r="A193" s="145"/>
      <c r="R193" s="402"/>
    </row>
    <row r="194" spans="1:18" s="391" customFormat="1" ht="20.25" outlineLevel="1">
      <c r="A194" s="145"/>
      <c r="R194" s="402"/>
    </row>
    <row r="195" spans="1:18" s="391" customFormat="1" outlineLevel="1">
      <c r="A195" s="145"/>
    </row>
    <row r="196" spans="1:18" s="391" customFormat="1" outlineLevel="1">
      <c r="A196" s="145"/>
    </row>
    <row r="197" spans="1:18" s="391" customFormat="1" outlineLevel="1">
      <c r="A197" s="145"/>
    </row>
    <row r="198" spans="1:18" s="391" customFormat="1" outlineLevel="1">
      <c r="A198" s="145"/>
    </row>
    <row r="199" spans="1:18" s="391" customFormat="1" outlineLevel="1">
      <c r="A199" s="145"/>
    </row>
    <row r="200" spans="1:18" s="391" customFormat="1" outlineLevel="1">
      <c r="A200" s="145"/>
    </row>
    <row r="201" spans="1:18" s="391" customFormat="1" outlineLevel="1">
      <c r="A201" s="145"/>
    </row>
    <row r="202" spans="1:18" s="391" customFormat="1" outlineLevel="1">
      <c r="A202" s="145"/>
    </row>
    <row r="203" spans="1:18" s="391" customFormat="1" outlineLevel="1">
      <c r="A203" s="145"/>
    </row>
    <row r="204" spans="1:18" outlineLevel="1"/>
    <row r="206" spans="1:18" ht="21">
      <c r="B206" s="403" t="s">
        <v>497</v>
      </c>
      <c r="C206" s="404"/>
      <c r="D206" s="300"/>
      <c r="E206" s="300"/>
      <c r="F206" s="300"/>
      <c r="G206" s="405">
        <f ca="1">SUM(H212:H214)</f>
        <v>10009</v>
      </c>
      <c r="H206" s="405">
        <f ca="1">SUM(I212:I214)</f>
        <v>11177</v>
      </c>
      <c r="I206" s="375">
        <f ca="1">(H206-G206)/G206</f>
        <v>0.11669497452292936</v>
      </c>
    </row>
    <row r="207" spans="1:18" outlineLevel="1">
      <c r="A207" s="145">
        <v>2</v>
      </c>
      <c r="B207" s="232" t="s">
        <v>469</v>
      </c>
      <c r="C207" s="232" t="s">
        <v>470</v>
      </c>
      <c r="D207" s="232">
        <f ca="1">OFFSET(活跃!$A$1,$A207-1,D$1-1)</f>
        <v>42795</v>
      </c>
      <c r="E207" s="232">
        <f ca="1">OFFSET(活跃!$A$1,$A207-1,E$1-1)</f>
        <v>42826</v>
      </c>
      <c r="F207" s="232">
        <f ca="1">OFFSET(活跃!$A$1,$A207-1,F$1-1)</f>
        <v>42856</v>
      </c>
      <c r="G207" s="232">
        <f ca="1">OFFSET(活跃!$A$1,$A207-1,G$1-1)</f>
        <v>42887</v>
      </c>
      <c r="H207" s="232">
        <f ca="1">OFFSET(活跃!$A$1,$A207-1,H$1-1)</f>
        <v>42917</v>
      </c>
      <c r="I207" s="232">
        <f ca="1">OFFSET(活跃!$A$1,$A207-1,I$1-1)</f>
        <v>42948</v>
      </c>
      <c r="J207" s="363" t="s">
        <v>471</v>
      </c>
    </row>
    <row r="208" spans="1:18" outlineLevel="1">
      <c r="A208" s="145">
        <v>120</v>
      </c>
      <c r="B208" s="501" t="s">
        <v>483</v>
      </c>
      <c r="C208" s="367" t="s">
        <v>473</v>
      </c>
      <c r="D208" s="406">
        <f ca="1">OFFSET(活跃!$A$1,$A208-1,D$1-1)</f>
        <v>142738</v>
      </c>
      <c r="E208" s="406">
        <f ca="1">OFFSET(活跃!$A$1,$A208-1,E$1-1)</f>
        <v>126887</v>
      </c>
      <c r="F208" s="406">
        <f ca="1">OFFSET(活跃!$A$1,$A208-1,F$1-1)</f>
        <v>143753</v>
      </c>
      <c r="G208" s="406">
        <f ca="1">OFFSET(活跃!$A$1,$A208-1,G$1-1)</f>
        <v>154321</v>
      </c>
      <c r="H208" s="406">
        <f ca="1">OFFSET(活跃!$A$1,$A208-1,H$1-1)</f>
        <v>149091</v>
      </c>
      <c r="I208" s="366">
        <f ca="1">OFFSET(活跃!$A$1,$A208-1,I$1-1)</f>
        <v>155717</v>
      </c>
      <c r="J208" s="169">
        <f t="shared" ref="J208:J214" ca="1" si="15">(I208-H208)/H208</f>
        <v>4.4442655827648885E-2</v>
      </c>
    </row>
    <row r="209" spans="1:11" outlineLevel="1">
      <c r="A209" s="145">
        <f t="shared" ref="A209:A233" si="16">+A208+1</f>
        <v>121</v>
      </c>
      <c r="B209" s="502"/>
      <c r="C209" s="367" t="s">
        <v>65</v>
      </c>
      <c r="D209" s="380">
        <f ca="1">OFFSET(活跃!$A$1,$A209-1,D$1-1)</f>
        <v>69077</v>
      </c>
      <c r="E209" s="380">
        <f ca="1">OFFSET(活跃!$A$1,$A209-1,E$1-1)</f>
        <v>65031</v>
      </c>
      <c r="F209" s="381">
        <f ca="1">OFFSET(活跃!$A$1,$A209-1,F$1-1)</f>
        <v>71525</v>
      </c>
      <c r="G209" s="381">
        <f ca="1">OFFSET(活跃!$A$1,$A209-1,G$1-1)</f>
        <v>73441</v>
      </c>
      <c r="H209" s="380">
        <f ca="1">OFFSET(活跃!$A$1,$A209-1,H$1-1)</f>
        <v>71278</v>
      </c>
      <c r="I209" s="368">
        <f ca="1">OFFSET(活跃!$A$1,$A209-1,I$1-1)</f>
        <v>73254</v>
      </c>
      <c r="J209" s="169">
        <f t="shared" ca="1" si="15"/>
        <v>2.7722438901203739E-2</v>
      </c>
    </row>
    <row r="210" spans="1:11" outlineLevel="1">
      <c r="A210" s="145">
        <f t="shared" si="16"/>
        <v>122</v>
      </c>
      <c r="B210" s="502"/>
      <c r="C210" s="367" t="s">
        <v>474</v>
      </c>
      <c r="D210" s="380">
        <f ca="1">OFFSET(活跃!$A$1,$A210-1,D$1-1)</f>
        <v>43727</v>
      </c>
      <c r="E210" s="380">
        <f ca="1">OFFSET(活跃!$A$1,$A210-1,E$1-1)</f>
        <v>37707</v>
      </c>
      <c r="F210" s="381">
        <f ca="1">OFFSET(活跃!$A$1,$A210-1,F$1-1)</f>
        <v>43619</v>
      </c>
      <c r="G210" s="381">
        <f ca="1">OFFSET(活跃!$A$1,$A210-1,G$1-1)</f>
        <v>47532</v>
      </c>
      <c r="H210" s="380">
        <f ca="1">OFFSET(活跃!$A$1,$A210-1,H$1-1)</f>
        <v>45206</v>
      </c>
      <c r="I210" s="368">
        <f ca="1">OFFSET(活跃!$A$1,$A210-1,I$1-1)</f>
        <v>46878</v>
      </c>
      <c r="J210" s="169">
        <f t="shared" ca="1" si="15"/>
        <v>3.6986240764500286E-2</v>
      </c>
    </row>
    <row r="211" spans="1:11" outlineLevel="1">
      <c r="A211" s="145">
        <f t="shared" si="16"/>
        <v>123</v>
      </c>
      <c r="B211" s="502"/>
      <c r="C211" s="367" t="s">
        <v>475</v>
      </c>
      <c r="D211" s="381">
        <f ca="1">OFFSET(活跃!$A$1,$A211-1,D$1-1)</f>
        <v>21216</v>
      </c>
      <c r="E211" s="381">
        <f ca="1">OFFSET(活跃!$A$1,$A211-1,E$1-1)</f>
        <v>17200</v>
      </c>
      <c r="F211" s="381">
        <f ca="1">OFFSET(活跃!$A$1,$A211-1,F$1-1)</f>
        <v>20130</v>
      </c>
      <c r="G211" s="381">
        <f ca="1">OFFSET(活跃!$A$1,$A211-1,G$1-1)</f>
        <v>23129</v>
      </c>
      <c r="H211" s="380">
        <f ca="1">OFFSET(活跃!$A$1,$A211-1,H$1-1)</f>
        <v>22598</v>
      </c>
      <c r="I211" s="368">
        <f ca="1">OFFSET(活跃!$A$1,$A211-1,I$1-1)</f>
        <v>24408</v>
      </c>
      <c r="J211" s="169">
        <f t="shared" ca="1" si="15"/>
        <v>8.0095583679971674E-2</v>
      </c>
    </row>
    <row r="212" spans="1:11" outlineLevel="1">
      <c r="A212" s="145">
        <f t="shared" si="16"/>
        <v>124</v>
      </c>
      <c r="B212" s="502"/>
      <c r="C212" s="367" t="s">
        <v>476</v>
      </c>
      <c r="D212" s="381">
        <f ca="1">OFFSET(活跃!$A$1,$A212-1,D$1-1)</f>
        <v>7034</v>
      </c>
      <c r="E212" s="381">
        <f ca="1">OFFSET(活跃!$A$1,$A212-1,E$1-1)</f>
        <v>5538</v>
      </c>
      <c r="F212" s="381">
        <f ca="1">OFFSET(活跃!$A$1,$A212-1,F$1-1)</f>
        <v>6790</v>
      </c>
      <c r="G212" s="381">
        <f ca="1">OFFSET(活跃!$A$1,$A212-1,G$1-1)</f>
        <v>8242</v>
      </c>
      <c r="H212" s="380">
        <f ca="1">OFFSET(活跃!$A$1,$A212-1,H$1-1)</f>
        <v>7915</v>
      </c>
      <c r="I212" s="368">
        <f ca="1">OFFSET(活跃!$A$1,$A212-1,I$1-1)</f>
        <v>8851</v>
      </c>
      <c r="J212" s="169">
        <f t="shared" ca="1" si="15"/>
        <v>0.11825647504737839</v>
      </c>
    </row>
    <row r="213" spans="1:11" outlineLevel="1">
      <c r="A213" s="145">
        <f t="shared" si="16"/>
        <v>125</v>
      </c>
      <c r="B213" s="502"/>
      <c r="C213" s="367" t="s">
        <v>477</v>
      </c>
      <c r="D213" s="381">
        <f ca="1">OFFSET(活跃!$A$1,$A213-1,D$1-1)</f>
        <v>1096</v>
      </c>
      <c r="E213" s="381">
        <f ca="1">OFFSET(活跃!$A$1,$A213-1,E$1-1)</f>
        <v>958</v>
      </c>
      <c r="F213" s="381">
        <f ca="1">OFFSET(活跃!$A$1,$A213-1,F$1-1)</f>
        <v>1105</v>
      </c>
      <c r="G213" s="381">
        <f ca="1">OFFSET(活跃!$A$1,$A213-1,G$1-1)</f>
        <v>1396</v>
      </c>
      <c r="H213" s="381">
        <f ca="1">OFFSET(活跃!$A$1,$A213-1,H$1-1)</f>
        <v>1365</v>
      </c>
      <c r="I213" s="368">
        <f ca="1">OFFSET(活跃!$A$1,$A213-1,I$1-1)</f>
        <v>1504</v>
      </c>
      <c r="J213" s="169">
        <f t="shared" ca="1" si="15"/>
        <v>0.10183150183150183</v>
      </c>
    </row>
    <row r="214" spans="1:11" outlineLevel="1">
      <c r="A214" s="145">
        <f t="shared" si="16"/>
        <v>126</v>
      </c>
      <c r="B214" s="502"/>
      <c r="C214" s="367" t="s">
        <v>71</v>
      </c>
      <c r="D214" s="381">
        <f ca="1">OFFSET(活跃!$A$1,$A214-1,D$1-1)</f>
        <v>588</v>
      </c>
      <c r="E214" s="381">
        <f ca="1">OFFSET(活跃!$A$1,$A214-1,E$1-1)</f>
        <v>453</v>
      </c>
      <c r="F214" s="381">
        <f ca="1">OFFSET(活跃!$A$1,$A214-1,F$1-1)</f>
        <v>584</v>
      </c>
      <c r="G214" s="381">
        <f ca="1">OFFSET(活跃!$A$1,$A214-1,G$1-1)</f>
        <v>581</v>
      </c>
      <c r="H214" s="381">
        <f ca="1">OFFSET(活跃!$A$1,$A214-1,H$1-1)</f>
        <v>729</v>
      </c>
      <c r="I214" s="368">
        <f ca="1">OFFSET(活跃!$A$1,$A214-1,I$1-1)</f>
        <v>822</v>
      </c>
      <c r="J214" s="169">
        <f t="shared" ca="1" si="15"/>
        <v>0.12757201646090535</v>
      </c>
      <c r="K214" s="407">
        <f ca="1">(SUM(I212:I214)-SUM(H212:H214))/SUM(H212:H214)</f>
        <v>0.11669497452292936</v>
      </c>
    </row>
    <row r="215" spans="1:11" outlineLevel="1">
      <c r="A215" s="145">
        <f t="shared" si="16"/>
        <v>127</v>
      </c>
      <c r="B215" s="502"/>
      <c r="C215" s="280" t="s">
        <v>484</v>
      </c>
      <c r="D215" s="281">
        <f ca="1">OFFSET(活跃!$A$1,$A215-1,D$1-1)</f>
        <v>0.48394260813518475</v>
      </c>
      <c r="E215" s="281">
        <f ca="1">OFFSET(活跃!$A$1,$A215-1,E$1-1)</f>
        <v>0.51251113195205178</v>
      </c>
      <c r="F215" s="281">
        <f ca="1">OFFSET(活跃!$A$1,$A215-1,F$1-1)</f>
        <v>0.49755483363825448</v>
      </c>
      <c r="G215" s="281">
        <f ca="1">OFFSET(活跃!$A$1,$A215-1,G$1-1)</f>
        <v>0.47589764192818862</v>
      </c>
      <c r="H215" s="281">
        <f ca="1">OFFSET(活跃!$A$1,$A215-1,H$1-1)</f>
        <v>0.47808385482691779</v>
      </c>
      <c r="I215" s="235">
        <f ca="1">OFFSET(活跃!$A$1,$A215-1,I$1-1)</f>
        <v>0.47043033194834216</v>
      </c>
      <c r="J215" s="169">
        <f t="shared" ref="J215:J220" ca="1" si="17">+I215-H215</f>
        <v>-7.6535228785756249E-3</v>
      </c>
    </row>
    <row r="216" spans="1:11" outlineLevel="1">
      <c r="A216" s="145">
        <f t="shared" si="16"/>
        <v>128</v>
      </c>
      <c r="B216" s="502"/>
      <c r="C216" s="280" t="s">
        <v>485</v>
      </c>
      <c r="D216" s="281">
        <f ca="1">OFFSET(活跃!$A$1,$A216-1,D$1-1)</f>
        <v>0.30634449130574898</v>
      </c>
      <c r="E216" s="281">
        <f ca="1">OFFSET(活跃!$A$1,$A216-1,E$1-1)</f>
        <v>0.29716992284473587</v>
      </c>
      <c r="F216" s="281">
        <f ca="1">OFFSET(活跃!$A$1,$A216-1,F$1-1)</f>
        <v>0.30343018928300625</v>
      </c>
      <c r="G216" s="281">
        <f ca="1">OFFSET(活跃!$A$1,$A216-1,G$1-1)</f>
        <v>0.30800733535941316</v>
      </c>
      <c r="H216" s="281">
        <f ca="1">OFFSET(活跃!$A$1,$A216-1,H$1-1)</f>
        <v>0.30321079072512763</v>
      </c>
      <c r="I216" s="281">
        <f ca="1">OFFSET(活跃!$A$1,$A216-1,I$1-1)</f>
        <v>0.30104612855372248</v>
      </c>
      <c r="J216" s="169">
        <f t="shared" ca="1" si="17"/>
        <v>-2.1646621714051517E-3</v>
      </c>
    </row>
    <row r="217" spans="1:11" outlineLevel="1">
      <c r="A217" s="145">
        <f t="shared" si="16"/>
        <v>129</v>
      </c>
      <c r="B217" s="502"/>
      <c r="C217" s="280" t="s">
        <v>486</v>
      </c>
      <c r="D217" s="281">
        <f ca="1">OFFSET(活跃!$A$1,$A217-1,D$1-1)</f>
        <v>0.14863596239263546</v>
      </c>
      <c r="E217" s="281">
        <f ca="1">OFFSET(活跃!$A$1,$A217-1,E$1-1)</f>
        <v>0.1355536816222308</v>
      </c>
      <c r="F217" s="281">
        <f ca="1">OFFSET(活跃!$A$1,$A217-1,F$1-1)</f>
        <v>0.14003186020465661</v>
      </c>
      <c r="G217" s="281">
        <f ca="1">OFFSET(活跃!$A$1,$A217-1,G$1-1)</f>
        <v>0.14987590800992737</v>
      </c>
      <c r="H217" s="281">
        <f ca="1">OFFSET(活跃!$A$1,$A217-1,H$1-1)</f>
        <v>0.15157185879764706</v>
      </c>
      <c r="I217" s="281">
        <f ca="1">OFFSET(活跃!$A$1,$A217-1,I$1-1)</f>
        <v>0.15674589158537602</v>
      </c>
      <c r="J217" s="169">
        <f t="shared" ca="1" si="17"/>
        <v>5.1740327877289605E-3</v>
      </c>
    </row>
    <row r="218" spans="1:11" outlineLevel="1">
      <c r="A218" s="145">
        <f t="shared" si="16"/>
        <v>130</v>
      </c>
      <c r="B218" s="502"/>
      <c r="C218" s="280" t="s">
        <v>487</v>
      </c>
      <c r="D218" s="281">
        <f ca="1">OFFSET(活跃!$A$1,$A218-1,D$1-1)</f>
        <v>4.9279098768372824E-2</v>
      </c>
      <c r="E218" s="281">
        <f ca="1">OFFSET(活跃!$A$1,$A218-1,E$1-1)</f>
        <v>4.3645133071157804E-2</v>
      </c>
      <c r="F218" s="281">
        <f ca="1">OFFSET(活跃!$A$1,$A218-1,F$1-1)</f>
        <v>4.7233796859891618E-2</v>
      </c>
      <c r="G218" s="281">
        <f ca="1">OFFSET(活跃!$A$1,$A218-1,G$1-1)</f>
        <v>5.3408155727347542E-2</v>
      </c>
      <c r="H218" s="281">
        <f ca="1">OFFSET(活跃!$A$1,$A218-1,H$1-1)</f>
        <v>5.3088382263181549E-2</v>
      </c>
      <c r="I218" s="235">
        <f ca="1">OFFSET(活跃!$A$1,$A218-1,I$1-1)</f>
        <v>5.6840293609560937E-2</v>
      </c>
      <c r="J218" s="169">
        <f t="shared" ca="1" si="17"/>
        <v>3.7519113463793871E-3</v>
      </c>
    </row>
    <row r="219" spans="1:11" outlineLevel="1">
      <c r="A219" s="145">
        <f t="shared" si="16"/>
        <v>131</v>
      </c>
      <c r="B219" s="502"/>
      <c r="C219" s="280" t="s">
        <v>488</v>
      </c>
      <c r="D219" s="281">
        <f ca="1">OFFSET(活跃!$A$1,$A219-1,D$1-1)</f>
        <v>7.678403788759826E-3</v>
      </c>
      <c r="E219" s="281">
        <f ca="1">OFFSET(活跃!$A$1,$A219-1,E$1-1)</f>
        <v>7.550024825238204E-3</v>
      </c>
      <c r="F219" s="281">
        <f ca="1">OFFSET(活跃!$A$1,$A219-1,F$1-1)</f>
        <v>7.6867961016465741E-3</v>
      </c>
      <c r="G219" s="281">
        <f ca="1">OFFSET(活跃!$A$1,$A219-1,G$1-1)</f>
        <v>9.046079276313658E-3</v>
      </c>
      <c r="H219" s="281">
        <f ca="1">OFFSET(活跃!$A$1,$A219-1,H$1-1)</f>
        <v>9.155482222266937E-3</v>
      </c>
      <c r="I219" s="235">
        <f ca="1">OFFSET(活跃!$A$1,$A219-1,I$1-1)</f>
        <v>9.6585472363325785E-3</v>
      </c>
      <c r="J219" s="169">
        <f t="shared" ca="1" si="17"/>
        <v>5.0306501406564147E-4</v>
      </c>
    </row>
    <row r="220" spans="1:11" outlineLevel="1">
      <c r="A220" s="145">
        <f t="shared" si="16"/>
        <v>132</v>
      </c>
      <c r="B220" s="503"/>
      <c r="C220" s="280" t="s">
        <v>489</v>
      </c>
      <c r="D220" s="281">
        <f ca="1">OFFSET(活跃!$A$1,$A220-1,D$1-1)</f>
        <v>4.1194356092981547E-3</v>
      </c>
      <c r="E220" s="281">
        <f ca="1">OFFSET(活跃!$A$1,$A220-1,E$1-1)</f>
        <v>3.5701056845854973E-3</v>
      </c>
      <c r="F220" s="281">
        <f ca="1">OFFSET(活跃!$A$1,$A220-1,F$1-1)</f>
        <v>4.0625239125444334E-3</v>
      </c>
      <c r="G220" s="281">
        <f ca="1">OFFSET(活跃!$A$1,$A220-1,G$1-1)</f>
        <v>3.7648796988096239E-3</v>
      </c>
      <c r="H220" s="281">
        <f ca="1">OFFSET(活跃!$A$1,$A220-1,H$1-1)</f>
        <v>4.8896311648590459E-3</v>
      </c>
      <c r="I220" s="235">
        <f ca="1">OFFSET(活跃!$A$1,$A220-1,I$1-1)</f>
        <v>5.2788070666658108E-3</v>
      </c>
      <c r="J220" s="169">
        <f t="shared" ca="1" si="17"/>
        <v>3.8917590180676497E-4</v>
      </c>
    </row>
    <row r="221" spans="1:11" outlineLevel="1">
      <c r="A221" s="145">
        <f t="shared" si="16"/>
        <v>133</v>
      </c>
      <c r="B221" s="528" t="s">
        <v>490</v>
      </c>
      <c r="C221" s="364" t="s">
        <v>473</v>
      </c>
      <c r="D221" s="365">
        <f ca="1">OFFSET(活跃!$A$1,$A221-1,D$1-1)</f>
        <v>22181</v>
      </c>
      <c r="E221" s="365">
        <f ca="1">OFFSET(活跃!$A$1,$A221-1,E$1-1)</f>
        <v>18403</v>
      </c>
      <c r="F221" s="365">
        <f ca="1">OFFSET(活跃!$A$1,$A221-1,F$1-1)</f>
        <v>18675</v>
      </c>
      <c r="G221" s="365">
        <f ca="1">OFFSET(活跃!$A$1,$A221-1,G$1-1)</f>
        <v>17472</v>
      </c>
      <c r="H221" s="365">
        <f ca="1">OFFSET(活跃!$A$1,$A221-1,H$1-1)</f>
        <v>16327</v>
      </c>
      <c r="I221" s="366">
        <f ca="1">OFFSET(活跃!$A$1,$A221-1,I$1-1)</f>
        <v>15421</v>
      </c>
      <c r="J221" s="169">
        <f t="shared" ref="J221:J227" ca="1" si="18">(I221-H221)/H221</f>
        <v>-5.54909046364917E-2</v>
      </c>
    </row>
    <row r="222" spans="1:11" outlineLevel="1">
      <c r="A222" s="145">
        <f t="shared" si="16"/>
        <v>134</v>
      </c>
      <c r="B222" s="528"/>
      <c r="C222" s="197" t="s">
        <v>65</v>
      </c>
      <c r="D222" s="380">
        <f ca="1">OFFSET(活跃!$A$1,$A222-1,D$1-1)</f>
        <v>11900</v>
      </c>
      <c r="E222" s="380">
        <f ca="1">OFFSET(活跃!$A$1,$A222-1,E$1-1)</f>
        <v>9531</v>
      </c>
      <c r="F222" s="408">
        <f ca="1">OFFSET(活跃!$A$1,$A222-1,F$1-1)</f>
        <v>9443</v>
      </c>
      <c r="G222" s="408">
        <f ca="1">OFFSET(活跃!$A$1,$A222-1,G$1-1)</f>
        <v>9274</v>
      </c>
      <c r="H222" s="380">
        <f ca="1">OFFSET(活跃!$A$1,$A222-1,H$1-1)</f>
        <v>8694</v>
      </c>
      <c r="I222" s="368">
        <f ca="1">OFFSET(活跃!$A$1,$A222-1,I$1-1)</f>
        <v>8281</v>
      </c>
      <c r="J222" s="169">
        <f t="shared" ca="1" si="18"/>
        <v>-4.7504025764895333E-2</v>
      </c>
    </row>
    <row r="223" spans="1:11" outlineLevel="1">
      <c r="A223" s="145">
        <f t="shared" si="16"/>
        <v>135</v>
      </c>
      <c r="B223" s="528"/>
      <c r="C223" s="197" t="s">
        <v>474</v>
      </c>
      <c r="D223" s="380">
        <f ca="1">OFFSET(活跃!$A$1,$A223-1,D$1-1)</f>
        <v>5338</v>
      </c>
      <c r="E223" s="380">
        <f ca="1">OFFSET(活跃!$A$1,$A223-1,E$1-1)</f>
        <v>4503</v>
      </c>
      <c r="F223" s="408">
        <f ca="1">OFFSET(活跃!$A$1,$A223-1,F$1-1)</f>
        <v>4724</v>
      </c>
      <c r="G223" s="408">
        <f ca="1">OFFSET(活跃!$A$1,$A223-1,G$1-1)</f>
        <v>4186</v>
      </c>
      <c r="H223" s="380">
        <f ca="1">OFFSET(活跃!$A$1,$A223-1,H$1-1)</f>
        <v>3909</v>
      </c>
      <c r="I223" s="368">
        <f ca="1">OFFSET(活跃!$A$1,$A223-1,I$1-1)</f>
        <v>3598</v>
      </c>
      <c r="J223" s="169">
        <f t="shared" ca="1" si="18"/>
        <v>-7.9559989767203895E-2</v>
      </c>
    </row>
    <row r="224" spans="1:11" outlineLevel="1">
      <c r="A224" s="145">
        <f t="shared" si="16"/>
        <v>136</v>
      </c>
      <c r="B224" s="528"/>
      <c r="C224" s="197" t="s">
        <v>475</v>
      </c>
      <c r="D224" s="380">
        <f ca="1">OFFSET(活跃!$A$1,$A224-1,D$1-1)</f>
        <v>2825</v>
      </c>
      <c r="E224" s="380">
        <f ca="1">OFFSET(活跃!$A$1,$A224-1,E$1-1)</f>
        <v>2517</v>
      </c>
      <c r="F224" s="408">
        <f ca="1">OFFSET(活跃!$A$1,$A224-1,F$1-1)</f>
        <v>2490</v>
      </c>
      <c r="G224" s="408">
        <f ca="1">OFFSET(活跃!$A$1,$A224-1,G$1-1)</f>
        <v>2249</v>
      </c>
      <c r="H224" s="380">
        <f ca="1">OFFSET(活跃!$A$1,$A224-1,H$1-1)</f>
        <v>2095</v>
      </c>
      <c r="I224" s="368">
        <f ca="1">OFFSET(活跃!$A$1,$A224-1,I$1-1)</f>
        <v>1962</v>
      </c>
      <c r="J224" s="169">
        <f t="shared" ca="1" si="18"/>
        <v>-6.3484486873508356E-2</v>
      </c>
    </row>
    <row r="225" spans="1:12" outlineLevel="1">
      <c r="A225" s="145">
        <f t="shared" si="16"/>
        <v>137</v>
      </c>
      <c r="B225" s="528"/>
      <c r="C225" s="197" t="s">
        <v>476</v>
      </c>
      <c r="D225" s="380">
        <f ca="1">OFFSET(活跃!$A$1,$A225-1,D$1-1)</f>
        <v>1546</v>
      </c>
      <c r="E225" s="380">
        <f ca="1">OFFSET(活跃!$A$1,$A225-1,E$1-1)</f>
        <v>1301</v>
      </c>
      <c r="F225" s="408">
        <f ca="1">OFFSET(活跃!$A$1,$A225-1,F$1-1)</f>
        <v>1285</v>
      </c>
      <c r="G225" s="408">
        <f ca="1">OFFSET(活跃!$A$1,$A225-1,G$1-1)</f>
        <v>1273</v>
      </c>
      <c r="H225" s="380">
        <f ca="1">OFFSET(活跃!$A$1,$A225-1,H$1-1)</f>
        <v>1152</v>
      </c>
      <c r="I225" s="368">
        <f ca="1">OFFSET(活跃!$A$1,$A225-1,I$1-1)</f>
        <v>1119</v>
      </c>
      <c r="J225" s="169">
        <f t="shared" ca="1" si="18"/>
        <v>-2.8645833333333332E-2</v>
      </c>
    </row>
    <row r="226" spans="1:12" outlineLevel="1">
      <c r="A226" s="145">
        <f t="shared" si="16"/>
        <v>138</v>
      </c>
      <c r="B226" s="528"/>
      <c r="C226" s="197" t="s">
        <v>477</v>
      </c>
      <c r="D226" s="408">
        <f ca="1">OFFSET(活跃!$A$1,$A226-1,D$1-1)</f>
        <v>378</v>
      </c>
      <c r="E226" s="408">
        <f ca="1">OFFSET(活跃!$A$1,$A226-1,E$1-1)</f>
        <v>343</v>
      </c>
      <c r="F226" s="408">
        <f ca="1">OFFSET(活跃!$A$1,$A226-1,F$1-1)</f>
        <v>368</v>
      </c>
      <c r="G226" s="408">
        <f ca="1">OFFSET(活跃!$A$1,$A226-1,G$1-1)</f>
        <v>378</v>
      </c>
      <c r="H226" s="408">
        <f ca="1">OFFSET(活跃!$A$1,$A226-1,H$1-1)</f>
        <v>295</v>
      </c>
      <c r="I226" s="368">
        <f ca="1">OFFSET(活跃!$A$1,$A226-1,I$1-1)</f>
        <v>278</v>
      </c>
      <c r="J226" s="169">
        <f t="shared" ca="1" si="18"/>
        <v>-5.7627118644067797E-2</v>
      </c>
    </row>
    <row r="227" spans="1:12" outlineLevel="1">
      <c r="A227" s="145">
        <f t="shared" si="16"/>
        <v>139</v>
      </c>
      <c r="B227" s="528"/>
      <c r="C227" s="197" t="s">
        <v>71</v>
      </c>
      <c r="D227" s="408">
        <f ca="1">OFFSET(活跃!$A$1,$A227-1,D$1-1)</f>
        <v>194</v>
      </c>
      <c r="E227" s="408">
        <f ca="1">OFFSET(活跃!$A$1,$A227-1,E$1-1)</f>
        <v>208</v>
      </c>
      <c r="F227" s="408">
        <f ca="1">OFFSET(活跃!$A$1,$A227-1,F$1-1)</f>
        <v>365</v>
      </c>
      <c r="G227" s="408">
        <f ca="1">OFFSET(活跃!$A$1,$A227-1,G$1-1)</f>
        <v>112</v>
      </c>
      <c r="H227" s="408">
        <f ca="1">OFFSET(活跃!$A$1,$A227-1,H$1-1)</f>
        <v>182</v>
      </c>
      <c r="I227" s="368">
        <f ca="1">OFFSET(活跃!$A$1,$A227-1,I$1-1)</f>
        <v>183</v>
      </c>
      <c r="J227" s="169">
        <f t="shared" ca="1" si="18"/>
        <v>5.4945054945054949E-3</v>
      </c>
      <c r="K227" s="407">
        <f ca="1">(SUM(I225:I227)-SUM(H225:H227))/SUM(H225:H227)</f>
        <v>-3.0079803560466543E-2</v>
      </c>
    </row>
    <row r="228" spans="1:12" outlineLevel="1">
      <c r="A228" s="145">
        <f t="shared" si="16"/>
        <v>140</v>
      </c>
      <c r="B228" s="528"/>
      <c r="C228" s="280" t="s">
        <v>484</v>
      </c>
      <c r="D228" s="370">
        <f ca="1">OFFSET(活跃!$A$1,$A228-1,D$1-1)</f>
        <v>0.53649519859339079</v>
      </c>
      <c r="E228" s="281">
        <f ca="1">OFFSET(活跃!$A$1,$A228-1,E$1-1)</f>
        <v>0.51790468945280665</v>
      </c>
      <c r="F228" s="281">
        <f ca="1">OFFSET(活跃!$A$1,$A228-1,F$1-1)</f>
        <v>0.50564926372155283</v>
      </c>
      <c r="G228" s="281">
        <f ca="1">OFFSET(活跃!$A$1,$A228-1,G$1-1)</f>
        <v>0.53079212454212454</v>
      </c>
      <c r="H228" s="281">
        <f ca="1">OFFSET(活跃!$A$1,$A228-1,H$1-1)</f>
        <v>0.53249219084951305</v>
      </c>
      <c r="I228" s="235">
        <f ca="1">OFFSET(活跃!$A$1,$A228-1,I$1-1)</f>
        <v>0.536995006808897</v>
      </c>
      <c r="J228" s="169">
        <f t="shared" ref="J228:J233" ca="1" si="19">+I228-H228</f>
        <v>4.5028159593839545E-3</v>
      </c>
    </row>
    <row r="229" spans="1:12" outlineLevel="1">
      <c r="A229" s="145">
        <f t="shared" si="16"/>
        <v>141</v>
      </c>
      <c r="B229" s="528"/>
      <c r="C229" s="280" t="s">
        <v>485</v>
      </c>
      <c r="D229" s="370">
        <f ca="1">OFFSET(活跃!$A$1,$A229-1,D$1-1)</f>
        <v>0.24065641765474957</v>
      </c>
      <c r="E229" s="281">
        <f ca="1">OFFSET(活跃!$A$1,$A229-1,E$1-1)</f>
        <v>0.24468836602727817</v>
      </c>
      <c r="F229" s="281">
        <f ca="1">OFFSET(活跃!$A$1,$A229-1,F$1-1)</f>
        <v>0.25295850066934406</v>
      </c>
      <c r="G229" s="281">
        <f ca="1">OFFSET(活跃!$A$1,$A229-1,G$1-1)</f>
        <v>0.23958333333333334</v>
      </c>
      <c r="H229" s="281">
        <f ca="1">OFFSET(活跃!$A$1,$A229-1,H$1-1)</f>
        <v>0.23941936669320757</v>
      </c>
      <c r="I229" s="281">
        <f ca="1">OFFSET(活跃!$A$1,$A229-1,I$1-1)</f>
        <v>0.23331820245120291</v>
      </c>
      <c r="J229" s="169">
        <f t="shared" ca="1" si="19"/>
        <v>-6.1011642420046586E-3</v>
      </c>
    </row>
    <row r="230" spans="1:12" outlineLevel="1">
      <c r="A230" s="145">
        <f t="shared" si="16"/>
        <v>142</v>
      </c>
      <c r="B230" s="528"/>
      <c r="C230" s="280" t="s">
        <v>486</v>
      </c>
      <c r="D230" s="370">
        <f ca="1">OFFSET(活跃!$A$1,$A230-1,D$1-1)</f>
        <v>0.12736125512826293</v>
      </c>
      <c r="E230" s="281">
        <f ca="1">OFFSET(活跃!$A$1,$A230-1,E$1-1)</f>
        <v>0.1367711786121828</v>
      </c>
      <c r="F230" s="281">
        <f ca="1">OFFSET(活跃!$A$1,$A230-1,F$1-1)</f>
        <v>0.13333333333333333</v>
      </c>
      <c r="G230" s="281">
        <f ca="1">OFFSET(活跃!$A$1,$A230-1,G$1-1)</f>
        <v>0.12872023809523808</v>
      </c>
      <c r="H230" s="281">
        <f ca="1">OFFSET(活跃!$A$1,$A230-1,H$1-1)</f>
        <v>0.1283150609419979</v>
      </c>
      <c r="I230" s="281">
        <f ca="1">OFFSET(活跃!$A$1,$A230-1,I$1-1)</f>
        <v>0.12722910317100058</v>
      </c>
      <c r="J230" s="169">
        <f t="shared" ca="1" si="19"/>
        <v>-1.08595777099732E-3</v>
      </c>
    </row>
    <row r="231" spans="1:12" outlineLevel="1">
      <c r="A231" s="145">
        <f t="shared" si="16"/>
        <v>143</v>
      </c>
      <c r="B231" s="528"/>
      <c r="C231" s="280" t="s">
        <v>487</v>
      </c>
      <c r="D231" s="370">
        <f ca="1">OFFSET(活跃!$A$1,$A231-1,D$1-1)</f>
        <v>6.9699292187006892E-2</v>
      </c>
      <c r="E231" s="281">
        <f ca="1">OFFSET(活跃!$A$1,$A231-1,E$1-1)</f>
        <v>7.0694995381187856E-2</v>
      </c>
      <c r="F231" s="281">
        <f ca="1">OFFSET(活跃!$A$1,$A231-1,F$1-1)</f>
        <v>6.880856760374833E-2</v>
      </c>
      <c r="G231" s="281">
        <f ca="1">OFFSET(活跃!$A$1,$A231-1,G$1-1)</f>
        <v>7.2859432234432239E-2</v>
      </c>
      <c r="H231" s="281">
        <f ca="1">OFFSET(活跃!$A$1,$A231-1,H$1-1)</f>
        <v>7.0557971458320573E-2</v>
      </c>
      <c r="I231" s="235">
        <f ca="1">OFFSET(活跃!$A$1,$A231-1,I$1-1)</f>
        <v>7.256338758835354E-2</v>
      </c>
      <c r="J231" s="169">
        <f t="shared" ca="1" si="19"/>
        <v>2.0054161300329665E-3</v>
      </c>
    </row>
    <row r="232" spans="1:12" outlineLevel="1">
      <c r="A232" s="145">
        <f t="shared" si="16"/>
        <v>144</v>
      </c>
      <c r="B232" s="528"/>
      <c r="C232" s="280" t="s">
        <v>488</v>
      </c>
      <c r="D232" s="370">
        <f ca="1">OFFSET(活跃!$A$1,$A232-1,D$1-1)</f>
        <v>1.7041612190613589E-2</v>
      </c>
      <c r="E232" s="281">
        <f ca="1">OFFSET(活跃!$A$1,$A232-1,E$1-1)</f>
        <v>1.8638265500190185E-2</v>
      </c>
      <c r="F232" s="281">
        <f ca="1">OFFSET(活跃!$A$1,$A232-1,F$1-1)</f>
        <v>1.9705488621151273E-2</v>
      </c>
      <c r="G232" s="281">
        <f ca="1">OFFSET(活跃!$A$1,$A232-1,G$1-1)</f>
        <v>2.1634615384615384E-2</v>
      </c>
      <c r="H232" s="281">
        <f ca="1">OFFSET(活跃!$A$1,$A232-1,H$1-1)</f>
        <v>1.8068230538372022E-2</v>
      </c>
      <c r="I232" s="235">
        <f ca="1">OFFSET(活跃!$A$1,$A232-1,I$1-1)</f>
        <v>1.8027365281110173E-2</v>
      </c>
      <c r="J232" s="169">
        <f t="shared" ca="1" si="19"/>
        <v>-4.0865257261848281E-5</v>
      </c>
    </row>
    <row r="233" spans="1:12" outlineLevel="1">
      <c r="A233" s="145">
        <f t="shared" si="16"/>
        <v>145</v>
      </c>
      <c r="B233" s="528"/>
      <c r="C233" s="280" t="s">
        <v>489</v>
      </c>
      <c r="D233" s="370">
        <f ca="1">OFFSET(活跃!$A$1,$A233-1,D$1-1)</f>
        <v>8.7462242459762866E-3</v>
      </c>
      <c r="E233" s="281">
        <f ca="1">OFFSET(活跃!$A$1,$A233-1,E$1-1)</f>
        <v>1.1302505026354399E-2</v>
      </c>
      <c r="F233" s="281">
        <f ca="1">OFFSET(活跃!$A$1,$A233-1,F$1-1)</f>
        <v>1.9544846050870146E-2</v>
      </c>
      <c r="G233" s="281">
        <f ca="1">OFFSET(活跃!$A$1,$A233-1,G$1-1)</f>
        <v>6.41025641025641E-3</v>
      </c>
      <c r="H233" s="281">
        <f ca="1">OFFSET(活跃!$A$1,$A233-1,H$1-1)</f>
        <v>1.114717951858884E-2</v>
      </c>
      <c r="I233" s="235">
        <f ca="1">OFFSET(活跃!$A$1,$A233-1,I$1-1)</f>
        <v>1.1866934699435835E-2</v>
      </c>
      <c r="J233" s="169">
        <f t="shared" ca="1" si="19"/>
        <v>7.1975518084699437E-4</v>
      </c>
      <c r="K233" s="239">
        <f ca="1">SUM(I231:I233)</f>
        <v>0.10245768756889956</v>
      </c>
      <c r="L233" s="239">
        <f ca="1">SUM(J231:J233)</f>
        <v>2.6843060536181126E-3</v>
      </c>
    </row>
    <row r="234" spans="1:12" outlineLevel="1">
      <c r="B234" s="303"/>
      <c r="C234" s="404"/>
      <c r="D234" s="300"/>
      <c r="E234" s="300"/>
      <c r="F234" s="300"/>
      <c r="G234" s="409">
        <f ca="1">SUM(H225:H227)</f>
        <v>1629</v>
      </c>
      <c r="H234" s="409">
        <f ca="1">SUM(I225:I227)</f>
        <v>1580</v>
      </c>
      <c r="I234" s="375">
        <f ca="1">(H234-G234)/G234</f>
        <v>-3.0079803560466543E-2</v>
      </c>
    </row>
    <row r="235" spans="1:12" outlineLevel="1"/>
    <row r="236" spans="1:12" outlineLevel="1">
      <c r="B236" s="173" t="s">
        <v>505</v>
      </c>
      <c r="C236" s="173"/>
      <c r="D236" s="173"/>
      <c r="E236" s="173"/>
      <c r="F236" s="175"/>
      <c r="G236" s="175"/>
      <c r="H236" s="175"/>
      <c r="I236" s="175"/>
      <c r="J236" s="175"/>
      <c r="K236" s="175"/>
    </row>
    <row r="237" spans="1:12" s="176" customFormat="1" ht="20.25" customHeight="1" outlineLevel="1">
      <c r="A237" s="282"/>
      <c r="B237" s="177" t="str">
        <f ca="1">"游戏付费："&amp;TEXT(I208/10000,"0.0")&amp;"万("&amp;IF(J208&gt;0,"+","")&amp;TEXT(J208,"0.0%"&amp;")")</f>
        <v>游戏付费：15.6万(+4.4%)</v>
      </c>
      <c r="H237" s="371"/>
      <c r="I237" s="371"/>
      <c r="J237" s="372"/>
      <c r="K237" s="373"/>
    </row>
    <row r="238" spans="1:12" s="176" customFormat="1" ht="20.25" customHeight="1" outlineLevel="1">
      <c r="A238" s="282"/>
      <c r="B238" s="177" t="str">
        <f ca="1" xml:space="preserve"> "   1天："&amp;TEXT(I209/10000,"0.0")&amp;"万人("&amp;IF(I15&gt;0,"+","")&amp;TEXT(I15,"0.0%")&amp;")，占比"&amp;TEXT(I215,"0.0%")&amp;"("&amp;IF(J215&gt;0,"+","")&amp;TEXT(J215,"0.0%")&amp;")"</f>
        <v xml:space="preserve">   1天：7.3万人(+7.3%)，占比47.0%(-0.8%)</v>
      </c>
      <c r="H238" s="371"/>
      <c r="I238" s="371"/>
      <c r="J238" s="372"/>
      <c r="K238" s="373"/>
    </row>
    <row r="239" spans="1:12" s="176" customFormat="1" ht="20.25" customHeight="1" outlineLevel="1">
      <c r="A239" s="282"/>
      <c r="B239" s="177" t="str">
        <f ca="1" xml:space="preserve"> "   超8天："&amp;TEXT(SUM(I212:I214)/10000,"0.0")&amp;"万人("&amp;IF(K214&gt;0,"+","")&amp;TEXT(K214,"0.0%")&amp;")，占比"&amp;TEXT(SUM(I218:I220),"0.0%")&amp;"("&amp;IF(SUM(J218:J220)&gt;0,"+","")&amp;TEXT(SUM(J218:J220),"0.0%")&amp;")"</f>
        <v xml:space="preserve">   超8天：1.1万人(+11.7%)，占比7.2%(+0.5%)</v>
      </c>
      <c r="H239" s="371"/>
      <c r="I239" s="371"/>
      <c r="J239" s="372"/>
      <c r="K239" s="373"/>
    </row>
    <row r="240" spans="1:12" outlineLevel="1"/>
    <row r="241" spans="2:18" outlineLevel="1"/>
    <row r="242" spans="2:18" outlineLevel="1"/>
    <row r="243" spans="2:18" ht="20.25" outlineLevel="1">
      <c r="R243" s="186"/>
    </row>
    <row r="244" spans="2:18" ht="20.25" outlineLevel="1">
      <c r="R244" s="186"/>
    </row>
    <row r="245" spans="2:18" ht="20.25" outlineLevel="1">
      <c r="R245" s="186"/>
    </row>
    <row r="246" spans="2:18" outlineLevel="1"/>
    <row r="247" spans="2:18" outlineLevel="1"/>
    <row r="248" spans="2:18" outlineLevel="1"/>
    <row r="249" spans="2:18" outlineLevel="1"/>
    <row r="250" spans="2:18" outlineLevel="1"/>
    <row r="251" spans="2:18" outlineLevel="1"/>
    <row r="252" spans="2:18" outlineLevel="1"/>
    <row r="253" spans="2:18" outlineLevel="1"/>
    <row r="254" spans="2:18" outlineLevel="1"/>
    <row r="255" spans="2:18" outlineLevel="1"/>
    <row r="256" spans="2:18" outlineLevel="1">
      <c r="B256" s="173" t="s">
        <v>506</v>
      </c>
      <c r="C256" s="173"/>
      <c r="D256" s="173"/>
      <c r="E256" s="173"/>
      <c r="F256" s="175"/>
      <c r="G256" s="175"/>
      <c r="H256" s="175"/>
      <c r="I256" s="175"/>
      <c r="J256" s="175"/>
      <c r="K256" s="175"/>
    </row>
    <row r="257" spans="1:18" s="176" customFormat="1" ht="20.25" customHeight="1" outlineLevel="1">
      <c r="A257" s="282"/>
      <c r="B257" s="177" t="str">
        <f ca="1">"娱乐付费："&amp;TEXT(I221/10000,"0.0")&amp;"万("&amp;IF(J221&gt;0,"+","")&amp;TEXT(J221,"0.0%"&amp;")")</f>
        <v>娱乐付费：1.5万(-5.5%)</v>
      </c>
      <c r="H257" s="371"/>
      <c r="I257" s="371"/>
      <c r="K257" s="373"/>
    </row>
    <row r="258" spans="1:18" s="176" customFormat="1" ht="20.25" customHeight="1" outlineLevel="1">
      <c r="A258" s="282"/>
      <c r="B258" s="177" t="str">
        <f ca="1" xml:space="preserve"> "   1天："&amp;TEXT(I222,"0")&amp;"人("&amp;IF(J222&gt;0,"+","")&amp;TEXT(J222,"0.0%")&amp;")，占比"&amp;TEXT(I228,"0.0%")&amp;"("&amp;IF(J228&gt;0,"+","")&amp;TEXT(J228,"0.0%")&amp;")"</f>
        <v xml:space="preserve">   1天：8281人(-4.8%)，占比53.7%(+0.5%)</v>
      </c>
      <c r="H258" s="371"/>
      <c r="I258" s="371"/>
      <c r="K258" s="373"/>
    </row>
    <row r="259" spans="1:18" s="176" customFormat="1" ht="20.25" customHeight="1" outlineLevel="1">
      <c r="A259" s="282"/>
      <c r="B259" s="177" t="str">
        <f ca="1" xml:space="preserve"> "   超8天："&amp;TEXT(SUM(I225:I227),"0")&amp;"("&amp;IF(I234&gt;0,"+","")&amp;TEXT(I234,"0.0%")&amp;")，占比"&amp;TEXT(K233,"0.0%")&amp;"("&amp;IF(L233&gt;0,"+","")&amp;TEXT(L233,"0.0%")&amp;")"</f>
        <v xml:space="preserve">   超8天：1580(-3.0%)，占比10.2%(+0.3%)</v>
      </c>
      <c r="H259" s="371"/>
      <c r="I259" s="371"/>
      <c r="K259" s="373"/>
    </row>
    <row r="260" spans="1:18" outlineLevel="1"/>
    <row r="261" spans="1:18" outlineLevel="1"/>
    <row r="262" spans="1:18" outlineLevel="1"/>
    <row r="263" spans="1:18" ht="20.25" outlineLevel="1">
      <c r="R263" s="186"/>
    </row>
    <row r="264" spans="1:18" ht="20.25" outlineLevel="1">
      <c r="R264" s="186"/>
    </row>
    <row r="265" spans="1:18" ht="20.25" outlineLevel="1">
      <c r="R265" s="186"/>
    </row>
    <row r="266" spans="1:18" outlineLevel="1"/>
    <row r="267" spans="1:18" outlineLevel="1"/>
    <row r="268" spans="1:18" outlineLevel="1"/>
    <row r="269" spans="1:18" outlineLevel="1"/>
    <row r="270" spans="1:18" outlineLevel="1"/>
    <row r="271" spans="1:18" outlineLevel="1"/>
    <row r="272" spans="1:18" outlineLevel="1"/>
    <row r="273" spans="1:10" outlineLevel="1"/>
    <row r="274" spans="1:10" outlineLevel="1"/>
    <row r="276" spans="1:10" ht="21">
      <c r="B276" s="192" t="s">
        <v>498</v>
      </c>
      <c r="H276" s="359">
        <f ca="1">SUM(H282:H284)</f>
        <v>109201</v>
      </c>
      <c r="I276" s="360">
        <f ca="1">SUM(I282:I284)</f>
        <v>111498</v>
      </c>
      <c r="J276" s="361">
        <f ca="1">(I276-H276)/H276</f>
        <v>2.1034605910202286E-2</v>
      </c>
    </row>
    <row r="277" spans="1:10" outlineLevel="1">
      <c r="A277" s="145">
        <v>2</v>
      </c>
      <c r="B277" s="232" t="s">
        <v>469</v>
      </c>
      <c r="C277" s="232" t="s">
        <v>470</v>
      </c>
      <c r="D277" s="232">
        <f ca="1">OFFSET(活跃!$A$1,$A277-1,D$1-1)</f>
        <v>42795</v>
      </c>
      <c r="E277" s="232">
        <f ca="1">OFFSET(活跃!$A$1,$A277-1,E$1-1)</f>
        <v>42826</v>
      </c>
      <c r="F277" s="232">
        <f ca="1">OFFSET(活跃!$A$1,$A277-1,F$1-1)</f>
        <v>42856</v>
      </c>
      <c r="G277" s="232">
        <f ca="1">OFFSET(活跃!$A$1,$A277-1,G$1-1)</f>
        <v>42887</v>
      </c>
      <c r="H277" s="232">
        <f ca="1">OFFSET(活跃!$A$1,$A277-1,H$1-1)</f>
        <v>42917</v>
      </c>
      <c r="I277" s="232">
        <f ca="1">OFFSET(活跃!$A$1,$A277-1,I$1-1)</f>
        <v>42948</v>
      </c>
      <c r="J277" s="363" t="s">
        <v>471</v>
      </c>
    </row>
    <row r="278" spans="1:10" outlineLevel="1">
      <c r="A278" s="145">
        <v>29</v>
      </c>
      <c r="B278" s="501" t="s">
        <v>499</v>
      </c>
      <c r="C278" s="364" t="s">
        <v>473</v>
      </c>
      <c r="D278" s="365">
        <f ca="1">OFFSET(活跃!$A$1,$A278-1,D$1-1)</f>
        <v>688687</v>
      </c>
      <c r="E278" s="365">
        <f ca="1">OFFSET(活跃!$A$1,$A278-1,E$1-1)</f>
        <v>617570</v>
      </c>
      <c r="F278" s="365">
        <f ca="1">OFFSET(活跃!$A$1,$A278-1,F$1-1)</f>
        <v>619033</v>
      </c>
      <c r="G278" s="365">
        <f ca="1">OFFSET(活跃!$A$1,$A278-1,G$1-1)</f>
        <v>574079</v>
      </c>
      <c r="H278" s="365">
        <f ca="1">OFFSET(活跃!$A$1,$A278-1,H$1-1)</f>
        <v>572444</v>
      </c>
      <c r="I278" s="366">
        <f ca="1">OFFSET(活跃!$A$1,$A278-1,I$1-1)</f>
        <v>582328</v>
      </c>
      <c r="J278" s="169">
        <f t="shared" ref="J278:J284" ca="1" si="20">(I278-H278)/H278</f>
        <v>1.7266317753352294E-2</v>
      </c>
    </row>
    <row r="279" spans="1:10" outlineLevel="1">
      <c r="A279" s="145">
        <f t="shared" ref="A279:A303" si="21">+A278+1</f>
        <v>30</v>
      </c>
      <c r="B279" s="502"/>
      <c r="C279" s="367" t="s">
        <v>65</v>
      </c>
      <c r="D279" s="368">
        <f ca="1">OFFSET(活跃!$A$1,$A279-1,D$1-1)</f>
        <v>315596</v>
      </c>
      <c r="E279" s="369">
        <f ca="1">OFFSET(活跃!$A$1,$A279-1,E$1-1)</f>
        <v>281402</v>
      </c>
      <c r="F279" s="369">
        <f ca="1">OFFSET(活跃!$A$1,$A279-1,F$1-1)</f>
        <v>271568</v>
      </c>
      <c r="G279" s="369">
        <f ca="1">OFFSET(活跃!$A$1,$A279-1,G$1-1)</f>
        <v>245612</v>
      </c>
      <c r="H279" s="368">
        <f ca="1">OFFSET(活跃!$A$1,$A279-1,H$1-1)</f>
        <v>255745</v>
      </c>
      <c r="I279" s="368">
        <f ca="1">OFFSET(活跃!$A$1,$A279-1,I$1-1)</f>
        <v>255352</v>
      </c>
      <c r="J279" s="169">
        <f t="shared" ca="1" si="20"/>
        <v>-1.536686934250914E-3</v>
      </c>
    </row>
    <row r="280" spans="1:10" outlineLevel="1">
      <c r="A280" s="145">
        <f t="shared" si="21"/>
        <v>31</v>
      </c>
      <c r="B280" s="502"/>
      <c r="C280" s="367" t="s">
        <v>474</v>
      </c>
      <c r="D280" s="368">
        <f ca="1">OFFSET(活跃!$A$1,$A280-1,D$1-1)</f>
        <v>155514</v>
      </c>
      <c r="E280" s="369">
        <f ca="1">OFFSET(活跃!$A$1,$A280-1,E$1-1)</f>
        <v>139431</v>
      </c>
      <c r="F280" s="369">
        <f ca="1">OFFSET(活跃!$A$1,$A280-1,F$1-1)</f>
        <v>141591</v>
      </c>
      <c r="G280" s="369">
        <f ca="1">OFFSET(活跃!$A$1,$A280-1,G$1-1)</f>
        <v>131402</v>
      </c>
      <c r="H280" s="368">
        <f ca="1">OFFSET(活跃!$A$1,$A280-1,H$1-1)</f>
        <v>129119</v>
      </c>
      <c r="I280" s="368">
        <f ca="1">OFFSET(活跃!$A$1,$A280-1,I$1-1)</f>
        <v>136805</v>
      </c>
      <c r="J280" s="169">
        <f t="shared" ca="1" si="20"/>
        <v>5.9526483321587061E-2</v>
      </c>
    </row>
    <row r="281" spans="1:10" outlineLevel="1">
      <c r="A281" s="145">
        <f t="shared" si="21"/>
        <v>32</v>
      </c>
      <c r="B281" s="502"/>
      <c r="C281" s="367" t="s">
        <v>475</v>
      </c>
      <c r="D281" s="368">
        <f ca="1">OFFSET(活跃!$A$1,$A281-1,D$1-1)</f>
        <v>91324</v>
      </c>
      <c r="E281" s="369">
        <f ca="1">OFFSET(活跃!$A$1,$A281-1,E$1-1)</f>
        <v>84054</v>
      </c>
      <c r="F281" s="369">
        <f ca="1">OFFSET(活跃!$A$1,$A281-1,F$1-1)</f>
        <v>86347</v>
      </c>
      <c r="G281" s="369">
        <f ca="1">OFFSET(活跃!$A$1,$A281-1,G$1-1)</f>
        <v>81330</v>
      </c>
      <c r="H281" s="368">
        <f ca="1">OFFSET(活跃!$A$1,$A281-1,H$1-1)</f>
        <v>78379</v>
      </c>
      <c r="I281" s="368">
        <f ca="1">OFFSET(活跃!$A$1,$A281-1,I$1-1)</f>
        <v>78673</v>
      </c>
      <c r="J281" s="169">
        <f t="shared" ca="1" si="20"/>
        <v>3.751004733410735E-3</v>
      </c>
    </row>
    <row r="282" spans="1:10" outlineLevel="1">
      <c r="A282" s="145">
        <f t="shared" si="21"/>
        <v>33</v>
      </c>
      <c r="B282" s="502"/>
      <c r="C282" s="367" t="s">
        <v>476</v>
      </c>
      <c r="D282" s="368">
        <f ca="1">OFFSET(活跃!$A$1,$A282-1,D$1-1)</f>
        <v>66241</v>
      </c>
      <c r="E282" s="369">
        <f ca="1">OFFSET(活跃!$A$1,$A282-1,E$1-1)</f>
        <v>60755</v>
      </c>
      <c r="F282" s="369">
        <f ca="1">OFFSET(活跃!$A$1,$A282-1,F$1-1)</f>
        <v>62537</v>
      </c>
      <c r="G282" s="369">
        <f ca="1">OFFSET(活跃!$A$1,$A282-1,G$1-1)</f>
        <v>59465</v>
      </c>
      <c r="H282" s="368">
        <f ca="1">OFFSET(活跃!$A$1,$A282-1,H$1-1)</f>
        <v>56242</v>
      </c>
      <c r="I282" s="368">
        <f ca="1">OFFSET(活跃!$A$1,$A282-1,I$1-1)</f>
        <v>56468</v>
      </c>
      <c r="J282" s="169">
        <f t="shared" ca="1" si="20"/>
        <v>4.0183492763415244E-3</v>
      </c>
    </row>
    <row r="283" spans="1:10" outlineLevel="1">
      <c r="A283" s="145">
        <f t="shared" si="21"/>
        <v>34</v>
      </c>
      <c r="B283" s="502"/>
      <c r="C283" s="367" t="s">
        <v>477</v>
      </c>
      <c r="D283" s="368">
        <f ca="1">OFFSET(活跃!$A$1,$A283-1,D$1-1)</f>
        <v>25424</v>
      </c>
      <c r="E283" s="369">
        <f ca="1">OFFSET(活跃!$A$1,$A283-1,E$1-1)</f>
        <v>23447</v>
      </c>
      <c r="F283" s="369">
        <f ca="1">OFFSET(活跃!$A$1,$A283-1,F$1-1)</f>
        <v>24044</v>
      </c>
      <c r="G283" s="369">
        <f ca="1">OFFSET(活跃!$A$1,$A283-1,G$1-1)</f>
        <v>24156</v>
      </c>
      <c r="H283" s="368">
        <f ca="1">OFFSET(活跃!$A$1,$A283-1,H$1-1)</f>
        <v>21857</v>
      </c>
      <c r="I283" s="368">
        <f ca="1">OFFSET(活跃!$A$1,$A283-1,I$1-1)</f>
        <v>22340</v>
      </c>
      <c r="J283" s="169">
        <f t="shared" ca="1" si="20"/>
        <v>2.2098183648259138E-2</v>
      </c>
    </row>
    <row r="284" spans="1:10" outlineLevel="1">
      <c r="A284" s="145">
        <f t="shared" si="21"/>
        <v>35</v>
      </c>
      <c r="B284" s="502"/>
      <c r="C284" s="367" t="s">
        <v>71</v>
      </c>
      <c r="D284" s="368">
        <f ca="1">OFFSET(活跃!$A$1,$A284-1,D$1-1)</f>
        <v>34588</v>
      </c>
      <c r="E284" s="369">
        <f ca="1">OFFSET(活跃!$A$1,$A284-1,E$1-1)</f>
        <v>28481</v>
      </c>
      <c r="F284" s="369">
        <f ca="1">OFFSET(活跃!$A$1,$A284-1,F$1-1)</f>
        <v>32946</v>
      </c>
      <c r="G284" s="369">
        <f ca="1">OFFSET(活跃!$A$1,$A284-1,G$1-1)</f>
        <v>32114</v>
      </c>
      <c r="H284" s="368">
        <f ca="1">OFFSET(活跃!$A$1,$A284-1,H$1-1)</f>
        <v>31102</v>
      </c>
      <c r="I284" s="368">
        <f ca="1">OFFSET(活跃!$A$1,$A284-1,I$1-1)</f>
        <v>32690</v>
      </c>
      <c r="J284" s="169">
        <f t="shared" ca="1" si="20"/>
        <v>5.105780978715195E-2</v>
      </c>
    </row>
    <row r="285" spans="1:10" outlineLevel="1">
      <c r="A285" s="145">
        <f t="shared" si="21"/>
        <v>36</v>
      </c>
      <c r="B285" s="502"/>
      <c r="C285" s="280" t="s">
        <v>484</v>
      </c>
      <c r="D285" s="370">
        <f ca="1">OFFSET(活跃!$A$1,$A285-1,D$1-1)</f>
        <v>0.45825752482622728</v>
      </c>
      <c r="E285" s="370">
        <f ca="1">OFFSET(活跃!$A$1,$A285-1,E$1-1)</f>
        <v>0.45566008711563061</v>
      </c>
      <c r="F285" s="370">
        <f ca="1">OFFSET(活跃!$A$1,$A285-1,F$1-1)</f>
        <v>0.43869712923220572</v>
      </c>
      <c r="G285" s="370">
        <f ca="1">OFFSET(活跃!$A$1,$A285-1,G$1-1)</f>
        <v>0.42783658695057647</v>
      </c>
      <c r="H285" s="370">
        <f ca="1">OFFSET(活跃!$A$1,$A285-1,H$1-1)</f>
        <v>0.4467598577328088</v>
      </c>
      <c r="I285" s="158">
        <f ca="1">OFFSET(活跃!$A$1,$A285-1,I$1-1)</f>
        <v>0.43850201261144922</v>
      </c>
      <c r="J285" s="169">
        <f t="shared" ref="J285:J290" ca="1" si="22">+I285-H285</f>
        <v>-8.2578451213595749E-3</v>
      </c>
    </row>
    <row r="286" spans="1:10" outlineLevel="1">
      <c r="A286" s="145">
        <f t="shared" si="21"/>
        <v>37</v>
      </c>
      <c r="B286" s="502"/>
      <c r="C286" s="280" t="s">
        <v>485</v>
      </c>
      <c r="D286" s="370">
        <f ca="1">OFFSET(活跃!$A$1,$A286-1,D$1-1)</f>
        <v>0.22581230660662971</v>
      </c>
      <c r="E286" s="370">
        <f ca="1">OFFSET(活跃!$A$1,$A286-1,E$1-1)</f>
        <v>0.22577359651537476</v>
      </c>
      <c r="F286" s="370">
        <f ca="1">OFFSET(活跃!$A$1,$A286-1,F$1-1)</f>
        <v>0.22872932460789652</v>
      </c>
      <c r="G286" s="370">
        <f ca="1">OFFSET(活跃!$A$1,$A286-1,G$1-1)</f>
        <v>0.22889184241193286</v>
      </c>
      <c r="H286" s="370">
        <f ca="1">OFFSET(活跃!$A$1,$A286-1,H$1-1)</f>
        <v>0.22555743443900189</v>
      </c>
      <c r="I286" s="370">
        <f ca="1">OFFSET(活跃!$A$1,$A286-1,I$1-1)</f>
        <v>0.23492773831929772</v>
      </c>
      <c r="J286" s="169">
        <f t="shared" ca="1" si="22"/>
        <v>9.3703038802958327E-3</v>
      </c>
    </row>
    <row r="287" spans="1:10" outlineLevel="1">
      <c r="A287" s="145">
        <f t="shared" si="21"/>
        <v>38</v>
      </c>
      <c r="B287" s="502"/>
      <c r="C287" s="280" t="s">
        <v>486</v>
      </c>
      <c r="D287" s="370">
        <f ca="1">OFFSET(活跃!$A$1,$A287-1,D$1-1)</f>
        <v>0.13260595887536719</v>
      </c>
      <c r="E287" s="370">
        <f ca="1">OFFSET(活跃!$A$1,$A287-1,E$1-1)</f>
        <v>0.13610440921676895</v>
      </c>
      <c r="F287" s="370">
        <f ca="1">OFFSET(活跃!$A$1,$A287-1,F$1-1)</f>
        <v>0.1394869094216302</v>
      </c>
      <c r="G287" s="370">
        <f ca="1">OFFSET(活跃!$A$1,$A287-1,G$1-1)</f>
        <v>0.1416703972798169</v>
      </c>
      <c r="H287" s="370">
        <f ca="1">OFFSET(活跃!$A$1,$A287-1,H$1-1)</f>
        <v>0.13691994326082552</v>
      </c>
      <c r="I287" s="370">
        <f ca="1">OFFSET(活跃!$A$1,$A287-1,I$1-1)</f>
        <v>0.13510083664189254</v>
      </c>
      <c r="J287" s="169">
        <f t="shared" ca="1" si="22"/>
        <v>-1.8191066189329752E-3</v>
      </c>
    </row>
    <row r="288" spans="1:10" outlineLevel="1">
      <c r="A288" s="145">
        <f t="shared" si="21"/>
        <v>39</v>
      </c>
      <c r="B288" s="502"/>
      <c r="C288" s="280" t="s">
        <v>487</v>
      </c>
      <c r="D288" s="370">
        <f ca="1">OFFSET(活跃!$A$1,$A288-1,D$1-1)</f>
        <v>9.618447858025489E-2</v>
      </c>
      <c r="E288" s="370">
        <f ca="1">OFFSET(活跃!$A$1,$A288-1,E$1-1)</f>
        <v>9.8377511861003616E-2</v>
      </c>
      <c r="F288" s="370">
        <f ca="1">OFFSET(活跃!$A$1,$A288-1,F$1-1)</f>
        <v>0.10102369340568274</v>
      </c>
      <c r="G288" s="370">
        <f ca="1">OFFSET(活跃!$A$1,$A288-1,G$1-1)</f>
        <v>0.10358330473680452</v>
      </c>
      <c r="H288" s="370">
        <f ca="1">OFFSET(活跃!$A$1,$A288-1,H$1-1)</f>
        <v>9.8248911683937637E-2</v>
      </c>
      <c r="I288" s="158">
        <f ca="1">OFFSET(活跃!$A$1,$A288-1,I$1-1)</f>
        <v>9.6969405558379476E-2</v>
      </c>
      <c r="J288" s="169">
        <f t="shared" ca="1" si="22"/>
        <v>-1.2795061255581608E-3</v>
      </c>
    </row>
    <row r="289" spans="1:10" outlineLevel="1">
      <c r="A289" s="145">
        <f t="shared" si="21"/>
        <v>40</v>
      </c>
      <c r="B289" s="502"/>
      <c r="C289" s="280" t="s">
        <v>488</v>
      </c>
      <c r="D289" s="370">
        <f ca="1">OFFSET(活跃!$A$1,$A289-1,D$1-1)</f>
        <v>3.6916625404574209E-2</v>
      </c>
      <c r="E289" s="370">
        <f ca="1">OFFSET(活跃!$A$1,$A289-1,E$1-1)</f>
        <v>3.7966546302443449E-2</v>
      </c>
      <c r="F289" s="370">
        <f ca="1">OFFSET(活跃!$A$1,$A289-1,F$1-1)</f>
        <v>3.8841224942773651E-2</v>
      </c>
      <c r="G289" s="370">
        <f ca="1">OFFSET(活跃!$A$1,$A289-1,G$1-1)</f>
        <v>4.2077832493437314E-2</v>
      </c>
      <c r="H289" s="370">
        <f ca="1">OFFSET(活跃!$A$1,$A289-1,H$1-1)</f>
        <v>3.818190076234531E-2</v>
      </c>
      <c r="I289" s="158">
        <f ca="1">OFFSET(活跃!$A$1,$A289-1,I$1-1)</f>
        <v>3.8363259194131145E-2</v>
      </c>
      <c r="J289" s="169">
        <f t="shared" ca="1" si="22"/>
        <v>1.8135843178583577E-4</v>
      </c>
    </row>
    <row r="290" spans="1:10" outlineLevel="1">
      <c r="A290" s="145">
        <f t="shared" si="21"/>
        <v>41</v>
      </c>
      <c r="B290" s="502"/>
      <c r="C290" s="280" t="s">
        <v>489</v>
      </c>
      <c r="D290" s="370">
        <f ca="1">OFFSET(活跃!$A$1,$A290-1,D$1-1)</f>
        <v>5.02231057069467E-2</v>
      </c>
      <c r="E290" s="370">
        <f ca="1">OFFSET(活跃!$A$1,$A290-1,E$1-1)</f>
        <v>4.6117848988778597E-2</v>
      </c>
      <c r="F290" s="370">
        <f ca="1">OFFSET(活跃!$A$1,$A290-1,F$1-1)</f>
        <v>5.3221718389811205E-2</v>
      </c>
      <c r="G290" s="370">
        <f ca="1">OFFSET(活跃!$A$1,$A290-1,G$1-1)</f>
        <v>5.5940036127431939E-2</v>
      </c>
      <c r="H290" s="370">
        <f ca="1">OFFSET(活跃!$A$1,$A290-1,H$1-1)</f>
        <v>5.4331952121080843E-2</v>
      </c>
      <c r="I290" s="158">
        <f ca="1">OFFSET(活跃!$A$1,$A290-1,I$1-1)</f>
        <v>5.6136747674849913E-2</v>
      </c>
      <c r="J290" s="169">
        <f t="shared" ca="1" si="22"/>
        <v>1.8047955537690702E-3</v>
      </c>
    </row>
    <row r="291" spans="1:10" outlineLevel="1">
      <c r="A291" s="145">
        <f t="shared" si="21"/>
        <v>42</v>
      </c>
      <c r="B291" s="528" t="s">
        <v>500</v>
      </c>
      <c r="C291" s="364" t="s">
        <v>473</v>
      </c>
      <c r="D291" s="365">
        <f ca="1">OFFSET(活跃!$A$1,$A291-1,D$1-1)</f>
        <v>787830</v>
      </c>
      <c r="E291" s="365">
        <f ca="1">OFFSET(活跃!$A$1,$A291-1,E$1-1)</f>
        <v>764158</v>
      </c>
      <c r="F291" s="365">
        <f ca="1">OFFSET(活跃!$A$1,$A291-1,F$1-1)</f>
        <v>805794</v>
      </c>
      <c r="G291" s="365">
        <f ca="1">OFFSET(活跃!$A$1,$A291-1,G$1-1)</f>
        <v>767759</v>
      </c>
      <c r="H291" s="365">
        <f ca="1">OFFSET(活跃!$A$1,$A291-1,H$1-1)</f>
        <v>805148</v>
      </c>
      <c r="I291" s="366">
        <f ca="1">OFFSET(活跃!$A$1,$A291-1,I$1-1)</f>
        <v>885576</v>
      </c>
      <c r="J291" s="169">
        <f t="shared" ref="J291:J297" ca="1" si="23">(I291-H291)/H291</f>
        <v>9.9892193733326043E-2</v>
      </c>
    </row>
    <row r="292" spans="1:10" outlineLevel="1">
      <c r="A292" s="145">
        <f t="shared" si="21"/>
        <v>43</v>
      </c>
      <c r="B292" s="528"/>
      <c r="C292" s="197" t="s">
        <v>65</v>
      </c>
      <c r="D292" s="368">
        <f ca="1">OFFSET(活跃!$A$1,$A292-1,D$1-1)</f>
        <v>137539</v>
      </c>
      <c r="E292" s="386">
        <f ca="1">OFFSET(活跃!$A$1,$A292-1,E$1-1)</f>
        <v>139749</v>
      </c>
      <c r="F292" s="386">
        <f ca="1">OFFSET(活跃!$A$1,$A292-1,F$1-1)</f>
        <v>149733</v>
      </c>
      <c r="G292" s="386">
        <f ca="1">OFFSET(活跃!$A$1,$A292-1,G$1-1)</f>
        <v>138219</v>
      </c>
      <c r="H292" s="368">
        <f ca="1">OFFSET(活跃!$A$1,$A292-1,H$1-1)</f>
        <v>158140</v>
      </c>
      <c r="I292" s="368">
        <f ca="1">OFFSET(活跃!$A$1,$A292-1,I$1-1)</f>
        <v>166442</v>
      </c>
      <c r="J292" s="169">
        <f t="shared" ca="1" si="23"/>
        <v>5.2497786771215381E-2</v>
      </c>
    </row>
    <row r="293" spans="1:10" outlineLevel="1">
      <c r="A293" s="145">
        <f t="shared" si="21"/>
        <v>44</v>
      </c>
      <c r="B293" s="528"/>
      <c r="C293" s="197" t="s">
        <v>474</v>
      </c>
      <c r="D293" s="368">
        <f ca="1">OFFSET(活跃!$A$1,$A293-1,D$1-1)</f>
        <v>138197</v>
      </c>
      <c r="E293" s="386">
        <f ca="1">OFFSET(活跃!$A$1,$A293-1,E$1-1)</f>
        <v>136556</v>
      </c>
      <c r="F293" s="386">
        <f ca="1">OFFSET(活跃!$A$1,$A293-1,F$1-1)</f>
        <v>144305</v>
      </c>
      <c r="G293" s="386">
        <f ca="1">OFFSET(活跃!$A$1,$A293-1,G$1-1)</f>
        <v>135412</v>
      </c>
      <c r="H293" s="368">
        <f ca="1">OFFSET(活跃!$A$1,$A293-1,H$1-1)</f>
        <v>144953</v>
      </c>
      <c r="I293" s="368">
        <f ca="1">OFFSET(活跃!$A$1,$A293-1,I$1-1)</f>
        <v>159697</v>
      </c>
      <c r="J293" s="169">
        <f t="shared" ca="1" si="23"/>
        <v>0.10171572854649438</v>
      </c>
    </row>
    <row r="294" spans="1:10" outlineLevel="1">
      <c r="A294" s="145">
        <f t="shared" si="21"/>
        <v>45</v>
      </c>
      <c r="B294" s="528"/>
      <c r="C294" s="197" t="s">
        <v>475</v>
      </c>
      <c r="D294" s="368">
        <f ca="1">OFFSET(活跃!$A$1,$A294-1,D$1-1)</f>
        <v>145353</v>
      </c>
      <c r="E294" s="386">
        <f ca="1">OFFSET(活跃!$A$1,$A294-1,E$1-1)</f>
        <v>144644</v>
      </c>
      <c r="F294" s="386">
        <f ca="1">OFFSET(活跃!$A$1,$A294-1,F$1-1)</f>
        <v>149553</v>
      </c>
      <c r="G294" s="386">
        <f ca="1">OFFSET(活跃!$A$1,$A294-1,G$1-1)</f>
        <v>140278</v>
      </c>
      <c r="H294" s="368">
        <f ca="1">OFFSET(活跃!$A$1,$A294-1,H$1-1)</f>
        <v>146596</v>
      </c>
      <c r="I294" s="368">
        <f ca="1">OFFSET(活跃!$A$1,$A294-1,I$1-1)</f>
        <v>165364</v>
      </c>
      <c r="J294" s="169">
        <f t="shared" ca="1" si="23"/>
        <v>0.12802532129116756</v>
      </c>
    </row>
    <row r="295" spans="1:10" outlineLevel="1">
      <c r="A295" s="145">
        <f t="shared" si="21"/>
        <v>46</v>
      </c>
      <c r="B295" s="528"/>
      <c r="C295" s="197" t="s">
        <v>476</v>
      </c>
      <c r="D295" s="368">
        <f ca="1">OFFSET(活跃!$A$1,$A295-1,D$1-1)</f>
        <v>159176</v>
      </c>
      <c r="E295" s="386">
        <f ca="1">OFFSET(活跃!$A$1,$A295-1,E$1-1)</f>
        <v>155696</v>
      </c>
      <c r="F295" s="386">
        <f ca="1">OFFSET(活跃!$A$1,$A295-1,F$1-1)</f>
        <v>159214</v>
      </c>
      <c r="G295" s="386">
        <f ca="1">OFFSET(活跃!$A$1,$A295-1,G$1-1)</f>
        <v>153284</v>
      </c>
      <c r="H295" s="368">
        <f ca="1">OFFSET(活跃!$A$1,$A295-1,H$1-1)</f>
        <v>154553</v>
      </c>
      <c r="I295" s="368">
        <f ca="1">OFFSET(活跃!$A$1,$A295-1,I$1-1)</f>
        <v>171744</v>
      </c>
      <c r="J295" s="169">
        <f t="shared" ca="1" si="23"/>
        <v>0.11123045168971162</v>
      </c>
    </row>
    <row r="296" spans="1:10" outlineLevel="1">
      <c r="A296" s="145">
        <f t="shared" si="21"/>
        <v>47</v>
      </c>
      <c r="B296" s="528"/>
      <c r="C296" s="197" t="s">
        <v>477</v>
      </c>
      <c r="D296" s="368">
        <f ca="1">OFFSET(活跃!$A$1,$A296-1,D$1-1)</f>
        <v>81309</v>
      </c>
      <c r="E296" s="386">
        <f ca="1">OFFSET(活跃!$A$1,$A296-1,E$1-1)</f>
        <v>80550</v>
      </c>
      <c r="F296" s="386">
        <f ca="1">OFFSET(活跃!$A$1,$A296-1,F$1-1)</f>
        <v>80096</v>
      </c>
      <c r="G296" s="386">
        <f ca="1">OFFSET(活跃!$A$1,$A296-1,G$1-1)</f>
        <v>79012</v>
      </c>
      <c r="H296" s="368">
        <f ca="1">OFFSET(活跃!$A$1,$A296-1,H$1-1)</f>
        <v>77193</v>
      </c>
      <c r="I296" s="368">
        <f ca="1">OFFSET(活跃!$A$1,$A296-1,I$1-1)</f>
        <v>86126</v>
      </c>
      <c r="J296" s="169">
        <f t="shared" ca="1" si="23"/>
        <v>0.11572292824478904</v>
      </c>
    </row>
    <row r="297" spans="1:10" outlineLevel="1">
      <c r="A297" s="145">
        <f t="shared" si="21"/>
        <v>48</v>
      </c>
      <c r="B297" s="528"/>
      <c r="C297" s="197" t="s">
        <v>71</v>
      </c>
      <c r="D297" s="368">
        <f ca="1">OFFSET(活跃!$A$1,$A297-1,D$1-1)</f>
        <v>126256</v>
      </c>
      <c r="E297" s="386">
        <f ca="1">OFFSET(活跃!$A$1,$A297-1,E$1-1)</f>
        <v>106963</v>
      </c>
      <c r="F297" s="386">
        <f ca="1">OFFSET(活跃!$A$1,$A297-1,F$1-1)</f>
        <v>122893</v>
      </c>
      <c r="G297" s="386">
        <f ca="1">OFFSET(活跃!$A$1,$A297-1,G$1-1)</f>
        <v>121554</v>
      </c>
      <c r="H297" s="368">
        <f ca="1">OFFSET(活跃!$A$1,$A297-1,H$1-1)</f>
        <v>123713</v>
      </c>
      <c r="I297" s="368">
        <f ca="1">OFFSET(活跃!$A$1,$A297-1,I$1-1)</f>
        <v>136203</v>
      </c>
      <c r="J297" s="169">
        <f t="shared" ca="1" si="23"/>
        <v>0.10095947879365952</v>
      </c>
    </row>
    <row r="298" spans="1:10" outlineLevel="1">
      <c r="A298" s="145">
        <f t="shared" si="21"/>
        <v>49</v>
      </c>
      <c r="B298" s="528"/>
      <c r="C298" s="280" t="s">
        <v>484</v>
      </c>
      <c r="D298" s="370">
        <f ca="1">OFFSET(活跃!$A$1,$A298-1,D$1-1)</f>
        <v>0.17457954127159411</v>
      </c>
      <c r="E298" s="370">
        <f ca="1">OFFSET(活跃!$A$1,$A298-1,E$1-1)</f>
        <v>0.18287971859222832</v>
      </c>
      <c r="F298" s="370">
        <f ca="1">OFFSET(活跃!$A$1,$A298-1,F$1-1)</f>
        <v>0.18582044542401657</v>
      </c>
      <c r="G298" s="370">
        <f ca="1">OFFSET(活跃!$A$1,$A298-1,G$1-1)</f>
        <v>0.18002914977225926</v>
      </c>
      <c r="H298" s="370">
        <f ca="1">OFFSET(活跃!$A$1,$A298-1,H$1-1)</f>
        <v>0.19641109460620904</v>
      </c>
      <c r="I298" s="158">
        <f ca="1">OFFSET(活跃!$A$1,$A298-1,I$1-1)</f>
        <v>0.18794773119416064</v>
      </c>
      <c r="J298" s="169">
        <f t="shared" ref="J298:J303" ca="1" si="24">+I298-H298</f>
        <v>-8.4633634120483969E-3</v>
      </c>
    </row>
    <row r="299" spans="1:10" outlineLevel="1">
      <c r="A299" s="145">
        <f t="shared" si="21"/>
        <v>50</v>
      </c>
      <c r="B299" s="528"/>
      <c r="C299" s="280" t="s">
        <v>485</v>
      </c>
      <c r="D299" s="370">
        <f ca="1">OFFSET(活跃!$A$1,$A299-1,D$1-1)</f>
        <v>0.17541474683624639</v>
      </c>
      <c r="E299" s="370">
        <f ca="1">OFFSET(活跃!$A$1,$A299-1,E$1-1)</f>
        <v>0.17870126335129646</v>
      </c>
      <c r="F299" s="370">
        <f ca="1">OFFSET(活跃!$A$1,$A299-1,F$1-1)</f>
        <v>0.17908423244650618</v>
      </c>
      <c r="G299" s="370">
        <f ca="1">OFFSET(活跃!$A$1,$A299-1,G$1-1)</f>
        <v>0.17637305456529978</v>
      </c>
      <c r="H299" s="370">
        <f ca="1">OFFSET(活跃!$A$1,$A299-1,H$1-1)</f>
        <v>0.18003273932245997</v>
      </c>
      <c r="I299" s="158">
        <f ca="1">OFFSET(活跃!$A$1,$A299-1,I$1-1)</f>
        <v>0.18033121945490843</v>
      </c>
      <c r="J299" s="169">
        <f t="shared" ca="1" si="24"/>
        <v>2.9848013244845872E-4</v>
      </c>
    </row>
    <row r="300" spans="1:10" outlineLevel="1">
      <c r="A300" s="145">
        <f t="shared" si="21"/>
        <v>51</v>
      </c>
      <c r="B300" s="528"/>
      <c r="C300" s="280" t="s">
        <v>486</v>
      </c>
      <c r="D300" s="370">
        <f ca="1">OFFSET(活跃!$A$1,$A300-1,D$1-1)</f>
        <v>0.18449792467918205</v>
      </c>
      <c r="E300" s="370">
        <f ca="1">OFFSET(活跃!$A$1,$A300-1,E$1-1)</f>
        <v>0.1892854619070925</v>
      </c>
      <c r="F300" s="370">
        <f ca="1">OFFSET(活跃!$A$1,$A300-1,F$1-1)</f>
        <v>0.18559706326927231</v>
      </c>
      <c r="G300" s="370">
        <f ca="1">OFFSET(活跃!$A$1,$A300-1,G$1-1)</f>
        <v>0.18271098091979385</v>
      </c>
      <c r="H300" s="370">
        <f ca="1">OFFSET(活跃!$A$1,$A300-1,H$1-1)</f>
        <v>0.1820733579416455</v>
      </c>
      <c r="I300" s="158">
        <f ca="1">OFFSET(活跃!$A$1,$A300-1,I$1-1)</f>
        <v>0.18673044436615266</v>
      </c>
      <c r="J300" s="169">
        <f t="shared" ca="1" si="24"/>
        <v>4.6570864245071564E-3</v>
      </c>
    </row>
    <row r="301" spans="1:10" outlineLevel="1">
      <c r="A301" s="145">
        <f t="shared" si="21"/>
        <v>52</v>
      </c>
      <c r="B301" s="528"/>
      <c r="C301" s="280" t="s">
        <v>487</v>
      </c>
      <c r="D301" s="370">
        <f ca="1">OFFSET(活跃!$A$1,$A301-1,D$1-1)</f>
        <v>0.20204358808372364</v>
      </c>
      <c r="E301" s="370">
        <f ca="1">OFFSET(活跃!$A$1,$A301-1,E$1-1)</f>
        <v>0.20374843945885537</v>
      </c>
      <c r="F301" s="370">
        <f ca="1">OFFSET(活跃!$A$1,$A301-1,F$1-1)</f>
        <v>0.19758647991918529</v>
      </c>
      <c r="G301" s="370">
        <f ca="1">OFFSET(活跃!$A$1,$A301-1,G$1-1)</f>
        <v>0.19965119262685296</v>
      </c>
      <c r="H301" s="370">
        <f ca="1">OFFSET(活跃!$A$1,$A301-1,H$1-1)</f>
        <v>0.19195601305598473</v>
      </c>
      <c r="I301" s="158">
        <f ca="1">OFFSET(活跃!$A$1,$A301-1,I$1-1)</f>
        <v>0.1939347949808938</v>
      </c>
      <c r="J301" s="169">
        <f t="shared" ca="1" si="24"/>
        <v>1.9787819249090788E-3</v>
      </c>
    </row>
    <row r="302" spans="1:10" outlineLevel="1">
      <c r="A302" s="145">
        <f t="shared" si="21"/>
        <v>53</v>
      </c>
      <c r="B302" s="528"/>
      <c r="C302" s="280" t="s">
        <v>488</v>
      </c>
      <c r="D302" s="370">
        <f ca="1">OFFSET(活跃!$A$1,$A302-1,D$1-1)</f>
        <v>0.10320627546551921</v>
      </c>
      <c r="E302" s="370">
        <f ca="1">OFFSET(活跃!$A$1,$A302-1,E$1-1)</f>
        <v>0.10541013769403709</v>
      </c>
      <c r="F302" s="370">
        <f ca="1">OFFSET(活跃!$A$1,$A302-1,F$1-1)</f>
        <v>9.9400094813314563E-2</v>
      </c>
      <c r="G302" s="370">
        <f ca="1">OFFSET(活跃!$A$1,$A302-1,G$1-1)</f>
        <v>0.10291250249101606</v>
      </c>
      <c r="H302" s="370">
        <f ca="1">OFFSET(活跃!$A$1,$A302-1,H$1-1)</f>
        <v>9.5874298886664322E-2</v>
      </c>
      <c r="I302" s="158">
        <f ca="1">OFFSET(活跃!$A$1,$A302-1,I$1-1)</f>
        <v>9.7254216464764176E-2</v>
      </c>
      <c r="J302" s="169">
        <f t="shared" ca="1" si="24"/>
        <v>1.379917578099854E-3</v>
      </c>
    </row>
    <row r="303" spans="1:10" outlineLevel="1">
      <c r="A303" s="145">
        <f t="shared" si="21"/>
        <v>54</v>
      </c>
      <c r="B303" s="528"/>
      <c r="C303" s="280" t="s">
        <v>489</v>
      </c>
      <c r="D303" s="370">
        <f ca="1">OFFSET(活跃!$A$1,$A303-1,D$1-1)</f>
        <v>0.16025792366373456</v>
      </c>
      <c r="E303" s="370">
        <f ca="1">OFFSET(活跃!$A$1,$A303-1,E$1-1)</f>
        <v>0.13997497899649025</v>
      </c>
      <c r="F303" s="370">
        <f ca="1">OFFSET(活跃!$A$1,$A303-1,F$1-1)</f>
        <v>0.1525116841277051</v>
      </c>
      <c r="G303" s="370">
        <f ca="1">OFFSET(活跃!$A$1,$A303-1,G$1-1)</f>
        <v>0.15832311962477807</v>
      </c>
      <c r="H303" s="370">
        <f ca="1">OFFSET(活跃!$A$1,$A303-1,H$1-1)</f>
        <v>0.15365249618703641</v>
      </c>
      <c r="I303" s="158">
        <f ca="1">OFFSET(活跃!$A$1,$A303-1,I$1-1)</f>
        <v>0.15380159353912029</v>
      </c>
      <c r="J303" s="169">
        <f t="shared" ca="1" si="24"/>
        <v>1.4909735208387676E-4</v>
      </c>
    </row>
    <row r="304" spans="1:10" outlineLevel="1">
      <c r="B304" s="303"/>
      <c r="C304" s="410"/>
      <c r="D304" s="411"/>
      <c r="E304" s="411"/>
      <c r="F304" s="411"/>
      <c r="G304" s="411"/>
      <c r="H304" s="360">
        <f ca="1">SUM(H295:H297)</f>
        <v>355459</v>
      </c>
      <c r="I304" s="360">
        <f ca="1">SUM(I295:I297)</f>
        <v>394073</v>
      </c>
      <c r="J304" s="375">
        <f ca="1">(I304-H304)/H304</f>
        <v>0.10863137520782988</v>
      </c>
    </row>
    <row r="305" spans="1:18" s="182" customFormat="1" outlineLevel="1">
      <c r="A305" s="145"/>
    </row>
    <row r="306" spans="1:18" s="182" customFormat="1" outlineLevel="1">
      <c r="A306" s="145"/>
    </row>
    <row r="307" spans="1:18" s="182" customFormat="1" outlineLevel="1">
      <c r="A307" s="145"/>
      <c r="B307" s="173" t="s">
        <v>501</v>
      </c>
      <c r="C307" s="173"/>
      <c r="D307" s="173"/>
      <c r="E307" s="173"/>
      <c r="F307" s="175"/>
      <c r="G307" s="175"/>
      <c r="H307" s="175"/>
      <c r="I307" s="175"/>
      <c r="J307" s="175"/>
      <c r="K307" s="175"/>
    </row>
    <row r="308" spans="1:18" s="176" customFormat="1" ht="20.25" customHeight="1" outlineLevel="1">
      <c r="A308" s="282"/>
      <c r="B308" s="177" t="str">
        <f ca="1">"PC登录："&amp;TEXT(I278/10000,"0.0")&amp;"万("&amp;IF(J278&gt;0,"+","")&amp;TEXT(J278,"0.0%"&amp;")")</f>
        <v>PC登录：58.2万(+1.7%)</v>
      </c>
      <c r="H308" s="371"/>
      <c r="I308" s="371"/>
      <c r="J308" s="372"/>
      <c r="K308" s="373"/>
    </row>
    <row r="309" spans="1:18" s="176" customFormat="1" ht="20.25" customHeight="1" outlineLevel="1">
      <c r="A309" s="282"/>
      <c r="B309" s="177" t="str">
        <f ca="1" xml:space="preserve"> "   1天："&amp;TEXT(I279/10000,"0.0")&amp;"万人("&amp;IF(J279&gt;0,"+","")&amp;TEXT(J279,"0.0%")&amp;")，占比"&amp;TEXT(I285,"0.0%")&amp;"("&amp;IF(J285&gt;0,"+","")&amp;TEXT(J285,"0.0%")&amp;")"</f>
        <v xml:space="preserve">   1天：25.5万人(-0.2%)，占比43.9%(-0.8%)</v>
      </c>
      <c r="H309" s="371"/>
      <c r="I309" s="371"/>
      <c r="J309" s="372"/>
      <c r="K309" s="373"/>
    </row>
    <row r="310" spans="1:18" s="176" customFormat="1" ht="20.25" customHeight="1" outlineLevel="1">
      <c r="A310" s="282"/>
      <c r="B310" s="177" t="str">
        <f ca="1" xml:space="preserve"> "   超8天："&amp;TEXT(SUM(I282:I284)/10000,"0.0")&amp;"万人("&amp;IF(J276&gt;0,"+","")&amp;TEXT(J276,"0.0%")&amp;")，占比"&amp;TEXT(SUM(I288:I290),"0.0%")&amp;"("&amp;IF(J288&gt;0,"+","")&amp;TEXT(SUM(J288:J290),"0.0%")&amp;")"</f>
        <v xml:space="preserve">   超8天：11.1万人(+2.1%)，占比19.1%(0.1%)</v>
      </c>
      <c r="H310" s="371"/>
      <c r="I310" s="371"/>
      <c r="J310" s="372"/>
      <c r="K310" s="373"/>
    </row>
    <row r="311" spans="1:18" outlineLevel="1"/>
    <row r="312" spans="1:18" ht="20.25" outlineLevel="1">
      <c r="R312" s="186"/>
    </row>
    <row r="313" spans="1:18" ht="20.25" outlineLevel="1">
      <c r="R313" s="186"/>
    </row>
    <row r="314" spans="1:18" ht="20.25" outlineLevel="1">
      <c r="R314" s="186"/>
    </row>
    <row r="315" spans="1:18" outlineLevel="1"/>
    <row r="316" spans="1:18" outlineLevel="1"/>
    <row r="317" spans="1:18" outlineLevel="1"/>
    <row r="318" spans="1:18" outlineLevel="1"/>
    <row r="319" spans="1:18" outlineLevel="1"/>
    <row r="320" spans="1:18" outlineLevel="1"/>
    <row r="321" spans="1:18" outlineLevel="1"/>
    <row r="322" spans="1:18" outlineLevel="1"/>
    <row r="323" spans="1:18" outlineLevel="1"/>
    <row r="324" spans="1:18" outlineLevel="1"/>
    <row r="325" spans="1:18" outlineLevel="1">
      <c r="B325" s="173" t="s">
        <v>502</v>
      </c>
      <c r="C325" s="173"/>
      <c r="D325" s="173"/>
      <c r="E325" s="173"/>
      <c r="F325" s="175"/>
      <c r="G325" s="175"/>
      <c r="H325" s="175"/>
      <c r="I325" s="175"/>
      <c r="J325" s="175"/>
      <c r="K325" s="175"/>
    </row>
    <row r="326" spans="1:18" s="176" customFormat="1" ht="20.25" customHeight="1" outlineLevel="1">
      <c r="A326" s="282"/>
      <c r="B326" s="177" t="str">
        <f ca="1">"手机登录："&amp;TEXT(I291/10000,"0.0")&amp;"万("&amp;IF(J291&gt;0,"+","")&amp;TEXT(J291,"0.0%"&amp;")")</f>
        <v>手机登录：88.6万(+10.0%)</v>
      </c>
      <c r="H326" s="371"/>
      <c r="I326" s="371"/>
      <c r="J326" s="372"/>
      <c r="K326" s="373"/>
    </row>
    <row r="327" spans="1:18" s="176" customFormat="1" ht="20.25" customHeight="1" outlineLevel="1">
      <c r="A327" s="282"/>
      <c r="B327" s="177" t="str">
        <f ca="1" xml:space="preserve"> "   1天："&amp;TEXT(I292/10000,"0.0")&amp;"万人("&amp;IF(J292&gt;0,"+","")&amp;TEXT(J292,"0.0%")&amp;")，占比"&amp;TEXT(I298,"0.0%")&amp;"("&amp;IF(J298&gt;0,"+","")&amp;TEXT(J298,"0.0%")&amp;")"</f>
        <v xml:space="preserve">   1天：16.6万人(+5.2%)，占比18.8%(-0.8%)</v>
      </c>
      <c r="H327" s="371"/>
      <c r="I327" s="371"/>
      <c r="J327" s="372"/>
      <c r="K327" s="373"/>
    </row>
    <row r="328" spans="1:18" s="176" customFormat="1" ht="20.25" customHeight="1" outlineLevel="1">
      <c r="A328" s="282"/>
      <c r="B328" s="177" t="str">
        <f ca="1" xml:space="preserve"> "   超8天："&amp;TEXT(SUM(I295:I297)/10000,"0.0")&amp;"万人("&amp;IF(J304&gt;0,"+","")&amp;TEXT(J304,"0.0%")&amp;")，占比"&amp;TEXT(SUM(I301:I303),"0.0%")&amp;"("&amp;IF(SUM(J301:J303)&gt;0,"+","")&amp;TEXT(SUM(J301:J303),"0.0%")&amp;")"</f>
        <v xml:space="preserve">   超8天：39.4万人(+10.9%)，占比44.5%(+0.4%)</v>
      </c>
      <c r="H328" s="371"/>
      <c r="I328" s="371"/>
      <c r="J328" s="372"/>
      <c r="K328" s="373"/>
    </row>
    <row r="329" spans="1:18" outlineLevel="1"/>
    <row r="330" spans="1:18" outlineLevel="1"/>
    <row r="331" spans="1:18" outlineLevel="1"/>
    <row r="332" spans="1:18" ht="20.25" outlineLevel="1">
      <c r="R332" s="186"/>
    </row>
    <row r="333" spans="1:18" ht="20.25" outlineLevel="1">
      <c r="R333" s="186"/>
    </row>
    <row r="334" spans="1:18" ht="20.25" outlineLevel="1">
      <c r="R334" s="186"/>
    </row>
    <row r="335" spans="1:18" outlineLevel="1"/>
    <row r="336" spans="1:18" outlineLevel="1"/>
    <row r="337" spans="1:10" outlineLevel="1"/>
    <row r="338" spans="1:10" outlineLevel="1"/>
    <row r="339" spans="1:10" outlineLevel="1"/>
    <row r="340" spans="1:10" outlineLevel="1"/>
    <row r="341" spans="1:10" outlineLevel="1"/>
    <row r="342" spans="1:10" outlineLevel="1"/>
    <row r="343" spans="1:10" outlineLevel="1"/>
    <row r="346" spans="1:10" ht="21">
      <c r="B346" s="403" t="s">
        <v>503</v>
      </c>
      <c r="C346" s="404"/>
      <c r="D346" s="300"/>
      <c r="E346" s="300"/>
      <c r="F346" s="300"/>
      <c r="G346" s="405"/>
      <c r="H346" s="405"/>
      <c r="I346" s="375"/>
    </row>
    <row r="347" spans="1:10">
      <c r="A347" s="145">
        <v>2</v>
      </c>
      <c r="B347" s="232" t="s">
        <v>469</v>
      </c>
      <c r="C347" s="232" t="s">
        <v>470</v>
      </c>
      <c r="D347" s="232">
        <f ca="1">OFFSET(活跃!$A$1,$A347-1,D$1-1)</f>
        <v>42795</v>
      </c>
      <c r="E347" s="232">
        <f ca="1">OFFSET(活跃!$A$1,$A347-1,E$1-1)</f>
        <v>42826</v>
      </c>
      <c r="F347" s="232">
        <f ca="1">OFFSET(活跃!$A$1,$A347-1,F$1-1)</f>
        <v>42856</v>
      </c>
      <c r="G347" s="232">
        <f ca="1">OFFSET(活跃!$A$1,$A347-1,G$1-1)</f>
        <v>42887</v>
      </c>
      <c r="H347" s="232">
        <f ca="1">OFFSET(活跃!$A$1,$A347-1,H$1-1)</f>
        <v>42917</v>
      </c>
      <c r="I347" s="232">
        <f ca="1">OFFSET(活跃!$A$1,$A347-1,I$1-1)</f>
        <v>42948</v>
      </c>
      <c r="J347" s="363" t="s">
        <v>471</v>
      </c>
    </row>
    <row r="348" spans="1:10">
      <c r="A348" s="145">
        <v>146</v>
      </c>
      <c r="B348" s="501" t="s">
        <v>504</v>
      </c>
      <c r="C348" s="367" t="s">
        <v>473</v>
      </c>
      <c r="D348" s="412">
        <f ca="1">OFFSET(活跃!$A$1,$A348-1,D$1-1)</f>
        <v>0</v>
      </c>
      <c r="E348" s="412">
        <f ca="1">OFFSET(活跃!$A$1,$A348-1,E$1-1)</f>
        <v>0</v>
      </c>
      <c r="F348" s="412">
        <f ca="1">OFFSET(活跃!$A$1,$A348-1,F$1-1)</f>
        <v>0</v>
      </c>
      <c r="G348" s="412">
        <f ca="1">OFFSET(活跃!$A$1,$A348-1,G$1-1)</f>
        <v>0</v>
      </c>
      <c r="H348" s="412">
        <f ca="1">OFFSET(活跃!$A$1,$A348-1,H$1-1)</f>
        <v>374623</v>
      </c>
      <c r="I348" s="261">
        <f ca="1">OFFSET(活跃!$A$1,$A348-1,I$1-1)</f>
        <v>0</v>
      </c>
      <c r="J348" s="169">
        <f t="shared" ref="J348:J354" ca="1" si="25">IFERROR((I348-H348)/H348,"")</f>
        <v>-1</v>
      </c>
    </row>
    <row r="349" spans="1:10">
      <c r="A349" s="145">
        <f t="shared" ref="A349:A360" si="26">+A348+1</f>
        <v>147</v>
      </c>
      <c r="B349" s="502"/>
      <c r="C349" s="367" t="s">
        <v>65</v>
      </c>
      <c r="D349" s="413">
        <f ca="1">OFFSET(活跃!$A$1,$A349-1,D$1-1)</f>
        <v>0</v>
      </c>
      <c r="E349" s="413">
        <f ca="1">OFFSET(活跃!$A$1,$A349-1,E$1-1)</f>
        <v>0</v>
      </c>
      <c r="F349" s="413">
        <f ca="1">OFFSET(活跃!$A$1,$A349-1,F$1-1)</f>
        <v>0</v>
      </c>
      <c r="G349" s="413">
        <f ca="1">OFFSET(活跃!$A$1,$A349-1,G$1-1)</f>
        <v>0</v>
      </c>
      <c r="H349" s="413">
        <f ca="1">OFFSET(活跃!$A$1,$A349-1,H$1-1)</f>
        <v>227309</v>
      </c>
      <c r="I349" s="164">
        <f ca="1">OFFSET(活跃!$A$1,$A349-1,I$1-1)</f>
        <v>0</v>
      </c>
      <c r="J349" s="169">
        <f t="shared" ca="1" si="25"/>
        <v>-1</v>
      </c>
    </row>
    <row r="350" spans="1:10">
      <c r="A350" s="145">
        <f t="shared" si="26"/>
        <v>148</v>
      </c>
      <c r="B350" s="502"/>
      <c r="C350" s="367" t="s">
        <v>474</v>
      </c>
      <c r="D350" s="413">
        <f ca="1">OFFSET(活跃!$A$1,$A350-1,D$1-1)</f>
        <v>0</v>
      </c>
      <c r="E350" s="413">
        <f ca="1">OFFSET(活跃!$A$1,$A350-1,E$1-1)</f>
        <v>0</v>
      </c>
      <c r="F350" s="413">
        <f ca="1">OFFSET(活跃!$A$1,$A350-1,F$1-1)</f>
        <v>0</v>
      </c>
      <c r="G350" s="413">
        <f ca="1">OFFSET(活跃!$A$1,$A350-1,G$1-1)</f>
        <v>0</v>
      </c>
      <c r="H350" s="413">
        <f ca="1">OFFSET(活跃!$A$1,$A350-1,H$1-1)</f>
        <v>97687</v>
      </c>
      <c r="I350" s="164">
        <f ca="1">OFFSET(活跃!$A$1,$A350-1,I$1-1)</f>
        <v>0</v>
      </c>
      <c r="J350" s="169">
        <f t="shared" ca="1" si="25"/>
        <v>-1</v>
      </c>
    </row>
    <row r="351" spans="1:10">
      <c r="A351" s="145">
        <f t="shared" si="26"/>
        <v>149</v>
      </c>
      <c r="B351" s="502"/>
      <c r="C351" s="367" t="s">
        <v>475</v>
      </c>
      <c r="D351" s="413">
        <f ca="1">OFFSET(活跃!$A$1,$A351-1,D$1-1)</f>
        <v>0</v>
      </c>
      <c r="E351" s="413">
        <f ca="1">OFFSET(活跃!$A$1,$A351-1,E$1-1)</f>
        <v>0</v>
      </c>
      <c r="F351" s="413">
        <f ca="1">OFFSET(活跃!$A$1,$A351-1,F$1-1)</f>
        <v>0</v>
      </c>
      <c r="G351" s="413">
        <f ca="1">OFFSET(活跃!$A$1,$A351-1,G$1-1)</f>
        <v>0</v>
      </c>
      <c r="H351" s="413">
        <f ca="1">OFFSET(活跃!$A$1,$A351-1,H$1-1)</f>
        <v>43435</v>
      </c>
      <c r="I351" s="164">
        <f ca="1">OFFSET(活跃!$A$1,$A351-1,I$1-1)</f>
        <v>0</v>
      </c>
      <c r="J351" s="169">
        <f t="shared" ca="1" si="25"/>
        <v>-1</v>
      </c>
    </row>
    <row r="352" spans="1:10">
      <c r="A352" s="145">
        <f t="shared" si="26"/>
        <v>150</v>
      </c>
      <c r="B352" s="502"/>
      <c r="C352" s="367" t="s">
        <v>476</v>
      </c>
      <c r="D352" s="413">
        <f ca="1">OFFSET(活跃!$A$1,$A352-1,D$1-1)</f>
        <v>0</v>
      </c>
      <c r="E352" s="413">
        <f ca="1">OFFSET(活跃!$A$1,$A352-1,E$1-1)</f>
        <v>0</v>
      </c>
      <c r="F352" s="413">
        <f ca="1">OFFSET(活跃!$A$1,$A352-1,F$1-1)</f>
        <v>0</v>
      </c>
      <c r="G352" s="413">
        <f ca="1">OFFSET(活跃!$A$1,$A352-1,G$1-1)</f>
        <v>0</v>
      </c>
      <c r="H352" s="413">
        <f ca="1">OFFSET(活跃!$A$1,$A352-1,H$1-1)</f>
        <v>4349</v>
      </c>
      <c r="I352" s="164">
        <f ca="1">OFFSET(活跃!$A$1,$A352-1,I$1-1)</f>
        <v>0</v>
      </c>
      <c r="J352" s="169">
        <f t="shared" ca="1" si="25"/>
        <v>-1</v>
      </c>
    </row>
    <row r="353" spans="1:10">
      <c r="A353" s="145">
        <f t="shared" si="26"/>
        <v>151</v>
      </c>
      <c r="B353" s="502"/>
      <c r="C353" s="367" t="s">
        <v>477</v>
      </c>
      <c r="D353" s="413">
        <f ca="1">OFFSET(活跃!$A$1,$A353-1,D$1-1)</f>
        <v>0</v>
      </c>
      <c r="E353" s="413">
        <f ca="1">OFFSET(活跃!$A$1,$A353-1,E$1-1)</f>
        <v>0</v>
      </c>
      <c r="F353" s="413">
        <f ca="1">OFFSET(活跃!$A$1,$A353-1,F$1-1)</f>
        <v>0</v>
      </c>
      <c r="G353" s="413">
        <f ca="1">OFFSET(活跃!$A$1,$A353-1,G$1-1)</f>
        <v>0</v>
      </c>
      <c r="H353" s="413">
        <f ca="1">OFFSET(活跃!$A$1,$A353-1,H$1-1)</f>
        <v>1087</v>
      </c>
      <c r="I353" s="164">
        <f ca="1">OFFSET(活跃!$A$1,$A353-1,I$1-1)</f>
        <v>0</v>
      </c>
      <c r="J353" s="169">
        <f t="shared" ca="1" si="25"/>
        <v>-1</v>
      </c>
    </row>
    <row r="354" spans="1:10">
      <c r="A354" s="145">
        <f t="shared" si="26"/>
        <v>152</v>
      </c>
      <c r="B354" s="502"/>
      <c r="C354" s="367" t="s">
        <v>71</v>
      </c>
      <c r="D354" s="413">
        <f ca="1">OFFSET(活跃!$A$1,$A354-1,D$1-1)</f>
        <v>0</v>
      </c>
      <c r="E354" s="413">
        <f ca="1">OFFSET(活跃!$A$1,$A354-1,E$1-1)</f>
        <v>0</v>
      </c>
      <c r="F354" s="413">
        <f ca="1">OFFSET(活跃!$A$1,$A354-1,F$1-1)</f>
        <v>0</v>
      </c>
      <c r="G354" s="413">
        <f ca="1">OFFSET(活跃!$A$1,$A354-1,G$1-1)</f>
        <v>0</v>
      </c>
      <c r="H354" s="413">
        <f ca="1">OFFSET(活跃!$A$1,$A354-1,H$1-1)</f>
        <v>756</v>
      </c>
      <c r="I354" s="164">
        <f ca="1">OFFSET(活跃!$A$1,$A354-1,I$1-1)</f>
        <v>0</v>
      </c>
      <c r="J354" s="169">
        <f t="shared" ca="1" si="25"/>
        <v>-1</v>
      </c>
    </row>
    <row r="355" spans="1:10">
      <c r="A355" s="145">
        <f t="shared" si="26"/>
        <v>153</v>
      </c>
      <c r="B355" s="502"/>
      <c r="C355" s="280" t="s">
        <v>484</v>
      </c>
      <c r="D355" s="281">
        <f ca="1">OFFSET(活跃!$A$1,$A355-1,D$1-1)</f>
        <v>0</v>
      </c>
      <c r="E355" s="281">
        <f ca="1">OFFSET(活跃!$A$1,$A355-1,E$1-1)</f>
        <v>0</v>
      </c>
      <c r="F355" s="281">
        <f ca="1">OFFSET(活跃!$A$1,$A355-1,F$1-1)</f>
        <v>0</v>
      </c>
      <c r="G355" s="281">
        <f ca="1">OFFSET(活跃!$A$1,$A355-1,G$1-1)</f>
        <v>0</v>
      </c>
      <c r="H355" s="281">
        <f ca="1">OFFSET(活跃!$A$1,$A355-1,H$1-1)</f>
        <v>0.60676733676255867</v>
      </c>
      <c r="I355" s="235" t="e">
        <f ca="1">OFFSET(活跃!$A$1,$A355-1,I$1-1)</f>
        <v>#DIV/0!</v>
      </c>
      <c r="J355" s="169" t="e">
        <f t="shared" ref="J355:J360" ca="1" si="27">+I355-H355</f>
        <v>#DIV/0!</v>
      </c>
    </row>
    <row r="356" spans="1:10">
      <c r="A356" s="145">
        <f t="shared" si="26"/>
        <v>154</v>
      </c>
      <c r="B356" s="502"/>
      <c r="C356" s="280" t="s">
        <v>485</v>
      </c>
      <c r="D356" s="281">
        <f ca="1">OFFSET(活跃!$A$1,$A356-1,D$1-1)</f>
        <v>0</v>
      </c>
      <c r="E356" s="281">
        <f ca="1">OFFSET(活跃!$A$1,$A356-1,E$1-1)</f>
        <v>0</v>
      </c>
      <c r="F356" s="281">
        <f ca="1">OFFSET(活跃!$A$1,$A356-1,F$1-1)</f>
        <v>0</v>
      </c>
      <c r="G356" s="281">
        <f ca="1">OFFSET(活跃!$A$1,$A356-1,G$1-1)</f>
        <v>0</v>
      </c>
      <c r="H356" s="281">
        <f ca="1">OFFSET(活跃!$A$1,$A356-1,H$1-1)</f>
        <v>0.26076081820923969</v>
      </c>
      <c r="I356" s="281" t="e">
        <f ca="1">OFFSET(活跃!$A$1,$A356-1,I$1-1)</f>
        <v>#DIV/0!</v>
      </c>
      <c r="J356" s="169" t="e">
        <f t="shared" ca="1" si="27"/>
        <v>#DIV/0!</v>
      </c>
    </row>
    <row r="357" spans="1:10">
      <c r="A357" s="145">
        <f t="shared" si="26"/>
        <v>155</v>
      </c>
      <c r="B357" s="502"/>
      <c r="C357" s="280" t="s">
        <v>486</v>
      </c>
      <c r="D357" s="281">
        <f ca="1">OFFSET(活跃!$A$1,$A357-1,D$1-1)</f>
        <v>0</v>
      </c>
      <c r="E357" s="281">
        <f ca="1">OFFSET(活跃!$A$1,$A357-1,E$1-1)</f>
        <v>0</v>
      </c>
      <c r="F357" s="281">
        <f ca="1">OFFSET(活跃!$A$1,$A357-1,F$1-1)</f>
        <v>0</v>
      </c>
      <c r="G357" s="281">
        <f ca="1">OFFSET(活跃!$A$1,$A357-1,G$1-1)</f>
        <v>0</v>
      </c>
      <c r="H357" s="281">
        <f ca="1">OFFSET(活跃!$A$1,$A357-1,H$1-1)</f>
        <v>0.11594322825880952</v>
      </c>
      <c r="I357" s="281" t="e">
        <f ca="1">OFFSET(活跃!$A$1,$A357-1,I$1-1)</f>
        <v>#DIV/0!</v>
      </c>
      <c r="J357" s="169" t="e">
        <f t="shared" ca="1" si="27"/>
        <v>#DIV/0!</v>
      </c>
    </row>
    <row r="358" spans="1:10">
      <c r="A358" s="145">
        <f t="shared" si="26"/>
        <v>156</v>
      </c>
      <c r="B358" s="502"/>
      <c r="C358" s="280" t="s">
        <v>487</v>
      </c>
      <c r="D358" s="281">
        <f ca="1">OFFSET(活跃!$A$1,$A358-1,D$1-1)</f>
        <v>0</v>
      </c>
      <c r="E358" s="281">
        <f ca="1">OFFSET(活跃!$A$1,$A358-1,E$1-1)</f>
        <v>0</v>
      </c>
      <c r="F358" s="281">
        <f ca="1">OFFSET(活跃!$A$1,$A358-1,F$1-1)</f>
        <v>0</v>
      </c>
      <c r="G358" s="281">
        <f ca="1">OFFSET(活跃!$A$1,$A358-1,G$1-1)</f>
        <v>0</v>
      </c>
      <c r="H358" s="281">
        <f ca="1">OFFSET(活跃!$A$1,$A358-1,H$1-1)</f>
        <v>1.1609004252274954E-2</v>
      </c>
      <c r="I358" s="235" t="e">
        <f ca="1">OFFSET(活跃!$A$1,$A358-1,I$1-1)</f>
        <v>#DIV/0!</v>
      </c>
      <c r="J358" s="169" t="e">
        <f t="shared" ca="1" si="27"/>
        <v>#DIV/0!</v>
      </c>
    </row>
    <row r="359" spans="1:10">
      <c r="A359" s="145">
        <f t="shared" si="26"/>
        <v>157</v>
      </c>
      <c r="B359" s="502"/>
      <c r="C359" s="280" t="s">
        <v>488</v>
      </c>
      <c r="D359" s="281">
        <f ca="1">OFFSET(活跃!$A$1,$A359-1,D$1-1)</f>
        <v>0</v>
      </c>
      <c r="E359" s="281">
        <f ca="1">OFFSET(活跃!$A$1,$A359-1,E$1-1)</f>
        <v>0</v>
      </c>
      <c r="F359" s="281">
        <f ca="1">OFFSET(活跃!$A$1,$A359-1,F$1-1)</f>
        <v>0</v>
      </c>
      <c r="G359" s="281">
        <f ca="1">OFFSET(活跃!$A$1,$A359-1,G$1-1)</f>
        <v>0</v>
      </c>
      <c r="H359" s="281">
        <f ca="1">OFFSET(活跃!$A$1,$A359-1,H$1-1)</f>
        <v>2.9015837255053746E-3</v>
      </c>
      <c r="I359" s="235" t="e">
        <f ca="1">OFFSET(活跃!$A$1,$A359-1,I$1-1)</f>
        <v>#DIV/0!</v>
      </c>
      <c r="J359" s="169" t="e">
        <f t="shared" ca="1" si="27"/>
        <v>#DIV/0!</v>
      </c>
    </row>
    <row r="360" spans="1:10">
      <c r="A360" s="145">
        <f t="shared" si="26"/>
        <v>158</v>
      </c>
      <c r="B360" s="503"/>
      <c r="C360" s="280" t="s">
        <v>489</v>
      </c>
      <c r="D360" s="281">
        <f ca="1">OFFSET(活跃!$A$1,$A360-1,D$1-1)</f>
        <v>0</v>
      </c>
      <c r="E360" s="281">
        <f ca="1">OFFSET(活跃!$A$1,$A360-1,E$1-1)</f>
        <v>0</v>
      </c>
      <c r="F360" s="281">
        <f ca="1">OFFSET(活跃!$A$1,$A360-1,F$1-1)</f>
        <v>0</v>
      </c>
      <c r="G360" s="281">
        <f ca="1">OFFSET(活跃!$A$1,$A360-1,G$1-1)</f>
        <v>0</v>
      </c>
      <c r="H360" s="281">
        <f ca="1">OFFSET(活跃!$A$1,$A360-1,H$1-1)</f>
        <v>2.0180287916118336E-3</v>
      </c>
      <c r="I360" s="235" t="e">
        <f ca="1">OFFSET(活跃!$A$1,$A360-1,I$1-1)</f>
        <v>#DIV/0!</v>
      </c>
      <c r="J360" s="169" t="e">
        <f t="shared" ca="1" si="27"/>
        <v>#DIV/0!</v>
      </c>
    </row>
  </sheetData>
  <mergeCells count="11">
    <mergeCell ref="B153:B165"/>
    <mergeCell ref="B4:B16"/>
    <mergeCell ref="B17:B29"/>
    <mergeCell ref="B72:B84"/>
    <mergeCell ref="B85:B97"/>
    <mergeCell ref="B140:B152"/>
    <mergeCell ref="B208:B220"/>
    <mergeCell ref="B221:B233"/>
    <mergeCell ref="B278:B290"/>
    <mergeCell ref="B291:B303"/>
    <mergeCell ref="B348:B360"/>
  </mergeCells>
  <phoneticPr fontId="5" type="noConversion"/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EBDD3D90-28B6-4764-9864-F9963C85C7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17" id="{6314F105-C3FD-4C5C-9824-5995E68F212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J71</xm:sqref>
        </x14:conditionalFormatting>
        <x14:conditionalFormatting xmlns:xm="http://schemas.microsoft.com/office/excel/2006/main">
          <x14:cfRule type="iconSet" priority="16" id="{C73872D6-1DA5-4AF3-A241-8690834C887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J139</xm:sqref>
        </x14:conditionalFormatting>
        <x14:conditionalFormatting xmlns:xm="http://schemas.microsoft.com/office/excel/2006/main">
          <x14:cfRule type="iconSet" priority="15" id="{BDE1DC85-DE05-44C6-9081-F65EC3C84DA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J207</xm:sqref>
        </x14:conditionalFormatting>
        <x14:conditionalFormatting xmlns:xm="http://schemas.microsoft.com/office/excel/2006/main">
          <x14:cfRule type="iconSet" priority="14" id="{DCA4020C-7D7B-4CC5-A5A0-FE695010717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J277</xm:sqref>
        </x14:conditionalFormatting>
        <x14:conditionalFormatting xmlns:xm="http://schemas.microsoft.com/office/excel/2006/main">
          <x14:cfRule type="iconSet" priority="13" id="{5F1482E1-D8E5-4339-87A1-D290AAA10E6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12" id="{5CA2D62C-65BD-4E70-A35F-D8CA039F378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J72:J97</xm:sqref>
        </x14:conditionalFormatting>
        <x14:conditionalFormatting xmlns:xm="http://schemas.microsoft.com/office/excel/2006/main">
          <x14:cfRule type="iconSet" priority="11" id="{3FB68371-721B-483F-8183-1D39B8EF1B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J147:J152 J160:J165</xm:sqref>
        </x14:conditionalFormatting>
        <x14:conditionalFormatting xmlns:xm="http://schemas.microsoft.com/office/excel/2006/main">
          <x14:cfRule type="iconSet" priority="10" id="{F514F4F8-AB0F-473E-9647-E0AECD8D51E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J208:J233</xm:sqref>
        </x14:conditionalFormatting>
        <x14:conditionalFormatting xmlns:xm="http://schemas.microsoft.com/office/excel/2006/main">
          <x14:cfRule type="iconSet" priority="9" id="{9AEA61E5-244E-4293-B70B-BF507624735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J278:J303</xm:sqref>
        </x14:conditionalFormatting>
        <x14:conditionalFormatting xmlns:xm="http://schemas.microsoft.com/office/excel/2006/main">
          <x14:cfRule type="iconSet" priority="8" id="{A0D4DD59-A992-4A33-8142-81EDA894000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J347</xm:sqref>
        </x14:conditionalFormatting>
        <x14:conditionalFormatting xmlns:xm="http://schemas.microsoft.com/office/excel/2006/main">
          <x14:cfRule type="iconSet" priority="7" id="{1AD61C28-AB8A-4A39-A811-0C6B85709A9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J348:J360</xm:sqref>
        </x14:conditionalFormatting>
        <x14:conditionalFormatting xmlns:xm="http://schemas.microsoft.com/office/excel/2006/main">
          <x14:cfRule type="iconSet" priority="6" id="{82ADA043-E558-46F2-9177-B9EA15B46F9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J140:J146</xm:sqref>
        </x14:conditionalFormatting>
        <x14:conditionalFormatting xmlns:xm="http://schemas.microsoft.com/office/excel/2006/main">
          <x14:cfRule type="iconSet" priority="5" id="{BF2D8534-A117-4D3C-BF94-56558BD868E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J153:J159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showGridLines="0" workbookViewId="0">
      <pane xSplit="2" ySplit="2" topLeftCell="C60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defaultRowHeight="16.5"/>
  <cols>
    <col min="1" max="1" width="12.875" style="109" customWidth="1"/>
    <col min="2" max="2" width="26.375" style="109" customWidth="1"/>
    <col min="3" max="3" width="10.875" style="111" customWidth="1"/>
    <col min="4" max="10" width="10.875" style="111" hidden="1" customWidth="1"/>
    <col min="11" max="18" width="10.875" style="111" customWidth="1"/>
    <col min="19" max="16384" width="9" style="109"/>
  </cols>
  <sheetData>
    <row r="1" spans="1:18" s="4" customFormat="1" ht="16.5" customHeight="1">
      <c r="A1" s="1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</row>
    <row r="2" spans="1:18" s="84" customFormat="1" ht="16.350000000000001" customHeight="1">
      <c r="A2" s="116" t="s">
        <v>126</v>
      </c>
      <c r="B2" s="116" t="s">
        <v>127</v>
      </c>
      <c r="C2" s="117">
        <v>42491</v>
      </c>
      <c r="D2" s="117">
        <v>42522</v>
      </c>
      <c r="E2" s="117">
        <v>42552</v>
      </c>
      <c r="F2" s="117">
        <v>42583</v>
      </c>
      <c r="G2" s="117">
        <v>42614</v>
      </c>
      <c r="H2" s="117">
        <v>42644</v>
      </c>
      <c r="I2" s="117">
        <v>42675</v>
      </c>
      <c r="J2" s="117">
        <v>42705</v>
      </c>
      <c r="K2" s="117">
        <v>42736</v>
      </c>
      <c r="L2" s="117">
        <v>42767</v>
      </c>
      <c r="M2" s="117">
        <v>42795</v>
      </c>
      <c r="N2" s="117">
        <v>42826</v>
      </c>
      <c r="O2" s="117">
        <v>42856</v>
      </c>
      <c r="P2" s="117">
        <v>42887</v>
      </c>
      <c r="Q2" s="117">
        <v>42917</v>
      </c>
      <c r="R2" s="117">
        <v>42948</v>
      </c>
    </row>
    <row r="3" spans="1:18" s="101" customFormat="1" ht="16.350000000000001" customHeight="1">
      <c r="A3" s="529" t="s">
        <v>128</v>
      </c>
      <c r="B3" s="97" t="s">
        <v>8</v>
      </c>
      <c r="C3" s="78"/>
      <c r="D3" s="78"/>
      <c r="E3" s="78"/>
      <c r="F3" s="78"/>
      <c r="G3" s="78"/>
      <c r="H3" s="78"/>
      <c r="I3" s="78"/>
      <c r="J3" s="78"/>
      <c r="K3" s="78">
        <v>1123034</v>
      </c>
      <c r="L3" s="78">
        <v>1092605</v>
      </c>
      <c r="M3" s="78">
        <v>1151799</v>
      </c>
      <c r="N3" s="78">
        <v>1121976</v>
      </c>
      <c r="O3" s="78">
        <v>1163272</v>
      </c>
      <c r="P3" s="78">
        <v>1170887</v>
      </c>
      <c r="Q3" s="78">
        <v>1229685</v>
      </c>
      <c r="R3" s="78">
        <v>1303742</v>
      </c>
    </row>
    <row r="4" spans="1:18" s="101" customFormat="1" ht="16.350000000000001" customHeight="1">
      <c r="A4" s="541"/>
      <c r="B4" s="49" t="s">
        <v>129</v>
      </c>
      <c r="C4" s="13"/>
      <c r="D4" s="13"/>
      <c r="E4" s="13"/>
      <c r="F4" s="13"/>
      <c r="G4" s="13"/>
      <c r="H4" s="13"/>
      <c r="I4" s="13"/>
      <c r="J4" s="13"/>
      <c r="K4" s="13">
        <v>611184</v>
      </c>
      <c r="L4" s="13">
        <v>603131</v>
      </c>
      <c r="M4" s="13">
        <v>626031</v>
      </c>
      <c r="N4" s="13">
        <v>614064</v>
      </c>
      <c r="O4" s="13">
        <v>631912</v>
      </c>
      <c r="P4" s="13">
        <v>632659</v>
      </c>
      <c r="Q4" s="13">
        <v>665894</v>
      </c>
      <c r="R4" s="13">
        <v>723867</v>
      </c>
    </row>
    <row r="5" spans="1:18" s="101" customFormat="1" ht="16.350000000000001" customHeight="1">
      <c r="A5" s="541"/>
      <c r="B5" s="49" t="s">
        <v>130</v>
      </c>
      <c r="C5" s="13"/>
      <c r="D5" s="13"/>
      <c r="E5" s="13"/>
      <c r="F5" s="13"/>
      <c r="G5" s="13"/>
      <c r="H5" s="13"/>
      <c r="I5" s="13"/>
      <c r="J5" s="13"/>
      <c r="K5" s="13">
        <v>461073</v>
      </c>
      <c r="L5" s="13">
        <v>435072</v>
      </c>
      <c r="M5" s="13">
        <v>465443</v>
      </c>
      <c r="N5" s="13">
        <v>445127</v>
      </c>
      <c r="O5" s="13">
        <v>462596</v>
      </c>
      <c r="P5" s="13">
        <v>466423</v>
      </c>
      <c r="Q5" s="13">
        <v>482097</v>
      </c>
      <c r="R5" s="13">
        <v>492509</v>
      </c>
    </row>
    <row r="6" spans="1:18" s="101" customFormat="1" ht="16.350000000000001" customHeight="1">
      <c r="A6" s="541"/>
      <c r="B6" s="49" t="s">
        <v>131</v>
      </c>
      <c r="C6" s="13"/>
      <c r="D6" s="13"/>
      <c r="E6" s="13"/>
      <c r="F6" s="13"/>
      <c r="G6" s="13"/>
      <c r="H6" s="13"/>
      <c r="I6" s="13"/>
      <c r="J6" s="13"/>
      <c r="K6" s="13">
        <v>50777</v>
      </c>
      <c r="L6" s="13">
        <v>54402</v>
      </c>
      <c r="M6" s="13">
        <v>60325</v>
      </c>
      <c r="N6" s="13">
        <v>62785</v>
      </c>
      <c r="O6" s="13">
        <v>68764</v>
      </c>
      <c r="P6" s="13">
        <v>71805</v>
      </c>
      <c r="Q6" s="13">
        <v>81694</v>
      </c>
      <c r="R6" s="13">
        <v>87366</v>
      </c>
    </row>
    <row r="7" spans="1:18" s="90" customFormat="1" ht="16.350000000000001" customHeight="1">
      <c r="A7" s="541"/>
      <c r="B7" s="81" t="s">
        <v>129</v>
      </c>
      <c r="C7" s="28"/>
      <c r="D7" s="28"/>
      <c r="E7" s="28"/>
      <c r="F7" s="28"/>
      <c r="G7" s="28"/>
      <c r="H7" s="28"/>
      <c r="I7" s="28"/>
      <c r="J7" s="28"/>
      <c r="K7" s="28">
        <f t="shared" ref="K7:P9" si="0">K4/K$3</f>
        <v>0.54422573136699337</v>
      </c>
      <c r="L7" s="28">
        <f t="shared" si="0"/>
        <v>0.55201193477972366</v>
      </c>
      <c r="M7" s="28">
        <f t="shared" si="0"/>
        <v>0.54352452120552286</v>
      </c>
      <c r="N7" s="28">
        <f t="shared" si="0"/>
        <v>0.54730582472352352</v>
      </c>
      <c r="O7" s="28">
        <f t="shared" si="0"/>
        <v>0.54321947059673059</v>
      </c>
      <c r="P7" s="28">
        <f t="shared" si="0"/>
        <v>0.54032455736548446</v>
      </c>
      <c r="Q7" s="28">
        <v>0.54149999999999998</v>
      </c>
      <c r="R7" s="28">
        <v>0.55520000000000003</v>
      </c>
    </row>
    <row r="8" spans="1:18" s="90" customFormat="1" ht="16.350000000000001" customHeight="1">
      <c r="A8" s="541"/>
      <c r="B8" s="81" t="s">
        <v>132</v>
      </c>
      <c r="C8" s="28"/>
      <c r="D8" s="28"/>
      <c r="E8" s="28"/>
      <c r="F8" s="28"/>
      <c r="G8" s="28"/>
      <c r="H8" s="28"/>
      <c r="I8" s="28"/>
      <c r="J8" s="28"/>
      <c r="K8" s="28">
        <f t="shared" si="0"/>
        <v>0.41056014332602575</v>
      </c>
      <c r="L8" s="28">
        <f t="shared" si="0"/>
        <v>0.39819696962763307</v>
      </c>
      <c r="M8" s="28">
        <f t="shared" si="0"/>
        <v>0.40410088913082925</v>
      </c>
      <c r="N8" s="28">
        <f t="shared" si="0"/>
        <v>0.39673486776900752</v>
      </c>
      <c r="O8" s="28">
        <f t="shared" si="0"/>
        <v>0.39766795727912302</v>
      </c>
      <c r="P8" s="28">
        <f t="shared" si="0"/>
        <v>0.39835013968043032</v>
      </c>
      <c r="Q8" s="28">
        <v>0.39200000000000002</v>
      </c>
      <c r="R8" s="28">
        <v>0.37780000000000002</v>
      </c>
    </row>
    <row r="9" spans="1:18" s="90" customFormat="1" ht="16.350000000000001" customHeight="1">
      <c r="A9" s="542"/>
      <c r="B9" s="81" t="s">
        <v>133</v>
      </c>
      <c r="C9" s="28"/>
      <c r="D9" s="28"/>
      <c r="E9" s="28"/>
      <c r="F9" s="28"/>
      <c r="G9" s="28"/>
      <c r="H9" s="28"/>
      <c r="I9" s="28"/>
      <c r="J9" s="28"/>
      <c r="K9" s="28">
        <f t="shared" si="0"/>
        <v>4.5214125306980914E-2</v>
      </c>
      <c r="L9" s="28">
        <f t="shared" si="0"/>
        <v>4.9791095592643268E-2</v>
      </c>
      <c r="M9" s="28">
        <f t="shared" si="0"/>
        <v>5.2374589663647914E-2</v>
      </c>
      <c r="N9" s="28">
        <f t="shared" si="0"/>
        <v>5.5959307507468962E-2</v>
      </c>
      <c r="O9" s="28">
        <f t="shared" si="0"/>
        <v>5.9112572124146376E-2</v>
      </c>
      <c r="P9" s="28">
        <f t="shared" si="0"/>
        <v>6.132530295408524E-2</v>
      </c>
      <c r="Q9" s="28">
        <v>6.6400000000000001E-2</v>
      </c>
      <c r="R9" s="28">
        <v>6.7000000000000004E-2</v>
      </c>
    </row>
    <row r="10" spans="1:18" s="101" customFormat="1" ht="16.350000000000001" customHeight="1">
      <c r="A10" s="529" t="s">
        <v>134</v>
      </c>
      <c r="B10" s="97" t="s">
        <v>1</v>
      </c>
      <c r="C10" s="78"/>
      <c r="D10" s="78"/>
      <c r="E10" s="78"/>
      <c r="F10" s="78"/>
      <c r="G10" s="78"/>
      <c r="H10" s="78"/>
      <c r="I10" s="78"/>
      <c r="J10" s="78"/>
      <c r="K10" s="78">
        <v>304330</v>
      </c>
      <c r="L10" s="78">
        <v>294954</v>
      </c>
      <c r="M10" s="78">
        <v>317529</v>
      </c>
      <c r="N10" s="78">
        <v>274419</v>
      </c>
      <c r="O10" s="78">
        <v>299023</v>
      </c>
      <c r="P10" s="78">
        <v>292531</v>
      </c>
      <c r="Q10" s="78">
        <v>323472</v>
      </c>
      <c r="R10" s="78">
        <v>372027</v>
      </c>
    </row>
    <row r="11" spans="1:18" s="101" customFormat="1" ht="16.350000000000001" customHeight="1">
      <c r="A11" s="541"/>
      <c r="B11" s="49" t="s">
        <v>135</v>
      </c>
      <c r="C11" s="78"/>
      <c r="D11" s="78"/>
      <c r="E11" s="78"/>
      <c r="F11" s="78"/>
      <c r="G11" s="78"/>
      <c r="H11" s="78"/>
      <c r="I11" s="78"/>
      <c r="J11" s="78"/>
      <c r="K11" s="78">
        <v>152297</v>
      </c>
      <c r="L11" s="78">
        <v>150871</v>
      </c>
      <c r="M11" s="78">
        <v>155028</v>
      </c>
      <c r="N11" s="78">
        <v>134312</v>
      </c>
      <c r="O11" s="78">
        <v>144099</v>
      </c>
      <c r="P11" s="78">
        <v>142141</v>
      </c>
      <c r="Q11" s="78">
        <v>161107</v>
      </c>
      <c r="R11" s="78">
        <v>201004</v>
      </c>
    </row>
    <row r="12" spans="1:18" s="101" customFormat="1" ht="16.350000000000001" customHeight="1">
      <c r="A12" s="541"/>
      <c r="B12" s="49" t="s">
        <v>132</v>
      </c>
      <c r="C12" s="78"/>
      <c r="D12" s="78"/>
      <c r="E12" s="78"/>
      <c r="F12" s="78"/>
      <c r="G12" s="78"/>
      <c r="H12" s="78"/>
      <c r="I12" s="78"/>
      <c r="J12" s="78"/>
      <c r="K12" s="78">
        <v>128770</v>
      </c>
      <c r="L12" s="78">
        <v>122119</v>
      </c>
      <c r="M12" s="78">
        <v>141098</v>
      </c>
      <c r="N12" s="78">
        <v>120934</v>
      </c>
      <c r="O12" s="78">
        <v>133844</v>
      </c>
      <c r="P12" s="78">
        <v>130517</v>
      </c>
      <c r="Q12" s="78">
        <v>136841</v>
      </c>
      <c r="R12" s="78">
        <v>143173</v>
      </c>
    </row>
    <row r="13" spans="1:18" s="101" customFormat="1" ht="16.350000000000001" customHeight="1">
      <c r="A13" s="541"/>
      <c r="B13" s="49" t="s">
        <v>133</v>
      </c>
      <c r="C13" s="78"/>
      <c r="D13" s="78"/>
      <c r="E13" s="78"/>
      <c r="F13" s="78"/>
      <c r="G13" s="78"/>
      <c r="H13" s="78"/>
      <c r="I13" s="78"/>
      <c r="J13" s="78"/>
      <c r="K13" s="78">
        <v>23263</v>
      </c>
      <c r="L13" s="78">
        <v>21964</v>
      </c>
      <c r="M13" s="78">
        <v>21403</v>
      </c>
      <c r="N13" s="78">
        <v>19173</v>
      </c>
      <c r="O13" s="78">
        <v>21080</v>
      </c>
      <c r="P13" s="78">
        <v>19873</v>
      </c>
      <c r="Q13" s="78">
        <v>25524</v>
      </c>
      <c r="R13" s="78">
        <v>27850</v>
      </c>
    </row>
    <row r="14" spans="1:18" s="90" customFormat="1" ht="16.350000000000001" customHeight="1">
      <c r="A14" s="541"/>
      <c r="B14" s="81" t="s">
        <v>135</v>
      </c>
      <c r="C14" s="28"/>
      <c r="D14" s="28"/>
      <c r="E14" s="28"/>
      <c r="F14" s="28"/>
      <c r="G14" s="28"/>
      <c r="H14" s="28"/>
      <c r="I14" s="28"/>
      <c r="J14" s="28"/>
      <c r="K14" s="28">
        <f t="shared" ref="K14:P16" si="1">K11/K$10</f>
        <v>0.50043373969046756</v>
      </c>
      <c r="L14" s="28">
        <f t="shared" si="1"/>
        <v>0.51150687903876535</v>
      </c>
      <c r="M14" s="28">
        <f t="shared" si="1"/>
        <v>0.48823257088328942</v>
      </c>
      <c r="N14" s="28">
        <f t="shared" si="1"/>
        <v>0.48944132877096702</v>
      </c>
      <c r="O14" s="28">
        <f t="shared" si="1"/>
        <v>0.48189938566598556</v>
      </c>
      <c r="P14" s="28">
        <f t="shared" si="1"/>
        <v>0.48590063959033403</v>
      </c>
      <c r="Q14" s="28">
        <v>0.49809999999999999</v>
      </c>
      <c r="R14" s="28">
        <v>0.5403</v>
      </c>
    </row>
    <row r="15" spans="1:18" s="90" customFormat="1" ht="16.350000000000001" customHeight="1">
      <c r="A15" s="541"/>
      <c r="B15" s="81" t="s">
        <v>136</v>
      </c>
      <c r="C15" s="28"/>
      <c r="D15" s="28"/>
      <c r="E15" s="28"/>
      <c r="F15" s="28"/>
      <c r="G15" s="28"/>
      <c r="H15" s="28"/>
      <c r="I15" s="28"/>
      <c r="J15" s="28"/>
      <c r="K15" s="28">
        <f t="shared" si="1"/>
        <v>0.4231262116781126</v>
      </c>
      <c r="L15" s="28">
        <f t="shared" si="1"/>
        <v>0.41402727204920087</v>
      </c>
      <c r="M15" s="28">
        <f t="shared" si="1"/>
        <v>0.44436256215967673</v>
      </c>
      <c r="N15" s="28">
        <f t="shared" si="1"/>
        <v>0.44069106002135422</v>
      </c>
      <c r="O15" s="28">
        <f t="shared" si="1"/>
        <v>0.44760436488163119</v>
      </c>
      <c r="P15" s="28">
        <f t="shared" si="1"/>
        <v>0.44616467998263432</v>
      </c>
      <c r="Q15" s="28">
        <v>0.42299999999999999</v>
      </c>
      <c r="R15" s="28">
        <v>0.38479999999999998</v>
      </c>
    </row>
    <row r="16" spans="1:18" s="90" customFormat="1" ht="16.350000000000001" customHeight="1">
      <c r="A16" s="542"/>
      <c r="B16" s="81" t="s">
        <v>137</v>
      </c>
      <c r="C16" s="28"/>
      <c r="D16" s="28"/>
      <c r="E16" s="28"/>
      <c r="F16" s="28"/>
      <c r="G16" s="28"/>
      <c r="H16" s="28"/>
      <c r="I16" s="28"/>
      <c r="J16" s="28"/>
      <c r="K16" s="28">
        <f t="shared" si="1"/>
        <v>7.6440048631419844E-2</v>
      </c>
      <c r="L16" s="28">
        <f t="shared" si="1"/>
        <v>7.4465848912033741E-2</v>
      </c>
      <c r="M16" s="28">
        <f t="shared" si="1"/>
        <v>6.7404866957033849E-2</v>
      </c>
      <c r="N16" s="28">
        <f t="shared" si="1"/>
        <v>6.9867611207678773E-2</v>
      </c>
      <c r="O16" s="28">
        <f t="shared" si="1"/>
        <v>7.0496249452383267E-2</v>
      </c>
      <c r="P16" s="28">
        <f t="shared" si="1"/>
        <v>6.7934680427031671E-2</v>
      </c>
      <c r="Q16" s="28">
        <v>7.8899999999999998E-2</v>
      </c>
      <c r="R16" s="28">
        <v>7.4899999999999994E-2</v>
      </c>
    </row>
    <row r="17" spans="1:18" s="121" customFormat="1" ht="16.350000000000001" customHeight="1">
      <c r="A17" s="118" t="s">
        <v>138</v>
      </c>
      <c r="B17" s="119" t="s">
        <v>139</v>
      </c>
      <c r="C17" s="120"/>
      <c r="D17" s="120"/>
      <c r="E17" s="120"/>
      <c r="F17" s="120"/>
      <c r="G17" s="120"/>
      <c r="H17" s="120"/>
      <c r="I17" s="120"/>
      <c r="J17" s="120"/>
      <c r="K17" s="120">
        <v>34056996</v>
      </c>
      <c r="L17" s="120">
        <v>29742766</v>
      </c>
      <c r="M17" s="120">
        <v>33995051</v>
      </c>
      <c r="N17" s="120">
        <v>30961181</v>
      </c>
      <c r="O17" s="120">
        <v>35249211</v>
      </c>
      <c r="P17" s="120">
        <v>34869832</v>
      </c>
      <c r="Q17" s="120">
        <v>38802155</v>
      </c>
      <c r="R17" s="120">
        <v>41486783</v>
      </c>
    </row>
    <row r="18" spans="1:18" s="121" customFormat="1" ht="16.350000000000001" customHeight="1">
      <c r="A18" s="118" t="s">
        <v>140</v>
      </c>
      <c r="B18" s="119" t="s">
        <v>140</v>
      </c>
      <c r="C18" s="120"/>
      <c r="D18" s="120"/>
      <c r="E18" s="120"/>
      <c r="F18" s="120"/>
      <c r="G18" s="120"/>
      <c r="H18" s="120"/>
      <c r="I18" s="120"/>
      <c r="J18" s="120"/>
      <c r="K18" s="120">
        <v>2598569</v>
      </c>
      <c r="L18" s="120">
        <v>2031637</v>
      </c>
      <c r="M18" s="120">
        <v>2355017</v>
      </c>
      <c r="N18" s="120">
        <v>2251506</v>
      </c>
      <c r="O18" s="120">
        <v>2723592</v>
      </c>
      <c r="P18" s="120">
        <v>2589361</v>
      </c>
      <c r="Q18" s="120">
        <v>3208441</v>
      </c>
      <c r="R18" s="120">
        <v>3326524</v>
      </c>
    </row>
    <row r="19" spans="1:18" s="124" customFormat="1" ht="16.350000000000001" customHeight="1">
      <c r="A19" s="543" t="s">
        <v>141</v>
      </c>
      <c r="B19" s="122" t="s">
        <v>142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>
        <v>286058</v>
      </c>
      <c r="R19" s="123">
        <v>692092</v>
      </c>
    </row>
    <row r="20" spans="1:18" s="124" customFormat="1" ht="16.350000000000001" customHeight="1">
      <c r="A20" s="544"/>
      <c r="B20" s="122" t="s">
        <v>143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>
        <v>205088</v>
      </c>
      <c r="R20" s="123">
        <v>488518</v>
      </c>
    </row>
    <row r="21" spans="1:18" s="124" customFormat="1" ht="16.350000000000001" customHeight="1">
      <c r="A21" s="544"/>
      <c r="B21" s="122" t="s">
        <v>144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>
        <v>102552</v>
      </c>
      <c r="R21" s="123">
        <v>629998</v>
      </c>
    </row>
    <row r="22" spans="1:18" s="124" customFormat="1" ht="16.350000000000001" customHeight="1">
      <c r="A22" s="544"/>
      <c r="B22" s="122" t="s">
        <v>145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>
        <v>73878</v>
      </c>
      <c r="R22" s="123">
        <v>186084</v>
      </c>
    </row>
    <row r="23" spans="1:18" s="124" customFormat="1" ht="16.350000000000001" customHeight="1">
      <c r="A23" s="544"/>
      <c r="B23" s="122" t="s">
        <v>146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>
        <v>34738</v>
      </c>
      <c r="R23" s="123">
        <v>176187</v>
      </c>
    </row>
    <row r="24" spans="1:18" s="124" customFormat="1" ht="16.350000000000001" customHeight="1">
      <c r="A24" s="544"/>
      <c r="B24" s="122" t="s">
        <v>147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>
        <v>31992</v>
      </c>
      <c r="R24" s="123">
        <v>167451</v>
      </c>
    </row>
    <row r="25" spans="1:18" s="124" customFormat="1" ht="16.350000000000001" customHeight="1">
      <c r="A25" s="544"/>
      <c r="B25" s="122" t="s">
        <v>148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>
        <v>24929</v>
      </c>
      <c r="R25" s="123">
        <v>109517</v>
      </c>
    </row>
    <row r="26" spans="1:18" s="124" customFormat="1" ht="16.350000000000001" customHeight="1">
      <c r="A26" s="544"/>
      <c r="B26" s="122" t="s">
        <v>149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>
        <v>17233</v>
      </c>
      <c r="R26" s="123">
        <v>55362</v>
      </c>
    </row>
    <row r="27" spans="1:18" s="124" customFormat="1" ht="16.350000000000001" customHeight="1">
      <c r="A27" s="544"/>
      <c r="B27" s="122" t="s">
        <v>150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>
        <v>14518</v>
      </c>
      <c r="R27" s="123">
        <v>31089</v>
      </c>
    </row>
    <row r="28" spans="1:18" s="124" customFormat="1" ht="16.350000000000001" customHeight="1">
      <c r="A28" s="545"/>
      <c r="B28" s="122" t="s">
        <v>151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>
        <v>11792</v>
      </c>
      <c r="R28" s="123">
        <v>25043</v>
      </c>
    </row>
    <row r="29" spans="1:18" s="124" customFormat="1" ht="16.350000000000001" customHeight="1">
      <c r="A29" s="543" t="s">
        <v>152</v>
      </c>
      <c r="B29" s="122" t="s">
        <v>153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>
        <v>961</v>
      </c>
      <c r="R29" s="123">
        <v>24870</v>
      </c>
    </row>
    <row r="30" spans="1:18" s="124" customFormat="1" ht="16.350000000000001" customHeight="1">
      <c r="A30" s="544"/>
      <c r="B30" s="122" t="s">
        <v>154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>
        <v>932</v>
      </c>
      <c r="R30" s="123">
        <v>3418</v>
      </c>
    </row>
    <row r="31" spans="1:18" s="124" customFormat="1" ht="16.350000000000001" customHeight="1">
      <c r="A31" s="544"/>
      <c r="B31" s="122" t="s">
        <v>155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>
        <v>865</v>
      </c>
      <c r="R31" s="123">
        <v>2287</v>
      </c>
    </row>
    <row r="32" spans="1:18" s="124" customFormat="1" ht="16.350000000000001" customHeight="1">
      <c r="A32" s="544"/>
      <c r="B32" s="122" t="s">
        <v>156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>
        <v>219</v>
      </c>
      <c r="R32" s="123">
        <v>1671</v>
      </c>
    </row>
    <row r="33" spans="1:18" s="124" customFormat="1" ht="16.350000000000001" customHeight="1">
      <c r="A33" s="544"/>
      <c r="B33" s="122" t="s">
        <v>148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>
        <v>219</v>
      </c>
      <c r="R33" s="123">
        <v>1649</v>
      </c>
    </row>
    <row r="34" spans="1:18" s="124" customFormat="1" ht="16.350000000000001" customHeight="1">
      <c r="A34" s="544"/>
      <c r="B34" s="122" t="s">
        <v>146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>
        <v>181</v>
      </c>
      <c r="R34" s="123">
        <v>1561</v>
      </c>
    </row>
    <row r="35" spans="1:18" s="124" customFormat="1" ht="16.350000000000001" customHeight="1">
      <c r="A35" s="544"/>
      <c r="B35" s="122" t="s">
        <v>157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>
        <v>157</v>
      </c>
      <c r="R35" s="123">
        <v>1402</v>
      </c>
    </row>
    <row r="36" spans="1:18" s="124" customFormat="1" ht="16.350000000000001" customHeight="1">
      <c r="A36" s="544"/>
      <c r="B36" s="122" t="s">
        <v>158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>
        <v>154</v>
      </c>
      <c r="R36" s="123">
        <v>1134</v>
      </c>
    </row>
    <row r="37" spans="1:18" s="124" customFormat="1" ht="16.350000000000001" customHeight="1">
      <c r="A37" s="544"/>
      <c r="B37" s="122" t="s">
        <v>159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>
        <v>144</v>
      </c>
      <c r="R37" s="123">
        <v>1086</v>
      </c>
    </row>
    <row r="38" spans="1:18" s="124" customFormat="1" ht="16.350000000000001" customHeight="1">
      <c r="A38" s="545"/>
      <c r="B38" s="122" t="s">
        <v>160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>
        <v>140</v>
      </c>
      <c r="R38" s="123">
        <v>1066</v>
      </c>
    </row>
    <row r="39" spans="1:18" s="127" customFormat="1" ht="16.350000000000001" customHeight="1">
      <c r="A39" s="546" t="s">
        <v>161</v>
      </c>
      <c r="B39" s="125" t="s">
        <v>162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>
        <v>351105</v>
      </c>
      <c r="Q39" s="126">
        <v>347252</v>
      </c>
      <c r="R39" s="126">
        <v>355327</v>
      </c>
    </row>
    <row r="40" spans="1:18" s="127" customFormat="1" ht="16.350000000000001" customHeight="1">
      <c r="A40" s="547"/>
      <c r="B40" s="125" t="s">
        <v>163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>
        <v>162519</v>
      </c>
      <c r="Q40" s="126">
        <v>146131</v>
      </c>
      <c r="R40" s="126">
        <v>134479</v>
      </c>
    </row>
    <row r="41" spans="1:18" s="127" customFormat="1" ht="16.350000000000001" customHeight="1">
      <c r="A41" s="547"/>
      <c r="B41" s="125" t="s">
        <v>164</v>
      </c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>
        <v>69579</v>
      </c>
      <c r="Q41" s="126">
        <v>81472</v>
      </c>
      <c r="R41" s="126">
        <v>88392</v>
      </c>
    </row>
    <row r="42" spans="1:18" s="127" customFormat="1" ht="16.350000000000001" customHeight="1">
      <c r="A42" s="547"/>
      <c r="B42" s="125" t="s">
        <v>165</v>
      </c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>
        <v>20073</v>
      </c>
      <c r="Q42" s="126">
        <v>20499</v>
      </c>
      <c r="R42" s="126">
        <v>19544</v>
      </c>
    </row>
    <row r="43" spans="1:18" s="127" customFormat="1" ht="16.350000000000001" customHeight="1">
      <c r="A43" s="547"/>
      <c r="B43" s="125" t="s">
        <v>166</v>
      </c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>
        <v>9341</v>
      </c>
      <c r="Q43" s="126">
        <v>10045</v>
      </c>
      <c r="R43" s="126">
        <v>7839</v>
      </c>
    </row>
    <row r="44" spans="1:18" s="127" customFormat="1" ht="16.350000000000001" customHeight="1">
      <c r="A44" s="547"/>
      <c r="B44" s="125" t="s">
        <v>167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>
        <v>6199</v>
      </c>
      <c r="Q44" s="126">
        <v>8112</v>
      </c>
      <c r="R44" s="126">
        <v>17155</v>
      </c>
    </row>
    <row r="45" spans="1:18" s="127" customFormat="1" ht="16.350000000000001" customHeight="1">
      <c r="A45" s="547"/>
      <c r="B45" s="125" t="s">
        <v>168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>
        <v>3142</v>
      </c>
      <c r="R45" s="126">
        <v>2531</v>
      </c>
    </row>
    <row r="46" spans="1:18" s="127" customFormat="1" ht="16.350000000000001" customHeight="1">
      <c r="A46" s="547"/>
      <c r="B46" s="125" t="s">
        <v>169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>
        <v>825</v>
      </c>
      <c r="R46" s="126">
        <v>732</v>
      </c>
    </row>
    <row r="47" spans="1:18" s="127" customFormat="1" ht="16.350000000000001" customHeight="1">
      <c r="A47" s="547"/>
      <c r="B47" s="125" t="s">
        <v>170</v>
      </c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>
        <v>165</v>
      </c>
      <c r="R47" s="126">
        <v>115</v>
      </c>
    </row>
    <row r="48" spans="1:18" s="127" customFormat="1" ht="16.350000000000001" customHeight="1">
      <c r="A48" s="547"/>
      <c r="B48" s="125" t="s">
        <v>171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>
        <v>119</v>
      </c>
      <c r="R48" s="126">
        <v>278</v>
      </c>
    </row>
    <row r="49" spans="1:18" s="127" customFormat="1" ht="16.350000000000001" customHeight="1">
      <c r="A49" s="547"/>
      <c r="B49" s="125" t="s">
        <v>172</v>
      </c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>
        <v>64</v>
      </c>
      <c r="R49" s="126">
        <v>43</v>
      </c>
    </row>
    <row r="50" spans="1:18" s="127" customFormat="1" ht="16.350000000000001" customHeight="1">
      <c r="A50" s="547"/>
      <c r="B50" s="125" t="s">
        <v>173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>
        <v>38</v>
      </c>
      <c r="R50" s="126">
        <v>33</v>
      </c>
    </row>
    <row r="51" spans="1:18" s="127" customFormat="1" ht="16.350000000000001" customHeight="1">
      <c r="A51" s="547"/>
      <c r="B51" s="125" t="s">
        <v>159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>
        <v>39</v>
      </c>
      <c r="R51" s="126">
        <v>256</v>
      </c>
    </row>
    <row r="52" spans="1:18" s="127" customFormat="1" ht="16.350000000000001" customHeight="1">
      <c r="A52" s="548"/>
      <c r="B52" s="125" t="s">
        <v>174</v>
      </c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>
        <v>8</v>
      </c>
      <c r="R52" s="126">
        <v>2</v>
      </c>
    </row>
    <row r="53" spans="1:18" s="127" customFormat="1" ht="16.350000000000001" customHeight="1">
      <c r="A53" s="546" t="s">
        <v>175</v>
      </c>
      <c r="B53" s="125" t="s">
        <v>176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>
        <v>38343</v>
      </c>
      <c r="R53" s="126">
        <v>43322</v>
      </c>
    </row>
    <row r="54" spans="1:18" s="127" customFormat="1" ht="16.350000000000001" customHeight="1">
      <c r="A54" s="547"/>
      <c r="B54" s="125" t="s">
        <v>177</v>
      </c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>
        <v>20793</v>
      </c>
      <c r="R54" s="126">
        <v>14310</v>
      </c>
    </row>
    <row r="55" spans="1:18" s="127" customFormat="1" ht="16.350000000000001" customHeight="1">
      <c r="A55" s="547"/>
      <c r="B55" s="125" t="s">
        <v>178</v>
      </c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>
        <v>10895</v>
      </c>
      <c r="R55" s="126">
        <v>12494</v>
      </c>
    </row>
    <row r="56" spans="1:18" s="127" customFormat="1" ht="16.350000000000001" customHeight="1">
      <c r="A56" s="547"/>
      <c r="B56" s="125" t="s">
        <v>179</v>
      </c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>
        <v>4701</v>
      </c>
      <c r="R56" s="126">
        <v>4507</v>
      </c>
    </row>
    <row r="57" spans="1:18" s="127" customFormat="1" ht="16.350000000000001" customHeight="1">
      <c r="A57" s="547"/>
      <c r="B57" s="125" t="s">
        <v>180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>
        <v>2160</v>
      </c>
      <c r="R57" s="126">
        <v>6154</v>
      </c>
    </row>
    <row r="58" spans="1:18" s="127" customFormat="1" ht="16.350000000000001" customHeight="1">
      <c r="A58" s="547"/>
      <c r="B58" s="125" t="s">
        <v>181</v>
      </c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>
        <v>1825</v>
      </c>
      <c r="R58" s="126">
        <v>1564</v>
      </c>
    </row>
    <row r="59" spans="1:18" s="127" customFormat="1" ht="16.350000000000001" customHeight="1">
      <c r="A59" s="547"/>
      <c r="B59" s="125" t="s">
        <v>182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>
        <v>812</v>
      </c>
      <c r="R59" s="126">
        <v>693</v>
      </c>
    </row>
    <row r="60" spans="1:18" s="127" customFormat="1" ht="16.350000000000001" customHeight="1">
      <c r="A60" s="547"/>
      <c r="B60" s="125" t="s">
        <v>183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>
        <v>297</v>
      </c>
      <c r="R60" s="126">
        <v>257</v>
      </c>
    </row>
    <row r="61" spans="1:18" s="127" customFormat="1" ht="16.350000000000001" customHeight="1">
      <c r="A61" s="547"/>
      <c r="B61" s="125" t="s">
        <v>184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>
        <v>41</v>
      </c>
      <c r="R61" s="126">
        <v>40</v>
      </c>
    </row>
    <row r="62" spans="1:18" s="127" customFormat="1" ht="16.350000000000001" customHeight="1">
      <c r="A62" s="547"/>
      <c r="B62" s="125" t="s">
        <v>185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>
        <v>25</v>
      </c>
      <c r="R62" s="126">
        <v>86</v>
      </c>
    </row>
    <row r="63" spans="1:18" s="127" customFormat="1" ht="16.350000000000001" customHeight="1">
      <c r="A63" s="547"/>
      <c r="B63" s="125" t="s">
        <v>186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>
        <v>23</v>
      </c>
      <c r="R63" s="126">
        <v>17</v>
      </c>
    </row>
    <row r="64" spans="1:18" s="127" customFormat="1" ht="16.350000000000001" customHeight="1">
      <c r="A64" s="547"/>
      <c r="B64" s="125" t="s">
        <v>173</v>
      </c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>
        <v>16</v>
      </c>
      <c r="R64" s="126">
        <v>13</v>
      </c>
    </row>
    <row r="65" spans="1:18" s="127" customFormat="1" ht="16.350000000000001" customHeight="1">
      <c r="A65" s="547"/>
      <c r="B65" s="125" t="s">
        <v>159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>
        <v>4</v>
      </c>
      <c r="R65" s="126">
        <v>93</v>
      </c>
    </row>
    <row r="66" spans="1:18" s="127" customFormat="1" ht="16.350000000000001" customHeight="1">
      <c r="A66" s="548"/>
      <c r="B66" s="125" t="s">
        <v>187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>
        <v>2</v>
      </c>
      <c r="R66" s="126">
        <v>1</v>
      </c>
    </row>
    <row r="67" spans="1:18" s="130" customFormat="1" ht="16.350000000000001" customHeight="1">
      <c r="A67" s="549" t="s">
        <v>188</v>
      </c>
      <c r="B67" s="128" t="s">
        <v>176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>
        <v>0.71992664738008094</v>
      </c>
      <c r="R67" s="129"/>
    </row>
    <row r="68" spans="1:18" s="130" customFormat="1" ht="16.350000000000001" customHeight="1">
      <c r="A68" s="550"/>
      <c r="B68" s="128" t="s">
        <v>173</v>
      </c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>
        <v>0.19318181818181818</v>
      </c>
      <c r="R68" s="129"/>
    </row>
    <row r="69" spans="1:18" s="130" customFormat="1" ht="16.350000000000001" customHeight="1">
      <c r="A69" s="550"/>
      <c r="B69" s="128" t="s">
        <v>179</v>
      </c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>
        <v>0.3357574476073884</v>
      </c>
      <c r="R69" s="129"/>
    </row>
    <row r="70" spans="1:18" s="130" customFormat="1" ht="16.350000000000001" customHeight="1">
      <c r="A70" s="550"/>
      <c r="B70" s="128" t="s">
        <v>182</v>
      </c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>
        <v>0.46654756732434771</v>
      </c>
      <c r="R70" s="129"/>
    </row>
    <row r="71" spans="1:18" s="130" customFormat="1" ht="16.350000000000001" customHeight="1">
      <c r="A71" s="550"/>
      <c r="B71" s="128" t="s">
        <v>177</v>
      </c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>
        <v>0.4975756405147061</v>
      </c>
      <c r="R71" s="129"/>
    </row>
    <row r="72" spans="1:18" s="130" customFormat="1" ht="16.350000000000001" customHeight="1">
      <c r="A72" s="550"/>
      <c r="B72" s="128" t="s">
        <v>186</v>
      </c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>
        <v>0.22919758812615959</v>
      </c>
      <c r="R72" s="129"/>
    </row>
    <row r="73" spans="1:18" s="130" customFormat="1" ht="16.350000000000001" customHeight="1">
      <c r="A73" s="550"/>
      <c r="B73" s="128" t="s">
        <v>178</v>
      </c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>
        <v>0.3459423266596976</v>
      </c>
      <c r="R73" s="129"/>
    </row>
    <row r="74" spans="1:18" s="130" customFormat="1" ht="16.350000000000001" customHeight="1">
      <c r="A74" s="550"/>
      <c r="B74" s="128" t="s">
        <v>183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>
        <v>0.12058142423294939</v>
      </c>
      <c r="R74" s="129"/>
    </row>
    <row r="75" spans="1:18" s="130" customFormat="1" ht="16.350000000000001" customHeight="1">
      <c r="A75" s="550"/>
      <c r="B75" s="128" t="s">
        <v>185</v>
      </c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>
        <v>0.31626577126577138</v>
      </c>
      <c r="R75" s="129"/>
    </row>
    <row r="76" spans="1:18" s="130" customFormat="1" ht="16.350000000000001" customHeight="1">
      <c r="A76" s="550"/>
      <c r="B76" s="128" t="s">
        <v>180</v>
      </c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>
        <v>0.28774116372365188</v>
      </c>
      <c r="R76" s="129"/>
    </row>
    <row r="77" spans="1:18" s="130" customFormat="1" ht="16.350000000000001" customHeight="1">
      <c r="A77" s="550"/>
      <c r="B77" s="128" t="s">
        <v>184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>
        <v>0.19887353387353396</v>
      </c>
      <c r="R77" s="129"/>
    </row>
    <row r="78" spans="1:18" s="130" customFormat="1" ht="16.350000000000001" customHeight="1">
      <c r="A78" s="550"/>
      <c r="B78" s="128" t="s">
        <v>187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>
        <v>0</v>
      </c>
      <c r="R78" s="129"/>
    </row>
    <row r="79" spans="1:18" s="130" customFormat="1" ht="16.350000000000001" customHeight="1">
      <c r="A79" s="550"/>
      <c r="B79" s="128" t="s">
        <v>181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>
        <v>0.13813008849061237</v>
      </c>
      <c r="R79" s="129"/>
    </row>
    <row r="80" spans="1:18" s="130" customFormat="1" ht="16.350000000000001" customHeight="1">
      <c r="A80" s="551"/>
      <c r="B80" s="128" t="s">
        <v>159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>
        <v>0.4888605442176871</v>
      </c>
      <c r="R80" s="129"/>
    </row>
    <row r="81" spans="1:18" s="130" customFormat="1" ht="16.350000000000001" customHeight="1">
      <c r="A81" s="549" t="s">
        <v>189</v>
      </c>
      <c r="B81" s="128" t="s">
        <v>176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>
        <v>0.60989822365894231</v>
      </c>
      <c r="R81" s="129"/>
    </row>
    <row r="82" spans="1:18" s="130" customFormat="1" ht="16.350000000000001" customHeight="1">
      <c r="A82" s="550"/>
      <c r="B82" s="128" t="s">
        <v>173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>
        <v>0.10784313725490195</v>
      </c>
      <c r="R82" s="129"/>
    </row>
    <row r="83" spans="1:18" s="130" customFormat="1" ht="16.350000000000001" customHeight="1">
      <c r="A83" s="550"/>
      <c r="B83" s="128" t="s">
        <v>179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>
        <v>0.26615345370122323</v>
      </c>
      <c r="R83" s="129"/>
    </row>
    <row r="84" spans="1:18" s="130" customFormat="1" ht="16.350000000000001" customHeight="1">
      <c r="A84" s="550"/>
      <c r="B84" s="128" t="s">
        <v>182</v>
      </c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>
        <v>0.37385181217757357</v>
      </c>
      <c r="R84" s="129"/>
    </row>
    <row r="85" spans="1:18" s="130" customFormat="1" ht="16.350000000000001" customHeight="1">
      <c r="A85" s="550"/>
      <c r="B85" s="128" t="s">
        <v>177</v>
      </c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>
        <v>0.36034858318732438</v>
      </c>
      <c r="R85" s="129"/>
    </row>
    <row r="86" spans="1:18" s="130" customFormat="1" ht="16.350000000000001" customHeight="1">
      <c r="A86" s="550"/>
      <c r="B86" s="128" t="s">
        <v>186</v>
      </c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>
        <v>0.21157024793388429</v>
      </c>
      <c r="R86" s="129"/>
    </row>
    <row r="87" spans="1:18" s="130" customFormat="1" ht="16.350000000000001" customHeight="1">
      <c r="A87" s="550"/>
      <c r="B87" s="128" t="s">
        <v>178</v>
      </c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>
        <v>0.26248753536985381</v>
      </c>
      <c r="R87" s="129"/>
    </row>
    <row r="88" spans="1:18" s="130" customFormat="1" ht="16.350000000000001" customHeight="1">
      <c r="A88" s="550"/>
      <c r="B88" s="128" t="s">
        <v>183</v>
      </c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>
        <v>6.6474841947001442E-2</v>
      </c>
      <c r="R88" s="129"/>
    </row>
    <row r="89" spans="1:18" s="130" customFormat="1" ht="16.350000000000001" customHeight="1">
      <c r="A89" s="550"/>
      <c r="B89" s="128" t="s">
        <v>185</v>
      </c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>
        <v>0.16461385836385836</v>
      </c>
      <c r="R89" s="129"/>
    </row>
    <row r="90" spans="1:18" s="130" customFormat="1" ht="16.350000000000001" customHeight="1">
      <c r="A90" s="550"/>
      <c r="B90" s="128" t="s">
        <v>180</v>
      </c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>
        <v>0.20950879450634652</v>
      </c>
      <c r="R90" s="129"/>
    </row>
    <row r="91" spans="1:18" s="130" customFormat="1" ht="16.350000000000001" customHeight="1">
      <c r="A91" s="550"/>
      <c r="B91" s="128" t="s">
        <v>184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>
        <v>9.965219965219968E-2</v>
      </c>
      <c r="R91" s="129"/>
    </row>
    <row r="92" spans="1:18" s="130" customFormat="1" ht="16.350000000000001" customHeight="1">
      <c r="A92" s="550"/>
      <c r="B92" s="128" t="s">
        <v>187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>
        <v>0</v>
      </c>
      <c r="R92" s="129"/>
    </row>
    <row r="93" spans="1:18" s="130" customFormat="1" ht="16.350000000000001" customHeight="1">
      <c r="A93" s="550"/>
      <c r="B93" s="128" t="s">
        <v>181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>
        <v>7.2452871698662047E-2</v>
      </c>
      <c r="R93" s="129"/>
    </row>
    <row r="94" spans="1:18" s="130" customFormat="1" ht="16.350000000000001" customHeight="1">
      <c r="A94" s="551"/>
      <c r="B94" s="128" t="s">
        <v>159</v>
      </c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>
        <v>0.52648809523809514</v>
      </c>
      <c r="R94" s="129"/>
    </row>
    <row r="95" spans="1:18" s="133" customFormat="1" ht="16.350000000000001" customHeight="1">
      <c r="A95" s="552" t="s">
        <v>190</v>
      </c>
      <c r="B95" s="131" t="s">
        <v>176</v>
      </c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>
        <v>0.24836437768589745</v>
      </c>
      <c r="R95" s="132">
        <v>0.25488034959426098</v>
      </c>
    </row>
    <row r="96" spans="1:18" s="133" customFormat="1" ht="16.350000000000001" customHeight="1">
      <c r="A96" s="553"/>
      <c r="B96" s="131" t="s">
        <v>177</v>
      </c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>
        <v>0.14724005706789089</v>
      </c>
      <c r="R96" s="132">
        <v>0.14375887108711358</v>
      </c>
    </row>
    <row r="97" spans="1:18" s="133" customFormat="1" ht="16.350000000000001" customHeight="1">
      <c r="A97" s="553"/>
      <c r="B97" s="131" t="s">
        <v>178</v>
      </c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>
        <v>9.37487826924783E-2</v>
      </c>
      <c r="R97" s="132">
        <v>9.2141497605872993E-2</v>
      </c>
    </row>
    <row r="98" spans="1:18" s="133" customFormat="1" ht="16.350000000000001" customHeight="1">
      <c r="A98" s="553"/>
      <c r="B98" s="131" t="s">
        <v>179</v>
      </c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>
        <v>7.3538697010617507E-2</v>
      </c>
      <c r="R98" s="132">
        <v>7.0626221537743894E-2</v>
      </c>
    </row>
    <row r="99" spans="1:18" s="133" customFormat="1" ht="16.350000000000001" customHeight="1">
      <c r="A99" s="553"/>
      <c r="B99" s="131" t="s">
        <v>180</v>
      </c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>
        <v>5.7194074930865008E-2</v>
      </c>
      <c r="R99" s="132">
        <v>9.1709231010310699E-2</v>
      </c>
    </row>
    <row r="100" spans="1:18" s="133" customFormat="1" ht="16.350000000000001" customHeight="1">
      <c r="A100" s="553"/>
      <c r="B100" s="131" t="s">
        <v>181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>
        <v>4.6234748715371039E-2</v>
      </c>
      <c r="R100" s="132">
        <v>4.9344151653977784E-2</v>
      </c>
    </row>
    <row r="101" spans="1:18" s="133" customFormat="1" ht="16.350000000000001" customHeight="1">
      <c r="A101" s="553"/>
      <c r="B101" s="131" t="s">
        <v>182</v>
      </c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>
        <v>0.10637965492953452</v>
      </c>
      <c r="R101" s="132">
        <v>9.5243591666858987E-2</v>
      </c>
    </row>
    <row r="102" spans="1:18" s="133" customFormat="1" ht="16.350000000000001" customHeight="1">
      <c r="A102" s="553"/>
      <c r="B102" s="131" t="s">
        <v>183</v>
      </c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>
        <v>0.13749669514855808</v>
      </c>
      <c r="R102" s="132">
        <v>3.1976356976356979E-2</v>
      </c>
    </row>
    <row r="103" spans="1:18" s="133" customFormat="1" ht="16.350000000000001" customHeight="1">
      <c r="A103" s="553"/>
      <c r="B103" s="131" t="s">
        <v>184</v>
      </c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>
        <v>1.6666666666666666E-2</v>
      </c>
      <c r="R103" s="132">
        <v>5.3571428571428568E-2</v>
      </c>
    </row>
    <row r="104" spans="1:18" s="133" customFormat="1" ht="16.350000000000001" customHeight="1">
      <c r="A104" s="553"/>
      <c r="B104" s="131" t="s">
        <v>185</v>
      </c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>
        <v>0.14705882352941177</v>
      </c>
      <c r="R104" s="132">
        <v>6.6666666666666666E-2</v>
      </c>
    </row>
    <row r="105" spans="1:18" s="133" customFormat="1" ht="16.350000000000001" customHeight="1">
      <c r="A105" s="553"/>
      <c r="B105" s="131" t="s">
        <v>186</v>
      </c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>
        <v>7.6923076923076927E-2</v>
      </c>
      <c r="R105" s="132">
        <v>0.21428571428571427</v>
      </c>
    </row>
    <row r="106" spans="1:18" s="133" customFormat="1" ht="16.350000000000001" customHeight="1">
      <c r="A106" s="553"/>
      <c r="B106" s="131" t="s">
        <v>173</v>
      </c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>
        <v>7.1428571428571425E-2</v>
      </c>
      <c r="R106" s="132">
        <v>0.16666666666666666</v>
      </c>
    </row>
    <row r="107" spans="1:18" s="133" customFormat="1" ht="16.350000000000001" customHeight="1">
      <c r="A107" s="553"/>
      <c r="B107" s="131" t="s">
        <v>159</v>
      </c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>
        <v>0.25</v>
      </c>
      <c r="R107" s="132">
        <v>7.7361853832442068E-2</v>
      </c>
    </row>
    <row r="108" spans="1:18" s="133" customFormat="1" ht="16.350000000000001" customHeight="1">
      <c r="A108" s="554"/>
      <c r="B108" s="131" t="s">
        <v>187</v>
      </c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>
        <v>0</v>
      </c>
      <c r="R108" s="132">
        <v>0</v>
      </c>
    </row>
    <row r="109" spans="1:18" s="133" customFormat="1" ht="16.350000000000001" customHeight="1">
      <c r="A109" s="552" t="s">
        <v>191</v>
      </c>
      <c r="B109" s="131" t="s">
        <v>176</v>
      </c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>
        <v>0.11071540126154263</v>
      </c>
      <c r="R109" s="132">
        <v>8.5070891052555678E-2</v>
      </c>
    </row>
    <row r="110" spans="1:18" s="133" customFormat="1" ht="16.350000000000001" customHeight="1">
      <c r="A110" s="553"/>
      <c r="B110" s="131" t="s">
        <v>177</v>
      </c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>
        <v>4.2312812559641609E-2</v>
      </c>
      <c r="R110" s="132">
        <v>4.7069797586484392E-2</v>
      </c>
    </row>
    <row r="111" spans="1:18" s="133" customFormat="1" ht="16.350000000000001" customHeight="1">
      <c r="A111" s="553"/>
      <c r="B111" s="131" t="s">
        <v>178</v>
      </c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>
        <v>4.7193122724060926E-2</v>
      </c>
      <c r="R111" s="132">
        <v>3.99276428670872E-2</v>
      </c>
    </row>
    <row r="112" spans="1:18" s="133" customFormat="1" ht="16.350000000000001" customHeight="1">
      <c r="A112" s="553"/>
      <c r="B112" s="131" t="s">
        <v>179</v>
      </c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>
        <v>3.6497209963075102E-2</v>
      </c>
      <c r="R112" s="132">
        <v>1.5013580245281679E-2</v>
      </c>
    </row>
    <row r="113" spans="1:18" s="133" customFormat="1" ht="16.350000000000001" customHeight="1">
      <c r="A113" s="553"/>
      <c r="B113" s="131" t="s">
        <v>180</v>
      </c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>
        <v>3.4267021620019829E-2</v>
      </c>
      <c r="R113" s="132">
        <v>3.9577504424416245E-2</v>
      </c>
    </row>
    <row r="114" spans="1:18" s="133" customFormat="1" ht="16.350000000000001" customHeight="1">
      <c r="A114" s="553"/>
      <c r="B114" s="131" t="s">
        <v>181</v>
      </c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>
        <v>8.0556869854592969E-3</v>
      </c>
      <c r="R114" s="132">
        <v>1.2801498901637686E-2</v>
      </c>
    </row>
    <row r="115" spans="1:18" s="133" customFormat="1" ht="16.350000000000001" customHeight="1">
      <c r="A115" s="553"/>
      <c r="B115" s="131" t="s">
        <v>182</v>
      </c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>
        <v>3.2977992036407076E-2</v>
      </c>
      <c r="R115" s="132">
        <v>3.0772977022977027E-2</v>
      </c>
    </row>
    <row r="116" spans="1:18" s="133" customFormat="1" ht="16.350000000000001" customHeight="1">
      <c r="A116" s="553"/>
      <c r="B116" s="131" t="s">
        <v>183</v>
      </c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>
        <v>1.8115942028985505E-3</v>
      </c>
      <c r="R116" s="132">
        <v>3.8461538461538464E-2</v>
      </c>
    </row>
    <row r="117" spans="1:18" s="133" customFormat="1" ht="16.350000000000001" customHeight="1">
      <c r="A117" s="553"/>
      <c r="B117" s="131" t="s">
        <v>184</v>
      </c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>
        <v>2.0833333333333332E-2</v>
      </c>
      <c r="R117" s="132">
        <v>0</v>
      </c>
    </row>
    <row r="118" spans="1:18" s="133" customFormat="1" ht="16.350000000000001" customHeight="1">
      <c r="A118" s="553"/>
      <c r="B118" s="131" t="s">
        <v>185</v>
      </c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>
        <v>0</v>
      </c>
      <c r="R118" s="132">
        <v>6.6666666666666666E-2</v>
      </c>
    </row>
    <row r="119" spans="1:18" s="133" customFormat="1" ht="16.350000000000001" customHeight="1">
      <c r="A119" s="553"/>
      <c r="B119" s="131" t="s">
        <v>186</v>
      </c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>
        <v>0</v>
      </c>
      <c r="R119" s="132">
        <v>0</v>
      </c>
    </row>
    <row r="120" spans="1:18" s="133" customFormat="1" ht="16.350000000000001" customHeight="1">
      <c r="A120" s="553"/>
      <c r="B120" s="131" t="s">
        <v>173</v>
      </c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>
        <v>0</v>
      </c>
      <c r="R120" s="132">
        <v>0.16666666666666666</v>
      </c>
    </row>
    <row r="121" spans="1:18" s="133" customFormat="1" ht="16.350000000000001" customHeight="1">
      <c r="A121" s="553"/>
      <c r="B121" s="131" t="s">
        <v>159</v>
      </c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>
        <v>0</v>
      </c>
      <c r="R121" s="132">
        <v>0.18181818181818182</v>
      </c>
    </row>
    <row r="122" spans="1:18" s="133" customFormat="1" ht="16.350000000000001" customHeight="1">
      <c r="A122" s="554"/>
      <c r="B122" s="131" t="s">
        <v>187</v>
      </c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>
        <v>0</v>
      </c>
      <c r="R122" s="132">
        <v>0</v>
      </c>
    </row>
    <row r="123" spans="1:18" s="136" customFormat="1" ht="16.350000000000001" customHeight="1">
      <c r="A123" s="538" t="s">
        <v>161</v>
      </c>
      <c r="B123" s="134" t="s">
        <v>192</v>
      </c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>
        <v>301515</v>
      </c>
      <c r="R123" s="135">
        <v>690294</v>
      </c>
    </row>
    <row r="124" spans="1:18" s="136" customFormat="1" ht="16.350000000000001" customHeight="1">
      <c r="A124" s="555"/>
      <c r="B124" s="134" t="s">
        <v>193</v>
      </c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>
        <v>73109</v>
      </c>
      <c r="R124" s="135">
        <v>113581</v>
      </c>
    </row>
    <row r="125" spans="1:18" s="136" customFormat="1" ht="16.350000000000001" customHeight="1">
      <c r="A125" s="555"/>
      <c r="B125" s="134" t="s">
        <v>194</v>
      </c>
      <c r="C125" s="134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>
        <v>276104</v>
      </c>
    </row>
    <row r="126" spans="1:18" s="136" customFormat="1" ht="16.350000000000001" customHeight="1">
      <c r="A126" s="539"/>
      <c r="B126" s="134" t="s">
        <v>168</v>
      </c>
      <c r="C126" s="134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>
        <v>6147</v>
      </c>
    </row>
    <row r="127" spans="1:18" s="139" customFormat="1" ht="16.350000000000001" customHeight="1">
      <c r="A127" s="540" t="s">
        <v>195</v>
      </c>
      <c r="B127" s="137" t="s">
        <v>192</v>
      </c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>
        <v>0.39445574059105826</v>
      </c>
      <c r="R127" s="138"/>
    </row>
    <row r="128" spans="1:18" s="139" customFormat="1" ht="16.350000000000001" customHeight="1">
      <c r="A128" s="540"/>
      <c r="B128" s="137" t="s">
        <v>193</v>
      </c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>
        <v>0.27363722363900067</v>
      </c>
      <c r="R128" s="138"/>
    </row>
    <row r="129" spans="1:18" s="139" customFormat="1" ht="16.350000000000001" customHeight="1">
      <c r="A129" s="540" t="s">
        <v>196</v>
      </c>
      <c r="B129" s="137" t="s">
        <v>192</v>
      </c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>
        <v>0.29263766661447599</v>
      </c>
      <c r="R129" s="138"/>
    </row>
    <row r="130" spans="1:18" s="139" customFormat="1" ht="16.350000000000001" customHeight="1">
      <c r="A130" s="540"/>
      <c r="B130" s="137" t="s">
        <v>193</v>
      </c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>
        <v>0.17736781340119925</v>
      </c>
      <c r="R130" s="138"/>
    </row>
    <row r="131" spans="1:18" s="136" customFormat="1" ht="16.350000000000001" customHeight="1">
      <c r="A131" s="537" t="s">
        <v>197</v>
      </c>
      <c r="B131" s="134" t="s">
        <v>192</v>
      </c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>
        <v>4496</v>
      </c>
      <c r="R131" s="138"/>
    </row>
    <row r="132" spans="1:18" s="136" customFormat="1" ht="16.350000000000001" customHeight="1">
      <c r="A132" s="537"/>
      <c r="B132" s="134" t="s">
        <v>193</v>
      </c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>
        <v>0</v>
      </c>
      <c r="R132" s="138"/>
    </row>
    <row r="133" spans="1:18" s="136" customFormat="1" ht="16.350000000000001" customHeight="1">
      <c r="A133" s="537" t="s">
        <v>198</v>
      </c>
      <c r="B133" s="134" t="s">
        <v>192</v>
      </c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>
        <v>411</v>
      </c>
      <c r="R133" s="138"/>
    </row>
    <row r="134" spans="1:18" s="136" customFormat="1" ht="16.350000000000001" customHeight="1">
      <c r="A134" s="537"/>
      <c r="B134" s="134" t="s">
        <v>193</v>
      </c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>
        <v>0</v>
      </c>
      <c r="R134" s="138"/>
    </row>
    <row r="135" spans="1:18" s="136" customFormat="1" ht="16.350000000000001" customHeight="1">
      <c r="A135" s="537" t="s">
        <v>199</v>
      </c>
      <c r="B135" s="134" t="s">
        <v>192</v>
      </c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>
        <v>5040</v>
      </c>
      <c r="R135" s="138"/>
    </row>
    <row r="136" spans="1:18" s="136" customFormat="1" ht="16.350000000000001" customHeight="1">
      <c r="A136" s="537"/>
      <c r="B136" s="134" t="s">
        <v>193</v>
      </c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>
        <v>856</v>
      </c>
      <c r="R136" s="138"/>
    </row>
    <row r="137" spans="1:18" s="136" customFormat="1" ht="16.350000000000001" customHeight="1">
      <c r="A137" s="537" t="s">
        <v>200</v>
      </c>
      <c r="B137" s="134" t="s">
        <v>192</v>
      </c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>
        <v>478</v>
      </c>
      <c r="R137" s="135"/>
    </row>
    <row r="138" spans="1:18" s="136" customFormat="1" ht="16.350000000000001" customHeight="1">
      <c r="A138" s="537"/>
      <c r="B138" s="134" t="s">
        <v>193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>
        <v>61</v>
      </c>
      <c r="R138" s="135"/>
    </row>
    <row r="139" spans="1:18" s="136" customFormat="1" ht="16.350000000000001" customHeight="1">
      <c r="A139" s="537" t="s">
        <v>201</v>
      </c>
      <c r="B139" s="134" t="s">
        <v>192</v>
      </c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>
        <v>5490</v>
      </c>
      <c r="R139" s="135"/>
    </row>
    <row r="140" spans="1:18" s="136" customFormat="1" ht="16.350000000000001" customHeight="1">
      <c r="A140" s="537"/>
      <c r="B140" s="134" t="s">
        <v>193</v>
      </c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>
        <v>1119</v>
      </c>
      <c r="R140" s="135"/>
    </row>
    <row r="141" spans="1:18" s="136" customFormat="1" ht="16.350000000000001" customHeight="1">
      <c r="A141" s="537" t="s">
        <v>202</v>
      </c>
      <c r="B141" s="134" t="s">
        <v>192</v>
      </c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>
        <v>530</v>
      </c>
      <c r="R141" s="135"/>
    </row>
    <row r="142" spans="1:18" s="136" customFormat="1" ht="16.350000000000001" customHeight="1">
      <c r="A142" s="537"/>
      <c r="B142" s="134" t="s">
        <v>193</v>
      </c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>
        <v>94</v>
      </c>
      <c r="R142" s="135"/>
    </row>
    <row r="143" spans="1:18" s="136" customFormat="1" ht="16.350000000000001" customHeight="1">
      <c r="A143" s="537" t="s">
        <v>203</v>
      </c>
      <c r="B143" s="134" t="s">
        <v>192</v>
      </c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>
        <v>5713</v>
      </c>
      <c r="R143" s="135"/>
    </row>
    <row r="144" spans="1:18" s="136" customFormat="1" ht="16.350000000000001" customHeight="1">
      <c r="A144" s="537"/>
      <c r="B144" s="134" t="s">
        <v>193</v>
      </c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>
        <v>1329</v>
      </c>
      <c r="R144" s="135"/>
    </row>
    <row r="145" spans="1:18" s="136" customFormat="1" ht="16.350000000000001" customHeight="1">
      <c r="A145" s="537" t="s">
        <v>204</v>
      </c>
      <c r="B145" s="134" t="s">
        <v>192</v>
      </c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>
        <v>562</v>
      </c>
      <c r="R145" s="135"/>
    </row>
    <row r="146" spans="1:18" s="136" customFormat="1" ht="16.350000000000001" customHeight="1">
      <c r="A146" s="537"/>
      <c r="B146" s="134" t="s">
        <v>193</v>
      </c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>
        <v>121</v>
      </c>
      <c r="R146" s="135"/>
    </row>
    <row r="147" spans="1:18" s="136" customFormat="1" ht="16.350000000000001" customHeight="1">
      <c r="A147" s="538" t="s">
        <v>205</v>
      </c>
      <c r="B147" s="134" t="s">
        <v>192</v>
      </c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>
        <v>72336</v>
      </c>
      <c r="R147" s="135"/>
    </row>
    <row r="148" spans="1:18" s="136" customFormat="1" ht="16.350000000000001" customHeight="1">
      <c r="A148" s="539"/>
      <c r="B148" s="134" t="s">
        <v>193</v>
      </c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>
        <v>18231</v>
      </c>
      <c r="R148" s="135"/>
    </row>
  </sheetData>
  <mergeCells count="22">
    <mergeCell ref="A127:A128"/>
    <mergeCell ref="A3:A9"/>
    <mergeCell ref="A10:A16"/>
    <mergeCell ref="A19:A28"/>
    <mergeCell ref="A29:A38"/>
    <mergeCell ref="A39:A52"/>
    <mergeCell ref="A53:A66"/>
    <mergeCell ref="A67:A80"/>
    <mergeCell ref="A81:A94"/>
    <mergeCell ref="A95:A108"/>
    <mergeCell ref="A109:A122"/>
    <mergeCell ref="A123:A126"/>
    <mergeCell ref="A141:A142"/>
    <mergeCell ref="A143:A144"/>
    <mergeCell ref="A145:A146"/>
    <mergeCell ref="A147:A148"/>
    <mergeCell ref="A129:A130"/>
    <mergeCell ref="A131:A132"/>
    <mergeCell ref="A133:A134"/>
    <mergeCell ref="A135:A136"/>
    <mergeCell ref="A137:A138"/>
    <mergeCell ref="A139:A140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showGridLines="0" workbookViewId="0">
      <selection activeCell="K228" sqref="K227:K228"/>
    </sheetView>
  </sheetViews>
  <sheetFormatPr defaultRowHeight="16.5" outlineLevelRow="1"/>
  <cols>
    <col min="1" max="1" width="4.5" style="292" bestFit="1" customWidth="1"/>
    <col min="2" max="2" width="19.125" style="293" customWidth="1"/>
    <col min="3" max="3" width="12.625" style="293" bestFit="1" customWidth="1"/>
    <col min="4" max="10" width="10.875" style="293" customWidth="1"/>
    <col min="11" max="11" width="9.625" style="293" bestFit="1" customWidth="1"/>
    <col min="12" max="20" width="9" style="293"/>
    <col min="21" max="16384" width="9" style="306"/>
  </cols>
  <sheetData>
    <row r="1" spans="1:20">
      <c r="B1" s="292">
        <v>1</v>
      </c>
      <c r="C1" s="292">
        <f>+'图-用户-公式'!P1</f>
        <v>18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</row>
    <row r="2" spans="1:20" ht="18">
      <c r="B2" s="319" t="s">
        <v>528</v>
      </c>
    </row>
    <row r="3" spans="1:20" ht="16.350000000000001" customHeight="1">
      <c r="B3" s="424" t="s">
        <v>529</v>
      </c>
      <c r="C3" s="424" t="s">
        <v>530</v>
      </c>
      <c r="D3" s="424" t="s">
        <v>531</v>
      </c>
    </row>
    <row r="4" spans="1:20" ht="16.350000000000001" customHeight="1">
      <c r="A4" s="292">
        <v>39</v>
      </c>
      <c r="B4" s="309" t="str">
        <f ca="1">OFFSET(终端!$A$1,$A4-1,B$1,1,1)</f>
        <v>普通PC</v>
      </c>
      <c r="C4" s="425">
        <f ca="1">OFFSET(终端!$A$1,$A4-1,C$1-1,1,1)</f>
        <v>355327</v>
      </c>
      <c r="D4" s="326">
        <f t="shared" ref="D4:D19" ca="1" si="0">+C4/C$12</f>
        <v>0.55185368679518976</v>
      </c>
    </row>
    <row r="5" spans="1:20" ht="16.350000000000001" customHeight="1">
      <c r="A5" s="292">
        <f>A4+1</f>
        <v>40</v>
      </c>
      <c r="B5" s="309" t="str">
        <f ca="1">OFFSET(终端!$A$1,$A5-1,B$1,1,1)</f>
        <v>梦幻</v>
      </c>
      <c r="C5" s="425">
        <f ca="1">OFFSET(终端!$A$1,$A5-1,C$1-1,1,1)</f>
        <v>134479</v>
      </c>
      <c r="D5" s="326">
        <f t="shared" ca="1" si="0"/>
        <v>0.20885756485302362</v>
      </c>
    </row>
    <row r="6" spans="1:20" ht="16.350000000000001" customHeight="1">
      <c r="A6" s="292">
        <f>A5+1</f>
        <v>41</v>
      </c>
      <c r="B6" s="309" t="str">
        <f ca="1">OFFSET(终端!$A$1,$A6-1,B$1,1,1)</f>
        <v>大话2</v>
      </c>
      <c r="C6" s="425">
        <f ca="1">OFFSET(终端!$A$1,$A6-1,C$1-1,1,1)</f>
        <v>88392</v>
      </c>
      <c r="D6" s="326">
        <f t="shared" ca="1" si="0"/>
        <v>0.13728045176189937</v>
      </c>
    </row>
    <row r="7" spans="1:20" ht="16.350000000000001" customHeight="1">
      <c r="A7" s="292">
        <f>A6+1</f>
        <v>42</v>
      </c>
      <c r="B7" s="309" t="str">
        <f ca="1">OFFSET(终端!$A$1,$A7-1,B$1,1,1)</f>
        <v>倩女</v>
      </c>
      <c r="C7" s="425">
        <f ca="1">OFFSET(终端!$A$1,$A7-1,C$1-1,1,1)</f>
        <v>19544</v>
      </c>
      <c r="D7" s="326">
        <f t="shared" ca="1" si="0"/>
        <v>3.0353529156875749E-2</v>
      </c>
    </row>
    <row r="8" spans="1:20" ht="16.350000000000001" customHeight="1">
      <c r="A8" s="292">
        <f>A7+1</f>
        <v>43</v>
      </c>
      <c r="B8" s="309" t="str">
        <f ca="1">OFFSET(终端!$A$1,$A8-1,B$1,1,1)</f>
        <v>天下3</v>
      </c>
      <c r="C8" s="425">
        <f ca="1">OFFSET(终端!$A$1,$A8-1,C$1-1,1,1)</f>
        <v>7839</v>
      </c>
      <c r="D8" s="326">
        <f t="shared" ca="1" si="0"/>
        <v>1.2174647721078029E-2</v>
      </c>
    </row>
    <row r="9" spans="1:20" ht="16.350000000000001" customHeight="1">
      <c r="A9" s="292">
        <f>A8+1</f>
        <v>44</v>
      </c>
      <c r="B9" s="309" t="str">
        <f ca="1">OFFSET(终端!$A$1,$A9-1,B$1,1,1)</f>
        <v>大话2免费版</v>
      </c>
      <c r="C9" s="425">
        <f ca="1">OFFSET(终端!$A$1,$A9-1,C$1-1,1,1)</f>
        <v>17155</v>
      </c>
      <c r="D9" s="326">
        <f t="shared" ca="1" si="0"/>
        <v>2.6643204701504476E-2</v>
      </c>
    </row>
    <row r="10" spans="1:20" ht="16.350000000000001" customHeight="1">
      <c r="A10" s="292">
        <v>44</v>
      </c>
      <c r="B10" s="309" t="str">
        <f ca="1">OFFSET(终端!$A$1,$A10-1,B$1,1,1)</f>
        <v>大话2免费版</v>
      </c>
      <c r="C10" s="425">
        <f ca="1">OFFSET(终端!$A$1,$A10-1,C$1-1,1,1)</f>
        <v>17155</v>
      </c>
      <c r="D10" s="326">
        <f t="shared" ca="1" si="0"/>
        <v>2.6643204701504476E-2</v>
      </c>
    </row>
    <row r="11" spans="1:20" ht="16.350000000000001" customHeight="1">
      <c r="B11" s="455" t="s">
        <v>532</v>
      </c>
      <c r="C11" s="456">
        <f ca="1">C12-SUM(C4:C10)</f>
        <v>3988</v>
      </c>
      <c r="D11" s="326">
        <f t="shared" ca="1" si="0"/>
        <v>6.193710308924503E-3</v>
      </c>
    </row>
    <row r="12" spans="1:20" ht="16.350000000000001" customHeight="1">
      <c r="B12" s="455" t="s">
        <v>533</v>
      </c>
      <c r="C12" s="456">
        <f ca="1">SUM(C4:C10,C13:C19)</f>
        <v>643879</v>
      </c>
      <c r="D12" s="414">
        <f t="shared" ca="1" si="0"/>
        <v>1</v>
      </c>
    </row>
    <row r="13" spans="1:20" ht="16.350000000000001" customHeight="1">
      <c r="A13" s="292">
        <v>45</v>
      </c>
      <c r="B13" s="309" t="str">
        <f ca="1">OFFSET(终端!$A$1,$A13-1,B$1,1,1)</f>
        <v>镇魔曲</v>
      </c>
      <c r="C13" s="425">
        <f ca="1">OFFSET(终端!$A$1,$A13-1,C$1-1,1,1)</f>
        <v>2531</v>
      </c>
      <c r="D13" s="326">
        <f t="shared" ca="1" si="0"/>
        <v>3.9308627863309719E-3</v>
      </c>
    </row>
    <row r="14" spans="1:20" ht="16.350000000000001" customHeight="1">
      <c r="A14" s="292">
        <v>46</v>
      </c>
      <c r="B14" s="309" t="str">
        <f ca="1">OFFSET(终端!$A$1,$A14-1,B$1,1,1)</f>
        <v>武魂</v>
      </c>
      <c r="C14" s="425">
        <f ca="1">OFFSET(终端!$A$1,$A14-1,C$1-1,1,1)</f>
        <v>732</v>
      </c>
      <c r="D14" s="326">
        <f t="shared" ca="1" si="0"/>
        <v>1.1368595652288707E-3</v>
      </c>
    </row>
    <row r="15" spans="1:20" ht="16.350000000000001" customHeight="1">
      <c r="A15" s="292">
        <v>47</v>
      </c>
      <c r="B15" s="309" t="str">
        <f ca="1">OFFSET(终端!$A$1,$A15-1,B$1,1,1)</f>
        <v>西楚霸王</v>
      </c>
      <c r="C15" s="425">
        <f ca="1">OFFSET(终端!$A$1,$A15-1,C$1-1,1,1)</f>
        <v>115</v>
      </c>
      <c r="D15" s="326">
        <f t="shared" ca="1" si="0"/>
        <v>1.7860498634060125E-4</v>
      </c>
    </row>
    <row r="16" spans="1:20" ht="16.350000000000001" customHeight="1">
      <c r="A16" s="292">
        <v>48</v>
      </c>
      <c r="B16" s="309" t="str">
        <f ca="1">OFFSET(终端!$A$1,$A16-1,B$1,1,1)</f>
        <v>大话3</v>
      </c>
      <c r="C16" s="425">
        <f ca="1">OFFSET(终端!$A$1,$A16-1,C$1-1,1,1)</f>
        <v>278</v>
      </c>
      <c r="D16" s="326">
        <f t="shared" ca="1" si="0"/>
        <v>4.3175814089293173E-4</v>
      </c>
    </row>
    <row r="17" spans="1:20" ht="16.350000000000001" customHeight="1">
      <c r="A17" s="292">
        <v>49</v>
      </c>
      <c r="B17" s="309" t="str">
        <f ca="1">OFFSET(终端!$A$1,$A17-1,B$1,1,1)</f>
        <v>大唐无双</v>
      </c>
      <c r="C17" s="425">
        <f ca="1">OFFSET(终端!$A$1,$A17-1,C$1-1,1,1)</f>
        <v>43</v>
      </c>
      <c r="D17" s="326">
        <f t="shared" ca="1" si="0"/>
        <v>6.6782734023007427E-5</v>
      </c>
    </row>
    <row r="18" spans="1:20" ht="16.350000000000001" customHeight="1">
      <c r="A18" s="292">
        <v>50</v>
      </c>
      <c r="B18" s="309" t="str">
        <f ca="1">OFFSET(终端!$A$1,$A18-1,B$1,1,1)</f>
        <v>其他内置</v>
      </c>
      <c r="C18" s="425">
        <f ca="1">OFFSET(终端!$A$1,$A18-1,C$1-1,1,1)</f>
        <v>33</v>
      </c>
      <c r="D18" s="326">
        <f t="shared" ca="1" si="0"/>
        <v>5.1251865645563837E-5</v>
      </c>
    </row>
    <row r="19" spans="1:20" ht="16.350000000000001" customHeight="1">
      <c r="A19" s="292">
        <v>51</v>
      </c>
      <c r="B19" s="309" t="str">
        <f ca="1">OFFSET(终端!$A$1,$A19-1,B$1,1,1)</f>
        <v>炉石盒子</v>
      </c>
      <c r="C19" s="425">
        <f ca="1">OFFSET(终端!$A$1,$A19-1,C$1-1,1,1)</f>
        <v>256</v>
      </c>
      <c r="D19" s="326">
        <f t="shared" ca="1" si="0"/>
        <v>3.9759023046255585E-4</v>
      </c>
    </row>
    <row r="20" spans="1:20" s="461" customFormat="1" ht="20.25" customHeight="1">
      <c r="A20" s="332"/>
      <c r="B20" s="427" t="str">
        <f ca="1">"普通客户端："&amp;TEXT(C4/10000,"0")&amp;"万人，占比"&amp;TEXT(D4,"0.0%")</f>
        <v>普通客户端：36万人，占比55.2%</v>
      </c>
      <c r="C20" s="428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 s="461" customFormat="1" ht="20.25" customHeight="1">
      <c r="A21" s="332"/>
      <c r="B21" s="427" t="str">
        <f ca="1">"梦幻客户端："&amp;TEXT(C5/10000,"0")&amp;"万人，占比"&amp;TEXT(D5,"0.0%")</f>
        <v>梦幻客户端：13万人，占比20.9%</v>
      </c>
      <c r="C21" s="428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</row>
    <row r="22" spans="1:20" s="461" customFormat="1" ht="20.25" customHeight="1">
      <c r="A22" s="332"/>
      <c r="B22" s="427" t="str">
        <f ca="1">"大话2客户端："&amp;TEXT(C6/10000,"0")&amp;"万人，占比"&amp;TEXT(D6,"0.0%")</f>
        <v>大话2客户端：9万人，占比13.7%</v>
      </c>
      <c r="C22" s="428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</row>
    <row r="23" spans="1:20" ht="16.350000000000001" customHeight="1">
      <c r="B23" s="331"/>
      <c r="C23" s="429"/>
    </row>
    <row r="24" spans="1:20" ht="16.350000000000001" customHeight="1">
      <c r="D24" s="313"/>
    </row>
    <row r="25" spans="1:20" ht="16.350000000000001" customHeight="1">
      <c r="D25" s="313"/>
    </row>
    <row r="26" spans="1:20" ht="16.350000000000001" customHeight="1">
      <c r="D26" s="313"/>
    </row>
    <row r="27" spans="1:20" ht="16.350000000000001" customHeight="1">
      <c r="D27" s="313"/>
    </row>
    <row r="28" spans="1:20" ht="16.350000000000001" customHeight="1">
      <c r="D28" s="313"/>
    </row>
    <row r="29" spans="1:20" ht="16.350000000000001" customHeight="1">
      <c r="D29" s="313"/>
    </row>
    <row r="30" spans="1:20" ht="16.350000000000001" customHeight="1">
      <c r="D30" s="313"/>
    </row>
    <row r="31" spans="1:20" ht="16.350000000000001" customHeight="1">
      <c r="D31" s="313"/>
    </row>
    <row r="32" spans="1:20" ht="16.350000000000001" customHeight="1">
      <c r="D32" s="313"/>
    </row>
    <row r="33" spans="1:9" ht="16.350000000000001" customHeight="1">
      <c r="D33" s="313"/>
    </row>
    <row r="34" spans="1:9" ht="16.350000000000001" customHeight="1"/>
    <row r="35" spans="1:9" ht="16.350000000000001" customHeight="1"/>
    <row r="36" spans="1:9" ht="16.350000000000001" customHeight="1"/>
    <row r="37" spans="1:9" ht="16.350000000000001" customHeight="1">
      <c r="C37" s="313"/>
    </row>
    <row r="38" spans="1:9" ht="16.350000000000001" customHeight="1">
      <c r="C38" s="313"/>
    </row>
    <row r="39" spans="1:9" ht="16.350000000000001" customHeight="1"/>
    <row r="40" spans="1:9" ht="16.350000000000001" customHeight="1">
      <c r="B40" s="319" t="s">
        <v>534</v>
      </c>
    </row>
    <row r="41" spans="1:9" ht="16.350000000000001" customHeight="1">
      <c r="B41" s="292">
        <v>1</v>
      </c>
      <c r="C41" s="292">
        <f>+C1</f>
        <v>18</v>
      </c>
      <c r="D41" s="292">
        <f>+C41</f>
        <v>18</v>
      </c>
      <c r="E41" s="292">
        <f>+D41</f>
        <v>18</v>
      </c>
      <c r="F41" s="292"/>
    </row>
    <row r="42" spans="1:9" ht="16.350000000000001" customHeight="1">
      <c r="B42" s="430" t="s">
        <v>507</v>
      </c>
      <c r="C42" s="430" t="s">
        <v>508</v>
      </c>
      <c r="D42" s="430" t="s">
        <v>509</v>
      </c>
      <c r="E42" s="430" t="s">
        <v>510</v>
      </c>
      <c r="F42" s="430" t="s">
        <v>511</v>
      </c>
    </row>
    <row r="43" spans="1:9" ht="16.350000000000001" customHeight="1">
      <c r="A43" s="292">
        <v>53</v>
      </c>
      <c r="B43" s="309" t="str">
        <f ca="1">OFFSET(终端!$A$1,$A43-1,B$41,1,1)</f>
        <v>普通PC</v>
      </c>
      <c r="C43" s="431">
        <f ca="1">OFFSET(终端!$A$1,$A43-1,C$41-1,1,1)</f>
        <v>43322</v>
      </c>
      <c r="D43" s="432">
        <f ca="1">OFFSET(终端!$A$1,H44-1,D$41-1,1,1)</f>
        <v>0.25488034959426098</v>
      </c>
      <c r="E43" s="432">
        <f ca="1">OFFSET(终端!$A$1,I44-1,E$41-1,1,1)</f>
        <v>8.5070891052555678E-2</v>
      </c>
      <c r="F43" s="432">
        <f ca="1">C43/SUM(C$43:C$49)</f>
        <v>0.51850965278692052</v>
      </c>
      <c r="G43" s="292"/>
      <c r="H43" s="292"/>
      <c r="I43" s="292"/>
    </row>
    <row r="44" spans="1:9" ht="16.350000000000001" customHeight="1">
      <c r="A44" s="292">
        <f>+A43+1</f>
        <v>54</v>
      </c>
      <c r="B44" s="309" t="str">
        <f ca="1">OFFSET(终端!$A$1,$A44-1,B$41,1,1)</f>
        <v>梦幻</v>
      </c>
      <c r="C44" s="431">
        <f ca="1">OFFSET(终端!$A$1,$A44-1,C$41-1,1,1)</f>
        <v>14310</v>
      </c>
      <c r="D44" s="432">
        <f ca="1">OFFSET(终端!$A$1,H45-1,D$41-1,1,1)</f>
        <v>0.14375887108711358</v>
      </c>
      <c r="E44" s="432">
        <f ca="1">OFFSET(终端!$A$1,I45-1,E$41-1,1,1)</f>
        <v>4.7069797586484392E-2</v>
      </c>
      <c r="F44" s="432">
        <f t="shared" ref="F44:F57" ca="1" si="1">C44/SUM(C$43:C$49)</f>
        <v>0.17127263587509425</v>
      </c>
      <c r="G44" s="292"/>
      <c r="H44" s="292">
        <v>95</v>
      </c>
      <c r="I44" s="292">
        <v>109</v>
      </c>
    </row>
    <row r="45" spans="1:9" ht="16.350000000000001" customHeight="1">
      <c r="A45" s="292">
        <f>+A44+1</f>
        <v>55</v>
      </c>
      <c r="B45" s="309" t="str">
        <f ca="1">OFFSET(终端!$A$1,$A45-1,B$41,1,1)</f>
        <v>大话2</v>
      </c>
      <c r="C45" s="431">
        <f ca="1">OFFSET(终端!$A$1,$A45-1,C$41-1,1,1)</f>
        <v>12494</v>
      </c>
      <c r="D45" s="432">
        <f ca="1">OFFSET(终端!$A$1,H46-1,D$41-1,1,1)</f>
        <v>9.2141497605872993E-2</v>
      </c>
      <c r="E45" s="432">
        <f ca="1">OFFSET(终端!$A$1,I46-1,E$41-1,1,1)</f>
        <v>3.99276428670872E-2</v>
      </c>
      <c r="F45" s="432">
        <f t="shared" ca="1" si="1"/>
        <v>0.1495374082895477</v>
      </c>
      <c r="G45" s="292"/>
      <c r="H45" s="292">
        <f t="shared" ref="H45:H57" si="2">H44+1</f>
        <v>96</v>
      </c>
      <c r="I45" s="292">
        <f t="shared" ref="I45:I57" si="3">I44+1</f>
        <v>110</v>
      </c>
    </row>
    <row r="46" spans="1:9" ht="16.350000000000001" customHeight="1">
      <c r="A46" s="292">
        <f>+A45+1</f>
        <v>56</v>
      </c>
      <c r="B46" s="309" t="str">
        <f ca="1">OFFSET(终端!$A$1,$A46-1,B$41,1,1)</f>
        <v>倩女</v>
      </c>
      <c r="C46" s="431">
        <f ca="1">OFFSET(终端!$A$1,$A46-1,C$41-1,1,1)</f>
        <v>4507</v>
      </c>
      <c r="D46" s="432">
        <f ca="1">OFFSET(终端!$A$1,H47-1,D$41-1,1,1)</f>
        <v>7.0626221537743894E-2</v>
      </c>
      <c r="E46" s="432">
        <f ca="1">OFFSET(终端!$A$1,I47-1,E$41-1,1,1)</f>
        <v>1.5013580245281679E-2</v>
      </c>
      <c r="F46" s="432">
        <f t="shared" ca="1" si="1"/>
        <v>5.3943100621177485E-2</v>
      </c>
      <c r="G46" s="292"/>
      <c r="H46" s="292">
        <f t="shared" si="2"/>
        <v>97</v>
      </c>
      <c r="I46" s="292">
        <f t="shared" si="3"/>
        <v>111</v>
      </c>
    </row>
    <row r="47" spans="1:9" ht="16.350000000000001" customHeight="1">
      <c r="A47" s="292">
        <f>+A46+1</f>
        <v>57</v>
      </c>
      <c r="B47" s="309" t="str">
        <f ca="1">OFFSET(终端!$A$1,$A47-1,B$41,1,1)</f>
        <v>大话2免费版</v>
      </c>
      <c r="C47" s="431">
        <f ca="1">OFFSET(终端!$A$1,$A47-1,C$41-1,1,1)</f>
        <v>6154</v>
      </c>
      <c r="D47" s="432">
        <f ca="1">OFFSET(终端!$A$1,H48-1,D$41-1,1,1)</f>
        <v>9.1709231010310699E-2</v>
      </c>
      <c r="E47" s="432">
        <f ca="1">OFFSET(终端!$A$1,I48-1,E$41-1,1,1)</f>
        <v>3.9577504424416245E-2</v>
      </c>
      <c r="F47" s="432">
        <f t="shared" ca="1" si="1"/>
        <v>7.3655611542650601E-2</v>
      </c>
      <c r="G47" s="292"/>
      <c r="H47" s="292">
        <f t="shared" si="2"/>
        <v>98</v>
      </c>
      <c r="I47" s="292">
        <f t="shared" si="3"/>
        <v>112</v>
      </c>
    </row>
    <row r="48" spans="1:9">
      <c r="A48" s="292">
        <f>+A47+1</f>
        <v>58</v>
      </c>
      <c r="B48" s="309" t="str">
        <f ca="1">OFFSET(终端!$A$1,$A48-1,B$41,1,1)</f>
        <v>镇魔曲</v>
      </c>
      <c r="C48" s="431">
        <f ca="1">OFFSET(终端!$A$1,$A48-1,C$41-1,1,1)</f>
        <v>1564</v>
      </c>
      <c r="D48" s="432">
        <f ca="1">OFFSET(终端!$A$1,H49-1,D$41-1,1,1)</f>
        <v>4.9344151653977784E-2</v>
      </c>
      <c r="E48" s="432">
        <f ca="1">OFFSET(终端!$A$1,I49-1,E$41-1,1,1)</f>
        <v>1.2801498901637686E-2</v>
      </c>
      <c r="F48" s="432">
        <f t="shared" ca="1" si="1"/>
        <v>1.871910569592225E-2</v>
      </c>
      <c r="G48" s="292"/>
      <c r="H48" s="292">
        <f t="shared" si="2"/>
        <v>99</v>
      </c>
      <c r="I48" s="292">
        <f t="shared" si="3"/>
        <v>113</v>
      </c>
    </row>
    <row r="49" spans="1:20">
      <c r="B49" s="455" t="s">
        <v>535</v>
      </c>
      <c r="C49" s="457">
        <f ca="1">SUM(C50:C57)</f>
        <v>1200</v>
      </c>
      <c r="D49" s="458">
        <f ca="1">+G49/C49</f>
        <v>7.9251749550157014E-2</v>
      </c>
      <c r="E49" s="458">
        <f ca="1">+H49/C49</f>
        <v>8.3333333333333329E-2</v>
      </c>
      <c r="F49" s="458">
        <f t="shared" ca="1" si="1"/>
        <v>1.4362485188687149E-2</v>
      </c>
      <c r="G49" s="434">
        <f ca="1">SUM(G50:G57)</f>
        <v>95.102099460188413</v>
      </c>
      <c r="H49" s="292">
        <f t="shared" si="2"/>
        <v>100</v>
      </c>
      <c r="I49" s="292">
        <f t="shared" si="3"/>
        <v>114</v>
      </c>
    </row>
    <row r="50" spans="1:20">
      <c r="A50" s="292">
        <f>+A48+1</f>
        <v>59</v>
      </c>
      <c r="B50" s="309" t="str">
        <f ca="1">OFFSET(终端!$A$1,$A50-1,B$41,1,1)</f>
        <v>天下3</v>
      </c>
      <c r="C50" s="431">
        <f ca="1">OFFSET(终端!$A$1,$A50-1,C$41-1,1,1)</f>
        <v>693</v>
      </c>
      <c r="D50" s="432">
        <f ca="1">OFFSET(终端!$A$1,H50-1,D$41-1,1,1)</f>
        <v>9.5243591666858987E-2</v>
      </c>
      <c r="E50" s="432">
        <f ca="1">OFFSET(终端!$A$1,I50-1,E$41-1,1,1)</f>
        <v>3.0772977022977027E-2</v>
      </c>
      <c r="F50" s="432">
        <f t="shared" ca="1" si="1"/>
        <v>8.2943351964668288E-3</v>
      </c>
      <c r="G50" s="434">
        <f ca="1">+C50*D50</f>
        <v>66.003809025133279</v>
      </c>
      <c r="H50" s="292">
        <f t="shared" si="2"/>
        <v>101</v>
      </c>
      <c r="I50" s="292">
        <f t="shared" si="3"/>
        <v>115</v>
      </c>
    </row>
    <row r="51" spans="1:20">
      <c r="A51" s="292">
        <f>+A50+1</f>
        <v>60</v>
      </c>
      <c r="B51" s="309" t="str">
        <f ca="1">OFFSET(终端!$A$1,$A51-1,B$41,1,1)</f>
        <v>武魂</v>
      </c>
      <c r="C51" s="431">
        <f ca="1">OFFSET(终端!$A$1,$A51-1,C$41-1,1,1)</f>
        <v>257</v>
      </c>
      <c r="D51" s="432">
        <f ca="1">OFFSET(终端!$A$1,H51-1,D$41-1,1,1)</f>
        <v>3.1976356976356979E-2</v>
      </c>
      <c r="E51" s="432">
        <f ca="1">OFFSET(终端!$A$1,I51-1,E$41-1,1,1)</f>
        <v>3.8461538461538464E-2</v>
      </c>
      <c r="F51" s="432">
        <f t="shared" ca="1" si="1"/>
        <v>3.0759655779104976E-3</v>
      </c>
      <c r="G51" s="434">
        <f t="shared" ref="G51:G57" ca="1" si="4">+C51*D51</f>
        <v>8.2179237429237428</v>
      </c>
      <c r="H51" s="292">
        <f t="shared" si="2"/>
        <v>102</v>
      </c>
      <c r="I51" s="292">
        <f t="shared" si="3"/>
        <v>116</v>
      </c>
    </row>
    <row r="52" spans="1:20">
      <c r="A52" s="292">
        <f t="shared" ref="A52:A57" si="5">+A51+1</f>
        <v>61</v>
      </c>
      <c r="B52" s="309" t="str">
        <f ca="1">OFFSET(终端!$A$1,$A52-1,B$41,1,1)</f>
        <v>西楚霸王</v>
      </c>
      <c r="C52" s="431">
        <f ca="1">OFFSET(终端!$A$1,$A52-1,C$41-1,1,1)</f>
        <v>40</v>
      </c>
      <c r="D52" s="432">
        <f ca="1">OFFSET(终端!$A$1,H52-1,D$41-1,1,1)</f>
        <v>5.3571428571428568E-2</v>
      </c>
      <c r="E52" s="432">
        <f ca="1">OFFSET(终端!$A$1,I52-1,E$41-1,1,1)</f>
        <v>0</v>
      </c>
      <c r="F52" s="432">
        <f t="shared" ca="1" si="1"/>
        <v>4.7874950628957162E-4</v>
      </c>
      <c r="G52" s="434">
        <f t="shared" ca="1" si="4"/>
        <v>2.1428571428571428</v>
      </c>
      <c r="H52" s="292">
        <f t="shared" si="2"/>
        <v>103</v>
      </c>
      <c r="I52" s="292">
        <f t="shared" si="3"/>
        <v>117</v>
      </c>
    </row>
    <row r="53" spans="1:20">
      <c r="A53" s="292">
        <f t="shared" si="5"/>
        <v>62</v>
      </c>
      <c r="B53" s="309" t="str">
        <f ca="1">OFFSET(终端!$A$1,$A53-1,B$41,1,1)</f>
        <v>大话3</v>
      </c>
      <c r="C53" s="431">
        <f ca="1">OFFSET(终端!$A$1,$A53-1,C$41-1,1,1)</f>
        <v>86</v>
      </c>
      <c r="D53" s="432">
        <f ca="1">OFFSET(终端!$A$1,H53-1,D$41-1,1,1)</f>
        <v>6.6666666666666666E-2</v>
      </c>
      <c r="E53" s="432">
        <f ca="1">OFFSET(终端!$A$1,I53-1,E$41-1,1,1)</f>
        <v>6.6666666666666666E-2</v>
      </c>
      <c r="F53" s="432">
        <f t="shared" ca="1" si="1"/>
        <v>1.0293114385225791E-3</v>
      </c>
      <c r="G53" s="434">
        <f t="shared" ca="1" si="4"/>
        <v>5.7333333333333334</v>
      </c>
      <c r="H53" s="292">
        <f t="shared" si="2"/>
        <v>104</v>
      </c>
      <c r="I53" s="292">
        <f t="shared" si="3"/>
        <v>118</v>
      </c>
    </row>
    <row r="54" spans="1:20">
      <c r="A54" s="292">
        <f t="shared" si="5"/>
        <v>63</v>
      </c>
      <c r="B54" s="309" t="str">
        <f ca="1">OFFSET(终端!$A$1,$A54-1,B$41,1,1)</f>
        <v>大唐无双</v>
      </c>
      <c r="C54" s="431">
        <f ca="1">OFFSET(终端!$A$1,$A54-1,C$41-1,1,1)</f>
        <v>17</v>
      </c>
      <c r="D54" s="432">
        <f ca="1">OFFSET(终端!$A$1,H54-1,D$41-1,1,1)</f>
        <v>0.21428571428571427</v>
      </c>
      <c r="E54" s="432">
        <f ca="1">OFFSET(终端!$A$1,I54-1,E$41-1,1,1)</f>
        <v>0</v>
      </c>
      <c r="F54" s="432">
        <f t="shared" ca="1" si="1"/>
        <v>2.0346854017306795E-4</v>
      </c>
      <c r="G54" s="434">
        <f t="shared" ca="1" si="4"/>
        <v>3.6428571428571428</v>
      </c>
      <c r="H54" s="292">
        <f t="shared" si="2"/>
        <v>105</v>
      </c>
      <c r="I54" s="292">
        <f t="shared" si="3"/>
        <v>119</v>
      </c>
    </row>
    <row r="55" spans="1:20">
      <c r="A55" s="292">
        <f t="shared" si="5"/>
        <v>64</v>
      </c>
      <c r="B55" s="309" t="str">
        <f ca="1">OFFSET(终端!$A$1,$A55-1,B$41,1,1)</f>
        <v>其他内置</v>
      </c>
      <c r="C55" s="431">
        <f ca="1">OFFSET(终端!$A$1,$A55-1,C$41-1,1,1)</f>
        <v>13</v>
      </c>
      <c r="D55" s="432">
        <f ca="1">OFFSET(终端!$A$1,H55-1,D$41-1,1,1)</f>
        <v>0.16666666666666666</v>
      </c>
      <c r="E55" s="432">
        <f ca="1">OFFSET(终端!$A$1,I55-1,E$41-1,1,1)</f>
        <v>0.16666666666666666</v>
      </c>
      <c r="F55" s="432">
        <f t="shared" ca="1" si="1"/>
        <v>1.5559358954411078E-4</v>
      </c>
      <c r="G55" s="434">
        <f t="shared" ca="1" si="4"/>
        <v>2.1666666666666665</v>
      </c>
      <c r="H55" s="292">
        <f t="shared" si="2"/>
        <v>106</v>
      </c>
      <c r="I55" s="292">
        <f t="shared" si="3"/>
        <v>120</v>
      </c>
    </row>
    <row r="56" spans="1:20">
      <c r="A56" s="292">
        <f t="shared" si="5"/>
        <v>65</v>
      </c>
      <c r="B56" s="309" t="str">
        <f ca="1">OFFSET(终端!$A$1,$A56-1,B$41,1,1)</f>
        <v>炉石盒子</v>
      </c>
      <c r="C56" s="431">
        <f ca="1">OFFSET(终端!$A$1,$A56-1,C$41-1,1,1)</f>
        <v>93</v>
      </c>
      <c r="D56" s="432">
        <f ca="1">OFFSET(终端!$A$1,H56-1,D$41-1,1,1)</f>
        <v>7.7361853832442068E-2</v>
      </c>
      <c r="E56" s="432">
        <f ca="1">OFFSET(终端!$A$1,I56-1,E$41-1,1,1)</f>
        <v>0.18181818181818182</v>
      </c>
      <c r="F56" s="432">
        <f t="shared" ca="1" si="1"/>
        <v>1.113092602123254E-3</v>
      </c>
      <c r="G56" s="434">
        <f t="shared" ca="1" si="4"/>
        <v>7.194652406417112</v>
      </c>
      <c r="H56" s="292">
        <f t="shared" si="2"/>
        <v>107</v>
      </c>
      <c r="I56" s="292">
        <f t="shared" si="3"/>
        <v>121</v>
      </c>
    </row>
    <row r="57" spans="1:20">
      <c r="A57" s="292">
        <f t="shared" si="5"/>
        <v>66</v>
      </c>
      <c r="B57" s="309" t="str">
        <f ca="1">OFFSET(终端!$A$1,$A57-1,B$41,1,1)</f>
        <v>天谕</v>
      </c>
      <c r="C57" s="431">
        <f ca="1">OFFSET(终端!$A$1,$A57-1,C$41-1,1,1)</f>
        <v>1</v>
      </c>
      <c r="D57" s="432">
        <f ca="1">OFFSET(终端!$A$1,H57-1,D$41-1,1,1)</f>
        <v>0</v>
      </c>
      <c r="E57" s="432">
        <f ca="1">OFFSET(终端!$A$1,I57-1,E$41-1,1,1)</f>
        <v>0</v>
      </c>
      <c r="F57" s="432">
        <f t="shared" ca="1" si="1"/>
        <v>1.196873765723929E-5</v>
      </c>
      <c r="G57" s="434">
        <f t="shared" ca="1" si="4"/>
        <v>0</v>
      </c>
      <c r="H57" s="292">
        <f t="shared" si="2"/>
        <v>108</v>
      </c>
      <c r="I57" s="292">
        <f t="shared" si="3"/>
        <v>122</v>
      </c>
    </row>
    <row r="58" spans="1:20">
      <c r="B58" s="433" t="s">
        <v>512</v>
      </c>
      <c r="C58" s="426">
        <f ca="1">+'图-新用户-公式'!I5</f>
        <v>85271</v>
      </c>
      <c r="D58" s="433">
        <f>+'[1]图-新用户'!I119</f>
        <v>0.57599999999999996</v>
      </c>
      <c r="E58" s="433">
        <f>'[1]图-新用户'!I122</f>
        <v>0.45500000000000002</v>
      </c>
      <c r="F58" s="433"/>
      <c r="G58" s="292"/>
    </row>
    <row r="59" spans="1:20">
      <c r="B59" s="435"/>
      <c r="C59" s="436"/>
      <c r="D59" s="435"/>
      <c r="E59" s="435"/>
      <c r="F59" s="435"/>
    </row>
    <row r="60" spans="1:20" s="461" customFormat="1" ht="20.25" customHeight="1">
      <c r="A60" s="332"/>
      <c r="B60" s="302" t="str">
        <f>"PC客户端新增用户来源"</f>
        <v>PC客户端新增用户来源</v>
      </c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3"/>
      <c r="P60" s="333"/>
      <c r="Q60" s="333"/>
      <c r="R60" s="333"/>
      <c r="S60" s="333"/>
      <c r="T60" s="333"/>
    </row>
    <row r="61" spans="1:20" s="461" customFormat="1" ht="20.25" customHeight="1">
      <c r="A61" s="332"/>
      <c r="B61" s="333" t="str">
        <f ca="1">"新增用户："&amp;TEXT(C58/10000,"0.0")&amp;"万人"</f>
        <v>新增用户：8.5万人</v>
      </c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</row>
    <row r="62" spans="1:20" s="461" customFormat="1" ht="20.25" customHeight="1">
      <c r="A62" s="332"/>
      <c r="B62" s="333" t="str">
        <f ca="1">TEXT(1-F43,"0.0%")&amp;"来源于游戏内置客户端"</f>
        <v>48.1%来源于游戏内置客户端</v>
      </c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</row>
    <row r="63" spans="1:20" ht="20.25" customHeight="1">
      <c r="B63" s="283" t="s">
        <v>513</v>
      </c>
    </row>
    <row r="82" spans="1:20" s="462" customFormat="1" ht="21">
      <c r="A82" s="437"/>
      <c r="B82" s="439" t="s">
        <v>536</v>
      </c>
      <c r="C82" s="440"/>
      <c r="D82" s="440">
        <f>+'图-新用户-公式'!D1</f>
        <v>13</v>
      </c>
      <c r="E82" s="440">
        <f>+'图-新用户-公式'!E1</f>
        <v>14</v>
      </c>
      <c r="F82" s="440">
        <f>+'图-新用户-公式'!F1</f>
        <v>15</v>
      </c>
      <c r="G82" s="440">
        <f>+'图-新用户-公式'!G1</f>
        <v>16</v>
      </c>
      <c r="H82" s="440">
        <f>+'图-新用户-公式'!H1</f>
        <v>17</v>
      </c>
      <c r="I82" s="440">
        <f>+'图-新用户-公式'!I1</f>
        <v>18</v>
      </c>
      <c r="J82" s="440"/>
      <c r="K82" s="440"/>
      <c r="L82" s="440"/>
      <c r="M82" s="440"/>
      <c r="N82" s="440"/>
      <c r="O82" s="440"/>
      <c r="P82" s="440"/>
      <c r="Q82" s="440"/>
      <c r="R82" s="440"/>
      <c r="S82" s="440"/>
      <c r="T82" s="440"/>
    </row>
    <row r="83" spans="1:20" s="462" customFormat="1" outlineLevel="1">
      <c r="A83" s="437">
        <v>2</v>
      </c>
      <c r="B83" s="441" t="s">
        <v>537</v>
      </c>
      <c r="C83" s="441" t="s">
        <v>538</v>
      </c>
      <c r="D83" s="441">
        <f ca="1">OFFSET(终端!$A$1,$A83-1,D$82-1)</f>
        <v>42795</v>
      </c>
      <c r="E83" s="441">
        <f ca="1">OFFSET(终端!$A$1,$A83-1,E$82-1)</f>
        <v>42826</v>
      </c>
      <c r="F83" s="441">
        <f ca="1">OFFSET(终端!$A$1,$A83-1,F$82-1)</f>
        <v>42856</v>
      </c>
      <c r="G83" s="441">
        <f ca="1">OFFSET(终端!$A$1,$A83-1,G$82-1)</f>
        <v>42887</v>
      </c>
      <c r="H83" s="441">
        <f ca="1">OFFSET(终端!$A$1,$A83-1,H$82-1)</f>
        <v>42917</v>
      </c>
      <c r="I83" s="441">
        <f ca="1">OFFSET(终端!$A$1,$A83-1,I$82-1)</f>
        <v>42948</v>
      </c>
      <c r="J83" s="152" t="s">
        <v>539</v>
      </c>
      <c r="K83" s="440"/>
      <c r="L83" s="440"/>
      <c r="M83" s="440"/>
      <c r="N83" s="440"/>
      <c r="O83" s="440"/>
      <c r="P83" s="440"/>
      <c r="Q83" s="440"/>
      <c r="R83" s="440"/>
      <c r="S83" s="440"/>
      <c r="T83" s="440"/>
    </row>
    <row r="84" spans="1:20" s="462" customFormat="1" outlineLevel="1">
      <c r="A84" s="437">
        <v>3</v>
      </c>
      <c r="B84" s="561" t="s">
        <v>540</v>
      </c>
      <c r="C84" s="442" t="s">
        <v>541</v>
      </c>
      <c r="D84" s="415">
        <f ca="1">OFFSET(终端!$A$1,$A84-1,D$82-1)</f>
        <v>1151799</v>
      </c>
      <c r="E84" s="416">
        <f ca="1">OFFSET(终端!$A$1,$A84-1,E$82-1)</f>
        <v>1121976</v>
      </c>
      <c r="F84" s="416">
        <f ca="1">OFFSET(终端!$A$1,$A84-1,F$82-1)</f>
        <v>1163272</v>
      </c>
      <c r="G84" s="416">
        <f ca="1">OFFSET(终端!$A$1,$A84-1,G$82-1)</f>
        <v>1170887</v>
      </c>
      <c r="H84" s="415">
        <f ca="1">OFFSET(终端!$A$1,$A84-1,H$82-1)</f>
        <v>1229685</v>
      </c>
      <c r="I84" s="415">
        <f ca="1">OFFSET(终端!$A$1,$A84-1,I$82-1)</f>
        <v>1303742</v>
      </c>
      <c r="J84" s="169">
        <f ca="1">(I84-H84)/H84</f>
        <v>6.0224366402777944E-2</v>
      </c>
      <c r="K84" s="440"/>
      <c r="L84" s="440"/>
      <c r="M84" s="440"/>
      <c r="N84" s="440"/>
      <c r="O84" s="440"/>
      <c r="P84" s="440"/>
      <c r="Q84" s="440"/>
      <c r="R84" s="440"/>
      <c r="S84" s="440"/>
      <c r="T84" s="440"/>
    </row>
    <row r="85" spans="1:20" s="462" customFormat="1" outlineLevel="1">
      <c r="A85" s="437">
        <f t="shared" ref="A85:A90" si="6">+A84+1</f>
        <v>4</v>
      </c>
      <c r="B85" s="562"/>
      <c r="C85" s="443" t="s">
        <v>514</v>
      </c>
      <c r="D85" s="417">
        <f ca="1">OFFSET(终端!$A$1,$A85-1,D$82-1)</f>
        <v>626031</v>
      </c>
      <c r="E85" s="418">
        <f ca="1">OFFSET(终端!$A$1,$A85-1,E$82-1)</f>
        <v>614064</v>
      </c>
      <c r="F85" s="418">
        <f ca="1">OFFSET(终端!$A$1,$A85-1,F$82-1)</f>
        <v>631912</v>
      </c>
      <c r="G85" s="418">
        <f ca="1">OFFSET(终端!$A$1,$A85-1,G$82-1)</f>
        <v>632659</v>
      </c>
      <c r="H85" s="417">
        <f ca="1">OFFSET(终端!$A$1,$A85-1,H$82-1)</f>
        <v>665894</v>
      </c>
      <c r="I85" s="417">
        <f ca="1">OFFSET(终端!$A$1,$A85-1,I$82-1)</f>
        <v>723867</v>
      </c>
      <c r="J85" s="169">
        <f ca="1">(I85-H85)/H85</f>
        <v>8.7060403007085216E-2</v>
      </c>
      <c r="K85" s="440"/>
      <c r="L85" s="440"/>
      <c r="M85" s="440"/>
      <c r="N85" s="440"/>
      <c r="O85" s="440"/>
      <c r="P85" s="440"/>
      <c r="Q85" s="440"/>
      <c r="R85" s="440"/>
      <c r="S85" s="440"/>
      <c r="T85" s="440"/>
    </row>
    <row r="86" spans="1:20" s="462" customFormat="1" outlineLevel="1">
      <c r="A86" s="437">
        <f t="shared" si="6"/>
        <v>5</v>
      </c>
      <c r="B86" s="562"/>
      <c r="C86" s="443" t="s">
        <v>515</v>
      </c>
      <c r="D86" s="417">
        <f ca="1">OFFSET(终端!$A$1,$A86-1,D$82-1)</f>
        <v>465443</v>
      </c>
      <c r="E86" s="418">
        <f ca="1">OFFSET(终端!$A$1,$A86-1,E$82-1)</f>
        <v>445127</v>
      </c>
      <c r="F86" s="418">
        <f ca="1">OFFSET(终端!$A$1,$A86-1,F$82-1)</f>
        <v>462596</v>
      </c>
      <c r="G86" s="418">
        <f ca="1">OFFSET(终端!$A$1,$A86-1,G$82-1)</f>
        <v>466423</v>
      </c>
      <c r="H86" s="417">
        <f ca="1">OFFSET(终端!$A$1,$A86-1,H$82-1)</f>
        <v>482097</v>
      </c>
      <c r="I86" s="417">
        <f ca="1">OFFSET(终端!$A$1,$A86-1,I$82-1)</f>
        <v>492509</v>
      </c>
      <c r="J86" s="169">
        <f ca="1">(I86-H86)/H86</f>
        <v>2.1597313403734102E-2</v>
      </c>
      <c r="K86" s="440"/>
      <c r="L86" s="440"/>
      <c r="M86" s="440"/>
      <c r="N86" s="440"/>
      <c r="O86" s="440"/>
      <c r="P86" s="440"/>
      <c r="Q86" s="440"/>
      <c r="R86" s="440"/>
      <c r="S86" s="440"/>
      <c r="T86" s="440"/>
    </row>
    <row r="87" spans="1:20" s="462" customFormat="1" outlineLevel="1">
      <c r="A87" s="437">
        <f t="shared" si="6"/>
        <v>6</v>
      </c>
      <c r="B87" s="562"/>
      <c r="C87" s="443" t="s">
        <v>516</v>
      </c>
      <c r="D87" s="417">
        <f ca="1">OFFSET(终端!$A$1,$A87-1,D$82-1)</f>
        <v>60325</v>
      </c>
      <c r="E87" s="418">
        <f ca="1">OFFSET(终端!$A$1,$A87-1,E$82-1)</f>
        <v>62785</v>
      </c>
      <c r="F87" s="418">
        <f ca="1">OFFSET(终端!$A$1,$A87-1,F$82-1)</f>
        <v>68764</v>
      </c>
      <c r="G87" s="418">
        <f ca="1">OFFSET(终端!$A$1,$A87-1,G$82-1)</f>
        <v>71805</v>
      </c>
      <c r="H87" s="417">
        <f ca="1">OFFSET(终端!$A$1,$A87-1,H$82-1)</f>
        <v>81694</v>
      </c>
      <c r="I87" s="417">
        <f ca="1">OFFSET(终端!$A$1,$A87-1,I$82-1)</f>
        <v>87366</v>
      </c>
      <c r="J87" s="169">
        <f ca="1">(I87-H87)/H87</f>
        <v>6.9429823487649034E-2</v>
      </c>
      <c r="K87" s="440"/>
      <c r="L87" s="440"/>
      <c r="M87" s="440"/>
      <c r="N87" s="440"/>
      <c r="O87" s="440"/>
      <c r="P87" s="440"/>
      <c r="Q87" s="440"/>
      <c r="R87" s="440"/>
      <c r="S87" s="440"/>
      <c r="T87" s="440"/>
    </row>
    <row r="88" spans="1:20" s="462" customFormat="1" outlineLevel="1">
      <c r="A88" s="437">
        <f t="shared" si="6"/>
        <v>7</v>
      </c>
      <c r="B88" s="562"/>
      <c r="C88" s="444" t="s">
        <v>514</v>
      </c>
      <c r="D88" s="419">
        <f ca="1">OFFSET(终端!$A$1,$A88-1,D$82-1)</f>
        <v>0.54352452120552286</v>
      </c>
      <c r="E88" s="419">
        <f ca="1">OFFSET(终端!$A$1,$A88-1,E$82-1)</f>
        <v>0.54730582472352352</v>
      </c>
      <c r="F88" s="419">
        <f ca="1">OFFSET(终端!$A$1,$A88-1,F$82-1)</f>
        <v>0.54321947059673059</v>
      </c>
      <c r="G88" s="419">
        <f ca="1">OFFSET(终端!$A$1,$A88-1,G$82-1)</f>
        <v>0.54032455736548446</v>
      </c>
      <c r="H88" s="419">
        <f ca="1">OFFSET(终端!$A$1,$A88-1,H$82-1)</f>
        <v>0.54149999999999998</v>
      </c>
      <c r="I88" s="420">
        <f ca="1">OFFSET(终端!$A$1,$A88-1,I$82-1)</f>
        <v>0.55520000000000003</v>
      </c>
      <c r="J88" s="169">
        <f ca="1">+I88-H88</f>
        <v>1.3700000000000045E-2</v>
      </c>
      <c r="K88" s="440"/>
      <c r="L88" s="440"/>
      <c r="M88" s="440"/>
      <c r="N88" s="440"/>
      <c r="O88" s="440"/>
      <c r="P88" s="440"/>
      <c r="Q88" s="440"/>
      <c r="R88" s="440"/>
      <c r="S88" s="440"/>
      <c r="T88" s="440"/>
    </row>
    <row r="89" spans="1:20" s="462" customFormat="1" outlineLevel="1">
      <c r="A89" s="437">
        <f t="shared" si="6"/>
        <v>8</v>
      </c>
      <c r="B89" s="562"/>
      <c r="C89" s="444" t="s">
        <v>515</v>
      </c>
      <c r="D89" s="419">
        <f ca="1">OFFSET(终端!$A$1,$A89-1,D$82-1)</f>
        <v>0.40410088913082925</v>
      </c>
      <c r="E89" s="419">
        <f ca="1">OFFSET(终端!$A$1,$A89-1,E$82-1)</f>
        <v>0.39673486776900752</v>
      </c>
      <c r="F89" s="419">
        <f ca="1">OFFSET(终端!$A$1,$A89-1,F$82-1)</f>
        <v>0.39766795727912302</v>
      </c>
      <c r="G89" s="419">
        <f ca="1">OFFSET(终端!$A$1,$A89-1,G$82-1)</f>
        <v>0.39835013968043032</v>
      </c>
      <c r="H89" s="419">
        <f ca="1">OFFSET(终端!$A$1,$A89-1,H$82-1)</f>
        <v>0.39200000000000002</v>
      </c>
      <c r="I89" s="420">
        <f ca="1">OFFSET(终端!$A$1,$A89-1,I$82-1)</f>
        <v>0.37780000000000002</v>
      </c>
      <c r="J89" s="169">
        <f ca="1">+I89-H89</f>
        <v>-1.419999999999999E-2</v>
      </c>
      <c r="K89" s="440"/>
      <c r="L89" s="440"/>
      <c r="M89" s="440"/>
      <c r="N89" s="440"/>
      <c r="O89" s="440"/>
      <c r="P89" s="440"/>
      <c r="Q89" s="440"/>
      <c r="R89" s="440"/>
      <c r="S89" s="440"/>
      <c r="T89" s="440"/>
    </row>
    <row r="90" spans="1:20" s="462" customFormat="1" outlineLevel="1">
      <c r="A90" s="437">
        <f t="shared" si="6"/>
        <v>9</v>
      </c>
      <c r="B90" s="563"/>
      <c r="C90" s="444" t="s">
        <v>524</v>
      </c>
      <c r="D90" s="419">
        <f ca="1">OFFSET(终端!$A$1,$A90-1,D$82-1)</f>
        <v>5.2374589663647914E-2</v>
      </c>
      <c r="E90" s="419">
        <f ca="1">OFFSET(终端!$A$1,$A90-1,E$82-1)</f>
        <v>5.5959307507468962E-2</v>
      </c>
      <c r="F90" s="419">
        <f ca="1">OFFSET(终端!$A$1,$A90-1,F$82-1)</f>
        <v>5.9112572124146376E-2</v>
      </c>
      <c r="G90" s="419">
        <f ca="1">OFFSET(终端!$A$1,$A90-1,G$82-1)</f>
        <v>6.132530295408524E-2</v>
      </c>
      <c r="H90" s="419">
        <f ca="1">OFFSET(终端!$A$1,$A90-1,H$82-1)</f>
        <v>6.6400000000000001E-2</v>
      </c>
      <c r="I90" s="420">
        <f ca="1">OFFSET(终端!$A$1,$A90-1,I$82-1)</f>
        <v>6.7000000000000004E-2</v>
      </c>
      <c r="J90" s="169">
        <f ca="1">+I90-H90</f>
        <v>6.0000000000000331E-4</v>
      </c>
      <c r="K90" s="440"/>
      <c r="L90" s="440"/>
      <c r="M90" s="440"/>
      <c r="N90" s="440"/>
      <c r="O90" s="440"/>
      <c r="P90" s="440"/>
      <c r="Q90" s="440"/>
      <c r="R90" s="440"/>
      <c r="S90" s="440"/>
      <c r="T90" s="440"/>
    </row>
    <row r="91" spans="1:20" s="462" customFormat="1" outlineLevel="1">
      <c r="A91" s="437"/>
      <c r="B91" s="445" t="s">
        <v>517</v>
      </c>
      <c r="C91" s="445"/>
      <c r="D91" s="445"/>
      <c r="E91" s="445"/>
      <c r="F91" s="202"/>
      <c r="G91" s="202"/>
      <c r="H91" s="202"/>
      <c r="I91" s="202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</row>
    <row r="92" spans="1:20" s="462" customFormat="1" ht="21" outlineLevel="1">
      <c r="A92" s="437"/>
      <c r="B92" s="439" t="str">
        <f ca="1">"终端："&amp;TEXT(I84/10000,"0")&amp;"万("&amp;IF(J84&gt;0,"+","")&amp;TEXT(J84,"0.0%")&amp;")，视频语音用户："&amp;TEXT('[1]图-用户'!P9/10000,"0")&amp;"万("&amp;IF('[1]图-用户'!Q9&gt;0,"+","")&amp;TEXT('[1]图-用户'!Q9,"0.0%")&amp;")"</f>
        <v>终端：130万(+6.0%)，视频语音用户：109万(-3.1%)</v>
      </c>
      <c r="C92" s="440"/>
      <c r="D92" s="440"/>
      <c r="E92" s="440"/>
      <c r="F92" s="440"/>
      <c r="G92" s="440"/>
      <c r="H92" s="440"/>
      <c r="I92" s="440"/>
      <c r="J92" s="440"/>
      <c r="K92" s="440"/>
      <c r="L92" s="440"/>
      <c r="M92" s="440"/>
      <c r="N92" s="440"/>
      <c r="O92" s="440"/>
      <c r="P92" s="440"/>
      <c r="Q92" s="440"/>
      <c r="R92" s="440"/>
      <c r="S92" s="440"/>
      <c r="T92" s="440"/>
    </row>
    <row r="93" spans="1:20" s="463" customFormat="1" ht="21" outlineLevel="1">
      <c r="A93" s="438"/>
      <c r="B93" s="439" t="s">
        <v>518</v>
      </c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</row>
    <row r="94" spans="1:20" s="463" customFormat="1" ht="20.25" customHeight="1" outlineLevel="1">
      <c r="A94" s="438"/>
      <c r="B94" s="446" t="str">
        <f ca="1">C85&amp;"："&amp;TEXT(I85/10000,"0.0")&amp;"万台，占比"&amp;TEXT(I88,"0.0%")&amp;"("&amp;IF(J88&gt;0,"+","")&amp;TEXT(J88,"0.0%")&amp;")"</f>
        <v>安卓：72.4万台，占比55.5%(+1.4%)</v>
      </c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</row>
    <row r="95" spans="1:20" s="463" customFormat="1" ht="20.25" customHeight="1" outlineLevel="1">
      <c r="A95" s="438"/>
      <c r="B95" s="446" t="str">
        <f ca="1">C86&amp;"："&amp;TEXT(I86/10000,"0.0")&amp;"万台，占比"&amp;TEXT(I89,"0.0%")&amp;"("&amp;IF(J89&gt;0,"+","")&amp;TEXT(J89,"0.0%")&amp;")"</f>
        <v>iphone：49.3万台，占比37.8%(-1.4%)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</row>
    <row r="96" spans="1:20" s="463" customFormat="1" ht="20.25" customHeight="1" outlineLevel="1">
      <c r="A96" s="438"/>
      <c r="B96" s="446" t="str">
        <f ca="1">C87&amp;"："&amp;TEXT(I87/10000,"0.0")&amp;"万台，占比"&amp;TEXT(I90,"0.0%")&amp;"("&amp;IF(J90&gt;0,"+","")&amp;TEXT(J90,"0.0%")&amp;")"</f>
        <v>ipad：8.7万台，占比6.7%(+0.1%)</v>
      </c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</row>
    <row r="97" spans="1:20" s="462" customFormat="1" outlineLevel="1">
      <c r="A97" s="437"/>
      <c r="B97" s="440"/>
      <c r="C97" s="440"/>
      <c r="D97" s="440"/>
      <c r="E97" s="440"/>
      <c r="F97" s="440"/>
      <c r="G97" s="440"/>
      <c r="H97" s="440"/>
      <c r="I97" s="440"/>
      <c r="J97" s="440"/>
      <c r="K97" s="440"/>
      <c r="L97" s="440"/>
      <c r="M97" s="440"/>
      <c r="N97" s="440"/>
      <c r="O97" s="440"/>
      <c r="P97" s="440"/>
      <c r="Q97" s="440"/>
      <c r="R97" s="440"/>
      <c r="S97" s="440"/>
      <c r="T97" s="440"/>
    </row>
    <row r="98" spans="1:20" s="462" customFormat="1" outlineLevel="1">
      <c r="A98" s="437"/>
      <c r="B98" s="440"/>
      <c r="C98" s="440"/>
      <c r="D98" s="440"/>
      <c r="E98" s="44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</row>
    <row r="99" spans="1:20" s="462" customFormat="1" outlineLevel="1">
      <c r="A99" s="437"/>
      <c r="B99" s="440"/>
      <c r="C99" s="440"/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</row>
    <row r="100" spans="1:20" s="462" customFormat="1" outlineLevel="1">
      <c r="A100" s="437"/>
      <c r="B100" s="440"/>
      <c r="C100" s="440"/>
      <c r="D100" s="440"/>
      <c r="E100" s="440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440"/>
      <c r="Q100" s="440"/>
      <c r="R100" s="440"/>
      <c r="S100" s="440"/>
      <c r="T100" s="440"/>
    </row>
    <row r="101" spans="1:20" s="462" customFormat="1" outlineLevel="1">
      <c r="A101" s="437"/>
      <c r="B101" s="440"/>
      <c r="C101" s="440"/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440"/>
      <c r="Q101" s="440"/>
      <c r="R101" s="440"/>
      <c r="S101" s="440"/>
      <c r="T101" s="440"/>
    </row>
    <row r="102" spans="1:20" s="462" customFormat="1" outlineLevel="1">
      <c r="A102" s="437"/>
      <c r="B102" s="440"/>
      <c r="C102" s="440"/>
      <c r="D102" s="44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440"/>
      <c r="Q102" s="440"/>
      <c r="R102" s="440"/>
      <c r="S102" s="440"/>
      <c r="T102" s="440"/>
    </row>
    <row r="103" spans="1:20" s="462" customFormat="1" outlineLevel="1">
      <c r="A103" s="437"/>
      <c r="B103" s="440"/>
      <c r="C103" s="440"/>
      <c r="D103" s="44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440"/>
      <c r="Q103" s="440"/>
      <c r="R103" s="440"/>
      <c r="S103" s="440"/>
      <c r="T103" s="440"/>
    </row>
    <row r="104" spans="1:20" s="462" customFormat="1" outlineLevel="1">
      <c r="A104" s="437"/>
      <c r="B104" s="440"/>
      <c r="C104" s="440"/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</row>
    <row r="105" spans="1:20" s="462" customFormat="1" outlineLevel="1">
      <c r="A105" s="437"/>
      <c r="B105" s="440"/>
      <c r="C105" s="440"/>
      <c r="D105" s="44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440"/>
      <c r="Q105" s="440"/>
      <c r="R105" s="440"/>
      <c r="S105" s="440"/>
      <c r="T105" s="440"/>
    </row>
    <row r="106" spans="1:20" s="462" customFormat="1" outlineLevel="1">
      <c r="A106" s="437"/>
      <c r="B106" s="440"/>
      <c r="C106" s="440"/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</row>
    <row r="107" spans="1:20" s="462" customFormat="1" outlineLevel="1">
      <c r="A107" s="437"/>
      <c r="B107" s="440"/>
      <c r="C107" s="440"/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</row>
    <row r="108" spans="1:20" s="462" customFormat="1" outlineLevel="1">
      <c r="A108" s="437"/>
      <c r="B108" s="440"/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</row>
    <row r="109" spans="1:20" s="462" customFormat="1" outlineLevel="1">
      <c r="A109" s="437"/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</row>
    <row r="110" spans="1:20" s="462" customFormat="1" outlineLevel="1">
      <c r="A110" s="437"/>
      <c r="B110" s="440"/>
      <c r="C110" s="440"/>
      <c r="D110" s="44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440"/>
      <c r="Q110" s="440"/>
      <c r="R110" s="440"/>
      <c r="S110" s="440"/>
      <c r="T110" s="440"/>
    </row>
    <row r="111" spans="1:20" s="462" customFormat="1" outlineLevel="1">
      <c r="A111" s="437"/>
      <c r="B111" s="440"/>
      <c r="C111" s="440"/>
      <c r="D111" s="44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440"/>
      <c r="Q111" s="440"/>
      <c r="R111" s="440"/>
      <c r="S111" s="440"/>
      <c r="T111" s="440"/>
    </row>
    <row r="112" spans="1:20" s="462" customFormat="1" outlineLevel="1">
      <c r="A112" s="437"/>
      <c r="B112" s="445" t="s">
        <v>519</v>
      </c>
      <c r="C112" s="445"/>
      <c r="D112" s="445"/>
      <c r="E112" s="445"/>
      <c r="F112" s="202"/>
      <c r="G112" s="202"/>
      <c r="H112" s="202"/>
      <c r="I112" s="202"/>
      <c r="J112" s="440"/>
      <c r="K112" s="440"/>
      <c r="L112" s="440"/>
      <c r="M112" s="440"/>
      <c r="N112" s="440"/>
      <c r="O112" s="440"/>
      <c r="P112" s="440"/>
      <c r="Q112" s="440"/>
      <c r="R112" s="440"/>
      <c r="S112" s="440"/>
      <c r="T112" s="440"/>
    </row>
    <row r="113" spans="1:20" s="463" customFormat="1" outlineLevel="1">
      <c r="A113" s="438"/>
      <c r="B113" s="440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</row>
    <row r="114" spans="1:20" s="462" customFormat="1" outlineLevel="1">
      <c r="A114" s="437"/>
      <c r="B114" s="440"/>
      <c r="C114" s="440"/>
      <c r="D114" s="44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440"/>
      <c r="Q114" s="440"/>
      <c r="R114" s="440"/>
      <c r="S114" s="440"/>
      <c r="T114" s="440"/>
    </row>
    <row r="115" spans="1:20" s="462" customFormat="1" outlineLevel="1">
      <c r="A115" s="437"/>
      <c r="B115" s="440"/>
      <c r="C115" s="440"/>
      <c r="D115" s="44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440"/>
      <c r="Q115" s="440"/>
      <c r="R115" s="440"/>
      <c r="S115" s="440"/>
      <c r="T115" s="440"/>
    </row>
    <row r="116" spans="1:20" s="462" customFormat="1" outlineLevel="1">
      <c r="A116" s="437"/>
      <c r="B116" s="440"/>
      <c r="C116" s="440"/>
      <c r="D116" s="44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440"/>
      <c r="Q116" s="440"/>
      <c r="R116" s="440"/>
      <c r="S116" s="440"/>
      <c r="T116" s="440"/>
    </row>
    <row r="117" spans="1:20" s="462" customFormat="1" outlineLevel="1">
      <c r="A117" s="437"/>
      <c r="B117" s="440"/>
      <c r="C117" s="440"/>
      <c r="D117" s="44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440"/>
      <c r="Q117" s="440"/>
      <c r="R117" s="440"/>
      <c r="S117" s="440"/>
      <c r="T117" s="440"/>
    </row>
    <row r="118" spans="1:20" s="462" customFormat="1" outlineLevel="1">
      <c r="A118" s="437"/>
      <c r="B118" s="440"/>
      <c r="C118" s="440"/>
      <c r="D118" s="44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440"/>
      <c r="Q118" s="440"/>
      <c r="R118" s="440"/>
      <c r="S118" s="440"/>
      <c r="T118" s="440"/>
    </row>
    <row r="119" spans="1:20" s="462" customFormat="1" outlineLevel="1">
      <c r="A119" s="437"/>
      <c r="B119" s="440"/>
      <c r="C119" s="440"/>
      <c r="D119" s="44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440"/>
      <c r="Q119" s="440"/>
      <c r="R119" s="440"/>
      <c r="S119" s="440"/>
      <c r="T119" s="440"/>
    </row>
    <row r="120" spans="1:20" s="462" customFormat="1" outlineLevel="1">
      <c r="A120" s="437"/>
      <c r="B120" s="440"/>
      <c r="C120" s="440"/>
      <c r="D120" s="44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440"/>
      <c r="Q120" s="440"/>
      <c r="R120" s="440"/>
      <c r="S120" s="440"/>
      <c r="T120" s="440"/>
    </row>
    <row r="121" spans="1:20" s="462" customFormat="1" outlineLevel="1">
      <c r="A121" s="437"/>
      <c r="B121" s="440"/>
      <c r="C121" s="440"/>
      <c r="D121" s="44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440"/>
      <c r="Q121" s="440"/>
      <c r="R121" s="440"/>
      <c r="S121" s="440"/>
      <c r="T121" s="440"/>
    </row>
    <row r="122" spans="1:20" s="462" customFormat="1" outlineLevel="1">
      <c r="A122" s="437"/>
      <c r="B122" s="440"/>
      <c r="C122" s="440"/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440"/>
      <c r="Q122" s="440"/>
      <c r="R122" s="440"/>
      <c r="S122" s="440"/>
      <c r="T122" s="440"/>
    </row>
    <row r="123" spans="1:20" s="462" customFormat="1" outlineLevel="1">
      <c r="A123" s="437"/>
      <c r="B123" s="440"/>
      <c r="C123" s="440"/>
      <c r="D123" s="44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</row>
    <row r="124" spans="1:20" s="462" customFormat="1" outlineLevel="1">
      <c r="A124" s="437"/>
      <c r="B124" s="440"/>
      <c r="C124" s="440"/>
      <c r="D124" s="44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440"/>
      <c r="Q124" s="440"/>
      <c r="R124" s="440"/>
      <c r="S124" s="440"/>
      <c r="T124" s="440"/>
    </row>
    <row r="125" spans="1:20" s="462" customFormat="1" outlineLevel="1">
      <c r="A125" s="437"/>
      <c r="B125" s="440"/>
      <c r="C125" s="440"/>
      <c r="D125" s="44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440"/>
      <c r="Q125" s="440"/>
      <c r="R125" s="440"/>
      <c r="S125" s="440"/>
      <c r="T125" s="440"/>
    </row>
    <row r="126" spans="1:20" s="462" customFormat="1" outlineLevel="1">
      <c r="A126" s="437"/>
      <c r="B126" s="440"/>
      <c r="C126" s="440"/>
      <c r="D126" s="44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440"/>
      <c r="Q126" s="440"/>
      <c r="R126" s="440"/>
      <c r="S126" s="440"/>
      <c r="T126" s="440"/>
    </row>
    <row r="127" spans="1:20" s="462" customFormat="1" outlineLevel="1">
      <c r="A127" s="437"/>
      <c r="B127" s="440"/>
      <c r="C127" s="440"/>
      <c r="D127" s="44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440"/>
      <c r="Q127" s="440"/>
      <c r="R127" s="440"/>
      <c r="S127" s="440"/>
      <c r="T127" s="440"/>
    </row>
    <row r="128" spans="1:20" s="462" customFormat="1" outlineLevel="1">
      <c r="A128" s="437"/>
      <c r="B128" s="440"/>
      <c r="C128" s="440"/>
      <c r="D128" s="44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440"/>
      <c r="Q128" s="440"/>
      <c r="R128" s="440"/>
      <c r="S128" s="440"/>
      <c r="T128" s="440"/>
    </row>
    <row r="129" spans="1:20" s="462" customFormat="1">
      <c r="A129" s="437"/>
      <c r="B129" s="440"/>
      <c r="C129" s="440"/>
      <c r="D129" s="44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</row>
    <row r="130" spans="1:20" s="462" customFormat="1" ht="21">
      <c r="A130" s="437"/>
      <c r="B130" s="439" t="s">
        <v>520</v>
      </c>
      <c r="C130" s="440"/>
      <c r="D130" s="440">
        <f t="shared" ref="D130:I130" si="7">+D82</f>
        <v>13</v>
      </c>
      <c r="E130" s="440">
        <f t="shared" si="7"/>
        <v>14</v>
      </c>
      <c r="F130" s="440">
        <f t="shared" si="7"/>
        <v>15</v>
      </c>
      <c r="G130" s="440">
        <f t="shared" si="7"/>
        <v>16</v>
      </c>
      <c r="H130" s="440">
        <f t="shared" si="7"/>
        <v>17</v>
      </c>
      <c r="I130" s="440">
        <f t="shared" si="7"/>
        <v>18</v>
      </c>
      <c r="J130" s="440"/>
      <c r="K130" s="440"/>
      <c r="L130" s="440"/>
      <c r="M130" s="440"/>
      <c r="N130" s="440"/>
      <c r="O130" s="440"/>
      <c r="P130" s="440"/>
      <c r="Q130" s="440"/>
      <c r="R130" s="440"/>
      <c r="S130" s="440"/>
      <c r="T130" s="440"/>
    </row>
    <row r="131" spans="1:20" s="462" customFormat="1" outlineLevel="1">
      <c r="A131" s="437">
        <v>2</v>
      </c>
      <c r="B131" s="441" t="s">
        <v>521</v>
      </c>
      <c r="C131" s="441" t="s">
        <v>522</v>
      </c>
      <c r="D131" s="441">
        <f ca="1">OFFSET(终端!$A$1,$A131-1,D$130-1)</f>
        <v>42795</v>
      </c>
      <c r="E131" s="441">
        <f ca="1">OFFSET(终端!$A$1,$A131-1,E$130-1)</f>
        <v>42826</v>
      </c>
      <c r="F131" s="441">
        <f ca="1">OFFSET(终端!$A$1,$A131-1,F$130-1)</f>
        <v>42856</v>
      </c>
      <c r="G131" s="441">
        <f ca="1">OFFSET(终端!$A$1,$A131-1,G$130-1)</f>
        <v>42887</v>
      </c>
      <c r="H131" s="441">
        <f ca="1">OFFSET(终端!$A$1,$A131-1,H$130-1)</f>
        <v>42917</v>
      </c>
      <c r="I131" s="441">
        <f ca="1">OFFSET(终端!$A$1,$A131-1,I$130-1)</f>
        <v>42948</v>
      </c>
      <c r="J131" s="152" t="s">
        <v>330</v>
      </c>
      <c r="K131" s="440"/>
      <c r="L131" s="440"/>
      <c r="M131" s="440"/>
      <c r="N131" s="440"/>
      <c r="O131" s="440"/>
      <c r="P131" s="440"/>
      <c r="Q131" s="440"/>
      <c r="R131" s="440"/>
      <c r="S131" s="440"/>
      <c r="T131" s="440"/>
    </row>
    <row r="132" spans="1:20" s="462" customFormat="1" outlineLevel="1">
      <c r="A132" s="437">
        <v>10</v>
      </c>
      <c r="B132" s="558" t="s">
        <v>134</v>
      </c>
      <c r="C132" s="442" t="s">
        <v>8</v>
      </c>
      <c r="D132" s="416">
        <f ca="1">OFFSET(终端!$A$1,$A132-1,D$130-1)</f>
        <v>317529</v>
      </c>
      <c r="E132" s="416">
        <f ca="1">OFFSET(终端!$A$1,$A132-1,E$130-1)</f>
        <v>274419</v>
      </c>
      <c r="F132" s="416">
        <f ca="1">OFFSET(终端!$A$1,$A132-1,F$130-1)</f>
        <v>299023</v>
      </c>
      <c r="G132" s="416">
        <f ca="1">OFFSET(终端!$A$1,$A132-1,G$130-1)</f>
        <v>292531</v>
      </c>
      <c r="H132" s="416">
        <f ca="1">OFFSET(终端!$A$1,$A132-1,H$130-1)</f>
        <v>323472</v>
      </c>
      <c r="I132" s="415">
        <f ca="1">OFFSET(终端!$A$1,$A132-1,I$130-1)</f>
        <v>372027</v>
      </c>
      <c r="J132" s="169">
        <f ca="1">(I132-H132)/H132</f>
        <v>0.15010572785279716</v>
      </c>
      <c r="K132" s="440"/>
      <c r="L132" s="440"/>
      <c r="M132" s="440"/>
      <c r="N132" s="440"/>
      <c r="O132" s="440"/>
      <c r="P132" s="440"/>
      <c r="Q132" s="440"/>
      <c r="R132" s="440"/>
      <c r="S132" s="440"/>
      <c r="T132" s="440"/>
    </row>
    <row r="133" spans="1:20" s="462" customFormat="1" outlineLevel="1">
      <c r="A133" s="437">
        <f t="shared" ref="A133:A138" si="8">+A132+1</f>
        <v>11</v>
      </c>
      <c r="B133" s="559"/>
      <c r="C133" s="443" t="s">
        <v>514</v>
      </c>
      <c r="D133" s="418">
        <f ca="1">OFFSET(终端!$A$1,$A133-1,D$130-1)</f>
        <v>155028</v>
      </c>
      <c r="E133" s="418">
        <f ca="1">OFFSET(终端!$A$1,$A133-1,E$130-1)</f>
        <v>134312</v>
      </c>
      <c r="F133" s="418">
        <f ca="1">OFFSET(终端!$A$1,$A133-1,F$130-1)</f>
        <v>144099</v>
      </c>
      <c r="G133" s="418">
        <f ca="1">OFFSET(终端!$A$1,$A133-1,G$130-1)</f>
        <v>142141</v>
      </c>
      <c r="H133" s="418">
        <f ca="1">OFFSET(终端!$A$1,$A133-1,H$130-1)</f>
        <v>161107</v>
      </c>
      <c r="I133" s="417">
        <f ca="1">OFFSET(终端!$A$1,$A133-1,I$130-1)</f>
        <v>201004</v>
      </c>
      <c r="J133" s="169">
        <f ca="1">(I133-H133)/H133</f>
        <v>0.24764287088705023</v>
      </c>
      <c r="K133" s="440"/>
      <c r="L133" s="440"/>
      <c r="M133" s="440"/>
      <c r="N133" s="440"/>
      <c r="O133" s="440"/>
      <c r="P133" s="440"/>
      <c r="Q133" s="440"/>
      <c r="R133" s="440"/>
      <c r="S133" s="440"/>
      <c r="T133" s="440"/>
    </row>
    <row r="134" spans="1:20" s="462" customFormat="1" outlineLevel="1">
      <c r="A134" s="437">
        <f t="shared" si="8"/>
        <v>12</v>
      </c>
      <c r="B134" s="559"/>
      <c r="C134" s="443" t="s">
        <v>523</v>
      </c>
      <c r="D134" s="418">
        <f ca="1">OFFSET(终端!$A$1,$A134-1,D$130-1)</f>
        <v>141098</v>
      </c>
      <c r="E134" s="418">
        <f ca="1">OFFSET(终端!$A$1,$A134-1,E$130-1)</f>
        <v>120934</v>
      </c>
      <c r="F134" s="418">
        <f ca="1">OFFSET(终端!$A$1,$A134-1,F$130-1)</f>
        <v>133844</v>
      </c>
      <c r="G134" s="418">
        <f ca="1">OFFSET(终端!$A$1,$A134-1,G$130-1)</f>
        <v>130517</v>
      </c>
      <c r="H134" s="418">
        <f ca="1">OFFSET(终端!$A$1,$A134-1,H$130-1)</f>
        <v>136841</v>
      </c>
      <c r="I134" s="417">
        <f ca="1">OFFSET(终端!$A$1,$A134-1,I$130-1)</f>
        <v>143173</v>
      </c>
      <c r="J134" s="169">
        <f ca="1">(I134-H134)/H134</f>
        <v>4.627268143319619E-2</v>
      </c>
      <c r="K134" s="440"/>
      <c r="L134" s="440"/>
      <c r="M134" s="440"/>
      <c r="N134" s="440"/>
      <c r="O134" s="440"/>
      <c r="P134" s="440"/>
      <c r="Q134" s="440"/>
      <c r="R134" s="440"/>
      <c r="S134" s="440"/>
      <c r="T134" s="440"/>
    </row>
    <row r="135" spans="1:20" s="462" customFormat="1" outlineLevel="1">
      <c r="A135" s="437">
        <f t="shared" si="8"/>
        <v>13</v>
      </c>
      <c r="B135" s="559"/>
      <c r="C135" s="443" t="s">
        <v>524</v>
      </c>
      <c r="D135" s="418">
        <f ca="1">OFFSET(终端!$A$1,$A135-1,D$130-1)</f>
        <v>21403</v>
      </c>
      <c r="E135" s="418">
        <f ca="1">OFFSET(终端!$A$1,$A135-1,E$130-1)</f>
        <v>19173</v>
      </c>
      <c r="F135" s="418">
        <f ca="1">OFFSET(终端!$A$1,$A135-1,F$130-1)</f>
        <v>21080</v>
      </c>
      <c r="G135" s="418">
        <f ca="1">OFFSET(终端!$A$1,$A135-1,G$130-1)</f>
        <v>19873</v>
      </c>
      <c r="H135" s="418">
        <f ca="1">OFFSET(终端!$A$1,$A135-1,H$130-1)</f>
        <v>25524</v>
      </c>
      <c r="I135" s="417">
        <f ca="1">OFFSET(终端!$A$1,$A135-1,I$130-1)</f>
        <v>27850</v>
      </c>
      <c r="J135" s="169">
        <f ca="1">(I135-H135)/H135</f>
        <v>9.1129916940918348E-2</v>
      </c>
      <c r="K135" s="440"/>
      <c r="L135" s="440"/>
      <c r="M135" s="440"/>
      <c r="N135" s="440"/>
      <c r="O135" s="440"/>
      <c r="P135" s="440"/>
      <c r="Q135" s="440"/>
      <c r="R135" s="440"/>
      <c r="S135" s="440"/>
      <c r="T135" s="440"/>
    </row>
    <row r="136" spans="1:20" s="462" customFormat="1" outlineLevel="1">
      <c r="A136" s="437">
        <f t="shared" si="8"/>
        <v>14</v>
      </c>
      <c r="B136" s="559"/>
      <c r="C136" s="444" t="s">
        <v>514</v>
      </c>
      <c r="D136" s="419">
        <f ca="1">OFFSET(终端!$A$1,$A136-1,D$130-1)</f>
        <v>0.48823257088328942</v>
      </c>
      <c r="E136" s="419">
        <f ca="1">OFFSET(终端!$A$1,$A136-1,E$130-1)</f>
        <v>0.48944132877096702</v>
      </c>
      <c r="F136" s="419">
        <f ca="1">OFFSET(终端!$A$1,$A136-1,F$130-1)</f>
        <v>0.48189938566598556</v>
      </c>
      <c r="G136" s="419">
        <f ca="1">OFFSET(终端!$A$1,$A136-1,G$130-1)</f>
        <v>0.48590063959033403</v>
      </c>
      <c r="H136" s="419">
        <f ca="1">OFFSET(终端!$A$1,$A136-1,H$130-1)</f>
        <v>0.49809999999999999</v>
      </c>
      <c r="I136" s="420">
        <f ca="1">OFFSET(终端!$A$1,$A136-1,I$130-1)</f>
        <v>0.5403</v>
      </c>
      <c r="J136" s="169">
        <f ca="1">+I136-H136</f>
        <v>4.2200000000000015E-2</v>
      </c>
      <c r="K136" s="440"/>
      <c r="L136" s="440"/>
      <c r="M136" s="440"/>
      <c r="N136" s="440"/>
      <c r="O136" s="440"/>
      <c r="P136" s="440"/>
      <c r="Q136" s="440"/>
      <c r="R136" s="440"/>
      <c r="S136" s="440"/>
      <c r="T136" s="440"/>
    </row>
    <row r="137" spans="1:20" s="462" customFormat="1" outlineLevel="1">
      <c r="A137" s="437">
        <f t="shared" si="8"/>
        <v>15</v>
      </c>
      <c r="B137" s="559"/>
      <c r="C137" s="444" t="s">
        <v>523</v>
      </c>
      <c r="D137" s="419">
        <f ca="1">OFFSET(终端!$A$1,$A137-1,D$130-1)</f>
        <v>0.44436256215967673</v>
      </c>
      <c r="E137" s="419">
        <f ca="1">OFFSET(终端!$A$1,$A137-1,E$130-1)</f>
        <v>0.44069106002135422</v>
      </c>
      <c r="F137" s="419">
        <f ca="1">OFFSET(终端!$A$1,$A137-1,F$130-1)</f>
        <v>0.44760436488163119</v>
      </c>
      <c r="G137" s="419">
        <f ca="1">OFFSET(终端!$A$1,$A137-1,G$130-1)</f>
        <v>0.44616467998263432</v>
      </c>
      <c r="H137" s="419">
        <f ca="1">OFFSET(终端!$A$1,$A137-1,H$130-1)</f>
        <v>0.42299999999999999</v>
      </c>
      <c r="I137" s="420">
        <f ca="1">OFFSET(终端!$A$1,$A137-1,I$130-1)</f>
        <v>0.38479999999999998</v>
      </c>
      <c r="J137" s="169">
        <f ca="1">+I137-H137</f>
        <v>-3.8200000000000012E-2</v>
      </c>
      <c r="K137" s="440"/>
      <c r="L137" s="440"/>
      <c r="M137" s="440"/>
      <c r="N137" s="440"/>
      <c r="O137" s="440"/>
      <c r="P137" s="440"/>
      <c r="Q137" s="440"/>
      <c r="R137" s="440"/>
      <c r="S137" s="440"/>
      <c r="T137" s="440"/>
    </row>
    <row r="138" spans="1:20" s="462" customFormat="1" outlineLevel="1">
      <c r="A138" s="437">
        <f t="shared" si="8"/>
        <v>16</v>
      </c>
      <c r="B138" s="560"/>
      <c r="C138" s="444" t="s">
        <v>524</v>
      </c>
      <c r="D138" s="419">
        <f ca="1">OFFSET(终端!$A$1,$A138-1,D$130-1)</f>
        <v>6.7404866957033849E-2</v>
      </c>
      <c r="E138" s="419">
        <f ca="1">OFFSET(终端!$A$1,$A138-1,E$130-1)</f>
        <v>6.9867611207678773E-2</v>
      </c>
      <c r="F138" s="419">
        <f ca="1">OFFSET(终端!$A$1,$A138-1,F$130-1)</f>
        <v>7.0496249452383267E-2</v>
      </c>
      <c r="G138" s="419">
        <f ca="1">OFFSET(终端!$A$1,$A138-1,G$130-1)</f>
        <v>6.7934680427031671E-2</v>
      </c>
      <c r="H138" s="419">
        <f ca="1">OFFSET(终端!$A$1,$A138-1,H$130-1)</f>
        <v>7.8899999999999998E-2</v>
      </c>
      <c r="I138" s="420">
        <f ca="1">OFFSET(终端!$A$1,$A138-1,I$130-1)</f>
        <v>7.4899999999999994E-2</v>
      </c>
      <c r="J138" s="169">
        <f ca="1">+I138-H138</f>
        <v>-4.0000000000000036E-3</v>
      </c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</row>
    <row r="139" spans="1:20" s="462" customFormat="1">
      <c r="A139" s="437"/>
      <c r="B139" s="440"/>
      <c r="C139" s="440"/>
      <c r="D139" s="44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440"/>
      <c r="Q139" s="440"/>
      <c r="R139" s="440"/>
      <c r="S139" s="440"/>
      <c r="T139" s="440"/>
    </row>
    <row r="140" spans="1:20" s="462" customFormat="1" outlineLevel="1">
      <c r="A140" s="437"/>
      <c r="B140" s="445" t="s">
        <v>525</v>
      </c>
      <c r="C140" s="445"/>
      <c r="D140" s="445"/>
      <c r="E140" s="445"/>
      <c r="F140" s="202"/>
      <c r="G140" s="202"/>
      <c r="H140" s="202"/>
      <c r="I140" s="202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</row>
    <row r="141" spans="1:20" s="462" customFormat="1" ht="21" outlineLevel="1">
      <c r="A141" s="437"/>
      <c r="B141" s="439" t="str">
        <f ca="1">"手机_新增终端："&amp;TEXT(I132/10000,"0.0")&amp;"万("&amp;IF(J132&gt;0,"+","")&amp;TEXT(J132,"0.0%")&amp;")"</f>
        <v>手机_新增终端：37.2万(+15.0%)</v>
      </c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</row>
    <row r="142" spans="1:20" s="462" customFormat="1" ht="20.25" customHeight="1" outlineLevel="1">
      <c r="A142" s="437"/>
      <c r="B142" s="446" t="str">
        <f ca="1">C133&amp;"："&amp;TEXT(I133/10000,"0.0")&amp;"万("&amp;IF(J133&gt;0,"+","")&amp;TEXT(J133,"0.0%")&amp;")"</f>
        <v>安卓：20.1万(+24.8%)</v>
      </c>
      <c r="C142" s="440"/>
      <c r="D142" s="44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</row>
    <row r="143" spans="1:20" s="462" customFormat="1" ht="20.25" customHeight="1" outlineLevel="1">
      <c r="A143" s="437"/>
      <c r="B143" s="446" t="str">
        <f ca="1">C134&amp;"："&amp;TEXT(I134/10000,"0.0")&amp;"万("&amp;IF(J134&gt;0,"+","")&amp;TEXT(J134,"0.0%")&amp;")"</f>
        <v>iphone：14.3万(+4.6%)</v>
      </c>
      <c r="C143" s="440"/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</row>
    <row r="144" spans="1:20" s="462" customFormat="1" ht="20.25" customHeight="1" outlineLevel="1">
      <c r="A144" s="437"/>
      <c r="B144" s="446" t="str">
        <f ca="1">C135&amp;"："&amp;TEXT(I135/10000,"0.0")&amp;"万("&amp;IF(J135&gt;0,"+","")&amp;TEXT(J135,"0.0%")&amp;")"</f>
        <v>ipad：2.8万(+9.1%)</v>
      </c>
      <c r="C144" s="440"/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</row>
    <row r="145" spans="1:20" s="462" customFormat="1" outlineLevel="1">
      <c r="A145" s="437"/>
      <c r="B145" s="440"/>
      <c r="C145" s="440"/>
      <c r="D145" s="440"/>
      <c r="E145" s="440"/>
      <c r="F145" s="440"/>
      <c r="G145" s="440"/>
      <c r="H145" s="440"/>
      <c r="I145" s="440"/>
      <c r="J145" s="440"/>
      <c r="K145" s="440"/>
      <c r="L145" s="440"/>
      <c r="M145" s="440"/>
      <c r="N145" s="440"/>
      <c r="O145" s="440"/>
      <c r="P145" s="440"/>
      <c r="Q145" s="440"/>
      <c r="R145" s="440"/>
      <c r="S145" s="440"/>
      <c r="T145" s="440"/>
    </row>
    <row r="146" spans="1:20" s="462" customFormat="1" outlineLevel="1">
      <c r="A146" s="437"/>
      <c r="B146" s="440"/>
      <c r="C146" s="440"/>
      <c r="D146" s="44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440"/>
      <c r="Q146" s="440"/>
      <c r="R146" s="440"/>
      <c r="S146" s="440"/>
      <c r="T146" s="440"/>
    </row>
    <row r="147" spans="1:20" s="462" customFormat="1" outlineLevel="1">
      <c r="A147" s="437"/>
      <c r="B147" s="440"/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</row>
    <row r="148" spans="1:20" s="462" customFormat="1" outlineLevel="1">
      <c r="A148" s="437"/>
      <c r="B148" s="440"/>
      <c r="C148" s="440"/>
      <c r="D148" s="44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440"/>
      <c r="Q148" s="440"/>
      <c r="R148" s="440"/>
      <c r="S148" s="440"/>
      <c r="T148" s="440"/>
    </row>
    <row r="149" spans="1:20" s="462" customFormat="1" outlineLevel="1">
      <c r="A149" s="437"/>
      <c r="B149" s="440"/>
      <c r="C149" s="440"/>
      <c r="D149" s="440"/>
      <c r="E149" s="440"/>
      <c r="F149" s="440"/>
      <c r="G149" s="440"/>
      <c r="H149" s="440"/>
      <c r="I149" s="440"/>
      <c r="J149" s="440"/>
      <c r="K149" s="440"/>
      <c r="L149" s="440"/>
      <c r="M149" s="440"/>
      <c r="N149" s="440"/>
      <c r="O149" s="440"/>
      <c r="P149" s="440"/>
      <c r="Q149" s="440"/>
      <c r="R149" s="440"/>
      <c r="S149" s="440"/>
      <c r="T149" s="440"/>
    </row>
    <row r="150" spans="1:20" s="462" customFormat="1" outlineLevel="1">
      <c r="A150" s="437"/>
      <c r="B150" s="440"/>
      <c r="C150" s="440"/>
      <c r="D150" s="440"/>
      <c r="E150" s="440"/>
      <c r="F150" s="440"/>
      <c r="G150" s="440"/>
      <c r="H150" s="440"/>
      <c r="I150" s="440"/>
      <c r="J150" s="440"/>
      <c r="K150" s="440"/>
      <c r="L150" s="440"/>
      <c r="M150" s="440"/>
      <c r="N150" s="440"/>
      <c r="O150" s="440"/>
      <c r="P150" s="440"/>
      <c r="Q150" s="440"/>
      <c r="R150" s="440"/>
      <c r="S150" s="440"/>
      <c r="T150" s="440"/>
    </row>
    <row r="151" spans="1:20" s="462" customFormat="1" outlineLevel="1">
      <c r="A151" s="437"/>
      <c r="B151" s="440"/>
      <c r="C151" s="440"/>
      <c r="D151" s="440"/>
      <c r="E151" s="440"/>
      <c r="F151" s="440"/>
      <c r="G151" s="440"/>
      <c r="H151" s="440"/>
      <c r="I151" s="440"/>
      <c r="J151" s="440"/>
      <c r="K151" s="440"/>
      <c r="L151" s="440"/>
      <c r="M151" s="440"/>
      <c r="N151" s="440"/>
      <c r="O151" s="440"/>
      <c r="P151" s="440"/>
      <c r="Q151" s="440"/>
      <c r="R151" s="440"/>
      <c r="S151" s="440"/>
      <c r="T151" s="440"/>
    </row>
    <row r="152" spans="1:20" s="462" customFormat="1" outlineLevel="1">
      <c r="A152" s="437"/>
      <c r="B152" s="440"/>
      <c r="C152" s="440"/>
      <c r="D152" s="440"/>
      <c r="E152" s="440"/>
      <c r="F152" s="440"/>
      <c r="G152" s="440"/>
      <c r="H152" s="440"/>
      <c r="I152" s="440"/>
      <c r="J152" s="440"/>
      <c r="K152" s="440"/>
      <c r="L152" s="440"/>
      <c r="M152" s="440"/>
      <c r="N152" s="440"/>
      <c r="O152" s="440"/>
      <c r="P152" s="440"/>
      <c r="Q152" s="440"/>
      <c r="R152" s="440"/>
      <c r="S152" s="440"/>
      <c r="T152" s="440"/>
    </row>
    <row r="153" spans="1:20" s="462" customFormat="1" outlineLevel="1">
      <c r="A153" s="437"/>
      <c r="B153" s="440"/>
      <c r="C153" s="440"/>
      <c r="D153" s="440"/>
      <c r="E153" s="440"/>
      <c r="F153" s="440"/>
      <c r="G153" s="440"/>
      <c r="H153" s="440"/>
      <c r="I153" s="440"/>
      <c r="J153" s="440"/>
      <c r="K153" s="440"/>
      <c r="L153" s="440"/>
      <c r="M153" s="440"/>
      <c r="N153" s="440"/>
      <c r="O153" s="440"/>
      <c r="P153" s="440"/>
      <c r="Q153" s="440"/>
      <c r="R153" s="440"/>
      <c r="S153" s="440"/>
      <c r="T153" s="440"/>
    </row>
    <row r="154" spans="1:20" s="462" customFormat="1" outlineLevel="1">
      <c r="A154" s="437"/>
      <c r="B154" s="440"/>
      <c r="C154" s="440"/>
      <c r="D154" s="440"/>
      <c r="E154" s="440"/>
      <c r="F154" s="440"/>
      <c r="G154" s="440"/>
      <c r="H154" s="440"/>
      <c r="I154" s="440"/>
      <c r="J154" s="440"/>
      <c r="K154" s="440"/>
      <c r="L154" s="440"/>
      <c r="M154" s="440"/>
      <c r="N154" s="440"/>
      <c r="O154" s="440"/>
      <c r="P154" s="440"/>
      <c r="Q154" s="440"/>
      <c r="R154" s="440"/>
      <c r="S154" s="440"/>
      <c r="T154" s="440"/>
    </row>
    <row r="155" spans="1:20" s="462" customFormat="1" outlineLevel="1">
      <c r="A155" s="437"/>
      <c r="B155" s="440"/>
      <c r="C155" s="440"/>
      <c r="D155" s="440"/>
      <c r="E155" s="440"/>
      <c r="F155" s="440"/>
      <c r="G155" s="440"/>
      <c r="H155" s="440"/>
      <c r="I155" s="440"/>
      <c r="J155" s="440"/>
      <c r="K155" s="440"/>
      <c r="L155" s="440"/>
      <c r="M155" s="440"/>
      <c r="N155" s="440"/>
      <c r="O155" s="440"/>
      <c r="P155" s="440"/>
      <c r="Q155" s="440"/>
      <c r="R155" s="440"/>
      <c r="S155" s="440"/>
      <c r="T155" s="440"/>
    </row>
    <row r="156" spans="1:20" s="462" customFormat="1" outlineLevel="1">
      <c r="A156" s="437"/>
      <c r="B156" s="440"/>
      <c r="C156" s="440"/>
      <c r="D156" s="44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440"/>
      <c r="Q156" s="440"/>
      <c r="R156" s="440"/>
      <c r="S156" s="440"/>
      <c r="T156" s="440"/>
    </row>
    <row r="157" spans="1:20" s="462" customFormat="1" outlineLevel="1">
      <c r="A157" s="437"/>
      <c r="B157" s="440"/>
      <c r="C157" s="440"/>
      <c r="D157" s="440"/>
      <c r="E157" s="440"/>
      <c r="F157" s="440"/>
      <c r="G157" s="440"/>
      <c r="H157" s="440"/>
      <c r="I157" s="440"/>
      <c r="J157" s="440"/>
      <c r="K157" s="440"/>
      <c r="L157" s="440"/>
      <c r="M157" s="440"/>
      <c r="N157" s="440"/>
      <c r="O157" s="440"/>
      <c r="P157" s="440"/>
      <c r="Q157" s="440"/>
      <c r="R157" s="440"/>
      <c r="S157" s="440"/>
      <c r="T157" s="440"/>
    </row>
    <row r="158" spans="1:20" s="462" customFormat="1" outlineLevel="1">
      <c r="A158" s="437"/>
      <c r="B158" s="440"/>
      <c r="C158" s="440"/>
      <c r="D158" s="440"/>
      <c r="E158" s="440"/>
      <c r="F158" s="440"/>
      <c r="G158" s="440"/>
      <c r="H158" s="440"/>
      <c r="I158" s="440"/>
      <c r="J158" s="440"/>
      <c r="K158" s="440"/>
      <c r="L158" s="440"/>
      <c r="M158" s="440"/>
      <c r="N158" s="440"/>
      <c r="O158" s="440"/>
      <c r="P158" s="440"/>
      <c r="Q158" s="440"/>
      <c r="R158" s="440"/>
      <c r="S158" s="440"/>
      <c r="T158" s="440"/>
    </row>
    <row r="159" spans="1:20" s="462" customFormat="1" outlineLevel="1">
      <c r="A159" s="437"/>
      <c r="B159" s="440"/>
      <c r="C159" s="440"/>
      <c r="D159" s="440"/>
      <c r="E159" s="440"/>
      <c r="F159" s="440"/>
      <c r="G159" s="440"/>
      <c r="H159" s="440"/>
      <c r="I159" s="440"/>
      <c r="J159" s="440"/>
      <c r="K159" s="440"/>
      <c r="L159" s="440"/>
      <c r="M159" s="440"/>
      <c r="N159" s="440"/>
      <c r="O159" s="440"/>
      <c r="P159" s="440"/>
      <c r="Q159" s="440"/>
      <c r="R159" s="440"/>
      <c r="S159" s="440"/>
      <c r="T159" s="440"/>
    </row>
    <row r="160" spans="1:20" s="462" customFormat="1" outlineLevel="1">
      <c r="A160" s="437"/>
      <c r="B160" s="440"/>
      <c r="C160" s="440"/>
      <c r="D160" s="440"/>
      <c r="E160" s="440"/>
      <c r="F160" s="440"/>
      <c r="G160" s="440"/>
      <c r="H160" s="440"/>
      <c r="I160" s="440"/>
      <c r="J160" s="440"/>
      <c r="K160" s="440"/>
      <c r="L160" s="440"/>
      <c r="M160" s="440"/>
      <c r="N160" s="440"/>
      <c r="O160" s="440"/>
      <c r="P160" s="440"/>
      <c r="Q160" s="440"/>
      <c r="R160" s="440"/>
      <c r="S160" s="440"/>
      <c r="T160" s="440"/>
    </row>
    <row r="161" spans="1:20" s="462" customFormat="1" outlineLevel="1">
      <c r="A161" s="437"/>
      <c r="B161" s="445" t="s">
        <v>526</v>
      </c>
      <c r="C161" s="445"/>
      <c r="D161" s="445"/>
      <c r="E161" s="445"/>
      <c r="F161" s="202"/>
      <c r="G161" s="202"/>
      <c r="H161" s="202"/>
      <c r="I161" s="202"/>
      <c r="J161" s="440"/>
      <c r="K161" s="440"/>
      <c r="L161" s="440"/>
      <c r="M161" s="440"/>
      <c r="N161" s="440"/>
      <c r="O161" s="440"/>
      <c r="P161" s="440"/>
      <c r="Q161" s="440"/>
      <c r="R161" s="440"/>
      <c r="S161" s="440"/>
      <c r="T161" s="440"/>
    </row>
    <row r="162" spans="1:20" s="463" customFormat="1" ht="20.25" customHeight="1" outlineLevel="1">
      <c r="A162" s="438"/>
      <c r="B162" s="447" t="str">
        <f>"终端占比："</f>
        <v>终端占比：</v>
      </c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</row>
    <row r="163" spans="1:20" s="462" customFormat="1" ht="20.25" customHeight="1" outlineLevel="1">
      <c r="A163" s="437"/>
      <c r="B163" s="446" t="str">
        <f ca="1">C133&amp;"："&amp;TEXT(I136,"0.0%")&amp;"("&amp;IF(J136&gt;0,"+","")&amp;TEXT(J136,"0.0%")&amp;")"</f>
        <v>安卓：54.0%(+4.2%)</v>
      </c>
      <c r="C163" s="440"/>
      <c r="D163" s="440"/>
      <c r="E163" s="440"/>
      <c r="F163" s="440"/>
      <c r="G163" s="440"/>
      <c r="H163" s="440"/>
      <c r="I163" s="440"/>
      <c r="J163" s="440"/>
      <c r="K163" s="440"/>
      <c r="L163" s="440"/>
      <c r="M163" s="440"/>
      <c r="N163" s="440"/>
      <c r="O163" s="440"/>
      <c r="P163" s="440"/>
      <c r="Q163" s="440"/>
      <c r="R163" s="440"/>
      <c r="S163" s="440"/>
      <c r="T163" s="440"/>
    </row>
    <row r="164" spans="1:20" s="462" customFormat="1" ht="20.25" customHeight="1" outlineLevel="1">
      <c r="A164" s="437"/>
      <c r="B164" s="446" t="str">
        <f ca="1">C134&amp;"："&amp;TEXT(I137,"0.0%")&amp;"("&amp;IF(J137&gt;0,"+","")&amp;TEXT(J137,"0.0%")&amp;")"</f>
        <v>iphone：38.5%(-3.8%)</v>
      </c>
      <c r="C164" s="440"/>
      <c r="D164" s="440"/>
      <c r="E164" s="440"/>
      <c r="F164" s="440"/>
      <c r="G164" s="440"/>
      <c r="H164" s="440"/>
      <c r="I164" s="440"/>
      <c r="J164" s="440"/>
      <c r="K164" s="440"/>
      <c r="L164" s="440"/>
      <c r="M164" s="440"/>
      <c r="N164" s="440"/>
      <c r="O164" s="440"/>
      <c r="P164" s="440"/>
      <c r="Q164" s="440"/>
      <c r="R164" s="440"/>
      <c r="S164" s="440"/>
      <c r="T164" s="440"/>
    </row>
    <row r="165" spans="1:20" s="462" customFormat="1" ht="20.25" customHeight="1" outlineLevel="1">
      <c r="A165" s="437"/>
      <c r="B165" s="446" t="str">
        <f ca="1">C135&amp;"："&amp;TEXT(I138,"0.0%")&amp;"("&amp;IF(J138&gt;0,"+","")&amp;TEXT(J138,"0.0%")&amp;")"</f>
        <v>ipad：7.5%(-0.4%)</v>
      </c>
      <c r="C165" s="440"/>
      <c r="D165" s="440"/>
      <c r="E165" s="440"/>
      <c r="F165" s="440"/>
      <c r="G165" s="440"/>
      <c r="H165" s="440"/>
      <c r="I165" s="440"/>
      <c r="J165" s="440"/>
      <c r="K165" s="440"/>
      <c r="L165" s="440"/>
      <c r="M165" s="440"/>
      <c r="N165" s="440"/>
      <c r="O165" s="440"/>
      <c r="P165" s="440"/>
      <c r="Q165" s="440"/>
      <c r="R165" s="440"/>
      <c r="S165" s="440"/>
      <c r="T165" s="440"/>
    </row>
    <row r="166" spans="1:20" s="462" customFormat="1" outlineLevel="1">
      <c r="A166" s="437"/>
      <c r="B166" s="440"/>
      <c r="C166" s="440"/>
      <c r="D166" s="440"/>
      <c r="E166" s="440"/>
      <c r="F166" s="440"/>
      <c r="G166" s="440"/>
      <c r="H166" s="440"/>
      <c r="I166" s="440"/>
      <c r="J166" s="440"/>
      <c r="K166" s="440"/>
      <c r="L166" s="440"/>
      <c r="M166" s="440"/>
      <c r="N166" s="440"/>
      <c r="O166" s="440"/>
      <c r="P166" s="440"/>
      <c r="Q166" s="440"/>
      <c r="R166" s="440"/>
      <c r="S166" s="440"/>
      <c r="T166" s="440"/>
    </row>
    <row r="167" spans="1:20" s="462" customFormat="1" outlineLevel="1">
      <c r="A167" s="437"/>
      <c r="B167" s="440"/>
      <c r="C167" s="440"/>
      <c r="D167" s="440"/>
      <c r="E167" s="440"/>
      <c r="F167" s="440"/>
      <c r="G167" s="440"/>
      <c r="H167" s="440"/>
      <c r="I167" s="440"/>
      <c r="J167" s="440"/>
      <c r="K167" s="440"/>
      <c r="L167" s="440"/>
      <c r="M167" s="440"/>
      <c r="N167" s="440"/>
      <c r="O167" s="440"/>
      <c r="P167" s="440"/>
      <c r="Q167" s="440"/>
      <c r="R167" s="440"/>
      <c r="S167" s="440"/>
      <c r="T167" s="440"/>
    </row>
    <row r="168" spans="1:20" s="462" customFormat="1" outlineLevel="1">
      <c r="A168" s="437"/>
      <c r="B168" s="440"/>
      <c r="C168" s="440"/>
      <c r="D168" s="440"/>
      <c r="E168" s="440"/>
      <c r="F168" s="440"/>
      <c r="G168" s="440"/>
      <c r="H168" s="440"/>
      <c r="I168" s="440"/>
      <c r="J168" s="440"/>
      <c r="K168" s="440"/>
      <c r="L168" s="440"/>
      <c r="M168" s="440"/>
      <c r="N168" s="440"/>
      <c r="O168" s="440"/>
      <c r="P168" s="440"/>
      <c r="Q168" s="440"/>
      <c r="R168" s="440"/>
      <c r="S168" s="440"/>
      <c r="T168" s="440"/>
    </row>
    <row r="169" spans="1:20" s="462" customFormat="1" outlineLevel="1">
      <c r="A169" s="437"/>
      <c r="B169" s="440"/>
      <c r="C169" s="440"/>
      <c r="D169" s="440"/>
      <c r="E169" s="440"/>
      <c r="F169" s="440"/>
      <c r="G169" s="440"/>
      <c r="H169" s="440"/>
      <c r="I169" s="440"/>
      <c r="J169" s="440"/>
      <c r="K169" s="440"/>
      <c r="L169" s="440"/>
      <c r="M169" s="440"/>
      <c r="N169" s="440"/>
      <c r="O169" s="440"/>
      <c r="P169" s="440"/>
      <c r="Q169" s="440"/>
      <c r="R169" s="440"/>
      <c r="S169" s="440"/>
      <c r="T169" s="440"/>
    </row>
    <row r="170" spans="1:20" s="462" customFormat="1" outlineLevel="1">
      <c r="A170" s="437"/>
      <c r="B170" s="440"/>
      <c r="C170" s="440"/>
      <c r="D170" s="440"/>
      <c r="E170" s="440"/>
      <c r="F170" s="440"/>
      <c r="G170" s="440"/>
      <c r="H170" s="440"/>
      <c r="I170" s="440"/>
      <c r="J170" s="440"/>
      <c r="K170" s="440"/>
      <c r="L170" s="440"/>
      <c r="M170" s="440"/>
      <c r="N170" s="440"/>
      <c r="O170" s="440"/>
      <c r="P170" s="440"/>
      <c r="Q170" s="440"/>
      <c r="R170" s="440"/>
      <c r="S170" s="440"/>
      <c r="T170" s="440"/>
    </row>
    <row r="171" spans="1:20" s="462" customFormat="1" outlineLevel="1">
      <c r="A171" s="437"/>
      <c r="B171" s="440"/>
      <c r="C171" s="440"/>
      <c r="D171" s="440"/>
      <c r="E171" s="440"/>
      <c r="F171" s="440"/>
      <c r="G171" s="440"/>
      <c r="H171" s="440"/>
      <c r="I171" s="440"/>
      <c r="J171" s="440"/>
      <c r="K171" s="440"/>
      <c r="L171" s="440"/>
      <c r="M171" s="440"/>
      <c r="N171" s="440"/>
      <c r="O171" s="440"/>
      <c r="P171" s="440"/>
      <c r="Q171" s="440"/>
      <c r="R171" s="440"/>
      <c r="S171" s="440"/>
      <c r="T171" s="440"/>
    </row>
    <row r="172" spans="1:20" s="462" customFormat="1" outlineLevel="1">
      <c r="A172" s="437"/>
      <c r="B172" s="440"/>
      <c r="C172" s="440"/>
      <c r="D172" s="440"/>
      <c r="E172" s="440"/>
      <c r="F172" s="440"/>
      <c r="G172" s="440"/>
      <c r="H172" s="440"/>
      <c r="I172" s="440"/>
      <c r="J172" s="440"/>
      <c r="K172" s="440"/>
      <c r="L172" s="440"/>
      <c r="M172" s="440"/>
      <c r="N172" s="440"/>
      <c r="O172" s="440"/>
      <c r="P172" s="440"/>
      <c r="Q172" s="440"/>
      <c r="R172" s="440"/>
      <c r="S172" s="440"/>
      <c r="T172" s="440"/>
    </row>
    <row r="173" spans="1:20" s="462" customFormat="1" outlineLevel="1">
      <c r="A173" s="437"/>
      <c r="B173" s="440"/>
      <c r="C173" s="440"/>
      <c r="D173" s="440"/>
      <c r="E173" s="440"/>
      <c r="F173" s="440"/>
      <c r="G173" s="440"/>
      <c r="H173" s="440"/>
      <c r="I173" s="440"/>
      <c r="J173" s="440"/>
      <c r="K173" s="440"/>
      <c r="L173" s="440"/>
      <c r="M173" s="440"/>
      <c r="N173" s="440"/>
      <c r="O173" s="440"/>
      <c r="P173" s="440"/>
      <c r="Q173" s="440"/>
      <c r="R173" s="440"/>
      <c r="S173" s="440"/>
      <c r="T173" s="440"/>
    </row>
    <row r="174" spans="1:20" s="462" customFormat="1" outlineLevel="1">
      <c r="A174" s="437"/>
      <c r="B174" s="440"/>
      <c r="C174" s="440"/>
      <c r="D174" s="440"/>
      <c r="E174" s="440"/>
      <c r="F174" s="440"/>
      <c r="G174" s="440"/>
      <c r="H174" s="440"/>
      <c r="I174" s="440"/>
      <c r="J174" s="440"/>
      <c r="K174" s="440"/>
      <c r="L174" s="440"/>
      <c r="M174" s="440"/>
      <c r="N174" s="440"/>
      <c r="O174" s="440"/>
      <c r="P174" s="440"/>
      <c r="Q174" s="440"/>
      <c r="R174" s="440"/>
      <c r="S174" s="440"/>
      <c r="T174" s="440"/>
    </row>
    <row r="175" spans="1:20" s="462" customFormat="1" outlineLevel="1">
      <c r="A175" s="437"/>
      <c r="B175" s="440"/>
      <c r="C175" s="440"/>
      <c r="D175" s="440"/>
      <c r="E175" s="440"/>
      <c r="F175" s="440"/>
      <c r="G175" s="440"/>
      <c r="H175" s="440"/>
      <c r="I175" s="440"/>
      <c r="J175" s="440"/>
      <c r="K175" s="440"/>
      <c r="L175" s="440"/>
      <c r="M175" s="440"/>
      <c r="N175" s="440"/>
      <c r="O175" s="440"/>
      <c r="P175" s="440"/>
      <c r="Q175" s="440"/>
      <c r="R175" s="440"/>
      <c r="S175" s="440"/>
      <c r="T175" s="440"/>
    </row>
    <row r="176" spans="1:20" s="462" customFormat="1" outlineLevel="1">
      <c r="A176" s="437"/>
      <c r="B176" s="440"/>
      <c r="C176" s="440"/>
      <c r="D176" s="440"/>
      <c r="E176" s="440"/>
      <c r="F176" s="440"/>
      <c r="G176" s="440"/>
      <c r="H176" s="440"/>
      <c r="I176" s="440"/>
      <c r="J176" s="440"/>
      <c r="K176" s="440"/>
      <c r="L176" s="440"/>
      <c r="M176" s="440"/>
      <c r="N176" s="440"/>
      <c r="O176" s="440"/>
      <c r="P176" s="440"/>
      <c r="Q176" s="440"/>
      <c r="R176" s="440"/>
      <c r="S176" s="440"/>
      <c r="T176" s="440"/>
    </row>
    <row r="177" spans="1:20" s="462" customFormat="1" outlineLevel="1">
      <c r="A177" s="437"/>
      <c r="B177" s="440"/>
      <c r="C177" s="440"/>
      <c r="D177" s="440"/>
      <c r="E177" s="440"/>
      <c r="F177" s="440"/>
      <c r="G177" s="440"/>
      <c r="H177" s="440"/>
      <c r="I177" s="440"/>
      <c r="J177" s="440"/>
      <c r="K177" s="440"/>
      <c r="L177" s="440"/>
      <c r="M177" s="440"/>
      <c r="N177" s="440"/>
      <c r="O177" s="440"/>
      <c r="P177" s="440"/>
      <c r="Q177" s="440"/>
      <c r="R177" s="440"/>
      <c r="S177" s="440"/>
      <c r="T177" s="440"/>
    </row>
    <row r="178" spans="1:20" s="462" customFormat="1" outlineLevel="1">
      <c r="A178" s="437"/>
      <c r="B178" s="440"/>
      <c r="C178" s="440"/>
      <c r="D178" s="440"/>
      <c r="E178" s="440"/>
      <c r="F178" s="440"/>
      <c r="G178" s="440"/>
      <c r="H178" s="440"/>
      <c r="I178" s="440"/>
      <c r="J178" s="440"/>
      <c r="K178" s="440"/>
      <c r="L178" s="440"/>
      <c r="M178" s="440"/>
      <c r="N178" s="440"/>
      <c r="O178" s="440"/>
      <c r="P178" s="440"/>
      <c r="Q178" s="440"/>
      <c r="R178" s="440"/>
      <c r="S178" s="440"/>
      <c r="T178" s="440"/>
    </row>
    <row r="179" spans="1:20" s="462" customFormat="1" outlineLevel="1">
      <c r="A179" s="437"/>
      <c r="B179" s="440"/>
      <c r="C179" s="440"/>
      <c r="D179" s="440"/>
      <c r="E179" s="440"/>
      <c r="F179" s="440"/>
      <c r="G179" s="440"/>
      <c r="H179" s="440"/>
      <c r="I179" s="440"/>
      <c r="J179" s="440"/>
      <c r="K179" s="440"/>
      <c r="L179" s="440"/>
      <c r="M179" s="440"/>
      <c r="N179" s="440"/>
      <c r="O179" s="440"/>
      <c r="P179" s="440"/>
      <c r="Q179" s="440"/>
      <c r="R179" s="440"/>
      <c r="S179" s="440"/>
      <c r="T179" s="440"/>
    </row>
    <row r="180" spans="1:20" s="462" customFormat="1" outlineLevel="1">
      <c r="A180" s="437"/>
      <c r="B180" s="440"/>
      <c r="C180" s="440"/>
      <c r="D180" s="440"/>
      <c r="E180" s="440"/>
      <c r="F180" s="440"/>
      <c r="G180" s="440"/>
      <c r="H180" s="440"/>
      <c r="I180" s="440"/>
      <c r="J180" s="440"/>
      <c r="K180" s="440"/>
      <c r="L180" s="440"/>
      <c r="M180" s="440"/>
      <c r="N180" s="440"/>
      <c r="O180" s="440"/>
      <c r="P180" s="440"/>
      <c r="Q180" s="440"/>
      <c r="R180" s="440"/>
      <c r="S180" s="440"/>
      <c r="T180" s="440"/>
    </row>
    <row r="181" spans="1:20" s="462" customFormat="1">
      <c r="A181" s="437"/>
      <c r="B181" s="440"/>
      <c r="C181" s="440"/>
      <c r="D181" s="440"/>
      <c r="E181" s="440"/>
      <c r="F181" s="440"/>
      <c r="G181" s="440"/>
      <c r="H181" s="440"/>
      <c r="I181" s="440"/>
      <c r="J181" s="440"/>
      <c r="K181" s="440"/>
      <c r="L181" s="440"/>
      <c r="M181" s="440"/>
      <c r="N181" s="440"/>
      <c r="O181" s="440"/>
      <c r="P181" s="440"/>
      <c r="Q181" s="440"/>
      <c r="R181" s="440"/>
      <c r="S181" s="440"/>
      <c r="T181" s="440"/>
    </row>
    <row r="182" spans="1:20" s="462" customFormat="1">
      <c r="A182" s="437"/>
      <c r="B182" s="440"/>
      <c r="C182" s="440"/>
      <c r="D182" s="440"/>
      <c r="E182" s="440"/>
      <c r="F182" s="440"/>
      <c r="G182" s="440"/>
      <c r="H182" s="440"/>
      <c r="I182" s="440"/>
      <c r="J182" s="440"/>
      <c r="K182" s="440"/>
      <c r="L182" s="440"/>
      <c r="M182" s="440"/>
      <c r="N182" s="440"/>
      <c r="O182" s="440"/>
      <c r="P182" s="440"/>
      <c r="Q182" s="440"/>
      <c r="R182" s="440"/>
      <c r="S182" s="440"/>
      <c r="T182" s="440"/>
    </row>
    <row r="183" spans="1:20">
      <c r="B183" s="448"/>
      <c r="C183" s="292">
        <v>17</v>
      </c>
      <c r="D183" s="292">
        <f>+C183</f>
        <v>17</v>
      </c>
      <c r="E183" s="292">
        <f>+D183</f>
        <v>17</v>
      </c>
      <c r="F183" s="292">
        <f>+E183</f>
        <v>17</v>
      </c>
      <c r="G183" s="292"/>
      <c r="H183" s="292"/>
      <c r="I183" s="292"/>
      <c r="J183" s="292"/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</row>
    <row r="184" spans="1:20">
      <c r="A184" s="292">
        <v>2</v>
      </c>
      <c r="B184" s="441" t="s">
        <v>522</v>
      </c>
      <c r="C184" s="441" t="s">
        <v>549</v>
      </c>
      <c r="D184" s="441" t="s">
        <v>550</v>
      </c>
      <c r="E184" s="441" t="s">
        <v>551</v>
      </c>
      <c r="F184" s="441" t="s">
        <v>552</v>
      </c>
    </row>
    <row r="185" spans="1:20">
      <c r="A185" s="292">
        <v>123</v>
      </c>
      <c r="B185" s="449" t="s">
        <v>527</v>
      </c>
      <c r="C185" s="450">
        <f ca="1">OFFSET(终端!$A$1,$A185-1,C$183-1)</f>
        <v>301515</v>
      </c>
      <c r="D185" s="450">
        <f ca="1">OFFSET(终端!$A$1,$A185,D$183-1)</f>
        <v>73109</v>
      </c>
      <c r="E185" s="450">
        <f ca="1">OFFSET(终端!$A$1,$A185-1,E$183-1)</f>
        <v>301515</v>
      </c>
      <c r="F185" s="450">
        <f ca="1">OFFSET(终端!$A$1,$A185-1,F$183-1)</f>
        <v>301515</v>
      </c>
    </row>
    <row r="186" spans="1:20">
      <c r="A186" s="292">
        <v>127</v>
      </c>
      <c r="B186" s="460" t="s">
        <v>557</v>
      </c>
      <c r="C186" s="421">
        <f ca="1">OFFSET(终端!$A$1,$A186-1,D$183-1)</f>
        <v>0.39445574059105826</v>
      </c>
      <c r="D186" s="421">
        <f ca="1">OFFSET(终端!$A$1,$A186,D$183-1)</f>
        <v>0.27363722363900067</v>
      </c>
      <c r="E186" s="309"/>
      <c r="F186" s="309"/>
    </row>
    <row r="187" spans="1:20">
      <c r="A187" s="292">
        <f>+A186+2</f>
        <v>129</v>
      </c>
      <c r="B187" s="460" t="s">
        <v>558</v>
      </c>
      <c r="C187" s="422">
        <f ca="1">OFFSET(终端!$A$1,$A187-1,D$183-1)</f>
        <v>0.29263766661447599</v>
      </c>
      <c r="D187" s="422">
        <f ca="1">OFFSET(终端!$A$1,$A187,D$183-1)</f>
        <v>0.17736781340119925</v>
      </c>
      <c r="E187" s="309"/>
      <c r="F187" s="309"/>
    </row>
    <row r="188" spans="1:20">
      <c r="A188" s="292">
        <f t="shared" ref="A188:A196" si="9">+A187+2</f>
        <v>131</v>
      </c>
      <c r="B188" s="459" t="s">
        <v>553</v>
      </c>
      <c r="C188" s="423">
        <f ca="1">OFFSET(终端!$A$1,$A188-1,D$183-1)</f>
        <v>4496</v>
      </c>
      <c r="D188" s="423">
        <f ca="1">OFFSET(终端!$A$1,$A188,D$183-1)</f>
        <v>0</v>
      </c>
      <c r="E188" s="327"/>
      <c r="F188" s="309"/>
    </row>
    <row r="189" spans="1:20" ht="16.5" customHeight="1">
      <c r="A189" s="292">
        <f t="shared" si="9"/>
        <v>133</v>
      </c>
      <c r="B189" s="459" t="s">
        <v>554</v>
      </c>
      <c r="C189" s="423">
        <f ca="1">OFFSET(终端!$A$1,$A189-1,D$183-1)</f>
        <v>411</v>
      </c>
      <c r="D189" s="423">
        <f ca="1">OFFSET(终端!$A$1,$A189,D$183-1)</f>
        <v>0</v>
      </c>
      <c r="E189" s="309"/>
      <c r="F189" s="309"/>
    </row>
    <row r="190" spans="1:20">
      <c r="A190" s="292">
        <f t="shared" si="9"/>
        <v>135</v>
      </c>
      <c r="B190" s="459" t="s">
        <v>555</v>
      </c>
      <c r="C190" s="423">
        <f ca="1">OFFSET(终端!$A$1,$A190-1,D$183-1)</f>
        <v>5040</v>
      </c>
      <c r="D190" s="423">
        <f ca="1">OFFSET(终端!$A$1,$A190,D$183-1)</f>
        <v>856</v>
      </c>
      <c r="E190" s="309"/>
      <c r="F190" s="309"/>
    </row>
    <row r="191" spans="1:20" ht="16.5" customHeight="1">
      <c r="A191" s="292">
        <f t="shared" si="9"/>
        <v>137</v>
      </c>
      <c r="B191" s="459" t="s">
        <v>200</v>
      </c>
      <c r="C191" s="450">
        <f ca="1">OFFSET(终端!$A$1,$A191-1,D$183-1)</f>
        <v>478</v>
      </c>
      <c r="D191" s="450">
        <f ca="1">OFFSET(终端!$A$1,$A191,D$183-1)</f>
        <v>61</v>
      </c>
      <c r="E191" s="309"/>
      <c r="F191" s="309"/>
    </row>
    <row r="192" spans="1:20">
      <c r="A192" s="292">
        <f t="shared" si="9"/>
        <v>139</v>
      </c>
      <c r="B192" s="459" t="s">
        <v>201</v>
      </c>
      <c r="C192" s="450">
        <f ca="1">OFFSET(终端!$A$1,$A192-1,D$183-1)</f>
        <v>5490</v>
      </c>
      <c r="D192" s="450">
        <f ca="1">OFFSET(终端!$A$1,$A192,D$183-1)</f>
        <v>1119</v>
      </c>
      <c r="E192" s="309"/>
      <c r="F192" s="309"/>
    </row>
    <row r="193" spans="1:20" ht="16.5" customHeight="1">
      <c r="A193" s="292">
        <f t="shared" si="9"/>
        <v>141</v>
      </c>
      <c r="B193" s="459" t="s">
        <v>559</v>
      </c>
      <c r="C193" s="450">
        <f ca="1">OFFSET(终端!$A$1,$A193-1,D$183-1)</f>
        <v>530</v>
      </c>
      <c r="D193" s="450">
        <f ca="1">OFFSET(终端!$A$1,$A193,D$183-1)</f>
        <v>94</v>
      </c>
      <c r="E193" s="309"/>
      <c r="F193" s="309"/>
    </row>
    <row r="194" spans="1:20">
      <c r="A194" s="292">
        <f t="shared" si="9"/>
        <v>143</v>
      </c>
      <c r="B194" s="459" t="s">
        <v>203</v>
      </c>
      <c r="C194" s="450">
        <f ca="1">OFFSET(终端!$A$1,$A194-1,D$183-1)</f>
        <v>5713</v>
      </c>
      <c r="D194" s="450">
        <f ca="1">OFFSET(终端!$A$1,$A194,D$183-1)</f>
        <v>1329</v>
      </c>
      <c r="E194" s="309"/>
      <c r="F194" s="309"/>
    </row>
    <row r="195" spans="1:20">
      <c r="A195" s="292">
        <f t="shared" si="9"/>
        <v>145</v>
      </c>
      <c r="B195" s="459" t="s">
        <v>556</v>
      </c>
      <c r="C195" s="450">
        <f ca="1">OFFSET(终端!$A$1,$A195-1,D$183-1)</f>
        <v>562</v>
      </c>
      <c r="D195" s="450">
        <f ca="1">OFFSET(终端!$A$1,$A195,D$183-1)</f>
        <v>121</v>
      </c>
      <c r="E195" s="309"/>
      <c r="F195" s="309"/>
    </row>
    <row r="196" spans="1:20" s="147" customFormat="1">
      <c r="A196" s="292">
        <f t="shared" si="9"/>
        <v>147</v>
      </c>
      <c r="B196" s="459" t="s">
        <v>205</v>
      </c>
      <c r="C196" s="450">
        <f ca="1">OFFSET(终端!$A$1,$A196-1,D$183-1)</f>
        <v>72336</v>
      </c>
      <c r="D196" s="450">
        <f ca="1">OFFSET(终端!$A$1,$A196,D$183-1)</f>
        <v>18231</v>
      </c>
      <c r="E196" s="449"/>
      <c r="F196" s="449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</row>
    <row r="199" spans="1:20" s="147" customFormat="1" ht="21">
      <c r="A199" s="145"/>
      <c r="B199" s="192" t="s">
        <v>560</v>
      </c>
      <c r="C199" s="150"/>
      <c r="D199" s="150">
        <f t="shared" ref="D199:I199" si="10">+D130</f>
        <v>13</v>
      </c>
      <c r="E199" s="150">
        <f t="shared" si="10"/>
        <v>14</v>
      </c>
      <c r="F199" s="150">
        <f t="shared" si="10"/>
        <v>15</v>
      </c>
      <c r="G199" s="150">
        <f t="shared" si="10"/>
        <v>16</v>
      </c>
      <c r="H199" s="150">
        <f t="shared" si="10"/>
        <v>17</v>
      </c>
      <c r="I199" s="150">
        <f t="shared" si="10"/>
        <v>18</v>
      </c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</row>
    <row r="200" spans="1:20" s="147" customFormat="1" outlineLevel="1">
      <c r="A200" s="145">
        <v>2</v>
      </c>
      <c r="B200" s="151" t="s">
        <v>394</v>
      </c>
      <c r="C200" s="151" t="s">
        <v>542</v>
      </c>
      <c r="D200" s="151">
        <f ca="1">OFFSET(终端!$A$1,$A200-1,D$199-1,1,1)</f>
        <v>42795</v>
      </c>
      <c r="E200" s="151">
        <f ca="1">OFFSET(终端!$A$1,$A200-1,E$199-1,1,1)</f>
        <v>42826</v>
      </c>
      <c r="F200" s="151">
        <f ca="1">OFFSET(终端!$A$1,$A200-1,F$199-1,1,1)</f>
        <v>42856</v>
      </c>
      <c r="G200" s="151">
        <f ca="1">OFFSET(终端!$A$1,$A200-1,G$199-1,1,1)</f>
        <v>42887</v>
      </c>
      <c r="H200" s="151">
        <f ca="1">OFFSET(终端!$A$1,$A200-1,H$199-1,1,1)</f>
        <v>42917</v>
      </c>
      <c r="I200" s="151">
        <f ca="1">OFFSET(终端!$A$1,$A200-1,I$199-1,1,1)</f>
        <v>42948</v>
      </c>
      <c r="J200" s="451" t="s">
        <v>543</v>
      </c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</row>
    <row r="201" spans="1:20" s="147" customFormat="1" outlineLevel="1">
      <c r="A201" s="145">
        <v>17</v>
      </c>
      <c r="B201" s="564" t="s">
        <v>386</v>
      </c>
      <c r="C201" s="194" t="s">
        <v>544</v>
      </c>
      <c r="D201" s="278">
        <f ca="1">OFFSET(终端!$A$1,$A201-1,D$199-1,1,1)</f>
        <v>33995051</v>
      </c>
      <c r="E201" s="277">
        <f ca="1">OFFSET(终端!$A$1,$A201-1,E$199-1,1,1)</f>
        <v>30961181</v>
      </c>
      <c r="F201" s="277">
        <f ca="1">OFFSET(终端!$A$1,$A201-1,F$199-1,1,1)</f>
        <v>35249211</v>
      </c>
      <c r="G201" s="277">
        <f ca="1">OFFSET(终端!$A$1,$A201-1,G$199-1,1,1)</f>
        <v>34869832</v>
      </c>
      <c r="H201" s="278">
        <f ca="1">OFFSET(终端!$A$1,$A201-1,H$199-1,1,1)</f>
        <v>38802155</v>
      </c>
      <c r="I201" s="278">
        <f ca="1">OFFSET(终端!$A$1,$A201-1,I$199-1,1,1)</f>
        <v>41486783</v>
      </c>
      <c r="J201" s="169">
        <f ca="1">(I201-H201)/H201</f>
        <v>6.9187600534042507E-2</v>
      </c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</row>
    <row r="202" spans="1:20" s="147" customFormat="1" outlineLevel="1">
      <c r="A202" s="145">
        <v>18</v>
      </c>
      <c r="B202" s="564"/>
      <c r="C202" s="194" t="s">
        <v>545</v>
      </c>
      <c r="D202" s="278">
        <f ca="1">OFFSET(终端!$A$1,$A202-1,D$199-1,1,1)</f>
        <v>2355017</v>
      </c>
      <c r="E202" s="277">
        <f ca="1">OFFSET(终端!$A$1,$A202-1,E$199-1,1,1)</f>
        <v>2251506</v>
      </c>
      <c r="F202" s="277">
        <f ca="1">OFFSET(终端!$A$1,$A202-1,F$199-1,1,1)</f>
        <v>2723592</v>
      </c>
      <c r="G202" s="277">
        <f ca="1">OFFSET(终端!$A$1,$A202-1,G$199-1,1,1)</f>
        <v>2589361</v>
      </c>
      <c r="H202" s="278">
        <f ca="1">OFFSET(终端!$A$1,$A202-1,H$199-1,1,1)</f>
        <v>3208441</v>
      </c>
      <c r="I202" s="278">
        <f ca="1">OFFSET(终端!$A$1,$A202-1,I$199-1,1,1)</f>
        <v>3326524</v>
      </c>
      <c r="J202" s="169">
        <f ca="1">(I202-H202)/H202</f>
        <v>3.6803855829045946E-2</v>
      </c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</row>
    <row r="203" spans="1:20" s="178" customFormat="1" ht="20.25" customHeight="1" outlineLevel="1">
      <c r="A203" s="282"/>
      <c r="B203" s="177" t="str">
        <f ca="1">"PV："&amp;TEXT(I201/10000,"0")&amp;"万("&amp;IF(J201&gt;0,"+","")&amp;TEXT(J201,"0.0%")&amp;")"</f>
        <v>PV：4149万(+6.9%)</v>
      </c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</row>
    <row r="204" spans="1:20" s="178" customFormat="1" ht="20.25" customHeight="1" outlineLevel="1">
      <c r="A204" s="282"/>
      <c r="B204" s="177" t="str">
        <f ca="1">"UV："&amp;TEXT(I202/10000,"0")&amp;"万("&amp;IF(J202&gt;0,"+","")&amp;TEXT(J202,"0.0%")&amp;")"</f>
        <v>UV：333万(+3.7%)</v>
      </c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</row>
    <row r="205" spans="1:20" s="147" customFormat="1" outlineLevel="1">
      <c r="A205" s="145"/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</row>
    <row r="206" spans="1:20" s="147" customFormat="1" outlineLevel="1">
      <c r="A206" s="145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</row>
    <row r="207" spans="1:20" s="147" customFormat="1" outlineLevel="1">
      <c r="A207" s="145"/>
      <c r="B207" s="150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</row>
    <row r="208" spans="1:20" s="147" customFormat="1" outlineLevel="1">
      <c r="A208" s="145"/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</row>
    <row r="209" spans="1:20" s="147" customFormat="1" outlineLevel="1">
      <c r="A209" s="145"/>
      <c r="B209" s="150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</row>
    <row r="210" spans="1:20" s="147" customFormat="1" outlineLevel="1">
      <c r="A210" s="145"/>
      <c r="B210" s="150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</row>
    <row r="211" spans="1:20" s="147" customFormat="1" outlineLevel="1">
      <c r="A211" s="145"/>
      <c r="B211" s="150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</row>
    <row r="212" spans="1:20" s="147" customFormat="1" outlineLevel="1">
      <c r="A212" s="145"/>
      <c r="B212" s="150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</row>
    <row r="213" spans="1:20" s="147" customFormat="1" outlineLevel="1">
      <c r="A213" s="145"/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</row>
    <row r="214" spans="1:20" s="147" customFormat="1" outlineLevel="1">
      <c r="A214" s="145"/>
      <c r="B214" s="150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</row>
    <row r="215" spans="1:20" s="147" customFormat="1" outlineLevel="1">
      <c r="A215" s="145"/>
      <c r="B215" s="150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</row>
    <row r="216" spans="1:20" s="147" customFormat="1" outlineLevel="1">
      <c r="A216" s="145"/>
      <c r="B216" s="150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</row>
    <row r="217" spans="1:20" s="147" customFormat="1" outlineLevel="1">
      <c r="A217" s="145"/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</row>
    <row r="218" spans="1:20" s="147" customFormat="1" outlineLevel="1">
      <c r="A218" s="145"/>
      <c r="B218" s="150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</row>
    <row r="219" spans="1:20" s="147" customFormat="1" ht="15.75" customHeight="1" outlineLevel="1">
      <c r="A219" s="145"/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</row>
    <row r="220" spans="1:20" s="147" customFormat="1" ht="15.75" customHeight="1">
      <c r="A220" s="145"/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</row>
    <row r="221" spans="1:20" s="147" customFormat="1" ht="15.75" customHeight="1">
      <c r="A221" s="145"/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</row>
    <row r="222" spans="1:20" s="147" customFormat="1" ht="15.75" customHeight="1">
      <c r="A222" s="145"/>
      <c r="B222" s="192" t="s">
        <v>546</v>
      </c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</row>
    <row r="223" spans="1:20" s="147" customFormat="1" ht="15.75" customHeight="1">
      <c r="A223" s="145"/>
      <c r="B223" s="452">
        <v>1</v>
      </c>
      <c r="C223" s="145">
        <f>+C1</f>
        <v>18</v>
      </c>
      <c r="D223" s="452">
        <v>1</v>
      </c>
      <c r="E223" s="145">
        <f>+C223</f>
        <v>18</v>
      </c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</row>
    <row r="224" spans="1:20" s="147" customFormat="1" outlineLevel="1">
      <c r="A224" s="145"/>
      <c r="B224" s="556" t="s">
        <v>547</v>
      </c>
      <c r="C224" s="557" t="s">
        <v>547</v>
      </c>
      <c r="D224" s="556" t="s">
        <v>548</v>
      </c>
      <c r="E224" s="557">
        <v>0</v>
      </c>
      <c r="F224" s="145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</row>
    <row r="225" spans="1:20" s="147" customFormat="1" ht="16.5" customHeight="1" outlineLevel="1">
      <c r="A225" s="145">
        <v>19</v>
      </c>
      <c r="B225" s="453" t="str">
        <f ca="1">OFFSET(终端!$A$1,$A225-1,B$223,1,1)</f>
        <v>梦幻手游内置CC</v>
      </c>
      <c r="C225" s="453">
        <f ca="1">OFFSET(终端!$A$1,$A225-1,C$223-1)</f>
        <v>692092</v>
      </c>
      <c r="D225" s="454" t="str">
        <f ca="1">OFFSET(终端!$A$1,$F225-1,D$223,1,1)</f>
        <v>WebCC渠道mail.163.com</v>
      </c>
      <c r="E225" s="453">
        <f ca="1">OFFSET(终端!$A$1,$F225-1,E$223-1)</f>
        <v>24870</v>
      </c>
      <c r="F225" s="145">
        <v>29</v>
      </c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</row>
    <row r="226" spans="1:20" s="147" customFormat="1" outlineLevel="1">
      <c r="A226" s="145">
        <f>+A225+1</f>
        <v>20</v>
      </c>
      <c r="B226" s="453" t="str">
        <f ca="1">OFFSET(终端!$A$1,$A226-1,B$223,1,1)</f>
        <v>梦幻电脑版内置直播</v>
      </c>
      <c r="C226" s="453">
        <f ca="1">OFFSET(终端!$A$1,$A226-1,C$223-1)</f>
        <v>488518</v>
      </c>
      <c r="D226" s="454" t="str">
        <f ca="1">OFFSET(终端!$A$1,$F226-1,D$223,1,1)</f>
        <v>梦幻手游网页版/桌面版嵌入直播</v>
      </c>
      <c r="E226" s="453">
        <f ca="1">OFFSET(终端!$A$1,$F226-1,E$223-1)</f>
        <v>3418</v>
      </c>
      <c r="F226" s="145">
        <f>+F225+1</f>
        <v>30</v>
      </c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</row>
    <row r="227" spans="1:20" s="147" customFormat="1" outlineLevel="1">
      <c r="A227" s="145">
        <f t="shared" ref="A227:A234" si="11">+A226+1</f>
        <v>21</v>
      </c>
      <c r="B227" s="453" t="str">
        <f ca="1">OFFSET(终端!$A$1,$A227-1,B$223,1,1)</f>
        <v>梦幻手游网页版</v>
      </c>
      <c r="C227" s="453">
        <f ca="1">OFFSET(终端!$A$1,$A227-1,C$223-1)</f>
        <v>629998</v>
      </c>
      <c r="D227" s="454" t="str">
        <f ca="1">OFFSET(终端!$A$1,$F227-1,D$223,1,1)</f>
        <v>炉石页面</v>
      </c>
      <c r="E227" s="453">
        <f ca="1">OFFSET(终端!$A$1,$F227-1,E$223-1)</f>
        <v>2287</v>
      </c>
      <c r="F227" s="145">
        <f t="shared" ref="F227:F234" si="12">+F226+1</f>
        <v>31</v>
      </c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</row>
    <row r="228" spans="1:20" s="147" customFormat="1" outlineLevel="1">
      <c r="A228" s="145">
        <f t="shared" si="11"/>
        <v>22</v>
      </c>
      <c r="B228" s="453" t="str">
        <f ca="1">OFFSET(终端!$A$1,$A228-1,B$223,1,1)</f>
        <v>大话手游内置CC</v>
      </c>
      <c r="C228" s="453">
        <f ca="1">OFFSET(终端!$A$1,$A228-1,C$223-1)</f>
        <v>186084</v>
      </c>
      <c r="D228" s="454" t="str">
        <f ca="1">OFFSET(终端!$A$1,$F228-1,D$223,1,1)</f>
        <v>天下3论坛</v>
      </c>
      <c r="E228" s="453">
        <f ca="1">OFFSET(终端!$A$1,$F228-1,E$223-1)</f>
        <v>1671</v>
      </c>
      <c r="F228" s="145">
        <f t="shared" si="12"/>
        <v>32</v>
      </c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</row>
    <row r="229" spans="1:20" s="147" customFormat="1" outlineLevel="1">
      <c r="A229" s="145">
        <f t="shared" si="11"/>
        <v>23</v>
      </c>
      <c r="B229" s="453" t="str">
        <f ca="1">OFFSET(终端!$A$1,$A229-1,B$223,1,1)</f>
        <v>炉石传说16163论坛</v>
      </c>
      <c r="C229" s="453">
        <f ca="1">OFFSET(终端!$A$1,$A229-1,C$223-1)</f>
        <v>176187</v>
      </c>
      <c r="D229" s="454" t="str">
        <f ca="1">OFFSET(终端!$A$1,$F229-1,D$223,1,1)</f>
        <v>大话手游网页版</v>
      </c>
      <c r="E229" s="453">
        <f ca="1">OFFSET(终端!$A$1,$F229-1,E$223-1)</f>
        <v>1649</v>
      </c>
      <c r="F229" s="145">
        <f t="shared" si="12"/>
        <v>33</v>
      </c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</row>
    <row r="230" spans="1:20" s="147" customFormat="1" outlineLevel="1">
      <c r="A230" s="145">
        <f t="shared" si="11"/>
        <v>24</v>
      </c>
      <c r="B230" s="453" t="str">
        <f ca="1">OFFSET(终端!$A$1,$A230-1,B$223,1,1)</f>
        <v>阴阳师16163论坛</v>
      </c>
      <c r="C230" s="453">
        <f ca="1">OFFSET(终端!$A$1,$A230-1,C$223-1)</f>
        <v>167451</v>
      </c>
      <c r="D230" s="454" t="str">
        <f ca="1">OFFSET(终端!$A$1,$F230-1,D$223,1,1)</f>
        <v>炉石传说16163论坛</v>
      </c>
      <c r="E230" s="453">
        <f ca="1">OFFSET(终端!$A$1,$F230-1,E$223-1)</f>
        <v>1561</v>
      </c>
      <c r="F230" s="145">
        <f t="shared" si="12"/>
        <v>34</v>
      </c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</row>
    <row r="231" spans="1:20" s="147" customFormat="1" outlineLevel="1">
      <c r="A231" s="145">
        <f t="shared" si="11"/>
        <v>25</v>
      </c>
      <c r="B231" s="453" t="str">
        <f ca="1">OFFSET(终端!$A$1,$A231-1,B$223,1,1)</f>
        <v>大话手游网页版</v>
      </c>
      <c r="C231" s="453">
        <f ca="1">OFFSET(终端!$A$1,$A231-1,C$223-1)</f>
        <v>109517</v>
      </c>
      <c r="D231" s="454" t="str">
        <f ca="1">OFFSET(终端!$A$1,$F231-1,D$223,1,1)</f>
        <v>乱斗西游超级联赛</v>
      </c>
      <c r="E231" s="453">
        <f ca="1">OFFSET(终端!$A$1,$F231-1,E$223-1)</f>
        <v>1402</v>
      </c>
      <c r="F231" s="145">
        <f t="shared" si="12"/>
        <v>35</v>
      </c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</row>
    <row r="232" spans="1:20" s="147" customFormat="1" outlineLevel="1">
      <c r="A232" s="145">
        <f t="shared" si="11"/>
        <v>26</v>
      </c>
      <c r="B232" s="453" t="str">
        <f ca="1">OFFSET(终端!$A$1,$A232-1,B$223,1,1)</f>
        <v>大话2经典比武大会直播页</v>
      </c>
      <c r="C232" s="453">
        <f ca="1">OFFSET(终端!$A$1,$A232-1,C$223-1)</f>
        <v>55362</v>
      </c>
      <c r="D232" s="454" t="str">
        <f ca="1">OFFSET(终端!$A$1,$F232-1,D$223,1,1)</f>
        <v>梦幻专区合作位</v>
      </c>
      <c r="E232" s="453">
        <f ca="1">OFFSET(终端!$A$1,$F232-1,E$223-1)</f>
        <v>1134</v>
      </c>
      <c r="F232" s="145">
        <f t="shared" si="12"/>
        <v>36</v>
      </c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</row>
    <row r="233" spans="1:20" s="147" customFormat="1" outlineLevel="1">
      <c r="A233" s="145">
        <f t="shared" si="11"/>
        <v>27</v>
      </c>
      <c r="B233" s="453" t="str">
        <f ca="1">OFFSET(终端!$A$1,$A233-1,B$223,1,1)</f>
        <v>大唐无双手游16163论坛</v>
      </c>
      <c r="C233" s="453">
        <f ca="1">OFFSET(终端!$A$1,$A233-1,C$223-1)</f>
        <v>31089</v>
      </c>
      <c r="D233" s="454" t="str">
        <f ca="1">OFFSET(终端!$A$1,$F233-1,D$223,1,1)</f>
        <v>炉石盒子</v>
      </c>
      <c r="E233" s="453">
        <f ca="1">OFFSET(终端!$A$1,$F233-1,E$223-1)</f>
        <v>1086</v>
      </c>
      <c r="F233" s="145">
        <f t="shared" si="12"/>
        <v>37</v>
      </c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</row>
    <row r="234" spans="1:20" s="147" customFormat="1" outlineLevel="1">
      <c r="A234" s="145">
        <f t="shared" si="11"/>
        <v>28</v>
      </c>
      <c r="B234" s="453" t="str">
        <f ca="1">OFFSET(终端!$A$1,$A234-1,B$223,1,1)</f>
        <v>天下3游戏内置天下TV</v>
      </c>
      <c r="C234" s="453">
        <f ca="1">OFFSET(终端!$A$1,$A234-1,C$223-1)</f>
        <v>25043</v>
      </c>
      <c r="D234" s="454" t="str">
        <f ca="1">OFFSET(终端!$A$1,$F234-1,D$223,1,1)</f>
        <v>倩女幽魂论坛</v>
      </c>
      <c r="E234" s="453">
        <f ca="1">OFFSET(终端!$A$1,$F234-1,E$223-1)</f>
        <v>1066</v>
      </c>
      <c r="F234" s="145">
        <f t="shared" si="12"/>
        <v>38</v>
      </c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</row>
    <row r="235" spans="1:20" s="147" customFormat="1" outlineLevel="1">
      <c r="A235" s="145"/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</row>
    <row r="236" spans="1:20" s="147" customFormat="1" outlineLevel="1">
      <c r="A236" s="145"/>
      <c r="B236" s="150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</row>
    <row r="237" spans="1:20" s="147" customFormat="1" outlineLevel="1">
      <c r="A237" s="145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</row>
    <row r="238" spans="1:20" s="147" customFormat="1" outlineLevel="1">
      <c r="A238" s="145"/>
      <c r="B238" s="150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</row>
    <row r="239" spans="1:20" s="147" customFormat="1" outlineLevel="1">
      <c r="A239" s="145"/>
      <c r="B239" s="150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</row>
    <row r="240" spans="1:20" s="147" customFormat="1" outlineLevel="1">
      <c r="A240" s="145"/>
      <c r="B240" s="150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</row>
    <row r="241" spans="1:20" s="147" customFormat="1" outlineLevel="1">
      <c r="A241" s="145"/>
      <c r="B241" s="150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</row>
    <row r="242" spans="1:20" s="147" customFormat="1" outlineLevel="1">
      <c r="A242" s="145"/>
      <c r="B242" s="150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</row>
    <row r="243" spans="1:20" s="147" customFormat="1" outlineLevel="1">
      <c r="A243" s="145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</row>
    <row r="244" spans="1:20" s="147" customFormat="1" outlineLevel="1">
      <c r="A244" s="145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</row>
    <row r="245" spans="1:20" s="147" customFormat="1" outlineLevel="1">
      <c r="A245" s="145"/>
      <c r="B245" s="150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</row>
    <row r="246" spans="1:20" s="147" customFormat="1" outlineLevel="1">
      <c r="A246" s="145"/>
      <c r="B246" s="150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</row>
    <row r="247" spans="1:20" s="147" customFormat="1" outlineLevel="1">
      <c r="A247" s="145"/>
      <c r="B247" s="150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</row>
    <row r="248" spans="1:20" s="147" customFormat="1" outlineLevel="1">
      <c r="A248" s="145"/>
      <c r="B248" s="150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</row>
    <row r="249" spans="1:20" s="147" customFormat="1" outlineLevel="1">
      <c r="A249" s="145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</row>
    <row r="250" spans="1:20" s="147" customFormat="1" outlineLevel="1">
      <c r="A250" s="145"/>
      <c r="B250" s="150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</row>
    <row r="251" spans="1:20" s="147" customFormat="1" outlineLevel="1">
      <c r="A251" s="145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</row>
    <row r="252" spans="1:20" s="147" customFormat="1" outlineLevel="1">
      <c r="A252" s="145"/>
      <c r="B252" s="150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</row>
    <row r="253" spans="1:20" s="147" customFormat="1" outlineLevel="1">
      <c r="A253" s="145"/>
      <c r="B253" s="150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</row>
    <row r="254" spans="1:20" s="147" customFormat="1" outlineLevel="1">
      <c r="A254" s="145"/>
      <c r="B254" s="150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</row>
    <row r="255" spans="1:20" s="147" customFormat="1" outlineLevel="1">
      <c r="A255" s="145"/>
      <c r="B255" s="150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</row>
    <row r="256" spans="1:20" s="147" customFormat="1" outlineLevel="1">
      <c r="A256" s="145"/>
      <c r="B256" s="150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</row>
    <row r="257" spans="1:20" s="147" customFormat="1" outlineLevel="1">
      <c r="A257" s="145"/>
      <c r="B257" s="150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</row>
    <row r="258" spans="1:20" s="147" customFormat="1" outlineLevel="1">
      <c r="A258" s="145"/>
      <c r="B258" s="150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</row>
    <row r="259" spans="1:20" s="147" customFormat="1" outlineLevel="1">
      <c r="A259" s="145"/>
      <c r="B259" s="150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</row>
    <row r="260" spans="1:20" s="147" customFormat="1" outlineLevel="1">
      <c r="A260" s="145"/>
      <c r="B260" s="150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</row>
    <row r="261" spans="1:20" s="147" customFormat="1" outlineLevel="1">
      <c r="A261" s="145"/>
      <c r="B261" s="150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</row>
    <row r="262" spans="1:20" s="147" customFormat="1" outlineLevel="1">
      <c r="A262" s="145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</row>
    <row r="263" spans="1:20" s="147" customFormat="1" outlineLevel="1">
      <c r="A263" s="145"/>
      <c r="B263" s="150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</row>
    <row r="264" spans="1:20" s="147" customFormat="1" outlineLevel="1">
      <c r="A264" s="145"/>
      <c r="B264" s="150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</row>
    <row r="265" spans="1:20" s="147" customFormat="1">
      <c r="A265" s="145"/>
      <c r="B265" s="150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</row>
    <row r="266" spans="1:20" s="147" customFormat="1">
      <c r="A266" s="145"/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</row>
  </sheetData>
  <mergeCells count="5">
    <mergeCell ref="D224:E224"/>
    <mergeCell ref="B132:B138"/>
    <mergeCell ref="B84:B90"/>
    <mergeCell ref="B201:B202"/>
    <mergeCell ref="B224:C224"/>
  </mergeCells>
  <phoneticPr fontId="5" type="noConversion"/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E2A9351-7D77-4409-94EE-D1F78B14993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J131</xm:sqref>
        </x14:conditionalFormatting>
        <x14:conditionalFormatting xmlns:xm="http://schemas.microsoft.com/office/excel/2006/main">
          <x14:cfRule type="iconSet" priority="5" id="{82FB146D-8D99-4E7B-B14E-F296FC0D126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J132:J138</xm:sqref>
        </x14:conditionalFormatting>
        <x14:conditionalFormatting xmlns:xm="http://schemas.microsoft.com/office/excel/2006/main">
          <x14:cfRule type="iconSet" priority="4" id="{5D9A6117-7EAB-4E68-9DD0-B1A1702905B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J84:J90</xm:sqref>
        </x14:conditionalFormatting>
        <x14:conditionalFormatting xmlns:xm="http://schemas.microsoft.com/office/excel/2006/main">
          <x14:cfRule type="iconSet" priority="3" id="{3E8FAE50-BCCE-425C-9E7F-1A8C48FCE84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J83</xm:sqref>
        </x14:conditionalFormatting>
        <x14:conditionalFormatting xmlns:xm="http://schemas.microsoft.com/office/excel/2006/main">
          <x14:cfRule type="iconSet" priority="2" id="{25E32EDA-EFCD-4858-9000-759C1B1DE94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J201:J202</xm:sqref>
        </x14:conditionalFormatting>
        <x14:conditionalFormatting xmlns:xm="http://schemas.microsoft.com/office/excel/2006/main">
          <x14:cfRule type="iconSet" priority="1" id="{792583CF-D7AD-4951-8DAD-CDCE1EF37BC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用户</vt:lpstr>
      <vt:lpstr>图-用户-公式</vt:lpstr>
      <vt:lpstr>新用户</vt:lpstr>
      <vt:lpstr>图-新用户-公式</vt:lpstr>
      <vt:lpstr>活跃</vt:lpstr>
      <vt:lpstr>图-活跃-公式</vt:lpstr>
      <vt:lpstr>终端</vt:lpstr>
      <vt:lpstr>图-终端-公式</vt:lpstr>
    </vt:vector>
  </TitlesOfParts>
  <Company>wyse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fantian</dc:creator>
  <cp:lastModifiedBy>fantian</cp:lastModifiedBy>
  <dcterms:created xsi:type="dcterms:W3CDTF">2017-09-11T03:57:29Z</dcterms:created>
  <dcterms:modified xsi:type="dcterms:W3CDTF">2017-09-12T04:43:16Z</dcterms:modified>
</cp:coreProperties>
</file>