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ody size estimates" sheetId="1" state="visible" r:id="rId3"/>
    <sheet name="Biomass 120 km^2" sheetId="2" state="visible" r:id="rId4"/>
    <sheet name="Biomass 1950 km^2" sheetId="3" state="visible" r:id="rId5"/>
    <sheet name="Damuth (1987) consumer densitie" sheetId="4" state="visible" r:id="rId6"/>
    <sheet name="Tyrannosaur ontogeny" sheetId="5" state="visible"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<sst xmlns="http://schemas.openxmlformats.org/spreadsheetml/2006/main" count="2473" uniqueCount="550">
  <si>
    <t xml:space="preserve">Taxon</t>
  </si>
  <si>
    <t xml:space="preserve">Specimen(s)</t>
  </si>
  <si>
    <t xml:space="preserve">Method</t>
  </si>
  <si>
    <t xml:space="preserve">Body mass (kg)</t>
  </si>
  <si>
    <t xml:space="preserve">Reference</t>
  </si>
  <si>
    <t xml:space="preserve">Specimen</t>
  </si>
  <si>
    <t xml:space="preserve">Measurement</t>
  </si>
  <si>
    <t xml:space="preserve">Dimension</t>
  </si>
  <si>
    <t xml:space="preserve">Total length (m)</t>
  </si>
  <si>
    <t xml:space="preserve">References</t>
  </si>
  <si>
    <t xml:space="preserve">Orodrominae</t>
  </si>
  <si>
    <t xml:space="preserve">TMP 1979.011.0032</t>
  </si>
  <si>
    <t xml:space="preserve">Stylopodial equations (limb circ)</t>
  </si>
  <si>
    <t xml:space="preserve">Brown et al. (2013)</t>
  </si>
  <si>
    <t xml:space="preserve">Leidyosuchus</t>
  </si>
  <si>
    <t xml:space="preserve">ROM 1903</t>
  </si>
  <si>
    <t xml:space="preserve">Skull max width (cm)</t>
  </si>
  <si>
    <t xml:space="preserve">Wu et al. (2001); O’Brien et al. (2019: Fig. 3C, 4a)</t>
  </si>
  <si>
    <t xml:space="preserve">Stegoceras</t>
  </si>
  <si>
    <t xml:space="preserve">UALVP 2</t>
  </si>
  <si>
    <t xml:space="preserve">Albertochampsa</t>
  </si>
  <si>
    <t xml:space="preserve">SMM P67.15.3</t>
  </si>
  <si>
    <t xml:space="preserve">Wu (2005); O’Brien et al. (2019: Fig. 3C, 4a)</t>
  </si>
  <si>
    <t xml:space="preserve">TMP1993.006.0003 (cast of UAVLP 002)</t>
  </si>
  <si>
    <t xml:space="preserve">Benson et al. (2018)</t>
  </si>
  <si>
    <t xml:space="preserve">Stangerochampsa</t>
  </si>
  <si>
    <t xml:space="preserve">TMP86.61.1</t>
  </si>
  <si>
    <t xml:space="preserve">Wu et al. (1996); O’Brien et al. (2019: Fig. 3C, 4a)</t>
  </si>
  <si>
    <t xml:space="preserve">Polynomial</t>
  </si>
  <si>
    <t xml:space="preserve">Seebacher (2001)</t>
  </si>
  <si>
    <t xml:space="preserve">Basilemys</t>
  </si>
  <si>
    <t xml:space="preserve">TMP2000.052.0001</t>
  </si>
  <si>
    <t xml:space="preserve">Carapace max length</t>
  </si>
  <si>
    <t xml:space="preserve">Pough (1980); I will measure myself</t>
  </si>
  <si>
    <t xml:space="preserve">Mean (3 incl Benson et al. 2018)</t>
  </si>
  <si>
    <t xml:space="preserve">Schroeder et al. (2021)</t>
  </si>
  <si>
    <t xml:space="preserve">Adocus</t>
  </si>
  <si>
    <t xml:space="preserve">TMP1988.036.0106</t>
  </si>
  <si>
    <t xml:space="preserve">Mean (incl Seebacher 2001; Brown et al. 2013)</t>
  </si>
  <si>
    <t xml:space="preserve">This study</t>
  </si>
  <si>
    <t xml:space="preserve">Axestemys allani</t>
  </si>
  <si>
    <t xml:space="preserve">UALVP1</t>
  </si>
  <si>
    <t xml:space="preserve">Pough (1980); I measured it myself</t>
  </si>
  <si>
    <t xml:space="preserve">Foraminacephale</t>
  </si>
  <si>
    <t xml:space="preserve">based on UALVP 2</t>
  </si>
  <si>
    <t xml:space="preserve">Axestemys foveatus</t>
  </si>
  <si>
    <t xml:space="preserve">Length taken from literature</t>
  </si>
  <si>
    <t xml:space="preserve">Pough (1980); Brinkman (2005)</t>
  </si>
  <si>
    <t xml:space="preserve">?</t>
  </si>
  <si>
    <t xml:space="preserve">Physical?</t>
  </si>
  <si>
    <t xml:space="preserve">Paul (2016)</t>
  </si>
  <si>
    <t xml:space="preserve">Axestemys splendida</t>
  </si>
  <si>
    <t xml:space="preserve">Mean</t>
  </si>
  <si>
    <t xml:space="preserve">Trionychidae gen. sp. Indet</t>
  </si>
  <si>
    <t xml:space="preserve">Unescoceratops</t>
  </si>
  <si>
    <t xml:space="preserve">CMN 8889 (Leptoceratops gracilis)</t>
  </si>
  <si>
    <t xml:space="preserve">Apalone</t>
  </si>
  <si>
    <t xml:space="preserve">TMP1993.036.0223</t>
  </si>
  <si>
    <t xml:space="preserve">Brinkman (2005); I will measure myself</t>
  </si>
  <si>
    <t xml:space="preserve">Plesiobaena</t>
  </si>
  <si>
    <t xml:space="preserve">TMP1986.036.0049</t>
  </si>
  <si>
    <t xml:space="preserve">CMN 8889; ?</t>
  </si>
  <si>
    <t xml:space="preserve">Boremys</t>
  </si>
  <si>
    <t xml:space="preserve">ROM 5115</t>
  </si>
  <si>
    <t xml:space="preserve">Brinkman &amp; Nicholls (1991); Pough (1980)</t>
  </si>
  <si>
    <t xml:space="preserve">Ornithomimus</t>
  </si>
  <si>
    <t xml:space="preserve">AMNH 5884</t>
  </si>
  <si>
    <t xml:space="preserve">Neurankylus</t>
  </si>
  <si>
    <t xml:space="preserve">TMP2003.012.0171</t>
  </si>
  <si>
    <t xml:space="preserve">ROM 851</t>
  </si>
  <si>
    <t xml:space="preserve">Judithemys</t>
  </si>
  <si>
    <t xml:space="preserve">TMP1995.149.0001</t>
  </si>
  <si>
    <t xml:space="preserve">Parham &amp; Hutchinson (2003); Pough (1980)</t>
  </si>
  <si>
    <t xml:space="preserve">Chelydridae</t>
  </si>
  <si>
    <t xml:space="preserve">NA</t>
  </si>
  <si>
    <t xml:space="preserve">Regis &amp; Meik (2017)</t>
  </si>
  <si>
    <t xml:space="preserve">Physical</t>
  </si>
  <si>
    <t xml:space="preserve">Christiansen (1998)</t>
  </si>
  <si>
    <t xml:space="preserve">Meniscoessus robustus</t>
  </si>
  <si>
    <t xml:space="preserve">Body mass (ln g)</t>
  </si>
  <si>
    <t xml:space="preserve">Wilson (2013: Supp. Appendix 2)</t>
  </si>
  <si>
    <t xml:space="preserve">Paul (1988)</t>
  </si>
  <si>
    <t xml:space="preserve">Meniscoessus major</t>
  </si>
  <si>
    <t xml:space="preserve">M1 area</t>
  </si>
  <si>
    <t xml:space="preserve">Codron et al. (2012: Supp. Material)</t>
  </si>
  <si>
    <t xml:space="preserve">ROM 851?</t>
  </si>
  <si>
    <t xml:space="preserve">Mean (4 incl Benson et al. 2018)</t>
  </si>
  <si>
    <t xml:space="preserve">Cimolodon nitidus</t>
  </si>
  <si>
    <t xml:space="preserve">Struthiomimus</t>
  </si>
  <si>
    <t xml:space="preserve">AMNH 5339</t>
  </si>
  <si>
    <t xml:space="preserve">Mesodma thompsoni</t>
  </si>
  <si>
    <t xml:space="preserve">Slicing</t>
  </si>
  <si>
    <t xml:space="preserve">Henderson (2018)</t>
  </si>
  <si>
    <t xml:space="preserve">Cimolomys gracilis</t>
  </si>
  <si>
    <t xml:space="preserve">AMNH 5375</t>
  </si>
  <si>
    <t xml:space="preserve">Cimolomys clarki</t>
  </si>
  <si>
    <t xml:space="preserve">Cimexomys minor</t>
  </si>
  <si>
    <t xml:space="preserve">AMNH 5340</t>
  </si>
  <si>
    <t xml:space="preserve">Mean (5 incl Benson et al. 2018)</t>
  </si>
  <si>
    <t xml:space="preserve">Alphadon marshi</t>
  </si>
  <si>
    <t xml:space="preserve">Alphadon halleyi</t>
  </si>
  <si>
    <t xml:space="preserve">M1 LxW</t>
  </si>
  <si>
    <t xml:space="preserve">Gordon (2003)</t>
  </si>
  <si>
    <t xml:space="preserve">Rativates</t>
  </si>
  <si>
    <t xml:space="preserve">ROM 1790</t>
  </si>
  <si>
    <t xml:space="preserve">Stylopodial equations (FL)</t>
  </si>
  <si>
    <t xml:space="preserve">This study, based on Christiansen &amp; Fariña (2004)</t>
  </si>
  <si>
    <t xml:space="preserve">Chirostenotes</t>
  </si>
  <si>
    <t xml:space="preserve">TMP1979.030.0001</t>
  </si>
  <si>
    <t xml:space="preserve">Didelphodon vorax</t>
  </si>
  <si>
    <t xml:space="preserve">Funston et al. (2015)</t>
  </si>
  <si>
    <t xml:space="preserve">Mean (4)</t>
  </si>
  <si>
    <t xml:space="preserve">Pediomys elegans</t>
  </si>
  <si>
    <t xml:space="preserve">Mean (incl Benson et al. (2018); Funston et al. (2015))</t>
  </si>
  <si>
    <t xml:space="preserve">Caenagnathus</t>
  </si>
  <si>
    <t xml:space="preserve">TMP1986.036.0323</t>
  </si>
  <si>
    <t xml:space="preserve">Pediomys clemensi</t>
  </si>
  <si>
    <t xml:space="preserve">Mean (2 incl Funston et al. 2015)</t>
  </si>
  <si>
    <t xml:space="preserve">Pediomys prokrejcii</t>
  </si>
  <si>
    <t xml:space="preserve">Citipes elegans</t>
  </si>
  <si>
    <t xml:space="preserve">ROM 781</t>
  </si>
  <si>
    <t xml:space="preserve">Turgidodon rhaister</t>
  </si>
  <si>
    <t xml:space="preserve">TMP2009.014.0012</t>
  </si>
  <si>
    <t xml:space="preserve">Therrien et al. (2023, based on Christiansen &amp; Fariña (2004))</t>
  </si>
  <si>
    <t xml:space="preserve">Turgidodon russelli</t>
  </si>
  <si>
    <t xml:space="preserve">TMP1982.016.0006</t>
  </si>
  <si>
    <t xml:space="preserve">m1 LxW</t>
  </si>
  <si>
    <t xml:space="preserve">Stenonychosaurus</t>
  </si>
  <si>
    <t xml:space="preserve">CMN 12340</t>
  </si>
  <si>
    <t xml:space="preserve">Turgidodon praesagus</t>
  </si>
  <si>
    <t xml:space="preserve">CMN 8539</t>
  </si>
  <si>
    <t xml:space="preserve">Eodelphis sp</t>
  </si>
  <si>
    <t xml:space="preserve">Eodelphis cutleri</t>
  </si>
  <si>
    <t xml:space="preserve">Saurornitholestes</t>
  </si>
  <si>
    <t xml:space="preserve">TMP 1988.121.0039</t>
  </si>
  <si>
    <t xml:space="preserve">Gypsonictops hypoconus/illuminatus</t>
  </si>
  <si>
    <t xml:space="preserve">Gypsonictops lewisi</t>
  </si>
  <si>
    <t xml:space="preserve">Mean (5 incl Benson et al. 2018))</t>
  </si>
  <si>
    <t xml:space="preserve">Paranyctoides sternbergi</t>
  </si>
  <si>
    <t xml:space="preserve">Femur circumference (mid-shaft, mm)</t>
  </si>
  <si>
    <t xml:space="preserve">Measured from MASSTIMATE</t>
  </si>
  <si>
    <t xml:space="preserve">Mean (incl Christiansen 1998; Brown et al. 2013)</t>
  </si>
  <si>
    <t xml:space="preserve">Anchiacipenser</t>
  </si>
  <si>
    <t xml:space="preserve">UALVP56596</t>
  </si>
  <si>
    <t xml:space="preserve">TL (cm)</t>
  </si>
  <si>
    <t xml:space="preserve">Sato et al. (2018); Hone &amp; O’Gorman (2013)</t>
  </si>
  <si>
    <t xml:space="preserve">Saurornitholestes *J*</t>
  </si>
  <si>
    <t xml:space="preserve">TMP 1974.010.0005</t>
  </si>
  <si>
    <t xml:space="preserve">Paratarpon</t>
  </si>
  <si>
    <t xml:space="preserve">ROM 26290</t>
  </si>
  <si>
    <t xml:space="preserve">Brinkman (2005); Hone &amp; O’Gorman (2013)</t>
  </si>
  <si>
    <t xml:space="preserve">Dromaeosaurus</t>
  </si>
  <si>
    <t xml:space="preserve">AMNH 5356</t>
  </si>
  <si>
    <t xml:space="preserve">Skull length</t>
  </si>
  <si>
    <t xml:space="preserve">Brown et al. (2013, based on Therrien &amp; Henderson (2007))</t>
  </si>
  <si>
    <t xml:space="preserve">Altacreodus magnus</t>
  </si>
  <si>
    <t xml:space="preserve">Skull length Mean? (3)</t>
  </si>
  <si>
    <t xml:space="preserve">Scollardius propalaeoryctes</t>
  </si>
  <si>
    <t xml:space="preserve">Mean (incl Brown et al. 2013)</t>
  </si>
  <si>
    <t xml:space="preserve">Hesperonychus</t>
  </si>
  <si>
    <t xml:space="preserve">UALVP48778</t>
  </si>
  <si>
    <t xml:space="preserve">Pelvis size</t>
  </si>
  <si>
    <t xml:space="preserve">Brown et al. (2013, based on Longrich et al. (2009))</t>
  </si>
  <si>
    <t xml:space="preserve">UALVP48778?</t>
  </si>
  <si>
    <t xml:space="preserve">Mean (2)</t>
  </si>
  <si>
    <t xml:space="preserve">Richardoestesia isosceles</t>
  </si>
  <si>
    <t xml:space="preserve">Tooth size</t>
  </si>
  <si>
    <t xml:space="preserve">Brown et al. (2013, based on Carbone et al. (2011))</t>
  </si>
  <si>
    <t xml:space="preserve">Mean (2 incl Brown et al. 2013)</t>
  </si>
  <si>
    <t xml:space="preserve">Richardoestesia gilmorei</t>
  </si>
  <si>
    <t xml:space="preserve">Mean (3 incl Brown et al. 2013)</t>
  </si>
  <si>
    <t xml:space="preserve">Euoplocephalus</t>
  </si>
  <si>
    <t xml:space="preserve">AMNH 5404</t>
  </si>
  <si>
    <t xml:space="preserve">Scolosaurus</t>
  </si>
  <si>
    <t xml:space="preserve">NHMUK 5161</t>
  </si>
  <si>
    <t xml:space="preserve">Brown et al. (2013; classified as Euoplocephalus)</t>
  </si>
  <si>
    <r>
      <rPr>
        <sz val="10"/>
        <rFont val="Arial"/>
        <family val="2"/>
      </rPr>
      <t xml:space="preserve">Maidment </t>
    </r>
    <r>
      <rPr>
        <i val="true"/>
        <sz val="10"/>
        <rFont val="Verdana"/>
        <family val="2"/>
      </rPr>
      <t xml:space="preserve">et al.</t>
    </r>
    <r>
      <rPr>
        <sz val="10"/>
        <rFont val="Verdana"/>
        <family val="0"/>
      </rPr>
      <t xml:space="preserve"> (2014)</t>
    </r>
  </si>
  <si>
    <t xml:space="preserve">Paul (1997)</t>
  </si>
  <si>
    <t xml:space="preserve">This study; lower slicing estimate excluded</t>
  </si>
  <si>
    <t xml:space="preserve">Dyoplosaurus</t>
  </si>
  <si>
    <t xml:space="preserve">ROM 784</t>
  </si>
  <si>
    <t xml:space="preserve">Brown et al. (2013</t>
  </si>
  <si>
    <t xml:space="preserve">Anodontosaurus</t>
  </si>
  <si>
    <t xml:space="preserve">Edmontonia</t>
  </si>
  <si>
    <t xml:space="preserve">AMNH 5665?</t>
  </si>
  <si>
    <t xml:space="preserve">Colbert (1962)</t>
  </si>
  <si>
    <t xml:space="preserve">AMNH 5665</t>
  </si>
  <si>
    <t xml:space="preserve">Paul (2010)</t>
  </si>
  <si>
    <t xml:space="preserve">Mean (physical)</t>
  </si>
  <si>
    <t xml:space="preserve">Panoplosaurus</t>
  </si>
  <si>
    <t xml:space="preserve">ROM 1215</t>
  </si>
  <si>
    <t xml:space="preserve">ROM 1215?</t>
  </si>
  <si>
    <t xml:space="preserve">Mean (2 incl Benson et al. 2018)</t>
  </si>
  <si>
    <t xml:space="preserve">CMNFV 2759</t>
  </si>
  <si>
    <t xml:space="preserve">Corythosaurus casuarius</t>
  </si>
  <si>
    <t xml:space="preserve">AMNH 5240</t>
  </si>
  <si>
    <t xml:space="preserve">AMNH 5240?</t>
  </si>
  <si>
    <t xml:space="preserve">Corythosaurus intermedius</t>
  </si>
  <si>
    <t xml:space="preserve">ROM 845</t>
  </si>
  <si>
    <t xml:space="preserve">Mallon (2019)</t>
  </si>
  <si>
    <t xml:space="preserve">Mean (incl Paul 2010; Mallon 2019; Brown et al. 2013)</t>
  </si>
  <si>
    <t xml:space="preserve">Corythosaurus sp.</t>
  </si>
  <si>
    <t xml:space="preserve">CMNFV 34825</t>
  </si>
  <si>
    <t xml:space="preserve">Parasaurolophus</t>
  </si>
  <si>
    <t xml:space="preserve">ROM 768</t>
  </si>
  <si>
    <t xml:space="preserve">Mean (incl Paul 1997; Seebacher 2001; Mallon 2019; Brown et al. 2013)</t>
  </si>
  <si>
    <t xml:space="preserve">Lambeosaurus lambei</t>
  </si>
  <si>
    <t xml:space="preserve">ROM 1218</t>
  </si>
  <si>
    <t xml:space="preserve">ROM 1218?</t>
  </si>
  <si>
    <t xml:space="preserve">Mean (incl Mallon 2019; Paul 2010; Brown et al. 2013)</t>
  </si>
  <si>
    <t xml:space="preserve">Lambeosaurus clavinitialis</t>
  </si>
  <si>
    <t xml:space="preserve">CMNFV 8703</t>
  </si>
  <si>
    <t xml:space="preserve">CMNFV 8703?</t>
  </si>
  <si>
    <t xml:space="preserve">Lambeosaurus magnicristatus</t>
  </si>
  <si>
    <t xml:space="preserve">TMP1966.004.0001</t>
  </si>
  <si>
    <t xml:space="preserve">Gryposaurus</t>
  </si>
  <si>
    <t xml:space="preserve">AMNH 5350</t>
  </si>
  <si>
    <t xml:space="preserve">CMNFV 2278</t>
  </si>
  <si>
    <t xml:space="preserve">TMP 1980.022.0001</t>
  </si>
  <si>
    <t xml:space="preserve">Gryposaurus *J*</t>
  </si>
  <si>
    <t xml:space="preserve">ROM 764</t>
  </si>
  <si>
    <t xml:space="preserve">Prosaurolophus</t>
  </si>
  <si>
    <t xml:space="preserve">ROM 787</t>
  </si>
  <si>
    <t xml:space="preserve">Brown et al. (2013); minimum adult body mass</t>
  </si>
  <si>
    <t xml:space="preserve">Benson et al. (2018); minimum adult body mass</t>
  </si>
  <si>
    <t xml:space="preserve">TMP 1984.001.0001</t>
  </si>
  <si>
    <t xml:space="preserve">Centrosaurus</t>
  </si>
  <si>
    <t xml:space="preserve">AMNH 5351</t>
  </si>
  <si>
    <t xml:space="preserve">YPM 2015</t>
  </si>
  <si>
    <t xml:space="preserve">YPM 2015?</t>
  </si>
  <si>
    <t xml:space="preserve">Styracosaurus</t>
  </si>
  <si>
    <t xml:space="preserve">AMNH 5372</t>
  </si>
  <si>
    <t xml:space="preserve">CMNFV 344</t>
  </si>
  <si>
    <t xml:space="preserve">cf. Achelousaurus sp.</t>
  </si>
  <si>
    <t xml:space="preserve">TMP 2002.076.0001</t>
  </si>
  <si>
    <t xml:space="preserve">Chasmosaurus belli</t>
  </si>
  <si>
    <t xml:space="preserve">CMNFV 2245</t>
  </si>
  <si>
    <t xml:space="preserve">ROM 843</t>
  </si>
  <si>
    <t xml:space="preserve">Chasmosaurus sp.</t>
  </si>
  <si>
    <t xml:space="preserve">ROM 839</t>
  </si>
  <si>
    <t xml:space="preserve">Chasmosaurus russelli</t>
  </si>
  <si>
    <t xml:space="preserve">CMNFV 2280</t>
  </si>
  <si>
    <t xml:space="preserve">Mean (incl Paul 1997; Seebacher 2001; Brown et al. 2013)</t>
  </si>
  <si>
    <t xml:space="preserve">Chasmosaurus irvinensis</t>
  </si>
  <si>
    <t xml:space="preserve">CMNFV 41357</t>
  </si>
  <si>
    <t xml:space="preserve">Gorgosaurus</t>
  </si>
  <si>
    <t xml:space="preserve">CMNFV 530</t>
  </si>
  <si>
    <t xml:space="preserve">CMNFV 2120</t>
  </si>
  <si>
    <t xml:space="preserve">Snively et al. (2019)</t>
  </si>
  <si>
    <t xml:space="preserve">TMP 91.36.500/TMP 91.10.1</t>
  </si>
  <si>
    <t xml:space="preserve">AMNH 5458</t>
  </si>
  <si>
    <t xml:space="preserve">Henderson &amp; Snively (2004)</t>
  </si>
  <si>
    <t xml:space="preserve">AMNH 5458/CMNFV 2120</t>
  </si>
  <si>
    <r>
      <rPr>
        <sz val="10"/>
        <rFont val="Arial"/>
        <family val="2"/>
      </rPr>
      <t xml:space="preserve">Snively </t>
    </r>
    <r>
      <rPr>
        <i val="true"/>
        <sz val="10"/>
        <rFont val="Verdana"/>
        <family val="2"/>
      </rPr>
      <t xml:space="preserve">et al.</t>
    </r>
    <r>
      <rPr>
        <sz val="10"/>
        <rFont val="Verdana"/>
        <family val="2"/>
      </rPr>
      <t xml:space="preserve"> (2019)</t>
    </r>
  </si>
  <si>
    <t xml:space="preserve">TMP1994.012.0602</t>
  </si>
  <si>
    <t xml:space="preserve">Stylopodial equations (FL &amp; circ)</t>
  </si>
  <si>
    <t xml:space="preserve">This study (Erickson et al. (2016); MASSTIMATE)</t>
  </si>
  <si>
    <t xml:space="preserve">TMP1999.033.0001</t>
  </si>
  <si>
    <t xml:space="preserve">TMP1973.030.0001</t>
  </si>
  <si>
    <t xml:space="preserve">Gorgosaurus *subadult*</t>
  </si>
  <si>
    <t xml:space="preserve">TMP1994.143.0001</t>
  </si>
  <si>
    <t xml:space="preserve">AMNH 5664</t>
  </si>
  <si>
    <t xml:space="preserve">Therrien &amp; Henderson (2007)</t>
  </si>
  <si>
    <t xml:space="preserve">This study; fits well with Erickson et al. (2016) life table</t>
  </si>
  <si>
    <t xml:space="preserve">TMP1991.036.0500</t>
  </si>
  <si>
    <t xml:space="preserve">TMP1991.035.0500</t>
  </si>
  <si>
    <t xml:space="preserve">Gorgosaurus *J*</t>
  </si>
  <si>
    <t xml:space="preserve">FMNH PR 2211</t>
  </si>
  <si>
    <t xml:space="preserve">TMP1986.144.0001</t>
  </si>
  <si>
    <t xml:space="preserve">Daspletosaurus sp.</t>
  </si>
  <si>
    <t xml:space="preserve">UALVP11</t>
  </si>
  <si>
    <t xml:space="preserve">Mean stylopodial equations</t>
  </si>
  <si>
    <t xml:space="preserve">AMNH 5438</t>
  </si>
  <si>
    <t xml:space="preserve">Christiansen &amp; Fariña (2004)</t>
  </si>
  <si>
    <t xml:space="preserve">AMNH 5438/CMNFV 8506</t>
  </si>
  <si>
    <t xml:space="preserve">FMNH PR 308</t>
  </si>
  <si>
    <t xml:space="preserve">Daspletosaurus torosus</t>
  </si>
  <si>
    <t xml:space="preserve">CMNFV 8506</t>
  </si>
  <si>
    <t xml:space="preserve">This study (Russell (1970); Erickson et al. (2016); MASSTIMATE)</t>
  </si>
  <si>
    <t xml:space="preserve">Note: body masses based on volumetric estimates (physical/slicing methods) are worth accounting for because FL isn’t perfectly correlated with body mass (e.g. Gorgosaurus vs Daspletosaurus)</t>
  </si>
  <si>
    <t xml:space="preserve">M</t>
  </si>
  <si>
    <t xml:space="preserve">N</t>
  </si>
  <si>
    <t xml:space="preserve">D</t>
  </si>
  <si>
    <t xml:space="preserve">B</t>
  </si>
  <si>
    <t xml:space="preserve">N.M1a</t>
  </si>
  <si>
    <t xml:space="preserve">D.M1a</t>
  </si>
  <si>
    <t xml:space="preserve">B.M1a</t>
  </si>
  <si>
    <t xml:space="preserve">N.M1b</t>
  </si>
  <si>
    <t xml:space="preserve">D.M1b</t>
  </si>
  <si>
    <t xml:space="preserve">B.M1b</t>
  </si>
  <si>
    <t xml:space="preserve">N.M2</t>
  </si>
  <si>
    <t xml:space="preserve">D.M2</t>
  </si>
  <si>
    <t xml:space="preserve">B.M2</t>
  </si>
  <si>
    <t xml:space="preserve">N.M2.juv</t>
  </si>
  <si>
    <t xml:space="preserve">D.M2.juv</t>
  </si>
  <si>
    <t xml:space="preserve">B.M2.juv</t>
  </si>
  <si>
    <t xml:space="preserve">N.M2.juv.meso</t>
  </si>
  <si>
    <t xml:space="preserve">D.M2.juv.meso</t>
  </si>
  <si>
    <t xml:space="preserve">B.M2.juv.meso</t>
  </si>
  <si>
    <t xml:space="preserve">N.M1a.juv</t>
  </si>
  <si>
    <t xml:space="preserve">D.M1a.juv</t>
  </si>
  <si>
    <t xml:space="preserve">B.M1a.juv</t>
  </si>
  <si>
    <t xml:space="preserve">N.M1b.juv</t>
  </si>
  <si>
    <t xml:space="preserve">D.M1b.juv</t>
  </si>
  <si>
    <t xml:space="preserve">B.M1b.juv</t>
  </si>
  <si>
    <t xml:space="preserve">N.M1a.juv.meso</t>
  </si>
  <si>
    <t xml:space="preserve">D.M1a.juv.meso</t>
  </si>
  <si>
    <t xml:space="preserve">B.M1a.juv.meso</t>
  </si>
  <si>
    <t xml:space="preserve">N.M1b.juv.meso</t>
  </si>
  <si>
    <t xml:space="preserve">D.M1b.juv.meso</t>
  </si>
  <si>
    <t xml:space="preserve">B.M1b.juv.meso</t>
  </si>
  <si>
    <t xml:space="preserve">N.juv.megaIE</t>
  </si>
  <si>
    <t xml:space="preserve">D.juv.megaIE</t>
  </si>
  <si>
    <t xml:space="preserve">B.juv.megaIE</t>
  </si>
  <si>
    <t xml:space="preserve">N.megaIE</t>
  </si>
  <si>
    <t xml:space="preserve">D.megaIE</t>
  </si>
  <si>
    <t xml:space="preserve">B.megaIE</t>
  </si>
  <si>
    <t xml:space="preserve">N.M1a.megaIE</t>
  </si>
  <si>
    <t xml:space="preserve">D.M1a.megaIE</t>
  </si>
  <si>
    <t xml:space="preserve">B.M1a.megaIE</t>
  </si>
  <si>
    <t xml:space="preserve">N.M1</t>
  </si>
  <si>
    <t xml:space="preserve">D.M1</t>
  </si>
  <si>
    <t xml:space="preserve">B.M1</t>
  </si>
  <si>
    <t xml:space="preserve">N.corr.orni</t>
  </si>
  <si>
    <t xml:space="preserve">D.corr.orni</t>
  </si>
  <si>
    <t xml:space="preserve">B.corr.orni</t>
  </si>
  <si>
    <t xml:space="preserve">N.corr.teeth</t>
  </si>
  <si>
    <t xml:space="preserve">D.corr.teeth</t>
  </si>
  <si>
    <t xml:space="preserve">B.corr.teeth</t>
  </si>
  <si>
    <t xml:space="preserve">Cryodrakon</t>
  </si>
  <si>
    <t xml:space="preserve">Sphaerotholus</t>
  </si>
  <si>
    <t xml:space="preserve">Pachycephalosauridae indet</t>
  </si>
  <si>
    <t xml:space="preserve">Pachycephalosauridae total</t>
  </si>
  <si>
    <t xml:space="preserve">Qiupalong</t>
  </si>
  <si>
    <t xml:space="preserve">Large unnamed ornithomimid</t>
  </si>
  <si>
    <t xml:space="preserve">Ornithomimidae indet</t>
  </si>
  <si>
    <t xml:space="preserve">Ornithomimidae total</t>
  </si>
  <si>
    <t xml:space="preserve">Citipes</t>
  </si>
  <si>
    <t xml:space="preserve">Caenagnathidae indet</t>
  </si>
  <si>
    <t xml:space="preserve">Caenagnathidae total</t>
  </si>
  <si>
    <t xml:space="preserve">cf Richardoestesia gilmorei</t>
  </si>
  <si>
    <t xml:space="preserve">cf Richardoestesia isosceles</t>
  </si>
  <si>
    <t xml:space="preserve">cf Paronychodon</t>
  </si>
  <si>
    <t xml:space="preserve">cf Pectinodon</t>
  </si>
  <si>
    <t xml:space="preserve">Troodontidae total</t>
  </si>
  <si>
    <t xml:space="preserve">Dromaeosauridae indet</t>
  </si>
  <si>
    <t xml:space="preserve">Dromaeosauridae total</t>
  </si>
  <si>
    <t xml:space="preserve">Ankylosauridae indet</t>
  </si>
  <si>
    <t xml:space="preserve">Nodosauridae indet</t>
  </si>
  <si>
    <t xml:space="preserve">Ankylosauria indet</t>
  </si>
  <si>
    <t xml:space="preserve">Ankylosauria total</t>
  </si>
  <si>
    <t xml:space="preserve">J Corythosaurus sp.</t>
  </si>
  <si>
    <t xml:space="preserve">Corythosaurus total</t>
  </si>
  <si>
    <t xml:space="preserve">J Parasaurolophus</t>
  </si>
  <si>
    <t xml:space="preserve">J Lambeosaurus lambei</t>
  </si>
  <si>
    <t xml:space="preserve">Lambeosaurinae indet</t>
  </si>
  <si>
    <t xml:space="preserve">Lambeosaurinae total</t>
  </si>
  <si>
    <t xml:space="preserve">Brachylophosaurus</t>
  </si>
  <si>
    <t xml:space="preserve">J Gryposaurus</t>
  </si>
  <si>
    <t xml:space="preserve">Saurolophinae indet</t>
  </si>
  <si>
    <t xml:space="preserve">Saurolophinae total</t>
  </si>
  <si>
    <t xml:space="preserve">Hadrosauridae indet</t>
  </si>
  <si>
    <t xml:space="preserve">J Hadrosauridae indet</t>
  </si>
  <si>
    <t xml:space="preserve">Hadrosauridae total</t>
  </si>
  <si>
    <t xml:space="preserve">J Hadrosauridae total</t>
  </si>
  <si>
    <t xml:space="preserve">Coronosaurus</t>
  </si>
  <si>
    <t xml:space="preserve">J Centrosaurus</t>
  </si>
  <si>
    <t xml:space="preserve">cf Achelousaurus</t>
  </si>
  <si>
    <t xml:space="preserve">Spinops</t>
  </si>
  <si>
    <t xml:space="preserve">Centrosaurinae indet</t>
  </si>
  <si>
    <t xml:space="preserve">Centrosaurinae total</t>
  </si>
  <si>
    <t xml:space="preserve">Mercuriceratops</t>
  </si>
  <si>
    <t xml:space="preserve">J Chasmosaurus sp.</t>
  </si>
  <si>
    <t xml:space="preserve">Chasmosaurus total</t>
  </si>
  <si>
    <t xml:space="preserve">Ceratopsidae indet</t>
  </si>
  <si>
    <t xml:space="preserve">Ceratopsidae total</t>
  </si>
  <si>
    <t xml:space="preserve">J Ceratopsidae total</t>
  </si>
  <si>
    <t xml:space="preserve">J Gorgosaurus</t>
  </si>
  <si>
    <t xml:space="preserve">Y Gorgosaurus</t>
  </si>
  <si>
    <t xml:space="preserve">J Daspletosaurus sp.</t>
  </si>
  <si>
    <t xml:space="preserve">Y Daspletosaurus sp.</t>
  </si>
  <si>
    <t xml:space="preserve">J Daspletosaurus torosus</t>
  </si>
  <si>
    <t xml:space="preserve">Y Daspletosaurus torosus</t>
  </si>
  <si>
    <t xml:space="preserve">Tyrannosauridae indet</t>
  </si>
  <si>
    <t xml:space="preserve">J Tyrannosauridae indet</t>
  </si>
  <si>
    <t xml:space="preserve">Y Tyrannosauridae indet</t>
  </si>
  <si>
    <t xml:space="preserve">Tyrannosauridae total</t>
  </si>
  <si>
    <t xml:space="preserve">J/Y Tyrannosauridae total</t>
  </si>
  <si>
    <t xml:space="preserve">Mega prey biomass</t>
  </si>
  <si>
    <t xml:space="preserve">Mega predator biomass</t>
  </si>
  <si>
    <t xml:space="preserve">TOTAL prey biomass</t>
  </si>
  <si>
    <t xml:space="preserve">TOTAL predator biomass</t>
  </si>
  <si>
    <t xml:space="preserve">TOTAL prey biomass (incl. Troodontids and caenagnathids)</t>
  </si>
  <si>
    <t xml:space="preserve">TOTAL predator biomass (excl. Troodontids and caenagnathids)</t>
  </si>
  <si>
    <t xml:space="preserve">Meso/Mega.N</t>
  </si>
  <si>
    <t xml:space="preserve">*densities corrected with regression confidence intervals</t>
  </si>
  <si>
    <t xml:space="preserve">Meso/Mega.B</t>
  </si>
  <si>
    <t xml:space="preserve">*thescelosaur and pachycephalosaur counts taken from Wyenberg-Henzler et al. 2021 until I complete database</t>
  </si>
  <si>
    <t xml:space="preserve">TL</t>
  </si>
  <si>
    <t xml:space="preserve">*I count 33 orodromine non-tooth elements from DPP (Brown et al. Small ornithischians paper)</t>
  </si>
  <si>
    <t xml:space="preserve">*corr_orni and corr_teeth are now abandoned correction methods for mesofaunal densities; pterosaur density not corrected because of lack of modern analogues in Damuth(1987) dataset</t>
  </si>
  <si>
    <t xml:space="preserve">*be wary of versions including isolated megafaunal elements, there’s a research bias in favour of tyrannosaurs here</t>
  </si>
  <si>
    <t xml:space="preserve">*for Gorgosaurus biomass add number of indeterminate tyrannosaur skeletons that would bring Gorgosaurus-Daspletosaurus ratio closest to 33/40 as seen in time averaged assemblage overall</t>
  </si>
  <si>
    <t xml:space="preserve">*for version with corrected taxon abundances for mesofauna, indet taxon rows are not counted anymore because they’re not necessary</t>
  </si>
  <si>
    <t xml:space="preserve">*surface area only includes immediate vicinity of DPP (174 km^2)</t>
  </si>
  <si>
    <t xml:space="preserve">**accounts for proportion of subadult skeletons (see Wyenberg-Henzler 2021)</t>
  </si>
  <si>
    <t xml:space="preserve">Notes</t>
  </si>
  <si>
    <t xml:space="preserve">Consider adding Africa data including migrants because DPP bonebeds may also have contained migrant animals</t>
  </si>
  <si>
    <t xml:space="preserve">Raw Komodo dragon and prey biomass NA from Jessop et al. (2020) incl supp material; consider asking lead author directly</t>
  </si>
  <si>
    <t xml:space="preserve">Make community area around 1000 km2 (rectangle around actual Park area incl more distant localities); consider making alternative map figure</t>
  </si>
  <si>
    <t xml:space="preserve">What to do with time averaging? If I don't correct for that I'll probably wildly overestimate DPP biomass</t>
  </si>
  <si>
    <t xml:space="preserve">Species</t>
  </si>
  <si>
    <t xml:space="preserve">Mass</t>
  </si>
  <si>
    <t xml:space="preserve">Density</t>
  </si>
  <si>
    <t xml:space="preserve">Density.corr</t>
  </si>
  <si>
    <t xml:space="preserve">Density.corr2</t>
  </si>
  <si>
    <t xml:space="preserve">DPP taxon</t>
  </si>
  <si>
    <t xml:space="preserve">Time.zone</t>
  </si>
  <si>
    <t xml:space="preserve">Area</t>
  </si>
  <si>
    <t xml:space="preserve">D.Damuth1987</t>
  </si>
  <si>
    <t xml:space="preserve">D.fossil</t>
  </si>
  <si>
    <t xml:space="preserve">Ratio</t>
  </si>
  <si>
    <t xml:space="preserve">Philander opossum</t>
  </si>
  <si>
    <t xml:space="preserve">Mammal</t>
  </si>
  <si>
    <t xml:space="preserve">Euoplocephalus tutus</t>
  </si>
  <si>
    <t xml:space="preserve">MAZ1a</t>
  </si>
  <si>
    <t xml:space="preserve">*densities include skeletons identified at family/subfamily level</t>
  </si>
  <si>
    <t xml:space="preserve">Sarcophilus harrisii</t>
  </si>
  <si>
    <t xml:space="preserve">Dyoplosaurus acutosquameus</t>
  </si>
  <si>
    <t xml:space="preserve">Acinonyx jubatus</t>
  </si>
  <si>
    <t xml:space="preserve">Edmontonia rugosidens</t>
  </si>
  <si>
    <t xml:space="preserve">Alopex lagopus</t>
  </si>
  <si>
    <t xml:space="preserve">Bassariscus astutus</t>
  </si>
  <si>
    <t xml:space="preserve">Canis adustus</t>
  </si>
  <si>
    <t xml:space="preserve">Parasaurolophus walkeri</t>
  </si>
  <si>
    <t xml:space="preserve">Canis aureus</t>
  </si>
  <si>
    <t xml:space="preserve">Gryposaurus notabilis</t>
  </si>
  <si>
    <t xml:space="preserve">Canis latrans</t>
  </si>
  <si>
    <t xml:space="preserve">Canis lupus</t>
  </si>
  <si>
    <t xml:space="preserve">Centrosaurus apertus</t>
  </si>
  <si>
    <t xml:space="preserve">Includes isolated elements</t>
  </si>
  <si>
    <t xml:space="preserve">Canis simensis</t>
  </si>
  <si>
    <t xml:space="preserve">Crocuta crocuta</t>
  </si>
  <si>
    <t xml:space="preserve">Cryptoprocta ferox</t>
  </si>
  <si>
    <t xml:space="preserve">Log-transformed/mean</t>
  </si>
  <si>
    <t xml:space="preserve">Cuon alpinus</t>
  </si>
  <si>
    <t xml:space="preserve">Gorgosaurus libratus</t>
  </si>
  <si>
    <t xml:space="preserve">Damuth(1987) uncorrected mammalian carnivore dataset; fossil density includes 1 of 3 indeterminate tyrannosaur skeletons</t>
  </si>
  <si>
    <t xml:space="preserve">Dusicyon thous</t>
  </si>
  <si>
    <t xml:space="preserve">Log-transformed</t>
  </si>
  <si>
    <t xml:space="preserve">Eira barbara</t>
  </si>
  <si>
    <t xml:space="preserve">Damuth(1987) uncorrected mammalian carnivore dataset; fossil density includes 2 of 3 indeterminate tyrannosaur skeletons</t>
  </si>
  <si>
    <t xml:space="preserve">lower CI</t>
  </si>
  <si>
    <t xml:space="preserve">Felis concolor</t>
  </si>
  <si>
    <t xml:space="preserve">upper CI</t>
  </si>
  <si>
    <t xml:space="preserve">Felis onca</t>
  </si>
  <si>
    <t xml:space="preserve">Damuth(1987) corrected carnivore+reptile dataset</t>
  </si>
  <si>
    <t xml:space="preserve">Felis pardalis</t>
  </si>
  <si>
    <t xml:space="preserve">Felis sylvestris</t>
  </si>
  <si>
    <t xml:space="preserve">Damuth(1987) corrected carnivore+reptile dataset; fossil density includes 2 of 3 indeterminate tyrannosaur skeletons</t>
  </si>
  <si>
    <t xml:space="preserve">Felis yagouaroundi</t>
  </si>
  <si>
    <t xml:space="preserve">Fossa fossana</t>
  </si>
  <si>
    <t xml:space="preserve">Damuth(1987) corrected carnivore + reptile dataset CI lower bound</t>
  </si>
  <si>
    <t xml:space="preserve">Galictis vittata</t>
  </si>
  <si>
    <t xml:space="preserve">Galidia elegans</t>
  </si>
  <si>
    <t xml:space="preserve">Genetta genetta</t>
  </si>
  <si>
    <t xml:space="preserve">Stegoceras validum</t>
  </si>
  <si>
    <t xml:space="preserve">Herpestes sanguineus</t>
  </si>
  <si>
    <t xml:space="preserve">Foraminacephale brevis</t>
  </si>
  <si>
    <t xml:space="preserve">Ichneumia albicauda</t>
  </si>
  <si>
    <t xml:space="preserve">Unescoceratops koppelhusae</t>
  </si>
  <si>
    <t xml:space="preserve">Lutra perspillata</t>
  </si>
  <si>
    <t xml:space="preserve">Ornithomimus edmontonicus</t>
  </si>
  <si>
    <t xml:space="preserve">Lycaon pictus</t>
  </si>
  <si>
    <t xml:space="preserve">Struthiomimus altus</t>
  </si>
  <si>
    <t xml:space="preserve">Lynx canadensis</t>
  </si>
  <si>
    <t xml:space="preserve">Caenagnathus collinsi</t>
  </si>
  <si>
    <t xml:space="preserve">Lynx lynx</t>
  </si>
  <si>
    <t xml:space="preserve">Chirostenotes pergracilis</t>
  </si>
  <si>
    <t xml:space="preserve">Martes americana</t>
  </si>
  <si>
    <t xml:space="preserve">Martes pennanti</t>
  </si>
  <si>
    <t xml:space="preserve">Stenonychosaurus inequalis</t>
  </si>
  <si>
    <t xml:space="preserve">Mungotictis decemlineata</t>
  </si>
  <si>
    <t xml:space="preserve">Dromaeosaurus albertensis</t>
  </si>
  <si>
    <t xml:space="preserve">Mustela erminea</t>
  </si>
  <si>
    <t xml:space="preserve">Saurornitholestes langstoni</t>
  </si>
  <si>
    <t xml:space="preserve">Mustela nivalis</t>
  </si>
  <si>
    <t xml:space="preserve">*major caveat: observed fossil densities do not account for skeletons of unknown locality data, so real fossil density for a given stratigraphic interval should be much higher; at least underrepresented taxon abundances are still closer to reality</t>
  </si>
  <si>
    <t xml:space="preserve">Panthera leo</t>
  </si>
  <si>
    <t xml:space="preserve">Panthera pardus</t>
  </si>
  <si>
    <t xml:space="preserve">Panthera tigris</t>
  </si>
  <si>
    <t xml:space="preserve">Panthera uncia</t>
  </si>
  <si>
    <t xml:space="preserve">Taxidea taxus</t>
  </si>
  <si>
    <t xml:space="preserve">Ursus maritimus</t>
  </si>
  <si>
    <t xml:space="preserve">Vulpes vulpes</t>
  </si>
  <si>
    <t xml:space="preserve">Canis mesomelas</t>
  </si>
  <si>
    <t xml:space="preserve">Potos flavus</t>
  </si>
  <si>
    <t xml:space="preserve">Procyon lotor</t>
  </si>
  <si>
    <t xml:space="preserve">Procyon cancrivorus</t>
  </si>
  <si>
    <t xml:space="preserve">Ursus americanus</t>
  </si>
  <si>
    <t xml:space="preserve">Ursus arctos</t>
  </si>
  <si>
    <t xml:space="preserve">Didelphis marsupialis</t>
  </si>
  <si>
    <t xml:space="preserve">Agama agama</t>
  </si>
  <si>
    <t xml:space="preserve">Reptile</t>
  </si>
  <si>
    <t xml:space="preserve">Agama rupelli</t>
  </si>
  <si>
    <t xml:space="preserve">Ameiva quadrilineata</t>
  </si>
  <si>
    <t xml:space="preserve">Anolis angusticeps</t>
  </si>
  <si>
    <t xml:space="preserve">Anolis bonairensis</t>
  </si>
  <si>
    <t xml:space="preserve">Anolis carolinensis</t>
  </si>
  <si>
    <t xml:space="preserve">Anolis distichus</t>
  </si>
  <si>
    <t xml:space="preserve">Anolis sagrei</t>
  </si>
  <si>
    <t xml:space="preserve">Bassiliscus vittatus</t>
  </si>
  <si>
    <t xml:space="preserve">Cnemidaphorus murinus</t>
  </si>
  <si>
    <t xml:space="preserve">Eremias spekei</t>
  </si>
  <si>
    <t xml:space="preserve">Eumeces fasciatus</t>
  </si>
  <si>
    <t xml:space="preserve">Gonatodes antillensis</t>
  </si>
  <si>
    <t xml:space="preserve">Hemidactylus brookii</t>
  </si>
  <si>
    <t xml:space="preserve">Holodactylus sp.</t>
  </si>
  <si>
    <t xml:space="preserve">Latastia longicauda</t>
  </si>
  <si>
    <t xml:space="preserve">Lygodactylus picturatus</t>
  </si>
  <si>
    <t xml:space="preserve">Mabuya buettneri</t>
  </si>
  <si>
    <t xml:space="preserve">Mabuya maculilabris</t>
  </si>
  <si>
    <t xml:space="preserve">Mabuya quinquetaeniata</t>
  </si>
  <si>
    <t xml:space="preserve">Pachydactylus tuberculosus</t>
  </si>
  <si>
    <t xml:space="preserve">Panaspis nimbaensis</t>
  </si>
  <si>
    <t xml:space="preserve">Riopa sundevalli</t>
  </si>
  <si>
    <t xml:space="preserve">Sceloporus olivaceus</t>
  </si>
  <si>
    <t xml:space="preserve">Uromastix acanthinurus</t>
  </si>
  <si>
    <t xml:space="preserve">Uta stansburiana</t>
  </si>
  <si>
    <t xml:space="preserve">Varanus exanthematicus</t>
  </si>
  <si>
    <t xml:space="preserve">Varanus komodoensis</t>
  </si>
  <si>
    <t xml:space="preserve">Varanus niloticus</t>
  </si>
  <si>
    <t xml:space="preserve">$'Damuth (1987) consumer densities'.V7</t>
  </si>
  <si>
    <t xml:space="preserve">Age</t>
  </si>
  <si>
    <t xml:space="preserve">Body mass (kg) (Erickson et al. 2004 unconstrained)</t>
  </si>
  <si>
    <t xml:space="preserve">Body mass (kg) (Erickson et al. 2004 corrected)</t>
  </si>
  <si>
    <t xml:space="preserve">Biomass proportion (Schroeder et al. 2021)</t>
  </si>
  <si>
    <t xml:space="preserve">Age class (Schroeder et al. 2021)</t>
  </si>
  <si>
    <t xml:space="preserve">Biomass proportion by age class (Schroeder et al. 2021)</t>
  </si>
  <si>
    <t xml:space="preserve">Mean body mass by age class (Schroeder et al. 2021)</t>
  </si>
  <si>
    <t xml:space="preserve">Age class (Therrien et al. 2021)</t>
  </si>
  <si>
    <t xml:space="preserve">Biomass proportion by age class (this study)</t>
  </si>
  <si>
    <t xml:space="preserve">Body mass * biomass proportion by age class (this study)</t>
  </si>
  <si>
    <t xml:space="preserve">Mean body mass by age class (this study)</t>
  </si>
  <si>
    <t xml:space="preserve">Young juvenile</t>
  </si>
  <si>
    <t xml:space="preserve">Juvenile</t>
  </si>
  <si>
    <t xml:space="preserve">Adult</t>
  </si>
  <si>
    <t xml:space="preserve">Daspletosaurus</t>
  </si>
  <si>
    <r>
      <rPr>
        <b val="true"/>
        <sz val="10"/>
        <rFont val="Arial"/>
        <family val="2"/>
      </rPr>
      <t xml:space="preserve">Note:</t>
    </r>
    <r>
      <rPr>
        <sz val="10"/>
        <rFont val="Arial"/>
        <family val="2"/>
      </rPr>
      <t xml:space="preserve"> in our studies we follow age classes proposed by Therrien et al. (2021) instead of Schroeder et al. (2021) since the former have based their age classes on firsthand observations of anatomical change through ontogeny</t>
    </r>
  </si>
  <si>
    <t xml:space="preserve">This column is to calculate mean body mass per age category (based on revised age thresholds from Therrien et al. 2021)</t>
  </si>
</sst>
</file>

<file path=xl/styles.xml><?xml version="1.0" encoding="utf-8"?>
<styleSheet xmlns="http://schemas.openxmlformats.org/spreadsheetml/2006/main">
  <numFmts count="3">
    <numFmt numFmtId="164" formatCode="General"/>
    <numFmt numFmtId="165" formatCode="0.000000000000"/>
    <numFmt numFmtId="166" formatCode="General"/>
  </numFmts>
  <fonts count="9">
    <font>
      <sz val="10"/>
      <name val="Arial"/>
      <family val="2"/>
    </font>
    <font>
      <sz val="10"/>
      <name val="Arial"/>
      <family val="0"/>
    </font>
    <font>
      <sz val="10"/>
      <name val="Arial"/>
      <family val="0"/>
    </font>
    <font>
      <sz val="10"/>
      <name val="Arial"/>
      <family val="0"/>
    </font>
    <font>
      <b val="true"/>
      <sz val="10"/>
      <name val="Arial"/>
      <family val="2"/>
    </font>
    <font>
      <i val="true"/>
      <sz val="10"/>
      <name val="Verdana"/>
      <family val="2"/>
    </font>
    <font>
      <sz val="10"/>
      <name val="Verdana"/>
      <family val="0"/>
    </font>
    <font>
      <sz val="10"/>
      <name val="Verdana"/>
      <family val="2"/>
    </font>
    <font>
      <b val="true"/>
      <i val="true"/>
      <sz val="10"/>
      <name val="Arial"/>
      <family val="2"/>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53" activePane="bottomLeft" state="frozen"/>
      <selection pane="topLeft" activeCell="A1" activeCellId="0" sqref="A1"/>
      <selection pane="bottomLeft" activeCell="H58" activeCellId="0" sqref="H58"/>
    </sheetView>
  </sheetViews>
  <sheetFormatPr defaultColWidth="11.53515625" defaultRowHeight="12.8" zeroHeight="false" outlineLevelRow="0" outlineLevelCol="0"/>
  <cols>
    <col collapsed="false" customWidth="true" hidden="false" outlineLevel="0" max="1" min="1" style="0" width="24.2"/>
    <col collapsed="false" customWidth="true" hidden="false" outlineLevel="0" max="2" min="2" style="0" width="18.49"/>
    <col collapsed="false" customWidth="true" hidden="false" outlineLevel="0" max="3" min="3" style="0" width="29.62"/>
    <col collapsed="false" customWidth="true" hidden="false" outlineLevel="0" max="5" min="5" style="0" width="36.99"/>
    <col collapsed="false" customWidth="true" hidden="false" outlineLevel="0" max="6" min="6" style="0" width="19.6"/>
    <col collapsed="false" customWidth="true" hidden="false" outlineLevel="0" max="10" min="10" style="0" width="18.35"/>
    <col collapsed="false" customWidth="true" hidden="false" outlineLevel="0" max="13" min="12" style="0" width="16.55"/>
  </cols>
  <sheetData>
    <row r="1" customFormat="false" ht="12.8" hidden="false" customHeight="false" outlineLevel="0" collapsed="false">
      <c r="A1" s="1" t="s">
        <v>0</v>
      </c>
      <c r="B1" s="1" t="s">
        <v>1</v>
      </c>
      <c r="C1" s="1" t="s">
        <v>2</v>
      </c>
      <c r="D1" s="1" t="s">
        <v>3</v>
      </c>
      <c r="E1" s="1" t="s">
        <v>4</v>
      </c>
      <c r="H1" s="0" t="s">
        <v>0</v>
      </c>
      <c r="I1" s="0" t="s">
        <v>5</v>
      </c>
      <c r="J1" s="0" t="s">
        <v>6</v>
      </c>
      <c r="K1" s="0" t="s">
        <v>7</v>
      </c>
      <c r="L1" s="0" t="s">
        <v>3</v>
      </c>
      <c r="M1" s="0" t="s">
        <v>8</v>
      </c>
      <c r="N1" s="0" t="s">
        <v>9</v>
      </c>
    </row>
    <row r="2" customFormat="false" ht="12.8" hidden="false" customHeight="false" outlineLevel="0" collapsed="false">
      <c r="A2" s="1" t="s">
        <v>10</v>
      </c>
      <c r="B2" s="2" t="s">
        <v>11</v>
      </c>
      <c r="C2" s="1" t="s">
        <v>12</v>
      </c>
      <c r="D2" s="1" t="n">
        <v>13</v>
      </c>
      <c r="E2" s="1" t="s">
        <v>13</v>
      </c>
      <c r="H2" s="0" t="s">
        <v>14</v>
      </c>
      <c r="I2" s="0" t="s">
        <v>15</v>
      </c>
      <c r="J2" s="0" t="s">
        <v>16</v>
      </c>
      <c r="K2" s="3" t="n">
        <v>23.8</v>
      </c>
      <c r="L2" s="4" t="n">
        <f aca="false">2.718281828459^(2.953*(LN(K2))-4.785)</f>
        <v>97.0359491598996</v>
      </c>
      <c r="M2" s="4" t="n">
        <f aca="false">2.718281828459^(0.8024*(LN(K2))+3.05)/100</f>
        <v>2.68635571937596</v>
      </c>
      <c r="N2" s="0" t="s">
        <v>17</v>
      </c>
    </row>
    <row r="3" customFormat="false" ht="12.8" hidden="false" customHeight="false" outlineLevel="0" collapsed="false">
      <c r="A3" s="1" t="s">
        <v>18</v>
      </c>
      <c r="B3" s="2" t="s">
        <v>19</v>
      </c>
      <c r="C3" s="1" t="s">
        <v>12</v>
      </c>
      <c r="D3" s="1" t="n">
        <v>16</v>
      </c>
      <c r="E3" s="1" t="s">
        <v>13</v>
      </c>
      <c r="H3" s="0" t="s">
        <v>20</v>
      </c>
      <c r="I3" s="0" t="s">
        <v>21</v>
      </c>
      <c r="J3" s="0" t="s">
        <v>16</v>
      </c>
      <c r="K3" s="3" t="n">
        <v>17.5</v>
      </c>
      <c r="L3" s="4" t="n">
        <f aca="false">2.718281828459^(2.953*(LN(K3))-4.785)</f>
        <v>39.1374262153985</v>
      </c>
      <c r="M3" s="4" t="n">
        <f aca="false">2.718281828459^(0.8024*(LN(K3))+3.05)/100</f>
        <v>2.09899739730695</v>
      </c>
      <c r="N3" s="0" t="s">
        <v>22</v>
      </c>
    </row>
    <row r="4" customFormat="false" ht="12.8" hidden="false" customHeight="false" outlineLevel="0" collapsed="false">
      <c r="A4" s="1" t="s">
        <v>18</v>
      </c>
      <c r="B4" s="2" t="s">
        <v>23</v>
      </c>
      <c r="C4" s="1" t="s">
        <v>12</v>
      </c>
      <c r="D4" s="1" t="n">
        <v>16.14</v>
      </c>
      <c r="E4" s="1" t="s">
        <v>24</v>
      </c>
      <c r="H4" s="0" t="s">
        <v>25</v>
      </c>
      <c r="I4" s="0" t="s">
        <v>26</v>
      </c>
      <c r="J4" s="0" t="s">
        <v>16</v>
      </c>
      <c r="K4" s="3" t="n">
        <v>13</v>
      </c>
      <c r="L4" s="4" t="n">
        <f aca="false">2.718281828459^(2.953*(LN(K4))-4.785)</f>
        <v>16.2695530912501</v>
      </c>
      <c r="M4" s="4" t="n">
        <f aca="false">2.718281828459^(0.8024*(LN(K4))+3.05)/100</f>
        <v>1.65358420663035</v>
      </c>
      <c r="N4" s="0" t="s">
        <v>27</v>
      </c>
    </row>
    <row r="5" customFormat="false" ht="12.8" hidden="false" customHeight="false" outlineLevel="0" collapsed="false">
      <c r="A5" s="1" t="s">
        <v>18</v>
      </c>
      <c r="B5" s="2" t="s">
        <v>19</v>
      </c>
      <c r="C5" s="1" t="s">
        <v>28</v>
      </c>
      <c r="D5" s="1" t="n">
        <v>26.7</v>
      </c>
      <c r="E5" s="1" t="s">
        <v>29</v>
      </c>
      <c r="H5" s="0" t="s">
        <v>30</v>
      </c>
      <c r="I5" s="0" t="s">
        <v>31</v>
      </c>
      <c r="J5" s="0" t="s">
        <v>32</v>
      </c>
      <c r="K5" s="3" t="n">
        <f aca="false">5*65/2.5</f>
        <v>130</v>
      </c>
      <c r="L5" s="3" t="n">
        <f aca="false">(3.9*(10^-1*K5^2.69))/1000</f>
        <v>189.483860662002</v>
      </c>
      <c r="M5" s="3"/>
      <c r="N5" s="0" t="s">
        <v>33</v>
      </c>
    </row>
    <row r="6" customFormat="false" ht="12.8" hidden="false" customHeight="false" outlineLevel="0" collapsed="false">
      <c r="A6" s="1" t="s">
        <v>18</v>
      </c>
      <c r="B6" s="2" t="s">
        <v>19</v>
      </c>
      <c r="C6" s="1" t="s">
        <v>34</v>
      </c>
      <c r="D6" s="1" t="n">
        <v>27.6576</v>
      </c>
      <c r="E6" s="1" t="s">
        <v>35</v>
      </c>
      <c r="H6" s="0" t="s">
        <v>36</v>
      </c>
      <c r="I6" s="0" t="s">
        <v>37</v>
      </c>
      <c r="J6" s="0" t="s">
        <v>32</v>
      </c>
      <c r="K6" s="3" t="n">
        <f aca="false">13*10/3.3</f>
        <v>39.3939393939394</v>
      </c>
      <c r="L6" s="3" t="n">
        <f aca="false">(3.9*(10^-1*K6^2.69))/1000</f>
        <v>7.63430886545263</v>
      </c>
      <c r="M6" s="3"/>
      <c r="N6" s="0" t="s">
        <v>33</v>
      </c>
    </row>
    <row r="7" customFormat="false" ht="12.8" hidden="false" customHeight="false" outlineLevel="0" collapsed="false">
      <c r="A7" s="1" t="s">
        <v>18</v>
      </c>
      <c r="B7" s="5" t="s">
        <v>19</v>
      </c>
      <c r="C7" s="1" t="s">
        <v>38</v>
      </c>
      <c r="D7" s="6" t="n">
        <f aca="false">((D6*3)+D5+D3)/5</f>
        <v>25.13456</v>
      </c>
      <c r="E7" s="1" t="s">
        <v>39</v>
      </c>
      <c r="H7" s="0" t="s">
        <v>40</v>
      </c>
      <c r="I7" s="0" t="s">
        <v>41</v>
      </c>
      <c r="J7" s="0" t="s">
        <v>32</v>
      </c>
      <c r="K7" s="0" t="n">
        <v>29.1</v>
      </c>
      <c r="L7" s="0" t="n">
        <f aca="false">(3.9*(10^-1*K7^2.69))/1000</f>
        <v>3.38015602508321</v>
      </c>
      <c r="N7" s="0" t="s">
        <v>42</v>
      </c>
    </row>
    <row r="8" customFormat="false" ht="12.8" hidden="false" customHeight="false" outlineLevel="0" collapsed="false">
      <c r="A8" s="1" t="s">
        <v>43</v>
      </c>
      <c r="B8" s="2" t="s">
        <v>44</v>
      </c>
      <c r="C8" s="1" t="s">
        <v>12</v>
      </c>
      <c r="D8" s="1" t="n">
        <v>16</v>
      </c>
      <c r="E8" s="1" t="s">
        <v>13</v>
      </c>
      <c r="H8" s="0" t="s">
        <v>45</v>
      </c>
      <c r="I8" s="0" t="s">
        <v>46</v>
      </c>
      <c r="J8" s="0" t="s">
        <v>32</v>
      </c>
      <c r="K8" s="0" t="n">
        <v>30</v>
      </c>
      <c r="L8" s="0" t="n">
        <f aca="false">(3.9*(10^-1*K8^2.69))/1000</f>
        <v>3.66877250137985</v>
      </c>
      <c r="N8" s="0" t="s">
        <v>47</v>
      </c>
    </row>
    <row r="9" customFormat="false" ht="12.8" hidden="false" customHeight="false" outlineLevel="0" collapsed="false">
      <c r="A9" s="1" t="s">
        <v>43</v>
      </c>
      <c r="B9" s="2" t="s">
        <v>48</v>
      </c>
      <c r="C9" s="1" t="s">
        <v>49</v>
      </c>
      <c r="D9" s="1" t="n">
        <v>10</v>
      </c>
      <c r="E9" s="1" t="s">
        <v>50</v>
      </c>
      <c r="H9" s="0" t="s">
        <v>51</v>
      </c>
      <c r="I9" s="0" t="s">
        <v>46</v>
      </c>
      <c r="J9" s="0" t="s">
        <v>32</v>
      </c>
      <c r="K9" s="0" t="n">
        <v>49</v>
      </c>
      <c r="L9" s="0" t="n">
        <f aca="false">(3.9*(10^-1*K9^2.69))/1000</f>
        <v>13.7306805209338</v>
      </c>
      <c r="N9" s="0" t="s">
        <v>47</v>
      </c>
    </row>
    <row r="10" customFormat="false" ht="12.8" hidden="false" customHeight="false" outlineLevel="0" collapsed="false">
      <c r="A10" s="1" t="s">
        <v>43</v>
      </c>
      <c r="B10" s="5" t="s">
        <v>48</v>
      </c>
      <c r="C10" s="1" t="s">
        <v>52</v>
      </c>
      <c r="D10" s="6" t="n">
        <v>13</v>
      </c>
      <c r="E10" s="1" t="s">
        <v>39</v>
      </c>
      <c r="H10" s="0" t="s">
        <v>53</v>
      </c>
      <c r="I10" s="0" t="s">
        <v>46</v>
      </c>
      <c r="J10" s="0" t="s">
        <v>32</v>
      </c>
      <c r="K10" s="0" t="n">
        <v>49</v>
      </c>
      <c r="L10" s="0" t="n">
        <f aca="false">(3.9*(10^-1*K10^2.69))/1000</f>
        <v>13.7306805209338</v>
      </c>
      <c r="N10" s="0" t="s">
        <v>47</v>
      </c>
    </row>
    <row r="11" customFormat="false" ht="12.8" hidden="false" customHeight="false" outlineLevel="0" collapsed="false">
      <c r="A11" s="1" t="s">
        <v>54</v>
      </c>
      <c r="B11" s="2" t="s">
        <v>55</v>
      </c>
      <c r="C11" s="1" t="s">
        <v>12</v>
      </c>
      <c r="D11" s="1" t="n">
        <v>160</v>
      </c>
      <c r="E11" s="1" t="s">
        <v>13</v>
      </c>
      <c r="H11" s="0" t="s">
        <v>56</v>
      </c>
      <c r="I11" s="0" t="s">
        <v>57</v>
      </c>
      <c r="J11" s="0" t="s">
        <v>32</v>
      </c>
      <c r="K11" s="3" t="n">
        <f aca="false">23*5/4</f>
        <v>28.75</v>
      </c>
      <c r="L11" s="3" t="n">
        <f aca="false">(3.9*(10^-1*K11^2.69))/1000</f>
        <v>3.27190300726285</v>
      </c>
      <c r="M11" s="3"/>
      <c r="N11" s="0" t="s">
        <v>58</v>
      </c>
    </row>
    <row r="12" customFormat="false" ht="12.8" hidden="false" customHeight="false" outlineLevel="0" collapsed="false">
      <c r="A12" s="1" t="s">
        <v>54</v>
      </c>
      <c r="B12" s="2" t="s">
        <v>48</v>
      </c>
      <c r="C12" s="1" t="s">
        <v>49</v>
      </c>
      <c r="D12" s="1" t="n">
        <v>100</v>
      </c>
      <c r="E12" s="1" t="s">
        <v>50</v>
      </c>
      <c r="H12" s="0" t="s">
        <v>59</v>
      </c>
      <c r="I12" s="0" t="s">
        <v>60</v>
      </c>
      <c r="J12" s="0" t="s">
        <v>32</v>
      </c>
      <c r="K12" s="3" t="n">
        <v>30</v>
      </c>
      <c r="L12" s="3" t="n">
        <f aca="false">(3.9*(10^-1*K12^2.69))/1000</f>
        <v>3.66877250137985</v>
      </c>
      <c r="M12" s="3"/>
      <c r="N12" s="0" t="s">
        <v>33</v>
      </c>
    </row>
    <row r="13" customFormat="false" ht="12.8" hidden="false" customHeight="false" outlineLevel="0" collapsed="false">
      <c r="A13" s="1" t="s">
        <v>54</v>
      </c>
      <c r="B13" s="2" t="s">
        <v>61</v>
      </c>
      <c r="C13" s="1" t="s">
        <v>52</v>
      </c>
      <c r="D13" s="1" t="n">
        <v>130</v>
      </c>
      <c r="E13" s="1" t="s">
        <v>39</v>
      </c>
      <c r="H13" s="0" t="s">
        <v>62</v>
      </c>
      <c r="I13" s="0" t="s">
        <v>63</v>
      </c>
      <c r="J13" s="0" t="s">
        <v>32</v>
      </c>
      <c r="K13" s="0" t="n">
        <v>30</v>
      </c>
      <c r="L13" s="0" t="n">
        <f aca="false">(3.9*(10^-1*K13^2.69))/1000</f>
        <v>3.66877250137985</v>
      </c>
      <c r="N13" s="0" t="s">
        <v>64</v>
      </c>
    </row>
    <row r="14" customFormat="false" ht="12.8" hidden="false" customHeight="false" outlineLevel="0" collapsed="false">
      <c r="A14" s="1" t="s">
        <v>65</v>
      </c>
      <c r="B14" s="6" t="s">
        <v>66</v>
      </c>
      <c r="C14" s="1" t="s">
        <v>12</v>
      </c>
      <c r="D14" s="6" t="n">
        <v>178.508</v>
      </c>
      <c r="E14" s="1" t="s">
        <v>24</v>
      </c>
      <c r="H14" s="0" t="s">
        <v>67</v>
      </c>
      <c r="I14" s="0" t="s">
        <v>68</v>
      </c>
      <c r="J14" s="0" t="s">
        <v>32</v>
      </c>
      <c r="K14" s="0" t="n">
        <v>54</v>
      </c>
      <c r="L14" s="0" t="n">
        <f aca="false">(3.9*(10^-1*K14^2.69))/1000</f>
        <v>17.8321546100617</v>
      </c>
      <c r="N14" s="0" t="s">
        <v>47</v>
      </c>
    </row>
    <row r="15" customFormat="false" ht="12.8" hidden="false" customHeight="false" outlineLevel="0" collapsed="false">
      <c r="A15" s="1" t="s">
        <v>65</v>
      </c>
      <c r="B15" s="1" t="s">
        <v>69</v>
      </c>
      <c r="C15" s="1" t="s">
        <v>12</v>
      </c>
      <c r="D15" s="1" t="n">
        <v>83</v>
      </c>
      <c r="E15" s="1" t="s">
        <v>24</v>
      </c>
      <c r="H15" s="0" t="s">
        <v>70</v>
      </c>
      <c r="I15" s="0" t="s">
        <v>71</v>
      </c>
      <c r="J15" s="0" t="s">
        <v>32</v>
      </c>
      <c r="K15" s="0" t="n">
        <v>43.5</v>
      </c>
      <c r="L15" s="0" t="n">
        <f aca="false">(3.9*(10^-1*K15^2.69))/1000</f>
        <v>9.96783196674244</v>
      </c>
      <c r="N15" s="0" t="s">
        <v>72</v>
      </c>
    </row>
    <row r="16" customFormat="false" ht="12.8" hidden="false" customHeight="false" outlineLevel="0" collapsed="false">
      <c r="A16" s="1" t="s">
        <v>65</v>
      </c>
      <c r="B16" s="1" t="s">
        <v>69</v>
      </c>
      <c r="C16" s="1" t="s">
        <v>12</v>
      </c>
      <c r="D16" s="1" t="n">
        <v>60</v>
      </c>
      <c r="E16" s="1" t="s">
        <v>13</v>
      </c>
      <c r="H16" s="0" t="s">
        <v>73</v>
      </c>
      <c r="I16" s="0" t="s">
        <v>74</v>
      </c>
      <c r="J16" s="0" t="s">
        <v>32</v>
      </c>
      <c r="L16" s="0" t="n">
        <v>11.46</v>
      </c>
      <c r="M16" s="0" t="n">
        <v>43.9</v>
      </c>
      <c r="N16" s="0" t="s">
        <v>75</v>
      </c>
    </row>
    <row r="17" customFormat="false" ht="12.8" hidden="false" customHeight="false" outlineLevel="0" collapsed="false">
      <c r="A17" s="1" t="s">
        <v>65</v>
      </c>
      <c r="B17" s="1" t="s">
        <v>69</v>
      </c>
      <c r="C17" s="1" t="s">
        <v>76</v>
      </c>
      <c r="D17" s="1" t="n">
        <v>155</v>
      </c>
      <c r="E17" s="7" t="s">
        <v>77</v>
      </c>
      <c r="H17" s="0" t="s">
        <v>78</v>
      </c>
      <c r="J17" s="0" t="s">
        <v>79</v>
      </c>
      <c r="K17" s="0" t="n">
        <v>7.1</v>
      </c>
      <c r="L17" s="8" t="n">
        <f aca="false">(2.718281828459^K17)/1000</f>
        <v>1.21196707449243</v>
      </c>
      <c r="M17" s="8"/>
      <c r="N17" s="0" t="s">
        <v>80</v>
      </c>
    </row>
    <row r="18" customFormat="false" ht="12.8" hidden="false" customHeight="false" outlineLevel="0" collapsed="false">
      <c r="A18" s="1" t="s">
        <v>65</v>
      </c>
      <c r="B18" s="1" t="s">
        <v>69</v>
      </c>
      <c r="C18" s="1" t="s">
        <v>76</v>
      </c>
      <c r="D18" s="1" t="n">
        <v>110</v>
      </c>
      <c r="E18" s="7" t="s">
        <v>81</v>
      </c>
      <c r="H18" s="9" t="s">
        <v>82</v>
      </c>
      <c r="J18" s="0" t="s">
        <v>83</v>
      </c>
      <c r="L18" s="10" t="n">
        <v>1.42</v>
      </c>
      <c r="M18" s="10"/>
      <c r="N18" s="11" t="s">
        <v>84</v>
      </c>
    </row>
    <row r="19" customFormat="false" ht="12.8" hidden="false" customHeight="false" outlineLevel="0" collapsed="false">
      <c r="A19" s="1" t="s">
        <v>65</v>
      </c>
      <c r="B19" s="1" t="s">
        <v>85</v>
      </c>
      <c r="C19" s="1" t="s">
        <v>86</v>
      </c>
      <c r="D19" s="1" t="n">
        <v>138.7235</v>
      </c>
      <c r="E19" s="7" t="s">
        <v>35</v>
      </c>
      <c r="H19" s="9" t="s">
        <v>87</v>
      </c>
      <c r="J19" s="0" t="s">
        <v>79</v>
      </c>
      <c r="K19" s="0" t="n">
        <v>5.19</v>
      </c>
      <c r="L19" s="10" t="n">
        <f aca="false">(2.718281828459^K19)/1000</f>
        <v>0.179468552931817</v>
      </c>
      <c r="M19" s="10"/>
      <c r="N19" s="11" t="s">
        <v>80</v>
      </c>
    </row>
    <row r="20" customFormat="false" ht="12.8" hidden="false" customHeight="false" outlineLevel="0" collapsed="false">
      <c r="A20" s="1" t="s">
        <v>88</v>
      </c>
      <c r="B20" s="7" t="s">
        <v>89</v>
      </c>
      <c r="C20" s="7" t="s">
        <v>76</v>
      </c>
      <c r="D20" s="7" t="n">
        <v>175</v>
      </c>
      <c r="E20" s="7" t="s">
        <v>77</v>
      </c>
      <c r="H20" s="9" t="s">
        <v>90</v>
      </c>
      <c r="J20" s="0" t="s">
        <v>79</v>
      </c>
      <c r="K20" s="0" t="n">
        <v>3.98</v>
      </c>
      <c r="L20" s="10" t="n">
        <f aca="false">(2.718281828459^K20)/1000</f>
        <v>0.0535170342274876</v>
      </c>
      <c r="M20" s="10"/>
      <c r="N20" s="0" t="s">
        <v>80</v>
      </c>
    </row>
    <row r="21" customFormat="false" ht="12.8" hidden="false" customHeight="false" outlineLevel="0" collapsed="false">
      <c r="A21" s="1" t="s">
        <v>88</v>
      </c>
      <c r="B21" s="7" t="s">
        <v>89</v>
      </c>
      <c r="C21" s="7" t="s">
        <v>91</v>
      </c>
      <c r="D21" s="7" t="n">
        <v>201</v>
      </c>
      <c r="E21" s="7" t="s">
        <v>92</v>
      </c>
      <c r="H21" s="11" t="s">
        <v>90</v>
      </c>
      <c r="I21" s="11"/>
      <c r="J21" s="11" t="s">
        <v>83</v>
      </c>
      <c r="K21" s="11"/>
      <c r="L21" s="11" t="n">
        <v>0.099</v>
      </c>
      <c r="M21" s="11"/>
      <c r="N21" s="11" t="s">
        <v>84</v>
      </c>
    </row>
    <row r="22" customFormat="false" ht="12.8" hidden="false" customHeight="false" outlineLevel="0" collapsed="false">
      <c r="A22" s="1" t="s">
        <v>88</v>
      </c>
      <c r="B22" s="7" t="s">
        <v>89</v>
      </c>
      <c r="C22" s="7" t="s">
        <v>76</v>
      </c>
      <c r="D22" s="7" t="n">
        <v>153</v>
      </c>
      <c r="E22" s="7" t="s">
        <v>81</v>
      </c>
      <c r="H22" s="0" t="s">
        <v>93</v>
      </c>
      <c r="J22" s="0" t="s">
        <v>79</v>
      </c>
      <c r="K22" s="0" t="n">
        <v>5.66</v>
      </c>
      <c r="L22" s="8" t="n">
        <f aca="false">(2.718281828459^K22)/1000</f>
        <v>0.287148642556027</v>
      </c>
      <c r="M22" s="8"/>
      <c r="N22" s="0" t="s">
        <v>80</v>
      </c>
    </row>
    <row r="23" customFormat="false" ht="12.8" hidden="false" customHeight="false" outlineLevel="0" collapsed="false">
      <c r="A23" s="1" t="s">
        <v>88</v>
      </c>
      <c r="B23" s="6" t="s">
        <v>94</v>
      </c>
      <c r="C23" s="1" t="s">
        <v>12</v>
      </c>
      <c r="D23" s="6" t="n">
        <v>178.508</v>
      </c>
      <c r="E23" s="1" t="s">
        <v>24</v>
      </c>
      <c r="H23" s="9" t="s">
        <v>95</v>
      </c>
      <c r="J23" s="0" t="s">
        <v>83</v>
      </c>
      <c r="L23" s="9" t="n">
        <v>0.4723</v>
      </c>
      <c r="M23" s="9"/>
      <c r="N23" s="11" t="s">
        <v>84</v>
      </c>
    </row>
    <row r="24" customFormat="false" ht="12.8" hidden="false" customHeight="false" outlineLevel="0" collapsed="false">
      <c r="A24" s="1" t="s">
        <v>88</v>
      </c>
      <c r="B24" s="1" t="s">
        <v>89</v>
      </c>
      <c r="C24" s="1" t="s">
        <v>12</v>
      </c>
      <c r="D24" s="1" t="n">
        <v>143.6</v>
      </c>
      <c r="E24" s="1" t="s">
        <v>24</v>
      </c>
      <c r="H24" s="9" t="s">
        <v>96</v>
      </c>
      <c r="J24" s="0" t="s">
        <v>79</v>
      </c>
      <c r="K24" s="0" t="n">
        <v>3.93</v>
      </c>
      <c r="L24" s="10" t="n">
        <f aca="false">(2.718281828459^K24)/1000</f>
        <v>0.0509069776691981</v>
      </c>
      <c r="M24" s="10"/>
      <c r="N24" s="0" t="s">
        <v>80</v>
      </c>
    </row>
    <row r="25" customFormat="false" ht="12.8" hidden="false" customHeight="false" outlineLevel="0" collapsed="false">
      <c r="A25" s="1" t="s">
        <v>88</v>
      </c>
      <c r="B25" s="1" t="s">
        <v>97</v>
      </c>
      <c r="C25" s="1" t="s">
        <v>12</v>
      </c>
      <c r="D25" s="1" t="n">
        <v>110</v>
      </c>
      <c r="E25" s="1" t="s">
        <v>13</v>
      </c>
      <c r="H25" s="0" t="s">
        <v>96</v>
      </c>
      <c r="J25" s="0" t="s">
        <v>83</v>
      </c>
      <c r="L25" s="0" t="n">
        <v>0.0554</v>
      </c>
      <c r="N25" s="11" t="s">
        <v>84</v>
      </c>
    </row>
    <row r="26" customFormat="false" ht="12.8" hidden="false" customHeight="false" outlineLevel="0" collapsed="false">
      <c r="A26" s="1" t="s">
        <v>88</v>
      </c>
      <c r="B26" s="7" t="s">
        <v>48</v>
      </c>
      <c r="C26" s="1" t="s">
        <v>98</v>
      </c>
      <c r="D26" s="11" t="n">
        <v>215.0365</v>
      </c>
      <c r="E26" s="1" t="s">
        <v>35</v>
      </c>
      <c r="H26" s="0" t="s">
        <v>99</v>
      </c>
      <c r="J26" s="0" t="s">
        <v>79</v>
      </c>
      <c r="K26" s="0" t="n">
        <v>4.47</v>
      </c>
      <c r="L26" s="8" t="n">
        <f aca="false">(2.718281828459^K26)/1000</f>
        <v>0.0873567230134345</v>
      </c>
      <c r="M26" s="8"/>
      <c r="N26" s="0" t="s">
        <v>80</v>
      </c>
    </row>
    <row r="27" customFormat="false" ht="12.8" hidden="false" customHeight="false" outlineLevel="0" collapsed="false">
      <c r="A27" s="1" t="s">
        <v>88</v>
      </c>
      <c r="B27" s="7" t="s">
        <v>89</v>
      </c>
      <c r="C27" s="1" t="s">
        <v>52</v>
      </c>
      <c r="D27" s="11" t="n">
        <f aca="false">(D20+D21+D22+D24)/4</f>
        <v>168.15</v>
      </c>
      <c r="E27" s="1" t="s">
        <v>39</v>
      </c>
      <c r="H27" s="9" t="s">
        <v>100</v>
      </c>
      <c r="J27" s="0" t="s">
        <v>101</v>
      </c>
      <c r="L27" s="9" t="n">
        <v>0.0665</v>
      </c>
      <c r="M27" s="9"/>
      <c r="N27" s="0" t="s">
        <v>102</v>
      </c>
    </row>
    <row r="28" customFormat="false" ht="12.8" hidden="false" customHeight="false" outlineLevel="0" collapsed="false">
      <c r="A28" s="1" t="s">
        <v>103</v>
      </c>
      <c r="B28" s="12" t="s">
        <v>104</v>
      </c>
      <c r="C28" s="1" t="s">
        <v>105</v>
      </c>
      <c r="D28" s="6" t="n">
        <f aca="false">10^(-6.288+3.22*LOG10(397))</f>
        <v>120.255633854131</v>
      </c>
      <c r="E28" s="1" t="s">
        <v>106</v>
      </c>
      <c r="H28" s="0" t="s">
        <v>100</v>
      </c>
      <c r="J28" s="0" t="s">
        <v>83</v>
      </c>
      <c r="L28" s="0" t="n">
        <v>0.0395</v>
      </c>
      <c r="N28" s="0" t="s">
        <v>84</v>
      </c>
    </row>
    <row r="29" customFormat="false" ht="12.8" hidden="false" customHeight="false" outlineLevel="0" collapsed="false">
      <c r="A29" s="1" t="s">
        <v>107</v>
      </c>
      <c r="B29" s="1" t="s">
        <v>108</v>
      </c>
      <c r="C29" s="1" t="s">
        <v>12</v>
      </c>
      <c r="D29" s="1" t="n">
        <v>30</v>
      </c>
      <c r="E29" s="1" t="s">
        <v>13</v>
      </c>
      <c r="H29" s="11" t="s">
        <v>109</v>
      </c>
      <c r="J29" s="0" t="s">
        <v>79</v>
      </c>
      <c r="K29" s="0" t="n">
        <v>7.45</v>
      </c>
      <c r="L29" s="8" t="n">
        <f aca="false">(2.718281828459^K29)/1000</f>
        <v>1.71986314537571</v>
      </c>
      <c r="M29" s="8"/>
      <c r="N29" s="11" t="s">
        <v>80</v>
      </c>
    </row>
    <row r="30" customFormat="false" ht="12.8" hidden="false" customHeight="false" outlineLevel="0" collapsed="false">
      <c r="A30" s="1" t="s">
        <v>107</v>
      </c>
      <c r="B30" s="11" t="s">
        <v>108</v>
      </c>
      <c r="C30" s="1" t="s">
        <v>12</v>
      </c>
      <c r="D30" s="1" t="n">
        <v>51.1</v>
      </c>
      <c r="E30" s="1" t="s">
        <v>24</v>
      </c>
      <c r="H30" s="0" t="s">
        <v>109</v>
      </c>
      <c r="J30" s="0" t="s">
        <v>83</v>
      </c>
      <c r="L30" s="8" t="n">
        <v>1.0509</v>
      </c>
      <c r="M30" s="8"/>
      <c r="N30" s="0" t="s">
        <v>84</v>
      </c>
    </row>
    <row r="31" customFormat="false" ht="12.8" hidden="false" customHeight="false" outlineLevel="0" collapsed="false">
      <c r="A31" s="1" t="s">
        <v>107</v>
      </c>
      <c r="B31" s="1" t="s">
        <v>108</v>
      </c>
      <c r="C31" s="1" t="s">
        <v>12</v>
      </c>
      <c r="D31" s="1" t="n">
        <v>66.9</v>
      </c>
      <c r="E31" s="1" t="s">
        <v>110</v>
      </c>
      <c r="H31" s="9" t="s">
        <v>109</v>
      </c>
      <c r="J31" s="0" t="s">
        <v>101</v>
      </c>
      <c r="L31" s="9" t="n">
        <v>1.636</v>
      </c>
      <c r="M31" s="9"/>
      <c r="N31" s="0" t="s">
        <v>102</v>
      </c>
    </row>
    <row r="32" customFormat="false" ht="12.8" hidden="false" customHeight="false" outlineLevel="0" collapsed="false">
      <c r="A32" s="1" t="s">
        <v>107</v>
      </c>
      <c r="B32" s="1" t="s">
        <v>108</v>
      </c>
      <c r="C32" s="1" t="s">
        <v>111</v>
      </c>
      <c r="D32" s="1" t="n">
        <v>74.7759</v>
      </c>
      <c r="E32" s="1" t="s">
        <v>35</v>
      </c>
      <c r="H32" s="0" t="s">
        <v>112</v>
      </c>
      <c r="J32" s="0" t="s">
        <v>79</v>
      </c>
      <c r="K32" s="0" t="n">
        <v>3.94</v>
      </c>
      <c r="L32" s="8" t="n">
        <f aca="false">(2.718281828459^K32)/1000</f>
        <v>0.0514186013005235</v>
      </c>
      <c r="M32" s="8"/>
      <c r="N32" s="0" t="s">
        <v>80</v>
      </c>
    </row>
    <row r="33" customFormat="false" ht="12.8" hidden="false" customHeight="false" outlineLevel="0" collapsed="false">
      <c r="A33" s="1" t="s">
        <v>107</v>
      </c>
      <c r="B33" s="6" t="s">
        <v>108</v>
      </c>
      <c r="C33" s="1" t="s">
        <v>113</v>
      </c>
      <c r="D33" s="6" t="n">
        <f aca="false">((D32*4)+D29+D30+D31)/7</f>
        <v>63.8719428571429</v>
      </c>
      <c r="E33" s="1" t="s">
        <v>39</v>
      </c>
      <c r="H33" s="9" t="s">
        <v>112</v>
      </c>
      <c r="J33" s="0" t="s">
        <v>101</v>
      </c>
      <c r="L33" s="9" t="n">
        <v>0.0588</v>
      </c>
      <c r="M33" s="9"/>
      <c r="N33" s="11" t="s">
        <v>102</v>
      </c>
    </row>
    <row r="34" customFormat="false" ht="12.8" hidden="false" customHeight="false" outlineLevel="0" collapsed="false">
      <c r="A34" s="1" t="s">
        <v>114</v>
      </c>
      <c r="B34" s="6" t="s">
        <v>115</v>
      </c>
      <c r="C34" s="1" t="s">
        <v>12</v>
      </c>
      <c r="D34" s="6" t="n">
        <v>96</v>
      </c>
      <c r="E34" s="1" t="s">
        <v>110</v>
      </c>
      <c r="H34" s="0" t="s">
        <v>116</v>
      </c>
      <c r="J34" s="0" t="s">
        <v>101</v>
      </c>
      <c r="L34" s="0" t="n">
        <v>0.058</v>
      </c>
      <c r="N34" s="0" t="s">
        <v>102</v>
      </c>
    </row>
    <row r="35" customFormat="false" ht="12.8" hidden="false" customHeight="false" outlineLevel="0" collapsed="false">
      <c r="A35" s="1" t="s">
        <v>114</v>
      </c>
      <c r="B35" s="11" t="s">
        <v>115</v>
      </c>
      <c r="C35" s="1" t="s">
        <v>117</v>
      </c>
      <c r="D35" s="1" t="n">
        <v>61.5</v>
      </c>
      <c r="E35" s="1" t="s">
        <v>35</v>
      </c>
      <c r="H35" s="0" t="s">
        <v>118</v>
      </c>
      <c r="J35" s="0" t="s">
        <v>101</v>
      </c>
      <c r="L35" s="0" t="n">
        <v>0.0237</v>
      </c>
      <c r="N35" s="0" t="s">
        <v>102</v>
      </c>
    </row>
    <row r="36" customFormat="false" ht="12.8" hidden="false" customHeight="false" outlineLevel="0" collapsed="false">
      <c r="A36" s="1" t="s">
        <v>119</v>
      </c>
      <c r="B36" s="11" t="s">
        <v>120</v>
      </c>
      <c r="C36" s="1" t="s">
        <v>12</v>
      </c>
      <c r="D36" s="11" t="n">
        <v>13</v>
      </c>
      <c r="E36" s="1" t="s">
        <v>13</v>
      </c>
      <c r="H36" s="0" t="s">
        <v>121</v>
      </c>
      <c r="J36" s="0" t="s">
        <v>79</v>
      </c>
      <c r="K36" s="0" t="n">
        <v>5.82</v>
      </c>
      <c r="L36" s="8" t="n">
        <f aca="false">(2.718281828459^K36)/1000</f>
        <v>0.336972053630039</v>
      </c>
      <c r="M36" s="8"/>
      <c r="N36" s="0" t="s">
        <v>80</v>
      </c>
    </row>
    <row r="37" customFormat="false" ht="12.8" hidden="false" customHeight="false" outlineLevel="0" collapsed="false">
      <c r="A37" s="1" t="s">
        <v>119</v>
      </c>
      <c r="B37" s="1" t="s">
        <v>122</v>
      </c>
      <c r="C37" s="1" t="s">
        <v>105</v>
      </c>
      <c r="D37" s="1" t="n">
        <v>11.5</v>
      </c>
      <c r="E37" s="1" t="s">
        <v>123</v>
      </c>
      <c r="H37" s="11" t="s">
        <v>124</v>
      </c>
      <c r="J37" s="0" t="s">
        <v>101</v>
      </c>
      <c r="L37" s="11" t="n">
        <v>0.1368</v>
      </c>
      <c r="M37" s="11"/>
      <c r="N37" s="11" t="s">
        <v>102</v>
      </c>
    </row>
    <row r="38" customFormat="false" ht="12.8" hidden="false" customHeight="false" outlineLevel="0" collapsed="false">
      <c r="A38" s="1" t="s">
        <v>119</v>
      </c>
      <c r="B38" s="6" t="s">
        <v>125</v>
      </c>
      <c r="C38" s="1" t="s">
        <v>105</v>
      </c>
      <c r="D38" s="6" t="n">
        <v>19.8</v>
      </c>
      <c r="E38" s="1" t="s">
        <v>123</v>
      </c>
      <c r="H38" s="9" t="s">
        <v>124</v>
      </c>
      <c r="J38" s="0" t="s">
        <v>126</v>
      </c>
      <c r="L38" s="9" t="n">
        <v>0.1212</v>
      </c>
      <c r="M38" s="9"/>
      <c r="N38" s="11" t="s">
        <v>102</v>
      </c>
    </row>
    <row r="39" customFormat="false" ht="12.8" hidden="false" customHeight="false" outlineLevel="0" collapsed="false">
      <c r="A39" s="1" t="s">
        <v>127</v>
      </c>
      <c r="B39" s="6" t="s">
        <v>128</v>
      </c>
      <c r="C39" s="1" t="s">
        <v>12</v>
      </c>
      <c r="D39" s="6" t="n">
        <v>57.447</v>
      </c>
      <c r="E39" s="1" t="s">
        <v>24</v>
      </c>
      <c r="H39" s="9" t="s">
        <v>129</v>
      </c>
      <c r="J39" s="0" t="s">
        <v>126</v>
      </c>
      <c r="L39" s="9" t="n">
        <v>0.1984</v>
      </c>
      <c r="M39" s="9"/>
      <c r="N39" s="11" t="s">
        <v>102</v>
      </c>
    </row>
    <row r="40" customFormat="false" ht="12.8" hidden="false" customHeight="false" outlineLevel="0" collapsed="false">
      <c r="A40" s="1" t="s">
        <v>127</v>
      </c>
      <c r="B40" s="1" t="s">
        <v>130</v>
      </c>
      <c r="C40" s="1" t="s">
        <v>12</v>
      </c>
      <c r="D40" s="1" t="n">
        <v>58</v>
      </c>
      <c r="E40" s="1" t="s">
        <v>13</v>
      </c>
      <c r="H40" s="9" t="s">
        <v>131</v>
      </c>
      <c r="J40" s="0" t="s">
        <v>126</v>
      </c>
      <c r="L40" s="10" t="n">
        <v>0.4432</v>
      </c>
      <c r="M40" s="10"/>
      <c r="N40" s="0" t="s">
        <v>102</v>
      </c>
    </row>
    <row r="41" customFormat="false" ht="12.8" hidden="false" customHeight="false" outlineLevel="0" collapsed="false">
      <c r="A41" s="1" t="s">
        <v>127</v>
      </c>
      <c r="B41" s="1" t="s">
        <v>48</v>
      </c>
      <c r="C41" s="1" t="s">
        <v>86</v>
      </c>
      <c r="D41" s="1" t="n">
        <v>68.1649</v>
      </c>
      <c r="E41" s="1" t="s">
        <v>35</v>
      </c>
      <c r="H41" s="9" t="s">
        <v>132</v>
      </c>
      <c r="J41" s="0" t="s">
        <v>126</v>
      </c>
      <c r="L41" s="9" t="n">
        <v>0.5316</v>
      </c>
      <c r="M41" s="9"/>
      <c r="N41" s="0" t="s">
        <v>102</v>
      </c>
    </row>
    <row r="42" customFormat="false" ht="14.65" hidden="false" customHeight="false" outlineLevel="0" collapsed="false">
      <c r="A42" s="1" t="s">
        <v>133</v>
      </c>
      <c r="B42" s="11" t="s">
        <v>134</v>
      </c>
      <c r="C42" s="1" t="s">
        <v>12</v>
      </c>
      <c r="D42" s="1" t="n">
        <v>18</v>
      </c>
      <c r="E42" s="1" t="s">
        <v>24</v>
      </c>
      <c r="H42" s="0" t="s">
        <v>135</v>
      </c>
      <c r="J42" s="0" t="s">
        <v>79</v>
      </c>
      <c r="K42" s="0" t="n">
        <v>4</v>
      </c>
      <c r="L42" s="8" t="n">
        <f aca="false">(2.718281828459^K42)/1000</f>
        <v>0.0545981500331406</v>
      </c>
      <c r="M42" s="8"/>
      <c r="N42" s="0" t="s">
        <v>80</v>
      </c>
    </row>
    <row r="43" customFormat="false" ht="14.65" hidden="false" customHeight="false" outlineLevel="0" collapsed="false">
      <c r="A43" s="1" t="s">
        <v>133</v>
      </c>
      <c r="B43" s="1" t="s">
        <v>134</v>
      </c>
      <c r="C43" s="1" t="s">
        <v>76</v>
      </c>
      <c r="D43" s="1" t="n">
        <v>22.5</v>
      </c>
      <c r="E43" s="1" t="s">
        <v>77</v>
      </c>
      <c r="H43" s="9" t="s">
        <v>136</v>
      </c>
      <c r="J43" s="0" t="s">
        <v>83</v>
      </c>
      <c r="L43" s="9" t="n">
        <v>0.0961</v>
      </c>
      <c r="M43" s="9"/>
      <c r="N43" s="0" t="s">
        <v>84</v>
      </c>
    </row>
    <row r="44" customFormat="false" ht="14.65" hidden="false" customHeight="false" outlineLevel="0" collapsed="false">
      <c r="A44" s="1" t="s">
        <v>133</v>
      </c>
      <c r="B44" s="11" t="s">
        <v>134</v>
      </c>
      <c r="C44" s="1" t="s">
        <v>137</v>
      </c>
      <c r="D44" s="11" t="n">
        <v>23.405</v>
      </c>
      <c r="E44" s="1" t="s">
        <v>35</v>
      </c>
      <c r="H44" s="9" t="s">
        <v>138</v>
      </c>
      <c r="J44" s="0" t="s">
        <v>83</v>
      </c>
      <c r="L44" s="9" t="n">
        <v>0.0262</v>
      </c>
      <c r="M44" s="9"/>
      <c r="N44" s="0" t="s">
        <v>84</v>
      </c>
    </row>
    <row r="45" customFormat="false" ht="14.65" hidden="false" customHeight="false" outlineLevel="0" collapsed="false">
      <c r="A45" s="1" t="s">
        <v>133</v>
      </c>
      <c r="B45" s="1" t="s">
        <v>134</v>
      </c>
      <c r="C45" s="1" t="s">
        <v>12</v>
      </c>
      <c r="D45" s="1" t="n">
        <v>13</v>
      </c>
      <c r="E45" s="1" t="s">
        <v>13</v>
      </c>
      <c r="H45" s="0" t="s">
        <v>103</v>
      </c>
      <c r="I45" s="0" t="s">
        <v>104</v>
      </c>
      <c r="J45" s="0" t="s">
        <v>139</v>
      </c>
      <c r="K45" s="3" t="n">
        <v>110</v>
      </c>
      <c r="L45" s="1" t="n">
        <v>83.4746</v>
      </c>
      <c r="M45" s="1"/>
      <c r="N45" s="0" t="s">
        <v>140</v>
      </c>
    </row>
    <row r="46" customFormat="false" ht="14.9" hidden="false" customHeight="true" outlineLevel="0" collapsed="false">
      <c r="A46" s="1" t="s">
        <v>133</v>
      </c>
      <c r="B46" s="9" t="s">
        <v>134</v>
      </c>
      <c r="C46" s="1" t="s">
        <v>141</v>
      </c>
      <c r="D46" s="6" t="n">
        <f aca="false">((D44*5)+D43+D45)/7</f>
        <v>21.7892857142857</v>
      </c>
      <c r="E46" s="1" t="s">
        <v>39</v>
      </c>
      <c r="H46" s="0" t="s">
        <v>142</v>
      </c>
      <c r="I46" s="0" t="s">
        <v>143</v>
      </c>
      <c r="J46" s="0" t="s">
        <v>144</v>
      </c>
      <c r="K46" s="0" t="n">
        <v>120</v>
      </c>
      <c r="L46" s="0" t="n">
        <f aca="false">0.0011*(120^3.848)</f>
        <v>110174.761728896</v>
      </c>
      <c r="N46" s="0" t="s">
        <v>145</v>
      </c>
    </row>
    <row r="47" customFormat="false" ht="12.8" hidden="false" customHeight="false" outlineLevel="0" collapsed="false">
      <c r="A47" s="1" t="s">
        <v>146</v>
      </c>
      <c r="B47" s="1" t="s">
        <v>147</v>
      </c>
      <c r="C47" s="1" t="s">
        <v>76</v>
      </c>
      <c r="D47" s="1" t="n">
        <v>5</v>
      </c>
      <c r="E47" s="1" t="s">
        <v>81</v>
      </c>
      <c r="H47" s="0" t="s">
        <v>148</v>
      </c>
      <c r="I47" s="0" t="s">
        <v>149</v>
      </c>
      <c r="J47" s="0" t="s">
        <v>144</v>
      </c>
      <c r="K47" s="0" t="n">
        <v>122</v>
      </c>
      <c r="L47" s="0" t="n">
        <f aca="false">0.012*(122^2.984)</f>
        <v>20178.0401002146</v>
      </c>
      <c r="N47" s="0" t="s">
        <v>150</v>
      </c>
    </row>
    <row r="48" customFormat="false" ht="12.8" hidden="false" customHeight="false" outlineLevel="0" collapsed="false">
      <c r="A48" s="1" t="s">
        <v>151</v>
      </c>
      <c r="B48" s="1" t="s">
        <v>152</v>
      </c>
      <c r="C48" s="1" t="s">
        <v>153</v>
      </c>
      <c r="D48" s="1" t="n">
        <v>16</v>
      </c>
      <c r="E48" s="1" t="s">
        <v>154</v>
      </c>
      <c r="H48" s="0" t="s">
        <v>155</v>
      </c>
      <c r="J48" s="0" t="s">
        <v>79</v>
      </c>
      <c r="K48" s="0" t="n">
        <v>6.34</v>
      </c>
      <c r="L48" s="8" t="n">
        <f aca="false">(2.718281828459^K48)/1000</f>
        <v>0.566796311381536</v>
      </c>
      <c r="N48" s="0" t="s">
        <v>80</v>
      </c>
    </row>
    <row r="49" customFormat="false" ht="12.8" hidden="false" customHeight="false" outlineLevel="0" collapsed="false">
      <c r="A49" s="1" t="s">
        <v>151</v>
      </c>
      <c r="B49" s="1" t="s">
        <v>152</v>
      </c>
      <c r="C49" s="1" t="s">
        <v>156</v>
      </c>
      <c r="D49" s="1" t="n">
        <v>14.7467</v>
      </c>
      <c r="E49" s="1" t="s">
        <v>35</v>
      </c>
      <c r="H49" s="0" t="s">
        <v>157</v>
      </c>
      <c r="J49" s="0" t="s">
        <v>79</v>
      </c>
      <c r="K49" s="0" t="n">
        <v>3.89</v>
      </c>
      <c r="L49" s="8" t="n">
        <f aca="false">(2.718281828459^K49)/1000</f>
        <v>0.0489108865237287</v>
      </c>
      <c r="N49" s="0" t="s">
        <v>80</v>
      </c>
    </row>
    <row r="50" customFormat="false" ht="12.8" hidden="false" customHeight="false" outlineLevel="0" collapsed="false">
      <c r="A50" s="1" t="s">
        <v>151</v>
      </c>
      <c r="B50" s="6" t="s">
        <v>152</v>
      </c>
      <c r="C50" s="1" t="s">
        <v>158</v>
      </c>
      <c r="D50" s="6" t="n">
        <f aca="false">((D49*3)+D48)/4</f>
        <v>15.060025</v>
      </c>
      <c r="E50" s="1" t="s">
        <v>39</v>
      </c>
    </row>
    <row r="51" customFormat="false" ht="12.8" hidden="false" customHeight="false" outlineLevel="0" collapsed="false">
      <c r="A51" s="1" t="s">
        <v>159</v>
      </c>
      <c r="B51" s="11" t="s">
        <v>160</v>
      </c>
      <c r="C51" s="11" t="s">
        <v>161</v>
      </c>
      <c r="D51" s="11" t="n">
        <v>1.9</v>
      </c>
      <c r="E51" s="1" t="s">
        <v>162</v>
      </c>
    </row>
    <row r="52" customFormat="false" ht="12.8" hidden="false" customHeight="false" outlineLevel="0" collapsed="false">
      <c r="A52" s="1" t="s">
        <v>159</v>
      </c>
      <c r="B52" s="11" t="s">
        <v>163</v>
      </c>
      <c r="C52" s="11" t="s">
        <v>164</v>
      </c>
      <c r="D52" s="11" t="n">
        <v>2.55</v>
      </c>
      <c r="E52" s="1" t="s">
        <v>35</v>
      </c>
    </row>
    <row r="53" customFormat="false" ht="12.8" hidden="false" customHeight="false" outlineLevel="0" collapsed="false">
      <c r="A53" s="1" t="s">
        <v>159</v>
      </c>
      <c r="B53" s="6" t="s">
        <v>163</v>
      </c>
      <c r="C53" s="11" t="s">
        <v>52</v>
      </c>
      <c r="D53" s="6" t="n">
        <f aca="false">((2.55*2)+D51)/3</f>
        <v>2.33333333333333</v>
      </c>
      <c r="E53" s="1" t="s">
        <v>39</v>
      </c>
    </row>
    <row r="54" customFormat="false" ht="12.8" hidden="false" customHeight="false" outlineLevel="0" collapsed="false">
      <c r="A54" s="1" t="s">
        <v>165</v>
      </c>
      <c r="B54" s="1" t="s">
        <v>48</v>
      </c>
      <c r="C54" s="1" t="s">
        <v>166</v>
      </c>
      <c r="D54" s="1" t="n">
        <v>20</v>
      </c>
      <c r="E54" s="1" t="s">
        <v>167</v>
      </c>
    </row>
    <row r="55" customFormat="false" ht="12.8" hidden="false" customHeight="false" outlineLevel="0" collapsed="false">
      <c r="A55" s="1" t="s">
        <v>165</v>
      </c>
      <c r="B55" s="6" t="s">
        <v>48</v>
      </c>
      <c r="C55" s="1" t="s">
        <v>168</v>
      </c>
      <c r="D55" s="6" t="n">
        <v>10.1954</v>
      </c>
      <c r="E55" s="1" t="s">
        <v>35</v>
      </c>
    </row>
    <row r="56" customFormat="false" ht="12.8" hidden="false" customHeight="false" outlineLevel="0" collapsed="false">
      <c r="A56" s="1" t="s">
        <v>169</v>
      </c>
      <c r="B56" s="1" t="s">
        <v>48</v>
      </c>
      <c r="C56" s="1" t="s">
        <v>166</v>
      </c>
      <c r="D56" s="1" t="n">
        <v>20</v>
      </c>
      <c r="E56" s="1" t="s">
        <v>167</v>
      </c>
    </row>
    <row r="57" customFormat="false" ht="12.8" hidden="false" customHeight="false" outlineLevel="0" collapsed="false">
      <c r="A57" s="1" t="s">
        <v>169</v>
      </c>
      <c r="B57" s="6" t="s">
        <v>48</v>
      </c>
      <c r="C57" s="1" t="s">
        <v>170</v>
      </c>
      <c r="D57" s="6" t="n">
        <v>10.3284</v>
      </c>
      <c r="E57" s="1" t="s">
        <v>35</v>
      </c>
    </row>
    <row r="58" customFormat="false" ht="12.8" hidden="false" customHeight="false" outlineLevel="0" collapsed="false">
      <c r="A58" s="1" t="s">
        <v>171</v>
      </c>
      <c r="B58" s="11" t="s">
        <v>172</v>
      </c>
      <c r="C58" s="1" t="s">
        <v>12</v>
      </c>
      <c r="D58" s="11" t="n">
        <v>2329.63</v>
      </c>
      <c r="E58" s="1" t="s">
        <v>24</v>
      </c>
    </row>
    <row r="59" customFormat="false" ht="12.8" hidden="false" customHeight="false" outlineLevel="0" collapsed="false">
      <c r="A59" s="1" t="s">
        <v>171</v>
      </c>
      <c r="B59" s="6" t="s">
        <v>172</v>
      </c>
      <c r="C59" s="1" t="s">
        <v>34</v>
      </c>
      <c r="D59" s="6" t="n">
        <v>1617.899</v>
      </c>
      <c r="E59" s="1" t="s">
        <v>35</v>
      </c>
    </row>
    <row r="60" customFormat="false" ht="12.8" hidden="false" customHeight="false" outlineLevel="0" collapsed="false">
      <c r="A60" s="1" t="s">
        <v>173</v>
      </c>
      <c r="B60" s="11" t="s">
        <v>174</v>
      </c>
      <c r="C60" s="1" t="s">
        <v>12</v>
      </c>
      <c r="D60" s="11" t="n">
        <v>2800</v>
      </c>
      <c r="E60" s="1" t="s">
        <v>175</v>
      </c>
    </row>
    <row r="61" customFormat="false" ht="13.4" hidden="false" customHeight="false" outlineLevel="0" collapsed="false">
      <c r="A61" s="1" t="s">
        <v>173</v>
      </c>
      <c r="B61" s="1" t="s">
        <v>174</v>
      </c>
      <c r="C61" s="1" t="s">
        <v>91</v>
      </c>
      <c r="D61" s="1" t="n">
        <v>2131</v>
      </c>
      <c r="E61" s="7" t="s">
        <v>176</v>
      </c>
    </row>
    <row r="62" customFormat="false" ht="13.4" hidden="false" customHeight="false" outlineLevel="0" collapsed="false">
      <c r="A62" s="1" t="s">
        <v>173</v>
      </c>
      <c r="B62" s="1" t="s">
        <v>174</v>
      </c>
      <c r="C62" s="1" t="s">
        <v>91</v>
      </c>
      <c r="D62" s="1" t="n">
        <v>1966</v>
      </c>
      <c r="E62" s="7" t="s">
        <v>176</v>
      </c>
      <c r="I62" s="3"/>
      <c r="J62" s="4"/>
    </row>
    <row r="63" customFormat="false" ht="12.8" hidden="false" customHeight="false" outlineLevel="0" collapsed="false">
      <c r="A63" s="1" t="s">
        <v>173</v>
      </c>
      <c r="B63" s="1" t="s">
        <v>174</v>
      </c>
      <c r="C63" s="1" t="s">
        <v>76</v>
      </c>
      <c r="D63" s="1" t="n">
        <v>2300</v>
      </c>
      <c r="E63" s="7" t="s">
        <v>177</v>
      </c>
    </row>
    <row r="64" customFormat="false" ht="12.8" hidden="false" customHeight="false" outlineLevel="0" collapsed="false">
      <c r="A64" s="1" t="s">
        <v>173</v>
      </c>
      <c r="B64" s="1" t="s">
        <v>174</v>
      </c>
      <c r="C64" s="1" t="s">
        <v>28</v>
      </c>
      <c r="D64" s="1" t="n">
        <v>2675.9</v>
      </c>
      <c r="E64" s="7" t="s">
        <v>29</v>
      </c>
    </row>
    <row r="65" customFormat="false" ht="12.8" hidden="false" customHeight="false" outlineLevel="0" collapsed="false">
      <c r="A65" s="1" t="s">
        <v>173</v>
      </c>
      <c r="B65" s="6" t="s">
        <v>174</v>
      </c>
      <c r="C65" s="1" t="s">
        <v>52</v>
      </c>
      <c r="D65" s="6" t="n">
        <f aca="false">(D60+D61+D63+D64+D62)/5</f>
        <v>2374.58</v>
      </c>
      <c r="E65" s="7" t="s">
        <v>178</v>
      </c>
    </row>
    <row r="66" customFormat="false" ht="12.8" hidden="false" customHeight="false" outlineLevel="0" collapsed="false">
      <c r="A66" s="1" t="s">
        <v>179</v>
      </c>
      <c r="B66" s="1" t="s">
        <v>180</v>
      </c>
      <c r="C66" s="1" t="s">
        <v>12</v>
      </c>
      <c r="D66" s="1" t="n">
        <v>2000</v>
      </c>
      <c r="E66" s="1" t="s">
        <v>181</v>
      </c>
    </row>
    <row r="67" customFormat="false" ht="12.8" hidden="false" customHeight="false" outlineLevel="0" collapsed="false">
      <c r="A67" s="1" t="s">
        <v>179</v>
      </c>
      <c r="B67" s="6" t="s">
        <v>180</v>
      </c>
      <c r="C67" s="1" t="s">
        <v>12</v>
      </c>
      <c r="D67" s="6" t="n">
        <v>2194.89</v>
      </c>
      <c r="E67" s="1" t="s">
        <v>24</v>
      </c>
    </row>
    <row r="68" customFormat="false" ht="12.8" hidden="false" customHeight="false" outlineLevel="0" collapsed="false">
      <c r="A68" s="1" t="s">
        <v>182</v>
      </c>
      <c r="B68" s="6" t="s">
        <v>48</v>
      </c>
      <c r="C68" s="1" t="s">
        <v>52</v>
      </c>
      <c r="D68" s="6" t="n">
        <v>2164.816</v>
      </c>
      <c r="E68" s="1" t="s">
        <v>35</v>
      </c>
    </row>
    <row r="69" customFormat="false" ht="12.8" hidden="false" customHeight="false" outlineLevel="0" collapsed="false">
      <c r="A69" s="1" t="s">
        <v>183</v>
      </c>
      <c r="B69" s="11" t="s">
        <v>184</v>
      </c>
      <c r="C69" s="1" t="s">
        <v>76</v>
      </c>
      <c r="D69" s="11" t="n">
        <v>3472</v>
      </c>
      <c r="E69" s="1" t="s">
        <v>185</v>
      </c>
    </row>
    <row r="70" customFormat="false" ht="12.8" hidden="false" customHeight="false" outlineLevel="0" collapsed="false">
      <c r="A70" s="1" t="s">
        <v>183</v>
      </c>
      <c r="B70" s="11" t="s">
        <v>186</v>
      </c>
      <c r="C70" s="1" t="s">
        <v>76</v>
      </c>
      <c r="D70" s="11" t="n">
        <v>3070</v>
      </c>
      <c r="E70" s="1" t="s">
        <v>187</v>
      </c>
    </row>
    <row r="71" customFormat="false" ht="12.8" hidden="false" customHeight="false" outlineLevel="0" collapsed="false">
      <c r="A71" s="1" t="s">
        <v>183</v>
      </c>
      <c r="B71" s="11" t="s">
        <v>184</v>
      </c>
      <c r="C71" s="1" t="s">
        <v>76</v>
      </c>
      <c r="D71" s="11" t="n">
        <v>3000</v>
      </c>
      <c r="E71" s="1" t="s">
        <v>50</v>
      </c>
    </row>
    <row r="72" customFormat="false" ht="12.8" hidden="false" customHeight="false" outlineLevel="0" collapsed="false">
      <c r="A72" s="1" t="s">
        <v>183</v>
      </c>
      <c r="B72" s="6" t="s">
        <v>186</v>
      </c>
      <c r="C72" s="1" t="s">
        <v>188</v>
      </c>
      <c r="D72" s="6" t="n">
        <f aca="false">(D69+D70+D71)/3</f>
        <v>3180.66666666667</v>
      </c>
      <c r="E72" s="1" t="s">
        <v>39</v>
      </c>
    </row>
    <row r="73" customFormat="false" ht="12.8" hidden="false" customHeight="false" outlineLevel="0" collapsed="false">
      <c r="A73" s="1" t="s">
        <v>189</v>
      </c>
      <c r="B73" s="1" t="s">
        <v>190</v>
      </c>
      <c r="C73" s="1" t="s">
        <v>12</v>
      </c>
      <c r="D73" s="1" t="n">
        <v>1400</v>
      </c>
      <c r="E73" s="1" t="s">
        <v>13</v>
      </c>
    </row>
    <row r="74" customFormat="false" ht="12.8" hidden="false" customHeight="false" outlineLevel="0" collapsed="false">
      <c r="A74" s="1" t="s">
        <v>189</v>
      </c>
      <c r="B74" s="11" t="s">
        <v>190</v>
      </c>
      <c r="C74" s="1" t="s">
        <v>12</v>
      </c>
      <c r="D74" s="11" t="n">
        <v>1530.505</v>
      </c>
      <c r="E74" s="1" t="s">
        <v>24</v>
      </c>
    </row>
    <row r="75" customFormat="false" ht="12.8" hidden="false" customHeight="false" outlineLevel="0" collapsed="false">
      <c r="A75" s="1" t="s">
        <v>189</v>
      </c>
      <c r="B75" s="11" t="s">
        <v>191</v>
      </c>
      <c r="C75" s="1" t="s">
        <v>192</v>
      </c>
      <c r="D75" s="11" t="n">
        <v>1436.424</v>
      </c>
      <c r="E75" s="1" t="s">
        <v>35</v>
      </c>
    </row>
    <row r="76" customFormat="false" ht="12.8" hidden="false" customHeight="false" outlineLevel="0" collapsed="false">
      <c r="A76" s="1" t="s">
        <v>189</v>
      </c>
      <c r="B76" s="11" t="s">
        <v>191</v>
      </c>
      <c r="C76" s="1" t="s">
        <v>158</v>
      </c>
      <c r="D76" s="11" t="n">
        <f aca="false">((D75*2)+D73)/3</f>
        <v>1424.28266666667</v>
      </c>
      <c r="E76" s="1" t="s">
        <v>39</v>
      </c>
    </row>
    <row r="77" customFormat="false" ht="12.8" hidden="false" customHeight="false" outlineLevel="0" collapsed="false">
      <c r="A77" s="1" t="s">
        <v>189</v>
      </c>
      <c r="B77" s="1" t="s">
        <v>193</v>
      </c>
      <c r="C77" s="1" t="s">
        <v>12</v>
      </c>
      <c r="D77" s="1" t="n">
        <v>1600</v>
      </c>
      <c r="E77" s="1" t="s">
        <v>13</v>
      </c>
    </row>
    <row r="78" customFormat="false" ht="12.8" hidden="false" customHeight="false" outlineLevel="0" collapsed="false">
      <c r="A78" s="1" t="s">
        <v>189</v>
      </c>
      <c r="B78" s="1" t="s">
        <v>193</v>
      </c>
      <c r="C78" s="1" t="s">
        <v>12</v>
      </c>
      <c r="D78" s="1" t="n">
        <v>1372.848</v>
      </c>
      <c r="E78" s="1" t="s">
        <v>24</v>
      </c>
    </row>
    <row r="79" customFormat="false" ht="12.8" hidden="false" customHeight="false" outlineLevel="0" collapsed="false">
      <c r="A79" s="1" t="s">
        <v>189</v>
      </c>
      <c r="B79" s="6" t="s">
        <v>193</v>
      </c>
      <c r="C79" s="1" t="s">
        <v>52</v>
      </c>
      <c r="D79" s="6" t="n">
        <f aca="false">(D77+D78)/2</f>
        <v>1486.424</v>
      </c>
      <c r="E79" s="1" t="s">
        <v>39</v>
      </c>
    </row>
    <row r="80" customFormat="false" ht="12.8" hidden="false" customHeight="false" outlineLevel="0" collapsed="false">
      <c r="A80" s="1" t="s">
        <v>194</v>
      </c>
      <c r="B80" s="1" t="s">
        <v>195</v>
      </c>
      <c r="C80" s="1" t="s">
        <v>12</v>
      </c>
      <c r="D80" s="1" t="n">
        <v>4361.68</v>
      </c>
      <c r="E80" s="1" t="s">
        <v>24</v>
      </c>
    </row>
    <row r="81" customFormat="false" ht="12.8" hidden="false" customHeight="false" outlineLevel="0" collapsed="false">
      <c r="A81" s="1" t="s">
        <v>194</v>
      </c>
      <c r="B81" s="1" t="s">
        <v>196</v>
      </c>
      <c r="C81" s="7" t="s">
        <v>76</v>
      </c>
      <c r="D81" s="1" t="n">
        <v>3820</v>
      </c>
      <c r="E81" s="7" t="s">
        <v>185</v>
      </c>
    </row>
    <row r="82" customFormat="false" ht="12.8" hidden="false" customHeight="false" outlineLevel="0" collapsed="false">
      <c r="A82" s="1" t="s">
        <v>194</v>
      </c>
      <c r="B82" s="1" t="s">
        <v>195</v>
      </c>
      <c r="C82" s="7" t="s">
        <v>76</v>
      </c>
      <c r="D82" s="1" t="n">
        <v>2800</v>
      </c>
      <c r="E82" s="7" t="s">
        <v>177</v>
      </c>
    </row>
    <row r="83" customFormat="false" ht="12.8" hidden="false" customHeight="false" outlineLevel="0" collapsed="false">
      <c r="A83" s="1" t="s">
        <v>194</v>
      </c>
      <c r="B83" s="1" t="s">
        <v>195</v>
      </c>
      <c r="C83" s="7" t="s">
        <v>28</v>
      </c>
      <c r="D83" s="1" t="n">
        <v>3078.5</v>
      </c>
      <c r="E83" s="7" t="s">
        <v>29</v>
      </c>
    </row>
    <row r="84" customFormat="false" ht="12.8" hidden="false" customHeight="false" outlineLevel="0" collapsed="false">
      <c r="A84" s="1" t="s">
        <v>194</v>
      </c>
      <c r="B84" s="6" t="s">
        <v>195</v>
      </c>
      <c r="C84" s="7" t="s">
        <v>52</v>
      </c>
      <c r="D84" s="6" t="n">
        <f aca="false">(D80+D81+D82+D83)/4</f>
        <v>3515.045</v>
      </c>
      <c r="E84" s="7" t="s">
        <v>39</v>
      </c>
    </row>
    <row r="85" customFormat="false" ht="12.8" hidden="false" customHeight="false" outlineLevel="0" collapsed="false">
      <c r="A85" s="1" t="s">
        <v>197</v>
      </c>
      <c r="B85" s="1" t="s">
        <v>198</v>
      </c>
      <c r="C85" s="1" t="s">
        <v>12</v>
      </c>
      <c r="D85" s="1" t="n">
        <v>3200</v>
      </c>
      <c r="E85" s="1" t="s">
        <v>13</v>
      </c>
    </row>
    <row r="86" customFormat="false" ht="12.8" hidden="false" customHeight="false" outlineLevel="0" collapsed="false">
      <c r="A86" s="1" t="s">
        <v>197</v>
      </c>
      <c r="B86" s="1" t="s">
        <v>198</v>
      </c>
      <c r="C86" s="1" t="s">
        <v>12</v>
      </c>
      <c r="D86" s="1" t="n">
        <v>3455.66</v>
      </c>
      <c r="E86" s="1" t="s">
        <v>24</v>
      </c>
    </row>
    <row r="87" customFormat="false" ht="12.8" hidden="false" customHeight="false" outlineLevel="0" collapsed="false">
      <c r="A87" s="1" t="s">
        <v>197</v>
      </c>
      <c r="B87" s="1" t="s">
        <v>198</v>
      </c>
      <c r="C87" s="1" t="s">
        <v>76</v>
      </c>
      <c r="D87" s="1" t="n">
        <v>2510</v>
      </c>
      <c r="E87" s="1" t="s">
        <v>187</v>
      </c>
    </row>
    <row r="88" customFormat="false" ht="12.8" hidden="false" customHeight="false" outlineLevel="0" collapsed="false">
      <c r="A88" s="1" t="s">
        <v>197</v>
      </c>
      <c r="B88" s="1" t="s">
        <v>198</v>
      </c>
      <c r="C88" s="1" t="s">
        <v>192</v>
      </c>
      <c r="D88" s="1" t="n">
        <v>2977.832</v>
      </c>
      <c r="E88" s="1" t="s">
        <v>35</v>
      </c>
    </row>
    <row r="89" customFormat="false" ht="12.8" hidden="false" customHeight="false" outlineLevel="0" collapsed="false">
      <c r="A89" s="1" t="s">
        <v>197</v>
      </c>
      <c r="B89" s="1" t="s">
        <v>198</v>
      </c>
      <c r="C89" s="1" t="s">
        <v>12</v>
      </c>
      <c r="D89" s="1" t="n">
        <v>2977.57</v>
      </c>
      <c r="E89" s="1" t="s">
        <v>199</v>
      </c>
    </row>
    <row r="90" customFormat="false" ht="12.8" hidden="false" customHeight="false" outlineLevel="0" collapsed="false">
      <c r="A90" s="1" t="s">
        <v>197</v>
      </c>
      <c r="B90" s="6" t="s">
        <v>198</v>
      </c>
      <c r="C90" s="1" t="s">
        <v>200</v>
      </c>
      <c r="D90" s="6" t="n">
        <f aca="false">((D88*2)+D87+D89+D85)/5</f>
        <v>2928.6468</v>
      </c>
      <c r="E90" s="1" t="s">
        <v>39</v>
      </c>
    </row>
    <row r="91" customFormat="false" ht="12.8" hidden="false" customHeight="false" outlineLevel="0" collapsed="false">
      <c r="A91" s="1" t="s">
        <v>201</v>
      </c>
      <c r="B91" s="11" t="s">
        <v>202</v>
      </c>
      <c r="C91" s="1" t="s">
        <v>12</v>
      </c>
      <c r="D91" s="13" t="n">
        <v>1473.214</v>
      </c>
      <c r="E91" s="1" t="s">
        <v>199</v>
      </c>
    </row>
    <row r="92" customFormat="false" ht="12.8" hidden="false" customHeight="false" outlineLevel="0" collapsed="false">
      <c r="A92" s="1" t="s">
        <v>203</v>
      </c>
      <c r="B92" s="1" t="s">
        <v>204</v>
      </c>
      <c r="C92" s="1" t="s">
        <v>12</v>
      </c>
      <c r="D92" s="1" t="n">
        <v>4500</v>
      </c>
      <c r="E92" s="1" t="s">
        <v>13</v>
      </c>
    </row>
    <row r="93" customFormat="false" ht="12.8" hidden="false" customHeight="false" outlineLevel="0" collapsed="false">
      <c r="A93" s="1" t="s">
        <v>203</v>
      </c>
      <c r="B93" s="1" t="s">
        <v>204</v>
      </c>
      <c r="C93" s="1" t="s">
        <v>12</v>
      </c>
      <c r="D93" s="1" t="n">
        <v>5117.57</v>
      </c>
      <c r="E93" s="1" t="s">
        <v>24</v>
      </c>
    </row>
    <row r="94" customFormat="false" ht="12.8" hidden="false" customHeight="false" outlineLevel="0" collapsed="false">
      <c r="A94" s="1" t="s">
        <v>203</v>
      </c>
      <c r="B94" s="1" t="s">
        <v>204</v>
      </c>
      <c r="C94" s="7" t="s">
        <v>76</v>
      </c>
      <c r="D94" s="1" t="n">
        <v>2600</v>
      </c>
      <c r="E94" s="7" t="s">
        <v>177</v>
      </c>
    </row>
    <row r="95" customFormat="false" ht="12.8" hidden="false" customHeight="false" outlineLevel="0" collapsed="false">
      <c r="A95" s="1" t="s">
        <v>203</v>
      </c>
      <c r="B95" s="1" t="s">
        <v>204</v>
      </c>
      <c r="C95" s="7" t="s">
        <v>28</v>
      </c>
      <c r="D95" s="1" t="n">
        <v>5056.8</v>
      </c>
      <c r="E95" s="7" t="s">
        <v>29</v>
      </c>
    </row>
    <row r="96" customFormat="false" ht="12.8" hidden="false" customHeight="false" outlineLevel="0" collapsed="false">
      <c r="A96" s="1" t="s">
        <v>203</v>
      </c>
      <c r="B96" s="1" t="s">
        <v>204</v>
      </c>
      <c r="C96" s="1" t="s">
        <v>34</v>
      </c>
      <c r="D96" s="1" t="n">
        <v>3549.646</v>
      </c>
      <c r="E96" s="1" t="s">
        <v>35</v>
      </c>
    </row>
    <row r="97" customFormat="false" ht="12.8" hidden="false" customHeight="false" outlineLevel="0" collapsed="false">
      <c r="A97" s="1" t="s">
        <v>203</v>
      </c>
      <c r="B97" s="1" t="s">
        <v>204</v>
      </c>
      <c r="C97" s="1" t="s">
        <v>12</v>
      </c>
      <c r="D97" s="13" t="n">
        <v>3691.82</v>
      </c>
      <c r="E97" s="1" t="s">
        <v>199</v>
      </c>
    </row>
    <row r="98" customFormat="false" ht="12.8" hidden="false" customHeight="false" outlineLevel="0" collapsed="false">
      <c r="A98" s="1" t="s">
        <v>203</v>
      </c>
      <c r="B98" s="6" t="s">
        <v>204</v>
      </c>
      <c r="C98" s="1" t="s">
        <v>205</v>
      </c>
      <c r="D98" s="6" t="n">
        <f aca="false">((D96*3)+D94+D95+D97+D92)/7</f>
        <v>3785.36542857143</v>
      </c>
      <c r="E98" s="1" t="s">
        <v>39</v>
      </c>
    </row>
    <row r="99" customFormat="false" ht="12.8" hidden="false" customHeight="false" outlineLevel="0" collapsed="false">
      <c r="A99" s="1" t="s">
        <v>206</v>
      </c>
      <c r="B99" s="1" t="s">
        <v>207</v>
      </c>
      <c r="C99" s="1" t="s">
        <v>12</v>
      </c>
      <c r="D99" s="1" t="n">
        <v>3100</v>
      </c>
      <c r="E99" s="1" t="s">
        <v>13</v>
      </c>
    </row>
    <row r="100" customFormat="false" ht="12.8" hidden="false" customHeight="false" outlineLevel="0" collapsed="false">
      <c r="A100" s="1" t="s">
        <v>206</v>
      </c>
      <c r="B100" s="1" t="s">
        <v>207</v>
      </c>
      <c r="C100" s="1" t="s">
        <v>12</v>
      </c>
      <c r="D100" s="1" t="n">
        <v>3300.26</v>
      </c>
      <c r="E100" s="1" t="s">
        <v>24</v>
      </c>
    </row>
    <row r="101" customFormat="false" ht="13.4" hidden="false" customHeight="false" outlineLevel="0" collapsed="false">
      <c r="A101" s="1" t="s">
        <v>206</v>
      </c>
      <c r="B101" s="1" t="s">
        <v>207</v>
      </c>
      <c r="C101" s="7" t="s">
        <v>91</v>
      </c>
      <c r="D101" s="1" t="n">
        <v>1804</v>
      </c>
      <c r="E101" s="7" t="s">
        <v>176</v>
      </c>
    </row>
    <row r="102" customFormat="false" ht="13.4" hidden="false" customHeight="false" outlineLevel="0" collapsed="false">
      <c r="A102" s="1" t="s">
        <v>206</v>
      </c>
      <c r="B102" s="1" t="s">
        <v>207</v>
      </c>
      <c r="C102" s="7" t="s">
        <v>91</v>
      </c>
      <c r="D102" s="1" t="n">
        <v>2372</v>
      </c>
      <c r="E102" s="7" t="s">
        <v>176</v>
      </c>
    </row>
    <row r="103" customFormat="false" ht="12.8" hidden="false" customHeight="false" outlineLevel="0" collapsed="false">
      <c r="A103" s="1" t="s">
        <v>206</v>
      </c>
      <c r="B103" s="1" t="s">
        <v>207</v>
      </c>
      <c r="C103" s="7" t="s">
        <v>76</v>
      </c>
      <c r="D103" s="1" t="n">
        <v>2430</v>
      </c>
      <c r="E103" s="7" t="s">
        <v>187</v>
      </c>
    </row>
    <row r="104" customFormat="false" ht="12.8" hidden="false" customHeight="false" outlineLevel="0" collapsed="false">
      <c r="A104" s="1" t="s">
        <v>206</v>
      </c>
      <c r="B104" s="1" t="s">
        <v>207</v>
      </c>
      <c r="C104" s="1" t="s">
        <v>12</v>
      </c>
      <c r="D104" s="13" t="n">
        <v>3652.731</v>
      </c>
      <c r="E104" s="7" t="s">
        <v>199</v>
      </c>
    </row>
    <row r="105" customFormat="false" ht="12.8" hidden="false" customHeight="false" outlineLevel="0" collapsed="false">
      <c r="A105" s="1" t="s">
        <v>206</v>
      </c>
      <c r="B105" s="1" t="s">
        <v>208</v>
      </c>
      <c r="C105" s="1" t="s">
        <v>34</v>
      </c>
      <c r="D105" s="1" t="n">
        <v>3248.555</v>
      </c>
      <c r="E105" s="1" t="s">
        <v>35</v>
      </c>
    </row>
    <row r="106" customFormat="false" ht="12.8" hidden="false" customHeight="false" outlineLevel="0" collapsed="false">
      <c r="A106" s="1" t="s">
        <v>206</v>
      </c>
      <c r="B106" s="6" t="s">
        <v>208</v>
      </c>
      <c r="C106" s="1" t="s">
        <v>209</v>
      </c>
      <c r="D106" s="6" t="n">
        <f aca="false">((D105*3)+D104+D99)/5</f>
        <v>3299.6792</v>
      </c>
      <c r="E106" s="1" t="s">
        <v>39</v>
      </c>
    </row>
    <row r="107" customFormat="false" ht="12.8" hidden="false" customHeight="false" outlineLevel="0" collapsed="false">
      <c r="A107" s="1" t="s">
        <v>210</v>
      </c>
      <c r="B107" s="11" t="s">
        <v>211</v>
      </c>
      <c r="C107" s="1" t="s">
        <v>12</v>
      </c>
      <c r="D107" s="11" t="n">
        <v>5584.785</v>
      </c>
      <c r="E107" s="1" t="s">
        <v>24</v>
      </c>
    </row>
    <row r="108" customFormat="false" ht="12.8" hidden="false" customHeight="false" outlineLevel="0" collapsed="false">
      <c r="A108" s="1" t="s">
        <v>210</v>
      </c>
      <c r="B108" s="11" t="s">
        <v>212</v>
      </c>
      <c r="C108" s="1" t="s">
        <v>76</v>
      </c>
      <c r="D108" s="11" t="n">
        <v>3300</v>
      </c>
      <c r="E108" s="1" t="s">
        <v>50</v>
      </c>
    </row>
    <row r="109" customFormat="false" ht="12.8" hidden="false" customHeight="false" outlineLevel="0" collapsed="false">
      <c r="A109" s="1" t="s">
        <v>210</v>
      </c>
      <c r="B109" s="6" t="s">
        <v>212</v>
      </c>
      <c r="C109" s="1" t="s">
        <v>52</v>
      </c>
      <c r="D109" s="6" t="n">
        <f aca="false">(D108+D107)/2</f>
        <v>4442.3925</v>
      </c>
      <c r="E109" s="1" t="s">
        <v>39</v>
      </c>
    </row>
    <row r="110" customFormat="false" ht="12.8" hidden="false" customHeight="false" outlineLevel="0" collapsed="false">
      <c r="A110" s="1" t="s">
        <v>213</v>
      </c>
      <c r="B110" s="1" t="s">
        <v>214</v>
      </c>
      <c r="C110" s="1" t="s">
        <v>12</v>
      </c>
      <c r="D110" s="1" t="n">
        <v>3012.76</v>
      </c>
      <c r="E110" s="1" t="s">
        <v>24</v>
      </c>
    </row>
    <row r="111" customFormat="false" ht="12.8" hidden="false" customHeight="false" outlineLevel="0" collapsed="false">
      <c r="A111" s="1" t="s">
        <v>213</v>
      </c>
      <c r="B111" s="1" t="s">
        <v>214</v>
      </c>
      <c r="C111" s="1" t="s">
        <v>12</v>
      </c>
      <c r="D111" s="1" t="n">
        <v>3763.32</v>
      </c>
      <c r="E111" s="1" t="s">
        <v>199</v>
      </c>
    </row>
    <row r="112" customFormat="false" ht="12.8" hidden="false" customHeight="false" outlineLevel="0" collapsed="false">
      <c r="A112" s="1" t="s">
        <v>213</v>
      </c>
      <c r="B112" s="1" t="s">
        <v>214</v>
      </c>
      <c r="C112" s="1" t="s">
        <v>76</v>
      </c>
      <c r="D112" s="1" t="n">
        <v>2500</v>
      </c>
      <c r="E112" s="1" t="s">
        <v>187</v>
      </c>
    </row>
    <row r="113" customFormat="false" ht="12.8" hidden="false" customHeight="false" outlineLevel="0" collapsed="false">
      <c r="A113" s="1" t="s">
        <v>213</v>
      </c>
      <c r="B113" s="6" t="s">
        <v>214</v>
      </c>
      <c r="C113" s="1" t="s">
        <v>52</v>
      </c>
      <c r="D113" s="6" t="n">
        <f aca="false">(D110+D111+D112)/3</f>
        <v>3092.02666666667</v>
      </c>
      <c r="E113" s="1" t="s">
        <v>39</v>
      </c>
    </row>
    <row r="114" customFormat="false" ht="12.8" hidden="false" customHeight="false" outlineLevel="0" collapsed="false">
      <c r="A114" s="1" t="s">
        <v>215</v>
      </c>
      <c r="B114" s="1" t="s">
        <v>216</v>
      </c>
      <c r="C114" s="1" t="s">
        <v>12</v>
      </c>
      <c r="D114" s="1" t="n">
        <v>4000</v>
      </c>
      <c r="E114" s="1" t="s">
        <v>13</v>
      </c>
    </row>
    <row r="115" customFormat="false" ht="12.8" hidden="false" customHeight="false" outlineLevel="0" collapsed="false">
      <c r="A115" s="1" t="s">
        <v>215</v>
      </c>
      <c r="B115" s="1" t="s">
        <v>216</v>
      </c>
      <c r="C115" s="1" t="s">
        <v>12</v>
      </c>
      <c r="D115" s="1" t="n">
        <v>4311.58</v>
      </c>
      <c r="E115" s="1" t="s">
        <v>24</v>
      </c>
    </row>
    <row r="116" customFormat="false" ht="12.8" hidden="false" customHeight="false" outlineLevel="0" collapsed="false">
      <c r="A116" s="1" t="s">
        <v>215</v>
      </c>
      <c r="B116" s="6" t="s">
        <v>217</v>
      </c>
      <c r="C116" s="1" t="s">
        <v>12</v>
      </c>
      <c r="D116" s="14" t="n">
        <v>4717.051</v>
      </c>
      <c r="E116" s="1" t="s">
        <v>199</v>
      </c>
    </row>
    <row r="117" customFormat="false" ht="12.8" hidden="false" customHeight="false" outlineLevel="0" collapsed="false">
      <c r="A117" s="1" t="s">
        <v>215</v>
      </c>
      <c r="B117" s="13" t="s">
        <v>218</v>
      </c>
      <c r="C117" s="1" t="s">
        <v>12</v>
      </c>
      <c r="D117" s="13" t="n">
        <v>3956.64</v>
      </c>
      <c r="E117" s="1" t="s">
        <v>199</v>
      </c>
    </row>
    <row r="118" customFormat="false" ht="12.8" hidden="false" customHeight="false" outlineLevel="0" collapsed="false">
      <c r="A118" s="1" t="s">
        <v>219</v>
      </c>
      <c r="B118" s="13" t="s">
        <v>220</v>
      </c>
      <c r="C118" s="1" t="s">
        <v>76</v>
      </c>
      <c r="D118" s="13" t="n">
        <v>2200</v>
      </c>
      <c r="E118" s="1" t="s">
        <v>177</v>
      </c>
    </row>
    <row r="119" customFormat="false" ht="12.8" hidden="false" customHeight="false" outlineLevel="0" collapsed="false">
      <c r="A119" s="1" t="s">
        <v>221</v>
      </c>
      <c r="B119" s="1" t="s">
        <v>222</v>
      </c>
      <c r="C119" s="1" t="s">
        <v>12</v>
      </c>
      <c r="D119" s="1" t="n">
        <v>2900</v>
      </c>
      <c r="E119" s="1" t="s">
        <v>223</v>
      </c>
    </row>
    <row r="120" customFormat="false" ht="12.8" hidden="false" customHeight="false" outlineLevel="0" collapsed="false">
      <c r="A120" s="1" t="s">
        <v>221</v>
      </c>
      <c r="B120" s="1" t="s">
        <v>222</v>
      </c>
      <c r="C120" s="1" t="s">
        <v>12</v>
      </c>
      <c r="D120" s="1" t="n">
        <v>3112.35</v>
      </c>
      <c r="E120" s="1" t="s">
        <v>224</v>
      </c>
    </row>
    <row r="121" customFormat="false" ht="12.8" hidden="false" customHeight="false" outlineLevel="0" collapsed="false">
      <c r="A121" s="1" t="s">
        <v>221</v>
      </c>
      <c r="B121" s="1" t="s">
        <v>222</v>
      </c>
      <c r="C121" s="1" t="s">
        <v>12</v>
      </c>
      <c r="D121" s="13" t="n">
        <v>2240.723</v>
      </c>
      <c r="E121" s="1" t="s">
        <v>199</v>
      </c>
    </row>
    <row r="122" customFormat="false" ht="12.8" hidden="false" customHeight="false" outlineLevel="0" collapsed="false">
      <c r="A122" s="1" t="s">
        <v>221</v>
      </c>
      <c r="B122" s="1" t="s">
        <v>222</v>
      </c>
      <c r="C122" s="1" t="s">
        <v>76</v>
      </c>
      <c r="D122" s="13" t="n">
        <v>2000</v>
      </c>
      <c r="E122" s="1" t="s">
        <v>177</v>
      </c>
    </row>
    <row r="123" customFormat="false" ht="12.8" hidden="false" customHeight="false" outlineLevel="0" collapsed="false">
      <c r="A123" s="1" t="s">
        <v>221</v>
      </c>
      <c r="B123" s="14" t="s">
        <v>225</v>
      </c>
      <c r="C123" s="1" t="s">
        <v>12</v>
      </c>
      <c r="D123" s="6" t="n">
        <v>4181.47</v>
      </c>
      <c r="E123" s="1" t="s">
        <v>199</v>
      </c>
    </row>
    <row r="124" customFormat="false" ht="12.8" hidden="false" customHeight="false" outlineLevel="0" collapsed="false">
      <c r="A124" s="1" t="s">
        <v>226</v>
      </c>
      <c r="B124" s="1" t="s">
        <v>227</v>
      </c>
      <c r="C124" s="1" t="s">
        <v>12</v>
      </c>
      <c r="D124" s="13" t="n">
        <v>2051.456</v>
      </c>
      <c r="E124" s="1" t="s">
        <v>199</v>
      </c>
    </row>
    <row r="125" customFormat="false" ht="12.8" hidden="false" customHeight="false" outlineLevel="0" collapsed="false">
      <c r="A125" s="1" t="s">
        <v>226</v>
      </c>
      <c r="B125" s="1" t="s">
        <v>228</v>
      </c>
      <c r="C125" s="1" t="s">
        <v>12</v>
      </c>
      <c r="D125" s="1" t="n">
        <v>2800</v>
      </c>
      <c r="E125" s="1" t="s">
        <v>13</v>
      </c>
    </row>
    <row r="126" customFormat="false" ht="12.8" hidden="false" customHeight="false" outlineLevel="0" collapsed="false">
      <c r="A126" s="1" t="s">
        <v>226</v>
      </c>
      <c r="B126" s="1" t="s">
        <v>228</v>
      </c>
      <c r="C126" s="1" t="s">
        <v>12</v>
      </c>
      <c r="D126" s="1" t="n">
        <v>2492.636</v>
      </c>
      <c r="E126" s="1" t="s">
        <v>24</v>
      </c>
    </row>
    <row r="127" customFormat="false" ht="12.8" hidden="false" customHeight="false" outlineLevel="0" collapsed="false">
      <c r="A127" s="1" t="s">
        <v>226</v>
      </c>
      <c r="B127" s="1" t="s">
        <v>228</v>
      </c>
      <c r="C127" s="1" t="s">
        <v>12</v>
      </c>
      <c r="D127" s="1" t="n">
        <v>2955.03</v>
      </c>
      <c r="E127" s="1" t="s">
        <v>199</v>
      </c>
    </row>
    <row r="128" customFormat="false" ht="12.8" hidden="false" customHeight="false" outlineLevel="0" collapsed="false">
      <c r="A128" s="1" t="s">
        <v>226</v>
      </c>
      <c r="B128" s="1" t="s">
        <v>228</v>
      </c>
      <c r="C128" s="1" t="s">
        <v>76</v>
      </c>
      <c r="D128" s="1" t="n">
        <v>1400</v>
      </c>
      <c r="E128" s="1" t="s">
        <v>177</v>
      </c>
    </row>
    <row r="129" customFormat="false" ht="12.8" hidden="false" customHeight="false" outlineLevel="0" collapsed="false">
      <c r="A129" s="1" t="s">
        <v>226</v>
      </c>
      <c r="B129" s="1" t="s">
        <v>228</v>
      </c>
      <c r="C129" s="1" t="s">
        <v>28</v>
      </c>
      <c r="D129" s="1" t="n">
        <v>1079.7</v>
      </c>
      <c r="E129" s="1" t="s">
        <v>29</v>
      </c>
    </row>
    <row r="130" customFormat="false" ht="12.8" hidden="false" customHeight="false" outlineLevel="0" collapsed="false">
      <c r="A130" s="1" t="s">
        <v>226</v>
      </c>
      <c r="B130" s="1" t="s">
        <v>229</v>
      </c>
      <c r="C130" s="1" t="s">
        <v>34</v>
      </c>
      <c r="D130" s="1" t="n">
        <v>2214.703</v>
      </c>
      <c r="E130" s="1" t="s">
        <v>35</v>
      </c>
    </row>
    <row r="131" customFormat="false" ht="12.8" hidden="false" customHeight="false" outlineLevel="0" collapsed="false">
      <c r="A131" s="1" t="s">
        <v>226</v>
      </c>
      <c r="B131" s="6" t="s">
        <v>229</v>
      </c>
      <c r="C131" s="1" t="s">
        <v>205</v>
      </c>
      <c r="D131" s="6" t="n">
        <f aca="false">((D130*3)+D125+D127+D128+D129)/7</f>
        <v>2125.54842857143</v>
      </c>
      <c r="E131" s="1" t="s">
        <v>39</v>
      </c>
    </row>
    <row r="132" customFormat="false" ht="12.8" hidden="false" customHeight="false" outlineLevel="0" collapsed="false">
      <c r="A132" s="1" t="s">
        <v>230</v>
      </c>
      <c r="B132" s="1" t="s">
        <v>231</v>
      </c>
      <c r="C132" s="1" t="s">
        <v>12</v>
      </c>
      <c r="D132" s="1" t="n">
        <v>3900</v>
      </c>
      <c r="E132" s="1" t="s">
        <v>13</v>
      </c>
    </row>
    <row r="133" customFormat="false" ht="12.8" hidden="false" customHeight="false" outlineLevel="0" collapsed="false">
      <c r="A133" s="1" t="s">
        <v>230</v>
      </c>
      <c r="B133" s="1" t="s">
        <v>231</v>
      </c>
      <c r="C133" s="1" t="s">
        <v>76</v>
      </c>
      <c r="D133" s="1" t="n">
        <v>1800</v>
      </c>
      <c r="E133" s="7" t="s">
        <v>177</v>
      </c>
    </row>
    <row r="134" customFormat="false" ht="12.8" hidden="false" customHeight="false" outlineLevel="0" collapsed="false">
      <c r="A134" s="1" t="s">
        <v>230</v>
      </c>
      <c r="B134" s="1" t="s">
        <v>231</v>
      </c>
      <c r="C134" s="1" t="s">
        <v>52</v>
      </c>
      <c r="D134" s="1" t="n">
        <f aca="false">(D132+D133)/2</f>
        <v>2850</v>
      </c>
      <c r="E134" s="1" t="s">
        <v>39</v>
      </c>
    </row>
    <row r="135" customFormat="false" ht="12.8" hidden="false" customHeight="false" outlineLevel="0" collapsed="false">
      <c r="A135" s="1" t="s">
        <v>230</v>
      </c>
      <c r="B135" s="1" t="s">
        <v>232</v>
      </c>
      <c r="C135" s="1" t="s">
        <v>12</v>
      </c>
      <c r="D135" s="1" t="n">
        <v>4167.906</v>
      </c>
      <c r="E135" s="1" t="s">
        <v>24</v>
      </c>
    </row>
    <row r="136" customFormat="false" ht="12.8" hidden="false" customHeight="false" outlineLevel="0" collapsed="false">
      <c r="A136" s="1" t="s">
        <v>230</v>
      </c>
      <c r="B136" s="1" t="s">
        <v>232</v>
      </c>
      <c r="C136" s="1" t="s">
        <v>12</v>
      </c>
      <c r="D136" s="1" t="n">
        <v>4154.03</v>
      </c>
      <c r="E136" s="1" t="s">
        <v>199</v>
      </c>
    </row>
    <row r="137" customFormat="false" ht="12.8" hidden="false" customHeight="false" outlineLevel="0" collapsed="false">
      <c r="A137" s="1" t="s">
        <v>230</v>
      </c>
      <c r="B137" s="6" t="s">
        <v>232</v>
      </c>
      <c r="C137" s="1" t="s">
        <v>52</v>
      </c>
      <c r="D137" s="6" t="n">
        <f aca="false">(D135+D136)/2</f>
        <v>4160.968</v>
      </c>
      <c r="E137" s="1" t="s">
        <v>39</v>
      </c>
    </row>
    <row r="138" customFormat="false" ht="12.8" hidden="false" customHeight="false" outlineLevel="0" collapsed="false">
      <c r="A138" s="1" t="s">
        <v>233</v>
      </c>
      <c r="B138" s="14" t="s">
        <v>234</v>
      </c>
      <c r="C138" s="1" t="s">
        <v>12</v>
      </c>
      <c r="D138" s="6" t="n">
        <v>3187.77</v>
      </c>
      <c r="E138" s="1" t="s">
        <v>199</v>
      </c>
    </row>
    <row r="139" customFormat="false" ht="12.8" hidden="false" customHeight="false" outlineLevel="0" collapsed="false">
      <c r="A139" s="1" t="s">
        <v>235</v>
      </c>
      <c r="B139" s="15" t="s">
        <v>236</v>
      </c>
      <c r="C139" s="1" t="s">
        <v>12</v>
      </c>
      <c r="D139" s="13" t="n">
        <v>2781.992</v>
      </c>
      <c r="E139" s="1" t="s">
        <v>199</v>
      </c>
    </row>
    <row r="140" customFormat="false" ht="12.8" hidden="false" customHeight="false" outlineLevel="0" collapsed="false">
      <c r="A140" s="1" t="s">
        <v>235</v>
      </c>
      <c r="B140" s="1" t="s">
        <v>237</v>
      </c>
      <c r="C140" s="1" t="s">
        <v>12</v>
      </c>
      <c r="D140" s="1" t="n">
        <v>4100</v>
      </c>
      <c r="E140" s="1" t="s">
        <v>13</v>
      </c>
    </row>
    <row r="141" customFormat="false" ht="12.8" hidden="false" customHeight="false" outlineLevel="0" collapsed="false">
      <c r="A141" s="1" t="s">
        <v>235</v>
      </c>
      <c r="B141" s="1" t="s">
        <v>237</v>
      </c>
      <c r="C141" s="1" t="s">
        <v>12</v>
      </c>
      <c r="D141" s="13" t="n">
        <v>3698.673</v>
      </c>
      <c r="E141" s="1" t="s">
        <v>199</v>
      </c>
    </row>
    <row r="142" customFormat="false" ht="13.4" hidden="false" customHeight="false" outlineLevel="0" collapsed="false">
      <c r="A142" s="1" t="s">
        <v>235</v>
      </c>
      <c r="B142" s="1" t="s">
        <v>237</v>
      </c>
      <c r="C142" s="7" t="s">
        <v>91</v>
      </c>
      <c r="D142" s="13" t="n">
        <v>1595</v>
      </c>
      <c r="E142" s="7" t="s">
        <v>176</v>
      </c>
    </row>
    <row r="143" customFormat="false" ht="12.8" hidden="false" customHeight="false" outlineLevel="0" collapsed="false">
      <c r="A143" s="1" t="s">
        <v>235</v>
      </c>
      <c r="B143" s="1" t="s">
        <v>237</v>
      </c>
      <c r="C143" s="7" t="s">
        <v>76</v>
      </c>
      <c r="D143" s="13" t="n">
        <v>2060</v>
      </c>
      <c r="E143" s="7" t="s">
        <v>187</v>
      </c>
    </row>
    <row r="144" customFormat="false" ht="12.8" hidden="false" customHeight="false" outlineLevel="0" collapsed="false">
      <c r="A144" s="1" t="s">
        <v>235</v>
      </c>
      <c r="B144" s="1" t="s">
        <v>48</v>
      </c>
      <c r="C144" s="7" t="s">
        <v>34</v>
      </c>
      <c r="D144" s="13" t="n">
        <v>2244.365</v>
      </c>
      <c r="E144" s="7" t="s">
        <v>35</v>
      </c>
    </row>
    <row r="145" customFormat="false" ht="12.8" hidden="false" customHeight="false" outlineLevel="0" collapsed="false">
      <c r="A145" s="1" t="s">
        <v>235</v>
      </c>
      <c r="B145" s="6" t="s">
        <v>237</v>
      </c>
      <c r="C145" s="7" t="s">
        <v>52</v>
      </c>
      <c r="D145" s="14" t="n">
        <f aca="false">(D140+D141+D142+D143)/4</f>
        <v>2863.41825</v>
      </c>
      <c r="E145" s="7" t="s">
        <v>39</v>
      </c>
    </row>
    <row r="146" customFormat="false" ht="12.8" hidden="false" customHeight="false" outlineLevel="0" collapsed="false">
      <c r="A146" s="1" t="s">
        <v>238</v>
      </c>
      <c r="B146" s="1" t="s">
        <v>239</v>
      </c>
      <c r="C146" s="1" t="s">
        <v>12</v>
      </c>
      <c r="D146" s="13" t="n">
        <v>2667.426</v>
      </c>
      <c r="E146" s="1" t="s">
        <v>199</v>
      </c>
    </row>
    <row r="147" customFormat="false" ht="12.8" hidden="false" customHeight="false" outlineLevel="0" collapsed="false">
      <c r="A147" s="1" t="s">
        <v>238</v>
      </c>
      <c r="B147" s="1" t="s">
        <v>239</v>
      </c>
      <c r="C147" s="1" t="s">
        <v>12</v>
      </c>
      <c r="D147" s="1" t="n">
        <v>3097.62</v>
      </c>
      <c r="E147" s="1" t="s">
        <v>24</v>
      </c>
    </row>
    <row r="148" customFormat="false" ht="12.8" hidden="false" customHeight="false" outlineLevel="0" collapsed="false">
      <c r="A148" s="1" t="s">
        <v>238</v>
      </c>
      <c r="B148" s="6" t="s">
        <v>239</v>
      </c>
      <c r="C148" s="1" t="s">
        <v>52</v>
      </c>
      <c r="D148" s="6" t="n">
        <f aca="false">(D146+D147)/2</f>
        <v>2882.523</v>
      </c>
      <c r="E148" s="1" t="s">
        <v>39</v>
      </c>
    </row>
    <row r="149" customFormat="false" ht="13.4" hidden="false" customHeight="false" outlineLevel="0" collapsed="false">
      <c r="A149" s="1" t="s">
        <v>240</v>
      </c>
      <c r="B149" s="1" t="s">
        <v>241</v>
      </c>
      <c r="C149" s="7" t="s">
        <v>91</v>
      </c>
      <c r="D149" s="1" t="n">
        <v>927</v>
      </c>
      <c r="E149" s="7" t="s">
        <v>176</v>
      </c>
    </row>
    <row r="150" customFormat="false" ht="12.8" hidden="false" customHeight="false" outlineLevel="0" collapsed="false">
      <c r="A150" s="1" t="s">
        <v>240</v>
      </c>
      <c r="B150" s="1" t="s">
        <v>241</v>
      </c>
      <c r="C150" s="7" t="s">
        <v>76</v>
      </c>
      <c r="D150" s="1" t="n">
        <v>1500</v>
      </c>
      <c r="E150" s="7" t="s">
        <v>177</v>
      </c>
    </row>
    <row r="151" customFormat="false" ht="12.8" hidden="false" customHeight="false" outlineLevel="0" collapsed="false">
      <c r="A151" s="1" t="s">
        <v>240</v>
      </c>
      <c r="B151" s="1" t="s">
        <v>241</v>
      </c>
      <c r="C151" s="7" t="s">
        <v>28</v>
      </c>
      <c r="D151" s="1" t="n">
        <v>1658.7</v>
      </c>
      <c r="E151" s="7" t="s">
        <v>29</v>
      </c>
    </row>
    <row r="152" customFormat="false" ht="12.8" hidden="false" customHeight="false" outlineLevel="0" collapsed="false">
      <c r="A152" s="1" t="s">
        <v>240</v>
      </c>
      <c r="B152" s="1" t="s">
        <v>241</v>
      </c>
      <c r="C152" s="1" t="s">
        <v>12</v>
      </c>
      <c r="D152" s="1" t="n">
        <v>3300</v>
      </c>
      <c r="E152" s="1" t="s">
        <v>13</v>
      </c>
    </row>
    <row r="153" customFormat="false" ht="12.8" hidden="false" customHeight="false" outlineLevel="0" collapsed="false">
      <c r="A153" s="1" t="s">
        <v>240</v>
      </c>
      <c r="B153" s="1" t="s">
        <v>241</v>
      </c>
      <c r="C153" s="1" t="s">
        <v>12</v>
      </c>
      <c r="D153" s="1" t="n">
        <v>3141.94</v>
      </c>
      <c r="E153" s="1" t="s">
        <v>24</v>
      </c>
    </row>
    <row r="154" customFormat="false" ht="12.8" hidden="false" customHeight="false" outlineLevel="0" collapsed="false">
      <c r="A154" s="1" t="s">
        <v>240</v>
      </c>
      <c r="B154" s="1" t="s">
        <v>241</v>
      </c>
      <c r="C154" s="1" t="s">
        <v>86</v>
      </c>
      <c r="D154" s="1" t="n">
        <v>2258.128</v>
      </c>
      <c r="E154" s="1" t="s">
        <v>35</v>
      </c>
    </row>
    <row r="155" customFormat="false" ht="12.8" hidden="false" customHeight="false" outlineLevel="0" collapsed="false">
      <c r="A155" s="1" t="s">
        <v>240</v>
      </c>
      <c r="B155" s="6" t="s">
        <v>241</v>
      </c>
      <c r="C155" s="1" t="s">
        <v>242</v>
      </c>
      <c r="D155" s="6" t="n">
        <f aca="false">((D154*4)+D150+D151+D152)/7</f>
        <v>2213.03028571429</v>
      </c>
      <c r="E155" s="1" t="s">
        <v>39</v>
      </c>
    </row>
    <row r="156" customFormat="false" ht="12.8" hidden="false" customHeight="false" outlineLevel="0" collapsed="false">
      <c r="A156" s="1" t="s">
        <v>243</v>
      </c>
      <c r="B156" s="6" t="s">
        <v>244</v>
      </c>
      <c r="C156" s="1" t="s">
        <v>12</v>
      </c>
      <c r="D156" s="6" t="n">
        <v>2704.38</v>
      </c>
      <c r="E156" s="1" t="s">
        <v>199</v>
      </c>
    </row>
    <row r="157" customFormat="false" ht="12.8" hidden="false" customHeight="false" outlineLevel="0" collapsed="false">
      <c r="A157" s="1" t="s">
        <v>245</v>
      </c>
      <c r="B157" s="1" t="s">
        <v>246</v>
      </c>
      <c r="C157" s="1" t="s">
        <v>12</v>
      </c>
      <c r="D157" s="1" t="n">
        <v>1950</v>
      </c>
      <c r="E157" s="1" t="s">
        <v>13</v>
      </c>
    </row>
    <row r="158" customFormat="false" ht="12.8" hidden="false" customHeight="false" outlineLevel="0" collapsed="false">
      <c r="A158" s="1" t="s">
        <v>245</v>
      </c>
      <c r="B158" s="1" t="s">
        <v>247</v>
      </c>
      <c r="C158" s="1" t="s">
        <v>12</v>
      </c>
      <c r="D158" s="1" t="n">
        <v>2487.17</v>
      </c>
      <c r="E158" s="1" t="s">
        <v>24</v>
      </c>
    </row>
    <row r="159" customFormat="false" ht="12.8" hidden="false" customHeight="false" outlineLevel="0" collapsed="false">
      <c r="A159" s="1" t="s">
        <v>245</v>
      </c>
      <c r="B159" s="1" t="s">
        <v>247</v>
      </c>
      <c r="C159" s="1" t="s">
        <v>105</v>
      </c>
      <c r="D159" s="1" t="n">
        <v>2626</v>
      </c>
      <c r="E159" s="1" t="s">
        <v>123</v>
      </c>
    </row>
    <row r="160" customFormat="false" ht="12.8" hidden="false" customHeight="false" outlineLevel="0" collapsed="false">
      <c r="A160" s="1" t="s">
        <v>245</v>
      </c>
      <c r="B160" s="1" t="s">
        <v>247</v>
      </c>
      <c r="C160" s="1" t="s">
        <v>91</v>
      </c>
      <c r="D160" s="1" t="n">
        <v>2427</v>
      </c>
      <c r="E160" s="1" t="s">
        <v>248</v>
      </c>
    </row>
    <row r="161" customFormat="false" ht="12.8" hidden="false" customHeight="false" outlineLevel="0" collapsed="false">
      <c r="A161" s="1" t="s">
        <v>245</v>
      </c>
      <c r="B161" s="6" t="s">
        <v>247</v>
      </c>
      <c r="C161" s="1" t="s">
        <v>52</v>
      </c>
      <c r="D161" s="6" t="n">
        <f aca="false">AVERAGE(D158:D160)</f>
        <v>2513.39</v>
      </c>
      <c r="E161" s="1" t="s">
        <v>39</v>
      </c>
    </row>
    <row r="162" customFormat="false" ht="12.8" hidden="false" customHeight="false" outlineLevel="0" collapsed="false">
      <c r="A162" s="1" t="s">
        <v>245</v>
      </c>
      <c r="B162" s="7" t="s">
        <v>249</v>
      </c>
      <c r="C162" s="7" t="s">
        <v>76</v>
      </c>
      <c r="D162" s="1" t="n">
        <v>1685</v>
      </c>
      <c r="E162" s="7" t="s">
        <v>77</v>
      </c>
    </row>
    <row r="163" customFormat="false" ht="12.8" hidden="false" customHeight="false" outlineLevel="0" collapsed="false">
      <c r="A163" s="1" t="s">
        <v>245</v>
      </c>
      <c r="B163" s="7" t="s">
        <v>249</v>
      </c>
      <c r="C163" s="7" t="s">
        <v>76</v>
      </c>
      <c r="D163" s="1" t="n">
        <v>1170</v>
      </c>
      <c r="E163" s="7" t="s">
        <v>77</v>
      </c>
    </row>
    <row r="164" customFormat="false" ht="12.8" hidden="false" customHeight="false" outlineLevel="0" collapsed="false">
      <c r="A164" s="1" t="s">
        <v>245</v>
      </c>
      <c r="B164" s="7" t="s">
        <v>250</v>
      </c>
      <c r="C164" s="7" t="s">
        <v>91</v>
      </c>
      <c r="D164" s="1" t="n">
        <v>2795</v>
      </c>
      <c r="E164" s="7" t="s">
        <v>251</v>
      </c>
    </row>
    <row r="165" customFormat="false" ht="12.8" hidden="false" customHeight="false" outlineLevel="0" collapsed="false">
      <c r="A165" s="1" t="s">
        <v>245</v>
      </c>
      <c r="B165" s="7" t="s">
        <v>250</v>
      </c>
      <c r="C165" s="7" t="s">
        <v>76</v>
      </c>
      <c r="D165" s="1" t="n">
        <v>2500</v>
      </c>
      <c r="E165" s="7" t="s">
        <v>81</v>
      </c>
    </row>
    <row r="166" customFormat="false" ht="12.8" hidden="false" customHeight="false" outlineLevel="0" collapsed="false">
      <c r="A166" s="1" t="s">
        <v>245</v>
      </c>
      <c r="B166" s="7" t="s">
        <v>250</v>
      </c>
      <c r="C166" s="7" t="s">
        <v>28</v>
      </c>
      <c r="D166" s="1" t="n">
        <v>2465</v>
      </c>
      <c r="E166" s="7" t="s">
        <v>29</v>
      </c>
    </row>
    <row r="167" customFormat="false" ht="13.4" hidden="false" customHeight="false" outlineLevel="0" collapsed="false">
      <c r="A167" s="1" t="s">
        <v>245</v>
      </c>
      <c r="B167" s="7" t="s">
        <v>252</v>
      </c>
      <c r="C167" s="7" t="s">
        <v>91</v>
      </c>
      <c r="D167" s="1" t="n">
        <v>2427.3</v>
      </c>
      <c r="E167" s="7" t="s">
        <v>253</v>
      </c>
    </row>
    <row r="168" customFormat="false" ht="12.8" hidden="false" customHeight="false" outlineLevel="0" collapsed="false">
      <c r="A168" s="1" t="s">
        <v>245</v>
      </c>
      <c r="B168" s="7" t="s">
        <v>48</v>
      </c>
      <c r="C168" s="7" t="s">
        <v>86</v>
      </c>
      <c r="D168" s="1" t="n">
        <v>2554.78</v>
      </c>
      <c r="E168" s="7" t="s">
        <v>35</v>
      </c>
    </row>
    <row r="169" customFormat="false" ht="12.8" hidden="false" customHeight="false" outlineLevel="0" collapsed="false">
      <c r="A169" s="1" t="s">
        <v>245</v>
      </c>
      <c r="B169" s="7" t="s">
        <v>250</v>
      </c>
      <c r="C169" s="7" t="s">
        <v>52</v>
      </c>
      <c r="D169" s="11" t="n">
        <f aca="false">(D164+D165+D166+D167)/4</f>
        <v>2546.825</v>
      </c>
      <c r="E169" s="7" t="s">
        <v>39</v>
      </c>
    </row>
    <row r="170" customFormat="false" ht="12.8" hidden="false" customHeight="false" outlineLevel="0" collapsed="false">
      <c r="A170" s="1" t="s">
        <v>245</v>
      </c>
      <c r="B170" s="7" t="s">
        <v>254</v>
      </c>
      <c r="C170" s="1" t="s">
        <v>255</v>
      </c>
      <c r="D170" s="11" t="n">
        <v>1573.316</v>
      </c>
      <c r="E170" s="7" t="s">
        <v>256</v>
      </c>
    </row>
    <row r="171" customFormat="false" ht="12.8" hidden="false" customHeight="false" outlineLevel="0" collapsed="false">
      <c r="A171" s="1" t="s">
        <v>245</v>
      </c>
      <c r="B171" s="7" t="s">
        <v>257</v>
      </c>
      <c r="C171" s="1" t="s">
        <v>255</v>
      </c>
      <c r="D171" s="11" t="n">
        <f aca="false">D170*((75^3)/(91.6^3))</f>
        <v>863.601381614015</v>
      </c>
      <c r="E171" s="7" t="s">
        <v>256</v>
      </c>
    </row>
    <row r="172" customFormat="false" ht="12.8" hidden="false" customHeight="false" outlineLevel="0" collapsed="false">
      <c r="A172" s="1" t="s">
        <v>245</v>
      </c>
      <c r="B172" s="7" t="s">
        <v>258</v>
      </c>
      <c r="C172" s="1" t="s">
        <v>255</v>
      </c>
      <c r="D172" s="11" t="n">
        <f aca="false">D170*((80.4^3)/(91.6^3))</f>
        <v>1063.89234621799</v>
      </c>
      <c r="E172" s="7" t="s">
        <v>256</v>
      </c>
    </row>
    <row r="173" customFormat="false" ht="12.8" hidden="false" customHeight="false" outlineLevel="0" collapsed="false">
      <c r="A173" s="1" t="s">
        <v>259</v>
      </c>
      <c r="B173" s="7" t="s">
        <v>260</v>
      </c>
      <c r="C173" s="1" t="s">
        <v>255</v>
      </c>
      <c r="D173" s="11" t="n">
        <f aca="false">D170*((62.6^3)/(91.6^3))</f>
        <v>502.172051065789</v>
      </c>
      <c r="E173" s="7" t="s">
        <v>256</v>
      </c>
    </row>
    <row r="174" customFormat="false" ht="12.8" hidden="false" customHeight="false" outlineLevel="0" collapsed="false">
      <c r="A174" s="1" t="s">
        <v>259</v>
      </c>
      <c r="B174" s="7" t="s">
        <v>261</v>
      </c>
      <c r="C174" s="7" t="s">
        <v>76</v>
      </c>
      <c r="D174" s="1" t="n">
        <v>700</v>
      </c>
      <c r="E174" s="7" t="s">
        <v>81</v>
      </c>
    </row>
    <row r="175" customFormat="false" ht="13.4" hidden="false" customHeight="false" outlineLevel="0" collapsed="false">
      <c r="A175" s="1" t="s">
        <v>259</v>
      </c>
      <c r="B175" s="7" t="s">
        <v>261</v>
      </c>
      <c r="C175" s="7" t="s">
        <v>91</v>
      </c>
      <c r="D175" s="1" t="n">
        <v>687.7</v>
      </c>
      <c r="E175" s="7" t="s">
        <v>253</v>
      </c>
    </row>
    <row r="176" customFormat="false" ht="12.8" hidden="false" customHeight="false" outlineLevel="0" collapsed="false">
      <c r="A176" s="1" t="s">
        <v>259</v>
      </c>
      <c r="B176" s="7" t="s">
        <v>261</v>
      </c>
      <c r="C176" s="7" t="s">
        <v>91</v>
      </c>
      <c r="D176" s="1" t="n">
        <v>463.6</v>
      </c>
      <c r="E176" s="7" t="s">
        <v>262</v>
      </c>
    </row>
    <row r="177" customFormat="false" ht="12.8" hidden="false" customHeight="false" outlineLevel="0" collapsed="false">
      <c r="A177" s="1" t="s">
        <v>259</v>
      </c>
      <c r="B177" s="12" t="s">
        <v>261</v>
      </c>
      <c r="C177" s="7" t="s">
        <v>52</v>
      </c>
      <c r="D177" s="6" t="n">
        <f aca="false">(D174+D175+D176)/3</f>
        <v>617.1</v>
      </c>
      <c r="E177" s="7" t="s">
        <v>263</v>
      </c>
    </row>
    <row r="178" customFormat="false" ht="12.8" hidden="false" customHeight="false" outlineLevel="0" collapsed="false">
      <c r="A178" s="1" t="s">
        <v>259</v>
      </c>
      <c r="B178" s="7" t="s">
        <v>264</v>
      </c>
      <c r="C178" s="1" t="s">
        <v>105</v>
      </c>
      <c r="D178" s="11" t="n">
        <v>595.5</v>
      </c>
      <c r="E178" s="7" t="s">
        <v>123</v>
      </c>
    </row>
    <row r="179" customFormat="false" ht="13.4" hidden="false" customHeight="false" outlineLevel="0" collapsed="false">
      <c r="A179" s="1" t="s">
        <v>259</v>
      </c>
      <c r="B179" s="7" t="s">
        <v>265</v>
      </c>
      <c r="C179" s="7" t="s">
        <v>91</v>
      </c>
      <c r="D179" s="1" t="n">
        <v>496.1</v>
      </c>
      <c r="E179" s="7" t="s">
        <v>253</v>
      </c>
    </row>
    <row r="180" customFormat="false" ht="12.8" hidden="false" customHeight="false" outlineLevel="0" collapsed="false">
      <c r="A180" s="1" t="s">
        <v>259</v>
      </c>
      <c r="B180" s="12" t="s">
        <v>265</v>
      </c>
      <c r="C180" s="7" t="s">
        <v>52</v>
      </c>
      <c r="D180" s="6" t="n">
        <f aca="false">AVERAGE(D178:D179)</f>
        <v>545.8</v>
      </c>
      <c r="E180" s="7" t="s">
        <v>39</v>
      </c>
    </row>
    <row r="181" customFormat="false" ht="12.8" hidden="false" customHeight="false" outlineLevel="0" collapsed="false">
      <c r="A181" s="1" t="s">
        <v>266</v>
      </c>
      <c r="B181" s="7" t="s">
        <v>267</v>
      </c>
      <c r="C181" s="1" t="s">
        <v>255</v>
      </c>
      <c r="D181" s="11" t="n">
        <f aca="false">D170*((44.5^3)/(91.6^3))</f>
        <v>180.388800709645</v>
      </c>
      <c r="E181" s="7" t="s">
        <v>256</v>
      </c>
    </row>
    <row r="182" customFormat="false" ht="12.8" hidden="false" customHeight="false" outlineLevel="0" collapsed="false">
      <c r="A182" s="1" t="s">
        <v>266</v>
      </c>
      <c r="B182" s="7" t="s">
        <v>268</v>
      </c>
      <c r="C182" s="1" t="s">
        <v>255</v>
      </c>
      <c r="D182" s="11" t="n">
        <f aca="false">D170*((54.2^3)/(91.6^3))</f>
        <v>325.93229742816</v>
      </c>
      <c r="E182" s="7" t="s">
        <v>256</v>
      </c>
    </row>
    <row r="183" customFormat="false" ht="12.8" hidden="false" customHeight="false" outlineLevel="0" collapsed="false">
      <c r="A183" s="1" t="s">
        <v>266</v>
      </c>
      <c r="B183" s="12" t="s">
        <v>122</v>
      </c>
      <c r="C183" s="1" t="s">
        <v>105</v>
      </c>
      <c r="D183" s="6" t="n">
        <v>335</v>
      </c>
      <c r="E183" s="7" t="s">
        <v>123</v>
      </c>
    </row>
    <row r="184" customFormat="false" ht="12.8" hidden="false" customHeight="false" outlineLevel="0" collapsed="false">
      <c r="A184" s="1" t="s">
        <v>269</v>
      </c>
      <c r="B184" s="1" t="s">
        <v>270</v>
      </c>
      <c r="C184" s="1" t="s">
        <v>12</v>
      </c>
      <c r="D184" s="1" t="n">
        <v>2200</v>
      </c>
      <c r="E184" s="1" t="s">
        <v>13</v>
      </c>
    </row>
    <row r="185" customFormat="false" ht="12.8" hidden="false" customHeight="false" outlineLevel="0" collapsed="false">
      <c r="A185" s="1" t="s">
        <v>269</v>
      </c>
      <c r="B185" s="1" t="s">
        <v>270</v>
      </c>
      <c r="C185" s="1" t="s">
        <v>12</v>
      </c>
      <c r="D185" s="1" t="n">
        <v>3215.186</v>
      </c>
      <c r="E185" s="1" t="s">
        <v>24</v>
      </c>
    </row>
    <row r="186" customFormat="false" ht="12.8" hidden="false" customHeight="false" outlineLevel="0" collapsed="false">
      <c r="A186" s="1" t="s">
        <v>269</v>
      </c>
      <c r="B186" s="1" t="s">
        <v>270</v>
      </c>
      <c r="C186" s="1" t="s">
        <v>271</v>
      </c>
      <c r="D186" s="1" t="n">
        <f aca="false">(D184+D185)/2</f>
        <v>2707.593</v>
      </c>
      <c r="E186" s="1" t="s">
        <v>39</v>
      </c>
    </row>
    <row r="187" customFormat="false" ht="12.8" hidden="false" customHeight="false" outlineLevel="0" collapsed="false">
      <c r="A187" s="1" t="s">
        <v>269</v>
      </c>
      <c r="B187" s="1" t="s">
        <v>272</v>
      </c>
      <c r="C187" s="1" t="s">
        <v>12</v>
      </c>
      <c r="D187" s="1" t="n">
        <v>2710.32</v>
      </c>
      <c r="E187" s="1" t="s">
        <v>24</v>
      </c>
    </row>
    <row r="188" customFormat="false" ht="12.8" hidden="false" customHeight="false" outlineLevel="0" collapsed="false">
      <c r="A188" s="1" t="s">
        <v>269</v>
      </c>
      <c r="B188" s="1" t="s">
        <v>272</v>
      </c>
      <c r="C188" s="1" t="s">
        <v>76</v>
      </c>
      <c r="D188" s="1" t="n">
        <v>2700</v>
      </c>
      <c r="E188" s="7" t="s">
        <v>273</v>
      </c>
    </row>
    <row r="189" customFormat="false" ht="12.8" hidden="false" customHeight="false" outlineLevel="0" collapsed="false">
      <c r="A189" s="1" t="s">
        <v>269</v>
      </c>
      <c r="B189" s="1" t="s">
        <v>272</v>
      </c>
      <c r="C189" s="1" t="s">
        <v>76</v>
      </c>
      <c r="D189" s="1" t="n">
        <v>2300</v>
      </c>
      <c r="E189" s="7" t="s">
        <v>81</v>
      </c>
    </row>
    <row r="190" customFormat="false" ht="12.8" hidden="false" customHeight="false" outlineLevel="0" collapsed="false">
      <c r="A190" s="1" t="s">
        <v>269</v>
      </c>
      <c r="B190" s="1" t="s">
        <v>274</v>
      </c>
      <c r="C190" s="1" t="s">
        <v>91</v>
      </c>
      <c r="D190" s="1" t="n">
        <v>3844</v>
      </c>
      <c r="E190" s="1" t="s">
        <v>251</v>
      </c>
    </row>
    <row r="191" customFormat="false" ht="12.8" hidden="false" customHeight="false" outlineLevel="0" collapsed="false">
      <c r="A191" s="1" t="s">
        <v>269</v>
      </c>
      <c r="B191" s="1" t="s">
        <v>272</v>
      </c>
      <c r="C191" s="1" t="s">
        <v>255</v>
      </c>
      <c r="D191" s="1" t="n">
        <f aca="false">D193*0.8478</f>
        <v>2170.5350166</v>
      </c>
      <c r="E191" s="7" t="s">
        <v>256</v>
      </c>
    </row>
    <row r="192" customFormat="false" ht="12.8" hidden="false" customHeight="false" outlineLevel="0" collapsed="false">
      <c r="A192" s="1" t="s">
        <v>269</v>
      </c>
      <c r="B192" s="6" t="s">
        <v>272</v>
      </c>
      <c r="C192" s="1" t="s">
        <v>52</v>
      </c>
      <c r="D192" s="6" t="n">
        <f aca="false">(D187+D188+D189+D190+D191)/5</f>
        <v>2744.97100332</v>
      </c>
      <c r="E192" s="1" t="s">
        <v>39</v>
      </c>
    </row>
    <row r="193" customFormat="false" ht="12.8" hidden="false" customHeight="false" outlineLevel="0" collapsed="false">
      <c r="A193" s="1" t="s">
        <v>269</v>
      </c>
      <c r="B193" s="11" t="s">
        <v>275</v>
      </c>
      <c r="C193" s="1" t="s">
        <v>255</v>
      </c>
      <c r="D193" s="11" t="n">
        <v>2560.197</v>
      </c>
      <c r="E193" s="7" t="s">
        <v>256</v>
      </c>
    </row>
    <row r="194" customFormat="false" ht="12.8" hidden="false" customHeight="false" outlineLevel="0" collapsed="false">
      <c r="A194" s="1" t="s">
        <v>269</v>
      </c>
      <c r="B194" s="1" t="s">
        <v>48</v>
      </c>
      <c r="C194" s="1" t="s">
        <v>86</v>
      </c>
      <c r="D194" s="1" t="n">
        <v>2565.55</v>
      </c>
      <c r="E194" s="1" t="s">
        <v>35</v>
      </c>
    </row>
    <row r="195" customFormat="false" ht="12.8" hidden="false" customHeight="false" outlineLevel="0" collapsed="false">
      <c r="A195" s="1" t="s">
        <v>276</v>
      </c>
      <c r="B195" s="11" t="s">
        <v>277</v>
      </c>
      <c r="C195" s="11" t="s">
        <v>91</v>
      </c>
      <c r="D195" s="11" t="n">
        <v>3084.8</v>
      </c>
      <c r="E195" s="1" t="s">
        <v>248</v>
      </c>
    </row>
    <row r="196" customFormat="false" ht="12.8" hidden="false" customHeight="false" outlineLevel="0" collapsed="false">
      <c r="A196" s="1" t="s">
        <v>276</v>
      </c>
      <c r="B196" s="1" t="s">
        <v>277</v>
      </c>
      <c r="C196" s="1" t="s">
        <v>255</v>
      </c>
      <c r="D196" s="1" t="n">
        <f aca="false">D193*((100^3)/(96^3))</f>
        <v>2893.74118381076</v>
      </c>
      <c r="E196" s="1" t="s">
        <v>278</v>
      </c>
    </row>
    <row r="197" customFormat="false" ht="12.8" hidden="false" customHeight="false" outlineLevel="0" collapsed="false">
      <c r="A197" s="1" t="s">
        <v>276</v>
      </c>
      <c r="B197" s="6" t="s">
        <v>277</v>
      </c>
      <c r="C197" s="1" t="s">
        <v>52</v>
      </c>
      <c r="D197" s="6" t="n">
        <f aca="false">(D196+D195)/2</f>
        <v>2989.27059190538</v>
      </c>
      <c r="E197" s="1" t="s">
        <v>39</v>
      </c>
    </row>
    <row r="199" customFormat="false" ht="12.8" hidden="false" customHeight="false" outlineLevel="0" collapsed="false">
      <c r="A199" s="0" t="s">
        <v>279</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Y1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I47" activePane="bottomRight" state="frozen"/>
      <selection pane="topLeft" activeCell="A1" activeCellId="0" sqref="A1"/>
      <selection pane="topRight" activeCell="I1" activeCellId="0" sqref="I1"/>
      <selection pane="bottomLeft" activeCell="A47" activeCellId="0" sqref="A47"/>
      <selection pane="bottomRight" activeCell="AE60" activeCellId="0" sqref="AE60"/>
    </sheetView>
  </sheetViews>
  <sheetFormatPr defaultColWidth="11.53515625" defaultRowHeight="12.8" zeroHeight="false" outlineLevelRow="0" outlineLevelCol="0"/>
  <cols>
    <col collapsed="false" customWidth="true" hidden="false" outlineLevel="0" max="1" min="1" style="0" width="29.06"/>
    <col collapsed="false" customWidth="false" hidden="false" outlineLevel="0" max="11" min="9" style="11" width="11.53"/>
    <col collapsed="false" customWidth="false" hidden="false" outlineLevel="0" max="26" min="24" style="11" width="11.53"/>
    <col collapsed="false" customWidth="true" hidden="false" outlineLevel="0" max="32" min="30" style="11" width="12.23"/>
    <col collapsed="false" customWidth="true" hidden="false" outlineLevel="0" max="33" min="33" style="0" width="14.33"/>
  </cols>
  <sheetData>
    <row r="1" customFormat="false" ht="12.8" hidden="false" customHeight="false" outlineLevel="0" collapsed="false">
      <c r="A1" s="3" t="s">
        <v>0</v>
      </c>
      <c r="B1" s="3" t="s">
        <v>280</v>
      </c>
      <c r="C1" s="3" t="s">
        <v>281</v>
      </c>
      <c r="D1" s="3" t="s">
        <v>282</v>
      </c>
      <c r="E1" s="3" t="s">
        <v>283</v>
      </c>
      <c r="F1" s="3" t="s">
        <v>284</v>
      </c>
      <c r="G1" s="3" t="s">
        <v>285</v>
      </c>
      <c r="H1" s="3" t="s">
        <v>286</v>
      </c>
      <c r="I1" s="16" t="s">
        <v>287</v>
      </c>
      <c r="J1" s="16" t="s">
        <v>288</v>
      </c>
      <c r="K1" s="16" t="s">
        <v>289</v>
      </c>
      <c r="L1" s="3" t="s">
        <v>290</v>
      </c>
      <c r="M1" s="3" t="s">
        <v>291</v>
      </c>
      <c r="N1" s="3" t="s">
        <v>292</v>
      </c>
      <c r="O1" s="3" t="s">
        <v>293</v>
      </c>
      <c r="P1" s="3" t="s">
        <v>294</v>
      </c>
      <c r="Q1" s="3" t="s">
        <v>295</v>
      </c>
      <c r="R1" s="3" t="s">
        <v>296</v>
      </c>
      <c r="S1" s="3" t="s">
        <v>297</v>
      </c>
      <c r="T1" s="3" t="s">
        <v>298</v>
      </c>
      <c r="U1" s="16" t="s">
        <v>299</v>
      </c>
      <c r="V1" s="16" t="s">
        <v>300</v>
      </c>
      <c r="W1" s="16" t="s">
        <v>301</v>
      </c>
      <c r="X1" s="16" t="s">
        <v>302</v>
      </c>
      <c r="Y1" s="16" t="s">
        <v>303</v>
      </c>
      <c r="Z1" s="16" t="s">
        <v>304</v>
      </c>
      <c r="AA1" s="16" t="s">
        <v>305</v>
      </c>
      <c r="AB1" s="16" t="s">
        <v>306</v>
      </c>
      <c r="AC1" s="16" t="s">
        <v>307</v>
      </c>
      <c r="AD1" s="16" t="s">
        <v>308</v>
      </c>
      <c r="AE1" s="16" t="s">
        <v>309</v>
      </c>
      <c r="AF1" s="16" t="s">
        <v>310</v>
      </c>
      <c r="AG1" s="16"/>
      <c r="AH1" s="3" t="s">
        <v>311</v>
      </c>
      <c r="AI1" s="3" t="s">
        <v>312</v>
      </c>
      <c r="AJ1" s="3" t="s">
        <v>313</v>
      </c>
      <c r="AK1" s="3" t="s">
        <v>314</v>
      </c>
      <c r="AL1" s="3" t="s">
        <v>315</v>
      </c>
      <c r="AM1" s="3" t="s">
        <v>316</v>
      </c>
      <c r="AN1" s="3" t="s">
        <v>317</v>
      </c>
      <c r="AO1" s="3" t="s">
        <v>318</v>
      </c>
      <c r="AP1" s="3" t="s">
        <v>319</v>
      </c>
      <c r="AQ1" s="3" t="s">
        <v>320</v>
      </c>
      <c r="AR1" s="3" t="s">
        <v>321</v>
      </c>
      <c r="AS1" s="3" t="s">
        <v>322</v>
      </c>
      <c r="AT1" s="3" t="s">
        <v>323</v>
      </c>
      <c r="AU1" s="3" t="s">
        <v>324</v>
      </c>
      <c r="AV1" s="3" t="s">
        <v>325</v>
      </c>
      <c r="AW1" s="3" t="s">
        <v>326</v>
      </c>
      <c r="AX1" s="3" t="s">
        <v>327</v>
      </c>
      <c r="AY1" s="3" t="s">
        <v>328</v>
      </c>
    </row>
    <row r="2" customFormat="false" ht="12.8" hidden="false" customHeight="false" outlineLevel="0" collapsed="false">
      <c r="A2" s="0" t="s">
        <v>329</v>
      </c>
      <c r="B2" s="0" t="n">
        <v>250</v>
      </c>
      <c r="C2" s="0" t="n">
        <v>31</v>
      </c>
      <c r="D2" s="0" t="n">
        <f aca="false">C2/120</f>
        <v>0.258333333333333</v>
      </c>
      <c r="E2" s="3" t="n">
        <f aca="false">D2*B2</f>
        <v>64.5833333333333</v>
      </c>
      <c r="F2" s="0" t="n">
        <v>6</v>
      </c>
      <c r="G2" s="1" t="n">
        <f aca="false">F2/120</f>
        <v>0.05</v>
      </c>
      <c r="H2" s="3" t="n">
        <f aca="false">G2*B2</f>
        <v>12.5</v>
      </c>
      <c r="I2" s="11" t="n">
        <v>13</v>
      </c>
      <c r="J2" s="17" t="n">
        <f aca="false">I2/120</f>
        <v>0.108333333333333</v>
      </c>
      <c r="K2" s="16" t="n">
        <f aca="false">J2*B2</f>
        <v>27.0833333333333</v>
      </c>
      <c r="L2" s="0" t="n">
        <v>7</v>
      </c>
      <c r="M2" s="0" t="n">
        <f aca="false">L2/120</f>
        <v>0.0583333333333333</v>
      </c>
      <c r="N2" s="3" t="n">
        <f aca="false">M2*B2</f>
        <v>14.5833333333333</v>
      </c>
      <c r="O2" s="0" t="n">
        <v>7</v>
      </c>
      <c r="P2" s="0" t="n">
        <f aca="false">O2/120</f>
        <v>0.0583333333333333</v>
      </c>
      <c r="Q2" s="3" t="n">
        <f aca="false">P2*B2</f>
        <v>14.5833333333333</v>
      </c>
      <c r="R2" s="0" t="n">
        <v>7</v>
      </c>
      <c r="S2" s="0" t="n">
        <f aca="false">R2/120</f>
        <v>0.0583333333333333</v>
      </c>
      <c r="T2" s="3" t="n">
        <f aca="false">S2*B2</f>
        <v>14.5833333333333</v>
      </c>
      <c r="U2" s="0" t="n">
        <v>6</v>
      </c>
      <c r="V2" s="0" t="n">
        <f aca="false">U2/120</f>
        <v>0.05</v>
      </c>
      <c r="W2" s="3" t="n">
        <f aca="false">V2*B2</f>
        <v>12.5</v>
      </c>
      <c r="X2" s="11" t="n">
        <v>13</v>
      </c>
      <c r="Y2" s="11" t="n">
        <f aca="false">X2/120</f>
        <v>0.108333333333333</v>
      </c>
      <c r="Z2" s="16" t="n">
        <f aca="false">Y2*B2</f>
        <v>27.0833333333333</v>
      </c>
      <c r="AA2" s="0" t="n">
        <v>6</v>
      </c>
      <c r="AB2" s="0" t="n">
        <f aca="false">AA2/120</f>
        <v>0.05</v>
      </c>
      <c r="AC2" s="3" t="n">
        <f aca="false">AB2*B2</f>
        <v>12.5</v>
      </c>
      <c r="AD2" s="11" t="n">
        <v>13</v>
      </c>
      <c r="AE2" s="11" t="n">
        <f aca="false">AD2/120</f>
        <v>0.108333333333333</v>
      </c>
      <c r="AF2" s="16" t="n">
        <f aca="false">AE2*B2</f>
        <v>27.0833333333333</v>
      </c>
      <c r="AG2" s="3"/>
      <c r="AH2" s="0" t="n">
        <v>31</v>
      </c>
      <c r="AI2" s="0" t="n">
        <f aca="false">AH2/175</f>
        <v>0.177142857142857</v>
      </c>
      <c r="AJ2" s="3" t="n">
        <f aca="false">AI2*B2</f>
        <v>44.2857142857143</v>
      </c>
      <c r="AK2" s="0" t="n">
        <v>31</v>
      </c>
      <c r="AL2" s="0" t="n">
        <f aca="false">AK2/175</f>
        <v>0.177142857142857</v>
      </c>
      <c r="AM2" s="0" t="n">
        <f aca="false">AL2*B2</f>
        <v>44.2857142857143</v>
      </c>
      <c r="AN2" s="0" t="n">
        <v>6</v>
      </c>
      <c r="AO2" s="0" t="n">
        <f aca="false">AN2/175</f>
        <v>0.0342857142857143</v>
      </c>
      <c r="AP2" s="3" t="n">
        <f aca="false">AO2*B2</f>
        <v>8.57142857142857</v>
      </c>
      <c r="AQ2" s="0" t="n">
        <v>9</v>
      </c>
      <c r="AR2" s="0" t="n">
        <f aca="false">AQ2/120</f>
        <v>0.075</v>
      </c>
      <c r="AS2" s="0" t="n">
        <f aca="false">AR2*AM2</f>
        <v>3.32142857142857</v>
      </c>
      <c r="AT2" s="0" t="n">
        <v>31</v>
      </c>
      <c r="AU2" s="0" t="n">
        <f aca="false">AT2/174</f>
        <v>0.17816091954023</v>
      </c>
      <c r="AV2" s="3" t="n">
        <f aca="false">AU2*B2</f>
        <v>44.5402298850575</v>
      </c>
      <c r="AW2" s="0" t="n">
        <v>31</v>
      </c>
      <c r="AX2" s="0" t="n">
        <f aca="false">AW2/174</f>
        <v>0.17816091954023</v>
      </c>
      <c r="AY2" s="3" t="n">
        <f aca="false">AX2*B2</f>
        <v>44.5402298850575</v>
      </c>
    </row>
    <row r="3" customFormat="false" ht="12.8" hidden="false" customHeight="false" outlineLevel="0" collapsed="false">
      <c r="A3" s="0" t="s">
        <v>10</v>
      </c>
      <c r="B3" s="0" t="n">
        <v>13</v>
      </c>
      <c r="C3" s="3" t="n">
        <v>46</v>
      </c>
      <c r="D3" s="0" t="n">
        <f aca="false">C3/120</f>
        <v>0.383333333333333</v>
      </c>
      <c r="E3" s="3" t="n">
        <f aca="false">D3*B3</f>
        <v>4.98333333333333</v>
      </c>
      <c r="F3" s="0" t="n">
        <v>4</v>
      </c>
      <c r="G3" s="1" t="n">
        <f aca="false">F3/120</f>
        <v>0.0333333333333333</v>
      </c>
      <c r="H3" s="3" t="n">
        <f aca="false">G3*B3</f>
        <v>0.433333333333333</v>
      </c>
      <c r="I3" s="11" t="n">
        <v>4</v>
      </c>
      <c r="J3" s="17" t="n">
        <f aca="false">I3/120</f>
        <v>0.0333333333333333</v>
      </c>
      <c r="K3" s="16" t="n">
        <f aca="false">J3*B3</f>
        <v>0.433333333333333</v>
      </c>
      <c r="L3" s="0" t="n">
        <v>1</v>
      </c>
      <c r="M3" s="0" t="n">
        <f aca="false">L3/120</f>
        <v>0.00833333333333333</v>
      </c>
      <c r="N3" s="3" t="n">
        <f aca="false">M3*B3</f>
        <v>0.108333333333333</v>
      </c>
      <c r="O3" s="0" t="n">
        <v>1</v>
      </c>
      <c r="P3" s="0" t="n">
        <f aca="false">O3/120</f>
        <v>0.00833333333333333</v>
      </c>
      <c r="Q3" s="3" t="n">
        <f aca="false">P3*B3</f>
        <v>0.108333333333333</v>
      </c>
      <c r="R3" s="1" t="n">
        <f aca="false">S3*120</f>
        <v>1020.41976540541</v>
      </c>
      <c r="S3" s="1" t="n">
        <f aca="false">10^(-0.64815*LOG(B3*1000)+3.59605)</f>
        <v>8.50349804504507</v>
      </c>
      <c r="T3" s="3" t="n">
        <f aca="false">S3*B3</f>
        <v>110.545474585586</v>
      </c>
      <c r="U3" s="0" t="n">
        <v>4</v>
      </c>
      <c r="V3" s="0" t="n">
        <f aca="false">U3/120</f>
        <v>0.0333333333333333</v>
      </c>
      <c r="W3" s="3" t="n">
        <f aca="false">V3*B3</f>
        <v>0.433333333333333</v>
      </c>
      <c r="X3" s="11" t="n">
        <v>4</v>
      </c>
      <c r="Y3" s="11" t="n">
        <f aca="false">X3/120</f>
        <v>0.0333333333333333</v>
      </c>
      <c r="Z3" s="16" t="n">
        <f aca="false">Y3*B3</f>
        <v>0.433333333333333</v>
      </c>
      <c r="AA3" s="1" t="n">
        <f aca="false">AB3*120</f>
        <v>1020.41976540541</v>
      </c>
      <c r="AB3" s="1" t="n">
        <f aca="false">10^(-0.64815*LOG(B3*1000)+3.59605)</f>
        <v>8.50349804504507</v>
      </c>
      <c r="AC3" s="3" t="n">
        <f aca="false">AB3*B3</f>
        <v>110.545474585586</v>
      </c>
      <c r="AD3" s="17" t="n">
        <f aca="false">AE3*120</f>
        <v>1020.41976540541</v>
      </c>
      <c r="AE3" s="17" t="n">
        <f aca="false">10^(-0.64815*LOG(B3*1000)+3.59605)</f>
        <v>8.50349804504507</v>
      </c>
      <c r="AF3" s="16" t="n">
        <f aca="false">AE3*B3</f>
        <v>110.545474585586</v>
      </c>
      <c r="AG3" s="3"/>
      <c r="AH3" s="1" t="n">
        <f aca="false">(C3*C8/61)+26</f>
        <v>306.524590163934</v>
      </c>
      <c r="AI3" s="0" t="n">
        <f aca="false">AH3/175</f>
        <v>1.75156908665105</v>
      </c>
      <c r="AJ3" s="3" t="n">
        <f aca="false">AI3*B3</f>
        <v>22.7703981264637</v>
      </c>
      <c r="AK3" s="1" t="n">
        <f aca="false">(C3*C8/61)+26</f>
        <v>306.524590163934</v>
      </c>
      <c r="AL3" s="0" t="n">
        <f aca="false">AK3/175</f>
        <v>1.75156908665105</v>
      </c>
      <c r="AM3" s="0" t="n">
        <f aca="false">AL3*B3</f>
        <v>22.7703981264637</v>
      </c>
      <c r="AN3" s="0" t="n">
        <v>4</v>
      </c>
      <c r="AO3" s="0" t="n">
        <f aca="false">AN3/175</f>
        <v>0.0228571428571429</v>
      </c>
      <c r="AP3" s="3" t="n">
        <f aca="false">AO3*B3</f>
        <v>0.297142857142857</v>
      </c>
      <c r="AQ3" s="0" t="n">
        <v>5</v>
      </c>
      <c r="AR3" s="0" t="n">
        <f aca="false">AQ3/120</f>
        <v>0.0416666666666667</v>
      </c>
      <c r="AS3" s="0" t="n">
        <f aca="false">AR3*AM3</f>
        <v>0.948766588602654</v>
      </c>
      <c r="AT3" s="0" t="n">
        <f aca="false">C3*C8/61</f>
        <v>280.524590163934</v>
      </c>
      <c r="AU3" s="0" t="n">
        <f aca="false">AT3/174</f>
        <v>1.61221028829847</v>
      </c>
      <c r="AV3" s="3" t="n">
        <f aca="false">AU3*B3</f>
        <v>20.9587337478802</v>
      </c>
      <c r="AW3" s="1" t="n">
        <f aca="false">(C3*C8/61)+26</f>
        <v>306.524590163934</v>
      </c>
      <c r="AX3" s="0" t="n">
        <f aca="false">AW3/174</f>
        <v>1.7616355756548</v>
      </c>
      <c r="AY3" s="3" t="n">
        <f aca="false">AX3*B3</f>
        <v>22.9012624835123</v>
      </c>
    </row>
    <row r="4" customFormat="false" ht="12.8" hidden="false" customHeight="false" outlineLevel="0" collapsed="false">
      <c r="A4" s="0" t="s">
        <v>18</v>
      </c>
      <c r="B4" s="0" t="n">
        <v>25.13456</v>
      </c>
      <c r="C4" s="0" t="n">
        <v>85</v>
      </c>
      <c r="D4" s="0" t="n">
        <f aca="false">C4/120</f>
        <v>0.708333333333333</v>
      </c>
      <c r="E4" s="1" t="n">
        <f aca="false">D4*B4</f>
        <v>17.8036466666667</v>
      </c>
      <c r="F4" s="0" t="n">
        <v>2</v>
      </c>
      <c r="G4" s="1" t="n">
        <f aca="false">F4/120</f>
        <v>0.0166666666666667</v>
      </c>
      <c r="H4" s="0" t="n">
        <f aca="false">G4*B4</f>
        <v>0.418909333333333</v>
      </c>
      <c r="I4" s="11" t="n">
        <v>9</v>
      </c>
      <c r="J4" s="17" t="n">
        <f aca="false">I4/120</f>
        <v>0.075</v>
      </c>
      <c r="K4" s="16" t="n">
        <f aca="false">J4*B4</f>
        <v>1.885092</v>
      </c>
      <c r="L4" s="0" t="n">
        <v>32</v>
      </c>
      <c r="M4" s="0" t="n">
        <f aca="false">L4/120</f>
        <v>0.266666666666667</v>
      </c>
      <c r="N4" s="0" t="n">
        <f aca="false">M4*B4</f>
        <v>6.70254933333333</v>
      </c>
      <c r="O4" s="0" t="n">
        <v>32</v>
      </c>
      <c r="P4" s="0" t="n">
        <f aca="false">O4/120</f>
        <v>0.266666666666667</v>
      </c>
      <c r="Q4" s="0" t="n">
        <f aca="false">P4*B4</f>
        <v>6.70254933333333</v>
      </c>
      <c r="R4" s="1" t="n">
        <f aca="false">S4*120</f>
        <v>665.572564127297</v>
      </c>
      <c r="S4" s="1" t="n">
        <f aca="false">10^(-0.64815*LOG(B4*1000)+3.59605)</f>
        <v>5.54643803439414</v>
      </c>
      <c r="T4" s="1" t="n">
        <f aca="false">S4*B4</f>
        <v>139.407279561762</v>
      </c>
      <c r="U4" s="0" t="n">
        <v>2</v>
      </c>
      <c r="V4" s="0" t="n">
        <f aca="false">U4/120</f>
        <v>0.0166666666666667</v>
      </c>
      <c r="W4" s="0" t="n">
        <f aca="false">V4*B4</f>
        <v>0.418909333333333</v>
      </c>
      <c r="X4" s="11" t="n">
        <v>9</v>
      </c>
      <c r="Y4" s="11" t="n">
        <f aca="false">X4/120</f>
        <v>0.075</v>
      </c>
      <c r="Z4" s="17" t="n">
        <f aca="false">Y4*B4</f>
        <v>1.885092</v>
      </c>
      <c r="AA4" s="1" t="n">
        <f aca="false">AB4*120</f>
        <v>665.572564127297</v>
      </c>
      <c r="AB4" s="1" t="n">
        <f aca="false">10^(-0.64815*LOG(B4*1000)+3.59605)</f>
        <v>5.54643803439414</v>
      </c>
      <c r="AC4" s="1" t="n">
        <f aca="false">AB4*B4</f>
        <v>139.407279561762</v>
      </c>
      <c r="AD4" s="17" t="n">
        <f aca="false">AE4*120</f>
        <v>665.572564127297</v>
      </c>
      <c r="AE4" s="17" t="n">
        <f aca="false">10^(-0.64815*LOG(B4*1000)+3.59605)</f>
        <v>5.54643803439414</v>
      </c>
      <c r="AF4" s="17" t="n">
        <f aca="false">AE4*B4</f>
        <v>139.407279561762</v>
      </c>
      <c r="AG4" s="1"/>
      <c r="AH4" s="0" t="n">
        <v>85</v>
      </c>
      <c r="AI4" s="0" t="n">
        <f aca="false">AH4/175</f>
        <v>0.485714285714286</v>
      </c>
      <c r="AJ4" s="0" t="n">
        <f aca="false">AI4*B4</f>
        <v>12.2082148571429</v>
      </c>
      <c r="AK4" s="0" t="n">
        <v>85</v>
      </c>
      <c r="AL4" s="0" t="n">
        <f aca="false">AK4/175</f>
        <v>0.485714285714286</v>
      </c>
      <c r="AM4" s="0" t="n">
        <f aca="false">AL4*B4</f>
        <v>12.2082148571429</v>
      </c>
      <c r="AN4" s="0" t="n">
        <v>1</v>
      </c>
      <c r="AO4" s="0" t="n">
        <f aca="false">AN4/175</f>
        <v>0.00571428571428571</v>
      </c>
      <c r="AP4" s="0" t="n">
        <f aca="false">AO4*B4</f>
        <v>0.143626057142857</v>
      </c>
      <c r="AQ4" s="0" t="n">
        <v>6</v>
      </c>
      <c r="AR4" s="0" t="n">
        <f aca="false">AQ4/120</f>
        <v>0.05</v>
      </c>
      <c r="AS4" s="0" t="n">
        <f aca="false">AR4*AM4</f>
        <v>0.610410742857143</v>
      </c>
      <c r="AT4" s="0" t="n">
        <v>85</v>
      </c>
      <c r="AU4" s="0" t="n">
        <f aca="false">AT4/174</f>
        <v>0.488505747126437</v>
      </c>
      <c r="AV4" s="1" t="n">
        <f aca="false">AU4*B4</f>
        <v>12.2783770114943</v>
      </c>
      <c r="AW4" s="0" t="n">
        <v>85</v>
      </c>
      <c r="AX4" s="0" t="n">
        <f aca="false">AW4/174</f>
        <v>0.488505747126437</v>
      </c>
      <c r="AY4" s="1" t="n">
        <f aca="false">AX4*B4</f>
        <v>12.2783770114943</v>
      </c>
    </row>
    <row r="5" customFormat="false" ht="12.8" hidden="false" customHeight="false" outlineLevel="0" collapsed="false">
      <c r="A5" s="0" t="s">
        <v>43</v>
      </c>
      <c r="B5" s="0" t="n">
        <v>13</v>
      </c>
      <c r="C5" s="0" t="n">
        <v>32</v>
      </c>
      <c r="D5" s="0" t="n">
        <f aca="false">C5/120</f>
        <v>0.266666666666667</v>
      </c>
      <c r="E5" s="0" t="n">
        <f aca="false">D5*B5</f>
        <v>3.46666666666667</v>
      </c>
      <c r="F5" s="0" t="n">
        <v>1</v>
      </c>
      <c r="G5" s="1" t="n">
        <f aca="false">F5/120</f>
        <v>0.00833333333333333</v>
      </c>
      <c r="H5" s="0" t="n">
        <f aca="false">G5*B5</f>
        <v>0.108333333333333</v>
      </c>
      <c r="I5" s="11" t="n">
        <v>1</v>
      </c>
      <c r="J5" s="17" t="n">
        <f aca="false">I5/120</f>
        <v>0.00833333333333333</v>
      </c>
      <c r="K5" s="16" t="n">
        <f aca="false">J5*B5</f>
        <v>0.108333333333333</v>
      </c>
      <c r="L5" s="0" t="n">
        <v>2</v>
      </c>
      <c r="M5" s="0" t="n">
        <f aca="false">L5/120</f>
        <v>0.0166666666666667</v>
      </c>
      <c r="N5" s="0" t="n">
        <f aca="false">M5*B5</f>
        <v>0.216666666666667</v>
      </c>
      <c r="O5" s="0" t="n">
        <v>2</v>
      </c>
      <c r="P5" s="0" t="n">
        <f aca="false">O5/120</f>
        <v>0.0166666666666667</v>
      </c>
      <c r="Q5" s="0" t="n">
        <f aca="false">P5*B5</f>
        <v>0.216666666666667</v>
      </c>
      <c r="R5" s="1" t="n">
        <f aca="false">S5*120</f>
        <v>1020.41976540541</v>
      </c>
      <c r="S5" s="1" t="n">
        <f aca="false">10^(-0.64815*LOG(B5*1000)+3.59605)</f>
        <v>8.50349804504507</v>
      </c>
      <c r="T5" s="1" t="n">
        <f aca="false">S5*B5</f>
        <v>110.545474585586</v>
      </c>
      <c r="U5" s="0" t="n">
        <v>1</v>
      </c>
      <c r="V5" s="0" t="n">
        <f aca="false">U5/120</f>
        <v>0.00833333333333333</v>
      </c>
      <c r="W5" s="0" t="n">
        <f aca="false">V5*B5</f>
        <v>0.108333333333333</v>
      </c>
      <c r="X5" s="11" t="n">
        <v>1</v>
      </c>
      <c r="Y5" s="11" t="n">
        <f aca="false">X5/120</f>
        <v>0.00833333333333333</v>
      </c>
      <c r="Z5" s="17" t="n">
        <f aca="false">Y5*B5</f>
        <v>0.108333333333333</v>
      </c>
      <c r="AA5" s="1" t="n">
        <f aca="false">AB5*120</f>
        <v>1020.41976540541</v>
      </c>
      <c r="AB5" s="1" t="n">
        <f aca="false">10^(-0.64815*LOG(B5*1000)+3.59605)</f>
        <v>8.50349804504507</v>
      </c>
      <c r="AC5" s="1" t="n">
        <f aca="false">AB5*B5</f>
        <v>110.545474585586</v>
      </c>
      <c r="AD5" s="17" t="n">
        <f aca="false">AE5*120</f>
        <v>1020.41976540541</v>
      </c>
      <c r="AE5" s="17" t="n">
        <f aca="false">10^(-0.64815*LOG(B5*1000)+3.59605)</f>
        <v>8.50349804504507</v>
      </c>
      <c r="AF5" s="17" t="n">
        <f aca="false">AE5*B5</f>
        <v>110.545474585586</v>
      </c>
      <c r="AG5" s="1"/>
      <c r="AH5" s="0" t="n">
        <v>32</v>
      </c>
      <c r="AI5" s="0" t="n">
        <f aca="false">AH5/175</f>
        <v>0.182857142857143</v>
      </c>
      <c r="AJ5" s="0" t="n">
        <f aca="false">AI5*B5</f>
        <v>2.37714285714286</v>
      </c>
      <c r="AK5" s="0" t="n">
        <v>32</v>
      </c>
      <c r="AL5" s="0" t="n">
        <f aca="false">AK5/175</f>
        <v>0.182857142857143</v>
      </c>
      <c r="AM5" s="0" t="n">
        <f aca="false">AL5*B5</f>
        <v>2.37714285714286</v>
      </c>
      <c r="AN5" s="0" t="n">
        <v>1</v>
      </c>
      <c r="AO5" s="0" t="n">
        <f aca="false">AN5/175</f>
        <v>0.00571428571428571</v>
      </c>
      <c r="AP5" s="0" t="n">
        <f aca="false">AO5*B5</f>
        <v>0.0742857142857143</v>
      </c>
      <c r="AQ5" s="0" t="n">
        <v>0</v>
      </c>
      <c r="AR5" s="0" t="n">
        <f aca="false">AQ5/120</f>
        <v>0</v>
      </c>
      <c r="AS5" s="0" t="n">
        <f aca="false">AR5*AM5</f>
        <v>0</v>
      </c>
      <c r="AT5" s="0" t="n">
        <v>32</v>
      </c>
      <c r="AU5" s="0" t="n">
        <f aca="false">AT5/174</f>
        <v>0.183908045977012</v>
      </c>
      <c r="AV5" s="0" t="n">
        <f aca="false">AU5*B5</f>
        <v>2.39080459770115</v>
      </c>
      <c r="AW5" s="0" t="n">
        <v>32</v>
      </c>
      <c r="AX5" s="0" t="n">
        <f aca="false">AW5/174</f>
        <v>0.183908045977012</v>
      </c>
      <c r="AY5" s="1" t="n">
        <f aca="false">AX5*B5</f>
        <v>2.39080459770115</v>
      </c>
    </row>
    <row r="6" customFormat="false" ht="12.8" hidden="false" customHeight="false" outlineLevel="0" collapsed="false">
      <c r="A6" s="0" t="s">
        <v>330</v>
      </c>
      <c r="B6" s="0" t="n">
        <v>13</v>
      </c>
      <c r="C6" s="0" t="n">
        <v>1</v>
      </c>
      <c r="D6" s="0" t="n">
        <f aca="false">C6/120</f>
        <v>0.00833333333333333</v>
      </c>
      <c r="E6" s="0" t="n">
        <f aca="false">D6*B6</f>
        <v>0.108333333333333</v>
      </c>
      <c r="F6" s="0" t="n">
        <v>0</v>
      </c>
      <c r="G6" s="1" t="n">
        <v>0</v>
      </c>
      <c r="H6" s="0" t="n">
        <v>0</v>
      </c>
      <c r="I6" s="11" t="n">
        <v>0</v>
      </c>
      <c r="J6" s="17" t="n">
        <v>0</v>
      </c>
      <c r="K6" s="11" t="n">
        <v>0</v>
      </c>
      <c r="L6" s="0" t="n">
        <v>0</v>
      </c>
      <c r="M6" s="0" t="n">
        <v>0</v>
      </c>
      <c r="N6" s="0" t="n">
        <v>0</v>
      </c>
      <c r="O6" s="0" t="n">
        <v>0</v>
      </c>
      <c r="P6" s="0" t="n">
        <v>0</v>
      </c>
      <c r="Q6" s="0" t="n">
        <v>0</v>
      </c>
      <c r="R6" s="1" t="n">
        <f aca="false">S6*120</f>
        <v>1020.41976540541</v>
      </c>
      <c r="S6" s="1" t="n">
        <f aca="false">10^(-0.64815*LOG(B6*1000)+3.59605)</f>
        <v>8.50349804504507</v>
      </c>
      <c r="T6" s="1" t="n">
        <f aca="false">S6*B6</f>
        <v>110.545474585586</v>
      </c>
      <c r="U6" s="0" t="n">
        <v>0</v>
      </c>
      <c r="V6" s="0" t="n">
        <v>0</v>
      </c>
      <c r="W6" s="0" t="n">
        <v>0</v>
      </c>
      <c r="X6" s="11" t="n">
        <v>0</v>
      </c>
      <c r="Y6" s="11" t="n">
        <v>0</v>
      </c>
      <c r="Z6" s="17" t="n">
        <f aca="false">Y6*B6</f>
        <v>0</v>
      </c>
      <c r="AA6" s="1" t="n">
        <f aca="false">AB6*120</f>
        <v>1020.41976540541</v>
      </c>
      <c r="AB6" s="1" t="n">
        <f aca="false">10^(-0.64815*LOG(B6*1000)+3.59605)</f>
        <v>8.50349804504507</v>
      </c>
      <c r="AC6" s="1" t="n">
        <f aca="false">AB6*B6</f>
        <v>110.545474585586</v>
      </c>
      <c r="AD6" s="17" t="n">
        <f aca="false">AE6*120</f>
        <v>1020.41976540541</v>
      </c>
      <c r="AE6" s="17" t="n">
        <f aca="false">10^(-0.64815*LOG(B6*1000)+3.59605)</f>
        <v>8.50349804504507</v>
      </c>
      <c r="AF6" s="17" t="n">
        <f aca="false">AE6*B6</f>
        <v>110.545474585586</v>
      </c>
      <c r="AG6" s="1"/>
      <c r="AQ6" s="0" t="n">
        <v>0</v>
      </c>
      <c r="AR6" s="0" t="n">
        <v>0</v>
      </c>
      <c r="AS6" s="0" t="n">
        <v>0</v>
      </c>
      <c r="AY6" s="1"/>
    </row>
    <row r="7" customFormat="false" ht="12.8" hidden="false" customHeight="false" outlineLevel="0" collapsed="false">
      <c r="A7" s="3" t="s">
        <v>331</v>
      </c>
      <c r="B7" s="0" t="n">
        <f aca="false">AVERAGE(B4:B5)</f>
        <v>19.06728</v>
      </c>
      <c r="C7" s="3" t="n">
        <v>254</v>
      </c>
      <c r="D7" s="0" t="n">
        <f aca="false">C7/120</f>
        <v>2.11666666666667</v>
      </c>
      <c r="E7" s="0" t="n">
        <f aca="false">D7*B7</f>
        <v>40.359076</v>
      </c>
      <c r="F7" s="0" t="n">
        <v>5</v>
      </c>
      <c r="G7" s="1" t="n">
        <f aca="false">F7/120</f>
        <v>0.0416666666666667</v>
      </c>
      <c r="H7" s="0" t="n">
        <f aca="false">G7*B7</f>
        <v>0.79447</v>
      </c>
      <c r="I7" s="11" t="n">
        <v>11</v>
      </c>
      <c r="J7" s="17" t="n">
        <f aca="false">I7/120</f>
        <v>0.0916666666666667</v>
      </c>
      <c r="K7" s="11" t="n">
        <f aca="false">J7*B7</f>
        <v>1.747834</v>
      </c>
      <c r="L7" s="0" t="n">
        <v>12</v>
      </c>
      <c r="M7" s="0" t="n">
        <f aca="false">L7/120</f>
        <v>0.1</v>
      </c>
      <c r="N7" s="0" t="n">
        <f aca="false">M7*B7</f>
        <v>1.906728</v>
      </c>
      <c r="O7" s="0" t="n">
        <v>12</v>
      </c>
      <c r="P7" s="0" t="n">
        <f aca="false">O7/120</f>
        <v>0.1</v>
      </c>
      <c r="Q7" s="0" t="n">
        <f aca="false">P7*B7</f>
        <v>1.906728</v>
      </c>
      <c r="R7" s="1" t="s">
        <v>74</v>
      </c>
      <c r="S7" s="1" t="s">
        <v>74</v>
      </c>
      <c r="T7" s="1" t="s">
        <v>74</v>
      </c>
      <c r="U7" s="0" t="n">
        <v>5</v>
      </c>
      <c r="V7" s="0" t="n">
        <f aca="false">U7/120</f>
        <v>0.0416666666666667</v>
      </c>
      <c r="W7" s="0" t="n">
        <f aca="false">V7*B7</f>
        <v>0.79447</v>
      </c>
      <c r="X7" s="11" t="n">
        <v>11</v>
      </c>
      <c r="Y7" s="11" t="n">
        <f aca="false">X7/120</f>
        <v>0.0916666666666667</v>
      </c>
      <c r="Z7" s="17" t="n">
        <f aca="false">Y7*B7</f>
        <v>1.747834</v>
      </c>
      <c r="AA7" s="1" t="s">
        <v>74</v>
      </c>
      <c r="AB7" s="1" t="s">
        <v>74</v>
      </c>
      <c r="AC7" s="1" t="s">
        <v>74</v>
      </c>
      <c r="AD7" s="17" t="s">
        <v>74</v>
      </c>
      <c r="AE7" s="17" t="s">
        <v>74</v>
      </c>
      <c r="AF7" s="17" t="s">
        <v>74</v>
      </c>
      <c r="AG7" s="1"/>
      <c r="AH7" s="0" t="n">
        <v>276</v>
      </c>
      <c r="AI7" s="0" t="n">
        <f aca="false">AH7/175</f>
        <v>1.57714285714286</v>
      </c>
      <c r="AJ7" s="0" t="n">
        <f aca="false">AI7*B7</f>
        <v>30.0718244571429</v>
      </c>
      <c r="AK7" s="0" t="n">
        <v>276</v>
      </c>
      <c r="AL7" s="0" t="n">
        <f aca="false">AK7/175</f>
        <v>1.57714285714286</v>
      </c>
      <c r="AM7" s="0" t="n">
        <f aca="false">AL7*B7</f>
        <v>30.0718244571429</v>
      </c>
      <c r="AN7" s="0" t="n">
        <v>5</v>
      </c>
      <c r="AO7" s="0" t="n">
        <f aca="false">AN7/175</f>
        <v>0.0285714285714286</v>
      </c>
      <c r="AP7" s="0" t="n">
        <f aca="false">AO7*B7</f>
        <v>0.544779428571429</v>
      </c>
      <c r="AQ7" s="0" t="n">
        <v>12</v>
      </c>
      <c r="AR7" s="0" t="n">
        <f aca="false">AQ7/120</f>
        <v>0.1</v>
      </c>
      <c r="AS7" s="0" t="n">
        <f aca="false">AR7*AM7</f>
        <v>3.00718244571429</v>
      </c>
      <c r="AT7" s="0" t="n">
        <v>255</v>
      </c>
      <c r="AU7" s="0" t="n">
        <f aca="false">AT7/174</f>
        <v>1.46551724137931</v>
      </c>
      <c r="AV7" s="0" t="n">
        <f aca="false">AU7*B7</f>
        <v>27.9434275862069</v>
      </c>
      <c r="AW7" s="0" t="n">
        <v>276</v>
      </c>
      <c r="AX7" s="0" t="n">
        <f aca="false">AW7/174</f>
        <v>1.58620689655172</v>
      </c>
      <c r="AY7" s="1" t="n">
        <f aca="false">AX7*B7</f>
        <v>30.2446510344828</v>
      </c>
    </row>
    <row r="8" customFormat="false" ht="12.8" hidden="false" customHeight="false" outlineLevel="0" collapsed="false">
      <c r="A8" s="3" t="s">
        <v>332</v>
      </c>
      <c r="B8" s="0" t="s">
        <v>74</v>
      </c>
      <c r="C8" s="3" t="n">
        <v>372</v>
      </c>
      <c r="D8" s="0" t="n">
        <f aca="false">C8/120</f>
        <v>3.1</v>
      </c>
      <c r="E8" s="3" t="n">
        <f aca="false">SUM(E4:E7)</f>
        <v>61.7377226666667</v>
      </c>
      <c r="F8" s="0" t="n">
        <v>7</v>
      </c>
      <c r="G8" s="1" t="n">
        <f aca="false">F8/120</f>
        <v>0.0583333333333333</v>
      </c>
      <c r="H8" s="3" t="n">
        <f aca="false">SUM(H4:H7)</f>
        <v>1.32171266666667</v>
      </c>
      <c r="I8" s="11" t="n">
        <f aca="false">SUM(I4:I7)</f>
        <v>21</v>
      </c>
      <c r="J8" s="17" t="n">
        <f aca="false">I8/120</f>
        <v>0.175</v>
      </c>
      <c r="K8" s="16" t="n">
        <f aca="false">SUM(K4:K7)</f>
        <v>3.74125933333333</v>
      </c>
      <c r="L8" s="3" t="n">
        <f aca="false">SUM(L4:L7)</f>
        <v>46</v>
      </c>
      <c r="M8" s="0" t="n">
        <f aca="false">L8/120</f>
        <v>0.383333333333333</v>
      </c>
      <c r="N8" s="3" t="n">
        <f aca="false">SUM(N4:N7)</f>
        <v>8.825944</v>
      </c>
      <c r="O8" s="3" t="n">
        <f aca="false">SUM(O4:O7)</f>
        <v>46</v>
      </c>
      <c r="P8" s="0" t="n">
        <f aca="false">O8/120</f>
        <v>0.383333333333333</v>
      </c>
      <c r="Q8" s="3" t="n">
        <f aca="false">SUM(Q4:Q7)</f>
        <v>8.825944</v>
      </c>
      <c r="R8" s="3"/>
      <c r="S8" s="1" t="n">
        <f aca="false">SUM(S4:S7)</f>
        <v>22.5534341244843</v>
      </c>
      <c r="T8" s="3" t="n">
        <f aca="false">SUM(T4:T7)</f>
        <v>360.498228732933</v>
      </c>
      <c r="U8" s="0" t="n">
        <v>7</v>
      </c>
      <c r="V8" s="0" t="n">
        <f aca="false">U8/120</f>
        <v>0.0583333333333333</v>
      </c>
      <c r="W8" s="3" t="n">
        <f aca="false">SUM(W4:W7)</f>
        <v>1.32171266666667</v>
      </c>
      <c r="X8" s="11" t="n">
        <f aca="false">SUM(X4:X7)</f>
        <v>21</v>
      </c>
      <c r="Y8" s="11" t="n">
        <f aca="false">X8/120</f>
        <v>0.175</v>
      </c>
      <c r="Z8" s="16" t="n">
        <f aca="false">SUM(Z4:Z7)</f>
        <v>3.74125933333333</v>
      </c>
      <c r="AA8" s="1"/>
      <c r="AB8" s="1" t="n">
        <f aca="false">SUM(AB4:AB7)</f>
        <v>22.5534341244843</v>
      </c>
      <c r="AC8" s="3" t="n">
        <f aca="false">SUM(AC4:AC7)</f>
        <v>360.498228732933</v>
      </c>
      <c r="AE8" s="17" t="n">
        <f aca="false">SUM(AE4:AE7)</f>
        <v>22.5534341244843</v>
      </c>
      <c r="AF8" s="16" t="n">
        <f aca="false">SUM(AF4:AF7)</f>
        <v>360.498228732933</v>
      </c>
      <c r="AG8" s="3"/>
      <c r="AH8" s="1" t="n">
        <f aca="false">AW8+21</f>
        <v>414</v>
      </c>
      <c r="AI8" s="0" t="n">
        <f aca="false">AH8/175</f>
        <v>2.36571428571429</v>
      </c>
      <c r="AJ8" s="3" t="n">
        <f aca="false">SUM(AJ4:AJ7)</f>
        <v>44.6571821714286</v>
      </c>
      <c r="AK8" s="1" t="n">
        <f aca="false">AT8+21</f>
        <v>393</v>
      </c>
      <c r="AL8" s="0" t="n">
        <f aca="false">AK8/175</f>
        <v>2.24571428571429</v>
      </c>
      <c r="AM8" s="3" t="n">
        <f aca="false">SUM(AM4:AM7)</f>
        <v>44.6571821714286</v>
      </c>
      <c r="AN8" s="0" t="n">
        <v>7</v>
      </c>
      <c r="AO8" s="0" t="n">
        <f aca="false">AN8/175</f>
        <v>0.04</v>
      </c>
      <c r="AP8" s="3" t="n">
        <f aca="false">SUM(AP4:AP7)</f>
        <v>0.7626912</v>
      </c>
      <c r="AQ8" s="3" t="n">
        <f aca="false">SUM(AQ4:AQ7)</f>
        <v>18</v>
      </c>
      <c r="AR8" s="0" t="n">
        <f aca="false">AQ8/120</f>
        <v>0.15</v>
      </c>
      <c r="AS8" s="3" t="n">
        <f aca="false">SUM(AS4:AS7)</f>
        <v>3.61759318857143</v>
      </c>
      <c r="AT8" s="0" t="n">
        <v>372</v>
      </c>
      <c r="AU8" s="0" t="n">
        <f aca="false">AT8/174</f>
        <v>2.13793103448276</v>
      </c>
      <c r="AV8" s="3" t="n">
        <f aca="false">SUM(AV4:AV7)</f>
        <v>42.6126091954023</v>
      </c>
      <c r="AW8" s="1" t="n">
        <f aca="false">C8+21</f>
        <v>393</v>
      </c>
      <c r="AX8" s="0" t="n">
        <f aca="false">AW8/174</f>
        <v>2.25862068965517</v>
      </c>
      <c r="AY8" s="3" t="n">
        <f aca="false">SUM(AY4:AY7)</f>
        <v>44.9138326436782</v>
      </c>
    </row>
    <row r="9" customFormat="false" ht="12.8" hidden="false" customHeight="false" outlineLevel="0" collapsed="false">
      <c r="A9" s="0" t="s">
        <v>54</v>
      </c>
      <c r="B9" s="0" t="n">
        <v>130</v>
      </c>
      <c r="C9" s="1" t="n">
        <v>2</v>
      </c>
      <c r="D9" s="0" t="n">
        <f aca="false">C9/120</f>
        <v>0.0166666666666667</v>
      </c>
      <c r="E9" s="3" t="n">
        <f aca="false">D9*B9</f>
        <v>2.16666666666667</v>
      </c>
      <c r="F9" s="0" t="n">
        <v>0</v>
      </c>
      <c r="G9" s="1" t="n">
        <f aca="false">F9/120</f>
        <v>0</v>
      </c>
      <c r="H9" s="0" t="n">
        <f aca="false">G9*B9</f>
        <v>0</v>
      </c>
      <c r="I9" s="11" t="n">
        <v>0</v>
      </c>
      <c r="J9" s="17" t="n">
        <f aca="false">I9/120</f>
        <v>0</v>
      </c>
      <c r="K9" s="11" t="n">
        <f aca="false">J9*E9</f>
        <v>0</v>
      </c>
      <c r="L9" s="0" t="n">
        <v>1</v>
      </c>
      <c r="M9" s="0" t="n">
        <f aca="false">L9/120</f>
        <v>0.00833333333333333</v>
      </c>
      <c r="N9" s="3" t="n">
        <f aca="false">M9*B9</f>
        <v>1.08333333333333</v>
      </c>
      <c r="O9" s="0" t="n">
        <v>1</v>
      </c>
      <c r="P9" s="0" t="n">
        <f aca="false">O9/120</f>
        <v>0.00833333333333333</v>
      </c>
      <c r="Q9" s="3" t="n">
        <f aca="false">P9*B9</f>
        <v>1.08333333333333</v>
      </c>
      <c r="R9" s="0" t="n">
        <f aca="false">S9*120</f>
        <v>229.418725221012</v>
      </c>
      <c r="S9" s="1" t="n">
        <f aca="false">10^(-0.64815*LOG(B9*1000)+3.59605)</f>
        <v>1.9118227101751</v>
      </c>
      <c r="T9" s="3" t="n">
        <f aca="false">S9*B9</f>
        <v>248.536952322763</v>
      </c>
      <c r="U9" s="0" t="n">
        <v>0</v>
      </c>
      <c r="V9" s="0" t="n">
        <f aca="false">U9/120</f>
        <v>0</v>
      </c>
      <c r="W9" s="3" t="n">
        <f aca="false">V9*B9</f>
        <v>0</v>
      </c>
      <c r="X9" s="11" t="n">
        <v>0</v>
      </c>
      <c r="Y9" s="11" t="n">
        <f aca="false">X9/120</f>
        <v>0</v>
      </c>
      <c r="Z9" s="16" t="n">
        <f aca="false">Y9*B9</f>
        <v>0</v>
      </c>
      <c r="AA9" s="0" t="n">
        <f aca="false">AB9*120</f>
        <v>229.418725221012</v>
      </c>
      <c r="AB9" s="1" t="n">
        <f aca="false">10^(-0.64815*LOG(B9*1000)+3.59605)</f>
        <v>1.9118227101751</v>
      </c>
      <c r="AC9" s="3" t="n">
        <f aca="false">AB9*B9</f>
        <v>248.536952322763</v>
      </c>
      <c r="AD9" s="17" t="n">
        <f aca="false">AE9*120</f>
        <v>229.418725221012</v>
      </c>
      <c r="AE9" s="17" t="n">
        <f aca="false">10^(-0.64815*LOG(B9*1000)+3.59605)</f>
        <v>1.9118227101751</v>
      </c>
      <c r="AF9" s="16" t="n">
        <f aca="false">AE9*B9</f>
        <v>248.536952322763</v>
      </c>
      <c r="AG9" s="3"/>
      <c r="AH9" s="0" t="n">
        <f aca="false">C9*C8/61</f>
        <v>12.1967213114754</v>
      </c>
      <c r="AI9" s="0" t="n">
        <f aca="false">AH9/175</f>
        <v>0.0696955503512881</v>
      </c>
      <c r="AJ9" s="0" t="n">
        <f aca="false">AI9*B9</f>
        <v>9.06042154566745</v>
      </c>
      <c r="AK9" s="0" t="n">
        <f aca="false">C9*C8/61</f>
        <v>12.1967213114754</v>
      </c>
      <c r="AL9" s="0" t="n">
        <f aca="false">AK9/175</f>
        <v>0.0696955503512881</v>
      </c>
      <c r="AM9" s="1" t="n">
        <f aca="false">AL9*B9</f>
        <v>9.06042154566745</v>
      </c>
      <c r="AN9" s="0" t="n">
        <v>0</v>
      </c>
      <c r="AO9" s="0" t="n">
        <f aca="false">AN9/175</f>
        <v>0</v>
      </c>
      <c r="AP9" s="0" t="n">
        <v>0</v>
      </c>
      <c r="AQ9" s="0" t="n">
        <v>0</v>
      </c>
      <c r="AR9" s="0" t="n">
        <f aca="false">AQ9/120</f>
        <v>0</v>
      </c>
      <c r="AS9" s="0" t="n">
        <f aca="false">AR9*AM9</f>
        <v>0</v>
      </c>
      <c r="AT9" s="0" t="n">
        <f aca="false">C9*C8/61</f>
        <v>12.1967213114754</v>
      </c>
      <c r="AU9" s="0" t="n">
        <f aca="false">AT9/174</f>
        <v>0.070096099491238</v>
      </c>
      <c r="AV9" s="3" t="n">
        <f aca="false">AU9*B9</f>
        <v>9.11249293386094</v>
      </c>
      <c r="AW9" s="0" t="n">
        <f aca="false">C9*C8/61</f>
        <v>12.1967213114754</v>
      </c>
      <c r="AX9" s="0" t="n">
        <f aca="false">AW9/174</f>
        <v>0.070096099491238</v>
      </c>
      <c r="AY9" s="3" t="n">
        <f aca="false">AX9*B9</f>
        <v>9.11249293386094</v>
      </c>
    </row>
    <row r="10" customFormat="false" ht="12.8" hidden="false" customHeight="false" outlineLevel="0" collapsed="false">
      <c r="A10" s="0" t="s">
        <v>65</v>
      </c>
      <c r="B10" s="0" t="n">
        <v>178.508</v>
      </c>
      <c r="C10" s="1" t="n">
        <v>5</v>
      </c>
      <c r="D10" s="0" t="n">
        <f aca="false">C10/120</f>
        <v>0.0416666666666667</v>
      </c>
      <c r="E10" s="0" t="n">
        <f aca="false">D10*B10</f>
        <v>7.43783333333333</v>
      </c>
      <c r="F10" s="0" t="n">
        <v>1</v>
      </c>
      <c r="G10" s="1" t="n">
        <f aca="false">F10/120</f>
        <v>0.00833333333333333</v>
      </c>
      <c r="H10" s="0" t="n">
        <f aca="false">G10*B10</f>
        <v>1.48756666666667</v>
      </c>
      <c r="I10" s="11" t="n">
        <v>1</v>
      </c>
      <c r="J10" s="17" t="n">
        <f aca="false">I10/120</f>
        <v>0.00833333333333333</v>
      </c>
      <c r="K10" s="11" t="n">
        <f aca="false">J10*B10</f>
        <v>1.48756666666667</v>
      </c>
      <c r="L10" s="0" t="n">
        <v>1</v>
      </c>
      <c r="M10" s="0" t="n">
        <f aca="false">L10/120</f>
        <v>0.00833333333333333</v>
      </c>
      <c r="N10" s="0" t="n">
        <f aca="false">M10*B10</f>
        <v>1.48756666666667</v>
      </c>
      <c r="O10" s="0" t="n">
        <v>1</v>
      </c>
      <c r="P10" s="0" t="n">
        <f aca="false">O10/120</f>
        <v>0.00833333333333333</v>
      </c>
      <c r="Q10" s="0" t="n">
        <f aca="false">P10*B10</f>
        <v>1.48756666666667</v>
      </c>
      <c r="R10" s="0" t="n">
        <f aca="false">S10*120</f>
        <v>186.796750942474</v>
      </c>
      <c r="S10" s="1" t="n">
        <f aca="false">10^(-0.64815*LOG(B10*1000)+3.59605)</f>
        <v>1.55663959118728</v>
      </c>
      <c r="T10" s="1" t="n">
        <f aca="false">S10*B10</f>
        <v>277.87262014366</v>
      </c>
      <c r="U10" s="0" t="n">
        <v>1</v>
      </c>
      <c r="V10" s="0" t="n">
        <f aca="false">U10/120</f>
        <v>0.00833333333333333</v>
      </c>
      <c r="W10" s="0" t="n">
        <f aca="false">V10*B10</f>
        <v>1.48756666666667</v>
      </c>
      <c r="X10" s="11" t="n">
        <v>1</v>
      </c>
      <c r="Y10" s="11" t="n">
        <f aca="false">X10/120</f>
        <v>0.00833333333333333</v>
      </c>
      <c r="Z10" s="11" t="n">
        <f aca="false">Y10*B10</f>
        <v>1.48756666666667</v>
      </c>
      <c r="AA10" s="0" t="n">
        <f aca="false">AB10*120</f>
        <v>186.796750942474</v>
      </c>
      <c r="AB10" s="1" t="n">
        <f aca="false">10^(-0.64815*LOG(B10*1000)+3.59605)</f>
        <v>1.55663959118728</v>
      </c>
      <c r="AC10" s="0" t="n">
        <f aca="false">AB10*B10</f>
        <v>277.87262014366</v>
      </c>
      <c r="AD10" s="17" t="n">
        <f aca="false">AE10*120</f>
        <v>186.796750942474</v>
      </c>
      <c r="AE10" s="17" t="n">
        <f aca="false">10^(-0.64815*LOG(B10*1000)+3.59605)</f>
        <v>1.55663959118728</v>
      </c>
      <c r="AF10" s="17" t="n">
        <f aca="false">AE10*B10</f>
        <v>277.87262014366</v>
      </c>
      <c r="AH10" s="1" t="n">
        <v>5</v>
      </c>
      <c r="AI10" s="0" t="n">
        <f aca="false">AH10/175</f>
        <v>0.0285714285714286</v>
      </c>
      <c r="AJ10" s="0" t="n">
        <f aca="false">AI10*B10</f>
        <v>5.10022857142857</v>
      </c>
      <c r="AK10" s="1" t="n">
        <v>5</v>
      </c>
      <c r="AL10" s="0" t="n">
        <f aca="false">AK10/175</f>
        <v>0.0285714285714286</v>
      </c>
      <c r="AM10" s="1" t="n">
        <f aca="false">AL10*B10</f>
        <v>5.10022857142857</v>
      </c>
      <c r="AN10" s="0" t="n">
        <v>1</v>
      </c>
      <c r="AO10" s="0" t="n">
        <f aca="false">AN10/175</f>
        <v>0.00571428571428571</v>
      </c>
      <c r="AP10" s="0" t="n">
        <f aca="false">AO10*B10</f>
        <v>1.02004571428571</v>
      </c>
      <c r="AQ10" s="0" t="n">
        <v>1</v>
      </c>
      <c r="AR10" s="0" t="n">
        <f aca="false">AQ10/120</f>
        <v>0.00833333333333333</v>
      </c>
      <c r="AS10" s="0" t="n">
        <f aca="false">AR10*AM10</f>
        <v>0.0425019047619048</v>
      </c>
      <c r="AT10" s="1" t="n">
        <v>5</v>
      </c>
      <c r="AU10" s="0" t="n">
        <f aca="false">AT10/174</f>
        <v>0.028735632183908</v>
      </c>
      <c r="AV10" s="0" t="n">
        <f aca="false">(AU10*B10)</f>
        <v>5.12954022988506</v>
      </c>
      <c r="AW10" s="1" t="n">
        <v>5</v>
      </c>
      <c r="AX10" s="0" t="n">
        <f aca="false">AW10/174</f>
        <v>0.028735632183908</v>
      </c>
      <c r="AY10" s="0" t="n">
        <f aca="false">AX10*B10</f>
        <v>5.12954022988506</v>
      </c>
    </row>
    <row r="11" customFormat="false" ht="12.8" hidden="false" customHeight="false" outlineLevel="0" collapsed="false">
      <c r="A11" s="0" t="s">
        <v>88</v>
      </c>
      <c r="B11" s="0" t="n">
        <v>178.508</v>
      </c>
      <c r="C11" s="1" t="n">
        <v>9</v>
      </c>
      <c r="D11" s="0" t="n">
        <f aca="false">C11/120</f>
        <v>0.075</v>
      </c>
      <c r="E11" s="0" t="n">
        <f aca="false">D11*B11</f>
        <v>13.3881</v>
      </c>
      <c r="F11" s="0" t="n">
        <v>1</v>
      </c>
      <c r="G11" s="1" t="n">
        <f aca="false">F11/120</f>
        <v>0.00833333333333333</v>
      </c>
      <c r="H11" s="0" t="n">
        <f aca="false">G11*B11</f>
        <v>1.48756666666667</v>
      </c>
      <c r="I11" s="11" t="n">
        <v>2</v>
      </c>
      <c r="J11" s="17" t="n">
        <f aca="false">I11/120</f>
        <v>0.0166666666666667</v>
      </c>
      <c r="K11" s="11" t="n">
        <f aca="false">J11*B11</f>
        <v>2.97513333333333</v>
      </c>
      <c r="L11" s="0" t="n">
        <v>1</v>
      </c>
      <c r="M11" s="0" t="n">
        <f aca="false">L11/120</f>
        <v>0.00833333333333333</v>
      </c>
      <c r="N11" s="0" t="n">
        <f aca="false">M11*B11</f>
        <v>1.48756666666667</v>
      </c>
      <c r="O11" s="0" t="n">
        <v>1</v>
      </c>
      <c r="P11" s="0" t="n">
        <f aca="false">O11/120</f>
        <v>0.00833333333333333</v>
      </c>
      <c r="Q11" s="0" t="n">
        <f aca="false">P11*B11</f>
        <v>1.48756666666667</v>
      </c>
      <c r="R11" s="0" t="n">
        <f aca="false">S11*120</f>
        <v>186.796750942474</v>
      </c>
      <c r="S11" s="1" t="n">
        <f aca="false">10^(-0.64815*LOG(B11*1000)+3.59605)</f>
        <v>1.55663959118728</v>
      </c>
      <c r="T11" s="1" t="n">
        <f aca="false">S11*B11</f>
        <v>277.87262014366</v>
      </c>
      <c r="U11" s="0" t="n">
        <v>1</v>
      </c>
      <c r="V11" s="0" t="n">
        <f aca="false">U11/120</f>
        <v>0.00833333333333333</v>
      </c>
      <c r="W11" s="0" t="n">
        <f aca="false">V11*B11</f>
        <v>1.48756666666667</v>
      </c>
      <c r="X11" s="11" t="n">
        <v>2</v>
      </c>
      <c r="Y11" s="11" t="n">
        <f aca="false">X11/120</f>
        <v>0.0166666666666667</v>
      </c>
      <c r="Z11" s="11" t="n">
        <f aca="false">Y11*B11</f>
        <v>2.97513333333333</v>
      </c>
      <c r="AA11" s="0" t="n">
        <f aca="false">AB11*120</f>
        <v>186.796750942474</v>
      </c>
      <c r="AB11" s="1" t="n">
        <f aca="false">10^(-0.64815*LOG(B11*1000)+3.59605)</f>
        <v>1.55663959118728</v>
      </c>
      <c r="AC11" s="0" t="n">
        <f aca="false">AB11*B11</f>
        <v>277.87262014366</v>
      </c>
      <c r="AD11" s="17" t="n">
        <f aca="false">AE11*120</f>
        <v>186.796750942474</v>
      </c>
      <c r="AE11" s="17" t="n">
        <f aca="false">10^(-0.64815*LOG(B11*1000)+3.59605)</f>
        <v>1.55663959118728</v>
      </c>
      <c r="AF11" s="17" t="n">
        <f aca="false">AE11*B11</f>
        <v>277.87262014366</v>
      </c>
      <c r="AH11" s="1" t="n">
        <v>9</v>
      </c>
      <c r="AI11" s="0" t="n">
        <f aca="false">AH11/175</f>
        <v>0.0514285714285714</v>
      </c>
      <c r="AJ11" s="0" t="n">
        <f aca="false">AI11*B11</f>
        <v>9.18041142857143</v>
      </c>
      <c r="AK11" s="1" t="n">
        <v>9</v>
      </c>
      <c r="AL11" s="0" t="n">
        <f aca="false">AK11/175</f>
        <v>0.0514285714285714</v>
      </c>
      <c r="AM11" s="1" t="n">
        <f aca="false">AL11*B11</f>
        <v>9.18041142857143</v>
      </c>
      <c r="AN11" s="0" t="n">
        <v>0</v>
      </c>
      <c r="AO11" s="0" t="n">
        <f aca="false">AN11/175</f>
        <v>0</v>
      </c>
      <c r="AP11" s="0" t="n">
        <v>0</v>
      </c>
      <c r="AQ11" s="0" t="n">
        <v>2</v>
      </c>
      <c r="AR11" s="0" t="n">
        <f aca="false">AQ11/120</f>
        <v>0.0166666666666667</v>
      </c>
      <c r="AS11" s="0" t="n">
        <f aca="false">AR11*AM11</f>
        <v>0.153006857142857</v>
      </c>
      <c r="AT11" s="1" t="n">
        <v>9</v>
      </c>
      <c r="AU11" s="0" t="n">
        <f aca="false">AT11/174</f>
        <v>0.0517241379310345</v>
      </c>
      <c r="AV11" s="0" t="n">
        <f aca="false">(AU11*B11)</f>
        <v>9.2331724137931</v>
      </c>
      <c r="AW11" s="1" t="n">
        <v>9</v>
      </c>
      <c r="AX11" s="0" t="n">
        <f aca="false">AW11/174</f>
        <v>0.0517241379310345</v>
      </c>
      <c r="AY11" s="0" t="n">
        <f aca="false">AX11*B11</f>
        <v>9.2331724137931</v>
      </c>
    </row>
    <row r="12" customFormat="false" ht="12.8" hidden="false" customHeight="false" outlineLevel="0" collapsed="false">
      <c r="A12" s="0" t="s">
        <v>103</v>
      </c>
      <c r="B12" s="0" t="n">
        <v>120.26</v>
      </c>
      <c r="C12" s="1" t="n">
        <v>1</v>
      </c>
      <c r="D12" s="0" t="n">
        <f aca="false">C12/120</f>
        <v>0.00833333333333333</v>
      </c>
      <c r="E12" s="0" t="n">
        <f aca="false">D12*B12</f>
        <v>1.00216666666667</v>
      </c>
      <c r="F12" s="0" t="n">
        <v>1</v>
      </c>
      <c r="G12" s="1" t="n">
        <f aca="false">F12/120</f>
        <v>0.00833333333333333</v>
      </c>
      <c r="H12" s="0" t="n">
        <f aca="false">G12*B12</f>
        <v>1.00216666666667</v>
      </c>
      <c r="I12" s="11" t="n">
        <v>0</v>
      </c>
      <c r="J12" s="17" t="n">
        <f aca="false">I12/120</f>
        <v>0</v>
      </c>
      <c r="K12" s="11" t="n">
        <f aca="false">J12*B12</f>
        <v>0</v>
      </c>
      <c r="L12" s="0" t="n">
        <v>0</v>
      </c>
      <c r="M12" s="0" t="n">
        <f aca="false">L12/120</f>
        <v>0</v>
      </c>
      <c r="N12" s="0" t="n">
        <f aca="false">M12*B12</f>
        <v>0</v>
      </c>
      <c r="O12" s="0" t="n">
        <v>0</v>
      </c>
      <c r="P12" s="0" t="n">
        <f aca="false">O12/120</f>
        <v>0</v>
      </c>
      <c r="Q12" s="0" t="n">
        <f aca="false">P12*B12</f>
        <v>0</v>
      </c>
      <c r="R12" s="0" t="n">
        <f aca="false">S12*120</f>
        <v>26.8107017303937</v>
      </c>
      <c r="S12" s="1" t="n">
        <f aca="false">(10^(-0.64815*LOG(B12*1000)+3.59605))*1/9</f>
        <v>0.223422514419947</v>
      </c>
      <c r="T12" s="1" t="n">
        <f aca="false">S12*B12</f>
        <v>26.8687915841429</v>
      </c>
      <c r="U12" s="0" t="n">
        <v>1</v>
      </c>
      <c r="V12" s="0" t="n">
        <f aca="false">U12/120</f>
        <v>0.00833333333333333</v>
      </c>
      <c r="W12" s="0" t="n">
        <f aca="false">V12*B12</f>
        <v>1.00216666666667</v>
      </c>
      <c r="X12" s="11" t="n">
        <v>0</v>
      </c>
      <c r="Y12" s="11" t="n">
        <f aca="false">X12/120</f>
        <v>0</v>
      </c>
      <c r="Z12" s="11" t="n">
        <f aca="false">Y12*B12</f>
        <v>0</v>
      </c>
      <c r="AA12" s="0" t="n">
        <f aca="false">AB12*120</f>
        <v>26.8107017303937</v>
      </c>
      <c r="AB12" s="1" t="n">
        <f aca="false">(10^(-0.64815*LOG(B12*1000)+3.59605))*1/9</f>
        <v>0.223422514419947</v>
      </c>
      <c r="AC12" s="0" t="n">
        <f aca="false">AB12*B12</f>
        <v>26.8687915841429</v>
      </c>
      <c r="AD12" s="17" t="n">
        <f aca="false">AE12*120</f>
        <v>26.8107017303937</v>
      </c>
      <c r="AE12" s="17" t="n">
        <f aca="false">10^(-0.64815*LOG(B12*1000)+3.59605)/9</f>
        <v>0.223422514419947</v>
      </c>
      <c r="AF12" s="17" t="n">
        <f aca="false">AE12*B12</f>
        <v>26.8687915841429</v>
      </c>
      <c r="AH12" s="1" t="n">
        <v>1</v>
      </c>
      <c r="AI12" s="0" t="n">
        <f aca="false">AH12/175</f>
        <v>0.00571428571428571</v>
      </c>
      <c r="AJ12" s="0" t="n">
        <f aca="false">AI12*B12</f>
        <v>0.6872</v>
      </c>
      <c r="AK12" s="1" t="n">
        <v>1</v>
      </c>
      <c r="AL12" s="0" t="n">
        <f aca="false">AK12/175</f>
        <v>0.00571428571428571</v>
      </c>
      <c r="AM12" s="1" t="n">
        <f aca="false">AL12*B12</f>
        <v>0.6872</v>
      </c>
      <c r="AN12" s="0" t="n">
        <v>1</v>
      </c>
      <c r="AO12" s="0" t="n">
        <f aca="false">AN12/175</f>
        <v>0.00571428571428571</v>
      </c>
      <c r="AP12" s="0" t="n">
        <f aca="false">AO12*B12</f>
        <v>0.6872</v>
      </c>
      <c r="AQ12" s="0" t="n">
        <v>1</v>
      </c>
      <c r="AR12" s="0" t="n">
        <f aca="false">AQ12/120</f>
        <v>0.00833333333333333</v>
      </c>
      <c r="AS12" s="0" t="n">
        <f aca="false">AR12*AM12</f>
        <v>0.00572666666666667</v>
      </c>
      <c r="AT12" s="1" t="n">
        <v>1</v>
      </c>
      <c r="AU12" s="0" t="n">
        <f aca="false">AT12/174</f>
        <v>0.00574712643678161</v>
      </c>
      <c r="AV12" s="0" t="n">
        <f aca="false">(AU12*B12)</f>
        <v>0.691149425287356</v>
      </c>
      <c r="AW12" s="1" t="n">
        <v>1</v>
      </c>
      <c r="AX12" s="0" t="n">
        <f aca="false">AW12/174</f>
        <v>0.00574712643678161</v>
      </c>
      <c r="AY12" s="0" t="n">
        <f aca="false">AX12*B12</f>
        <v>0.691149425287356</v>
      </c>
    </row>
    <row r="13" customFormat="false" ht="12.8" hidden="false" customHeight="false" outlineLevel="0" collapsed="false">
      <c r="A13" s="0" t="s">
        <v>333</v>
      </c>
      <c r="B13" s="0" t="n">
        <v>131</v>
      </c>
      <c r="C13" s="1" t="n">
        <v>2</v>
      </c>
      <c r="D13" s="0" t="n">
        <f aca="false">C13/120</f>
        <v>0.0166666666666667</v>
      </c>
      <c r="E13" s="0" t="n">
        <f aca="false">D13*B13</f>
        <v>2.18333333333333</v>
      </c>
      <c r="F13" s="0" t="n">
        <v>0</v>
      </c>
      <c r="G13" s="1" t="n">
        <f aca="false">F13/120</f>
        <v>0</v>
      </c>
      <c r="H13" s="0" t="n">
        <f aca="false">G13*B13</f>
        <v>0</v>
      </c>
      <c r="I13" s="11" t="n">
        <v>0</v>
      </c>
      <c r="J13" s="17" t="n">
        <f aca="false">I13/120</f>
        <v>0</v>
      </c>
      <c r="K13" s="11" t="n">
        <f aca="false">J13*E13</f>
        <v>0</v>
      </c>
      <c r="L13" s="0" t="n">
        <v>0</v>
      </c>
      <c r="M13" s="0" t="n">
        <f aca="false">L13/120</f>
        <v>0</v>
      </c>
      <c r="N13" s="0" t="n">
        <f aca="false">M13*B13</f>
        <v>0</v>
      </c>
      <c r="O13" s="0" t="n">
        <v>0</v>
      </c>
      <c r="P13" s="0" t="n">
        <f aca="false">O13/120</f>
        <v>0</v>
      </c>
      <c r="Q13" s="0" t="n">
        <f aca="false">P13*B13</f>
        <v>0</v>
      </c>
      <c r="R13" s="0" t="n">
        <f aca="false">S13*120</f>
        <v>50.7293551742217</v>
      </c>
      <c r="S13" s="1" t="n">
        <f aca="false">(10^(-0.64815*LOG(B13*1000)+3.59605))*2/9</f>
        <v>0.422744626451847</v>
      </c>
      <c r="T13" s="1" t="n">
        <f aca="false">S13*B13</f>
        <v>55.379546065192</v>
      </c>
      <c r="U13" s="0" t="n">
        <v>0</v>
      </c>
      <c r="V13" s="0" t="n">
        <f aca="false">U13/120</f>
        <v>0</v>
      </c>
      <c r="W13" s="0" t="n">
        <f aca="false">V13*B13</f>
        <v>0</v>
      </c>
      <c r="X13" s="11" t="n">
        <v>0</v>
      </c>
      <c r="Y13" s="11" t="n">
        <f aca="false">X13/120</f>
        <v>0</v>
      </c>
      <c r="Z13" s="11" t="n">
        <f aca="false">Y13*B13</f>
        <v>0</v>
      </c>
      <c r="AA13" s="0" t="n">
        <f aca="false">AB13*120</f>
        <v>50.7293551742217</v>
      </c>
      <c r="AB13" s="1" t="n">
        <f aca="false">(10^(-0.64815*LOG(B13*1000)+3.59605))*2/9</f>
        <v>0.422744626451847</v>
      </c>
      <c r="AC13" s="0" t="n">
        <f aca="false">AB13*B13</f>
        <v>55.379546065192</v>
      </c>
      <c r="AD13" s="17" t="n">
        <f aca="false">AE13*120</f>
        <v>50.7293551742217</v>
      </c>
      <c r="AE13" s="17" t="n">
        <f aca="false">10^(-0.64815*LOG(B13*1000)+3.59605)*2/9</f>
        <v>0.422744626451847</v>
      </c>
      <c r="AF13" s="17" t="n">
        <f aca="false">AE13*B13</f>
        <v>55.379546065192</v>
      </c>
      <c r="AH13" s="1" t="n">
        <v>2</v>
      </c>
      <c r="AI13" s="0" t="n">
        <f aca="false">AH13/175</f>
        <v>0.0114285714285714</v>
      </c>
      <c r="AJ13" s="0" t="n">
        <f aca="false">AI13*B13</f>
        <v>1.49714285714286</v>
      </c>
      <c r="AK13" s="1" t="n">
        <v>2</v>
      </c>
      <c r="AL13" s="0" t="n">
        <f aca="false">AK13/175</f>
        <v>0.0114285714285714</v>
      </c>
      <c r="AM13" s="1" t="n">
        <f aca="false">AL13*B13</f>
        <v>1.49714285714286</v>
      </c>
      <c r="AN13" s="0" t="n">
        <v>0</v>
      </c>
      <c r="AO13" s="0" t="n">
        <f aca="false">AN13/175</f>
        <v>0</v>
      </c>
      <c r="AP13" s="0" t="n">
        <v>0</v>
      </c>
      <c r="AQ13" s="0" t="n">
        <v>0</v>
      </c>
      <c r="AR13" s="0" t="n">
        <f aca="false">AQ13/120</f>
        <v>0</v>
      </c>
      <c r="AS13" s="0" t="n">
        <f aca="false">AR13*AM13</f>
        <v>0</v>
      </c>
      <c r="AT13" s="1" t="n">
        <v>2</v>
      </c>
      <c r="AU13" s="0" t="n">
        <f aca="false">AT13/174</f>
        <v>0.0114942528735632</v>
      </c>
      <c r="AV13" s="0" t="n">
        <f aca="false">(AU13*B13)</f>
        <v>1.50574712643678</v>
      </c>
      <c r="AW13" s="1" t="n">
        <v>2</v>
      </c>
      <c r="AX13" s="0" t="n">
        <f aca="false">AW13/174</f>
        <v>0.0114942528735632</v>
      </c>
      <c r="AY13" s="0" t="n">
        <f aca="false">AX13*B13</f>
        <v>1.50574712643678</v>
      </c>
    </row>
    <row r="14" customFormat="false" ht="12.8" hidden="false" customHeight="false" outlineLevel="0" collapsed="false">
      <c r="A14" s="0" t="s">
        <v>334</v>
      </c>
      <c r="B14" s="0" t="n">
        <v>370</v>
      </c>
      <c r="C14" s="1" t="n">
        <v>2</v>
      </c>
      <c r="D14" s="0" t="n">
        <f aca="false">C14/120</f>
        <v>0.0166666666666667</v>
      </c>
      <c r="E14" s="0" t="n">
        <f aca="false">D14*B14</f>
        <v>6.16666666666667</v>
      </c>
      <c r="F14" s="0" t="n">
        <v>0</v>
      </c>
      <c r="G14" s="1" t="n">
        <f aca="false">F14/120</f>
        <v>0</v>
      </c>
      <c r="H14" s="0" t="n">
        <f aca="false">G14*B14</f>
        <v>0</v>
      </c>
      <c r="I14" s="11" t="n">
        <v>0</v>
      </c>
      <c r="J14" s="17" t="n">
        <f aca="false">I14/120</f>
        <v>0</v>
      </c>
      <c r="K14" s="11" t="n">
        <f aca="false">J14*E14</f>
        <v>0</v>
      </c>
      <c r="L14" s="0" t="n">
        <v>0</v>
      </c>
      <c r="M14" s="0" t="n">
        <f aca="false">L14/120</f>
        <v>0</v>
      </c>
      <c r="N14" s="0" t="n">
        <f aca="false">M14*B14</f>
        <v>0</v>
      </c>
      <c r="O14" s="0" t="n">
        <v>0</v>
      </c>
      <c r="P14" s="0" t="n">
        <f aca="false">O14/120</f>
        <v>0</v>
      </c>
      <c r="Q14" s="0" t="n">
        <f aca="false">P14*B14</f>
        <v>0</v>
      </c>
      <c r="R14" s="0" t="n">
        <f aca="false">S14*120</f>
        <v>25.8814607823795</v>
      </c>
      <c r="S14" s="1" t="n">
        <f aca="false">(10^(-0.64815*LOG(B14*1000)+3.59605))*2/9</f>
        <v>0.215678839853162</v>
      </c>
      <c r="T14" s="1" t="n">
        <f aca="false">S14*B14</f>
        <v>79.8011707456701</v>
      </c>
      <c r="U14" s="0" t="n">
        <v>0</v>
      </c>
      <c r="V14" s="0" t="n">
        <f aca="false">U14/120</f>
        <v>0</v>
      </c>
      <c r="W14" s="0" t="n">
        <f aca="false">V14*B14</f>
        <v>0</v>
      </c>
      <c r="X14" s="11" t="n">
        <v>0</v>
      </c>
      <c r="Y14" s="11" t="n">
        <f aca="false">X14/120</f>
        <v>0</v>
      </c>
      <c r="Z14" s="11" t="n">
        <f aca="false">Y14*B14</f>
        <v>0</v>
      </c>
      <c r="AA14" s="0" t="n">
        <f aca="false">AB14*120</f>
        <v>25.8814607823795</v>
      </c>
      <c r="AB14" s="1" t="n">
        <f aca="false">(10^(-0.64815*LOG(B14*1000)+3.59605))*2/9</f>
        <v>0.215678839853162</v>
      </c>
      <c r="AC14" s="0" t="n">
        <f aca="false">AB14*B14</f>
        <v>79.8011707456701</v>
      </c>
      <c r="AD14" s="17" t="n">
        <f aca="false">AE14*120</f>
        <v>25.8814607823795</v>
      </c>
      <c r="AE14" s="17" t="n">
        <f aca="false">10^(-0.64815*LOG(B14*1000)+3.59605)*2/9</f>
        <v>0.215678839853162</v>
      </c>
      <c r="AF14" s="17" t="n">
        <f aca="false">AE14*B14</f>
        <v>79.8011707456701</v>
      </c>
      <c r="AH14" s="1" t="n">
        <v>2</v>
      </c>
      <c r="AI14" s="0" t="n">
        <f aca="false">AH14/175</f>
        <v>0.0114285714285714</v>
      </c>
      <c r="AJ14" s="0" t="n">
        <f aca="false">AI14*B14</f>
        <v>4.22857142857143</v>
      </c>
      <c r="AK14" s="1" t="n">
        <v>2</v>
      </c>
      <c r="AL14" s="0" t="n">
        <f aca="false">AK14/175</f>
        <v>0.0114285714285714</v>
      </c>
      <c r="AM14" s="1" t="n">
        <f aca="false">AL14*B14</f>
        <v>4.22857142857143</v>
      </c>
      <c r="AN14" s="0" t="n">
        <v>1</v>
      </c>
      <c r="AO14" s="0" t="n">
        <f aca="false">AN14/175</f>
        <v>0.00571428571428571</v>
      </c>
      <c r="AP14" s="0" t="n">
        <f aca="false">AO14*B14</f>
        <v>2.11428571428571</v>
      </c>
      <c r="AQ14" s="0" t="n">
        <v>0</v>
      </c>
      <c r="AR14" s="0" t="n">
        <f aca="false">AQ14/120</f>
        <v>0</v>
      </c>
      <c r="AS14" s="0" t="n">
        <f aca="false">AR14*AM14</f>
        <v>0</v>
      </c>
      <c r="AT14" s="1" t="n">
        <v>2</v>
      </c>
      <c r="AU14" s="0" t="n">
        <f aca="false">AT14/174</f>
        <v>0.0114942528735632</v>
      </c>
      <c r="AV14" s="0" t="n">
        <f aca="false">(AU14*B14)</f>
        <v>4.25287356321839</v>
      </c>
      <c r="AW14" s="1" t="n">
        <v>2</v>
      </c>
      <c r="AX14" s="0" t="n">
        <f aca="false">AW14/174</f>
        <v>0.0114942528735632</v>
      </c>
      <c r="AY14" s="0" t="n">
        <f aca="false">AX14*B14</f>
        <v>4.25287356321839</v>
      </c>
    </row>
    <row r="15" customFormat="false" ht="12.8" hidden="false" customHeight="false" outlineLevel="0" collapsed="false">
      <c r="A15" s="3" t="s">
        <v>335</v>
      </c>
      <c r="B15" s="0" t="n">
        <f aca="false">AVERAGE(B10:B13)</f>
        <v>152.069</v>
      </c>
      <c r="C15" s="1" t="n">
        <v>122</v>
      </c>
      <c r="D15" s="0" t="n">
        <f aca="false">C15/120</f>
        <v>1.01666666666667</v>
      </c>
      <c r="E15" s="0" t="n">
        <f aca="false">D15*B15</f>
        <v>154.603483333333</v>
      </c>
      <c r="F15" s="0" t="n">
        <v>22</v>
      </c>
      <c r="G15" s="1" t="n">
        <f aca="false">F15/120</f>
        <v>0.183333333333333</v>
      </c>
      <c r="H15" s="0" t="n">
        <f aca="false">G15*B15</f>
        <v>27.8793166666667</v>
      </c>
      <c r="I15" s="11" t="n">
        <v>52</v>
      </c>
      <c r="J15" s="17" t="n">
        <f aca="false">I15/120</f>
        <v>0.433333333333333</v>
      </c>
      <c r="K15" s="11" t="n">
        <f aca="false">J15*B15</f>
        <v>65.8965666666667</v>
      </c>
      <c r="L15" s="0" t="n">
        <v>42</v>
      </c>
      <c r="M15" s="0" t="n">
        <f aca="false">L15/120</f>
        <v>0.35</v>
      </c>
      <c r="N15" s="0" t="n">
        <f aca="false">M15*B15</f>
        <v>53.22415</v>
      </c>
      <c r="O15" s="0" t="n">
        <v>42</v>
      </c>
      <c r="P15" s="0" t="n">
        <f aca="false">O15/120</f>
        <v>0.35</v>
      </c>
      <c r="Q15" s="0" t="n">
        <f aca="false">P15*B15</f>
        <v>53.22415</v>
      </c>
      <c r="R15" s="0" t="s">
        <v>74</v>
      </c>
      <c r="S15" s="1" t="s">
        <v>74</v>
      </c>
      <c r="T15" s="1" t="s">
        <v>74</v>
      </c>
      <c r="U15" s="0" t="n">
        <v>22</v>
      </c>
      <c r="V15" s="0" t="n">
        <f aca="false">U15/120</f>
        <v>0.183333333333333</v>
      </c>
      <c r="W15" s="0" t="n">
        <f aca="false">V15*B15</f>
        <v>27.8793166666667</v>
      </c>
      <c r="X15" s="11" t="n">
        <v>52</v>
      </c>
      <c r="Y15" s="11" t="n">
        <f aca="false">X15/120</f>
        <v>0.433333333333333</v>
      </c>
      <c r="Z15" s="11" t="n">
        <f aca="false">Y15*B15</f>
        <v>65.8965666666667</v>
      </c>
      <c r="AA15" s="0" t="s">
        <v>74</v>
      </c>
      <c r="AB15" s="1" t="s">
        <v>74</v>
      </c>
      <c r="AC15" s="1" t="s">
        <v>74</v>
      </c>
      <c r="AD15" s="11" t="s">
        <v>74</v>
      </c>
      <c r="AE15" s="17" t="s">
        <v>74</v>
      </c>
      <c r="AF15" s="17" t="s">
        <v>74</v>
      </c>
      <c r="AH15" s="1" t="n">
        <f aca="false">93+28</f>
        <v>121</v>
      </c>
      <c r="AI15" s="0" t="n">
        <f aca="false">AH15/175</f>
        <v>0.691428571428571</v>
      </c>
      <c r="AJ15" s="0" t="n">
        <f aca="false">AI15*B15</f>
        <v>105.144851428571</v>
      </c>
      <c r="AK15" s="1" t="n">
        <f aca="false">93+28</f>
        <v>121</v>
      </c>
      <c r="AL15" s="0" t="n">
        <f aca="false">AK15/175</f>
        <v>0.691428571428571</v>
      </c>
      <c r="AM15" s="1" t="n">
        <f aca="false">AL15*B15</f>
        <v>105.144851428571</v>
      </c>
      <c r="AN15" s="0" t="n">
        <v>24</v>
      </c>
      <c r="AO15" s="0" t="n">
        <f aca="false">AN15/175</f>
        <v>0.137142857142857</v>
      </c>
      <c r="AP15" s="0" t="n">
        <f aca="false">AO15*B15</f>
        <v>20.8551771428571</v>
      </c>
      <c r="AQ15" s="0" t="n">
        <v>49</v>
      </c>
      <c r="AR15" s="0" t="n">
        <f aca="false">AQ15/120</f>
        <v>0.408333333333333</v>
      </c>
      <c r="AS15" s="0" t="n">
        <f aca="false">AR15*AM15</f>
        <v>42.9341476666667</v>
      </c>
      <c r="AT15" s="1" t="n">
        <f aca="false">93+28</f>
        <v>121</v>
      </c>
      <c r="AU15" s="0" t="n">
        <f aca="false">AT15/174</f>
        <v>0.695402298850575</v>
      </c>
      <c r="AV15" s="0" t="n">
        <f aca="false">(AU15*B15)</f>
        <v>105.749132183908</v>
      </c>
      <c r="AW15" s="1" t="n">
        <f aca="false">93+28</f>
        <v>121</v>
      </c>
      <c r="AX15" s="0" t="n">
        <f aca="false">AW15/174</f>
        <v>0.695402298850575</v>
      </c>
      <c r="AY15" s="0" t="n">
        <f aca="false">AX15*B15</f>
        <v>105.749132183908</v>
      </c>
    </row>
    <row r="16" customFormat="false" ht="12.8" hidden="false" customHeight="false" outlineLevel="0" collapsed="false">
      <c r="A16" s="3" t="s">
        <v>336</v>
      </c>
      <c r="B16" s="0" t="s">
        <v>74</v>
      </c>
      <c r="C16" s="1" t="n">
        <f aca="false">SUM(C10:C15)</f>
        <v>141</v>
      </c>
      <c r="D16" s="0" t="n">
        <f aca="false">C16/120</f>
        <v>1.175</v>
      </c>
      <c r="E16" s="3" t="n">
        <f aca="false">SUM(E10:E15)</f>
        <v>184.781583333333</v>
      </c>
      <c r="F16" s="0" t="n">
        <f aca="false">SUM(F10:F15)</f>
        <v>25</v>
      </c>
      <c r="G16" s="1" t="n">
        <f aca="false">F16/120</f>
        <v>0.208333333333333</v>
      </c>
      <c r="H16" s="3" t="n">
        <f aca="false">SUM(H10:H15)</f>
        <v>31.8566166666667</v>
      </c>
      <c r="I16" s="11" t="n">
        <f aca="false">SUM(I10:I15)</f>
        <v>55</v>
      </c>
      <c r="J16" s="17" t="n">
        <f aca="false">I16/120</f>
        <v>0.458333333333333</v>
      </c>
      <c r="K16" s="16" t="n">
        <f aca="false">SUM(K10:K15)</f>
        <v>70.3592666666667</v>
      </c>
      <c r="L16" s="3" t="n">
        <f aca="false">SUM(L10:L15)</f>
        <v>44</v>
      </c>
      <c r="M16" s="0" t="n">
        <f aca="false">L16/120</f>
        <v>0.366666666666667</v>
      </c>
      <c r="N16" s="3" t="n">
        <f aca="false">SUM(N10:N15)</f>
        <v>56.1992833333333</v>
      </c>
      <c r="O16" s="3" t="n">
        <f aca="false">SUM(O10:O15)</f>
        <v>44</v>
      </c>
      <c r="P16" s="0" t="n">
        <f aca="false">O16/120</f>
        <v>0.366666666666667</v>
      </c>
      <c r="Q16" s="3" t="n">
        <f aca="false">SUM(Q10:Q15)</f>
        <v>56.1992833333333</v>
      </c>
      <c r="R16" s="3"/>
      <c r="S16" s="1" t="n">
        <f aca="false">SUM(S10:S15)</f>
        <v>3.97512516309953</v>
      </c>
      <c r="T16" s="3" t="n">
        <f aca="false">SUM(T10:T15)</f>
        <v>717.794748682325</v>
      </c>
      <c r="U16" s="0" t="n">
        <f aca="false">SUM(U10:U15)</f>
        <v>25</v>
      </c>
      <c r="V16" s="0" t="n">
        <f aca="false">U16/120</f>
        <v>0.208333333333333</v>
      </c>
      <c r="W16" s="3" t="n">
        <f aca="false">SUM(W10:W15)</f>
        <v>31.8566166666667</v>
      </c>
      <c r="X16" s="11" t="n">
        <f aca="false">SUM(X10:X15)</f>
        <v>55</v>
      </c>
      <c r="Y16" s="11" t="n">
        <f aca="false">X16/120</f>
        <v>0.458333333333333</v>
      </c>
      <c r="Z16" s="16" t="n">
        <f aca="false">SUM(Z10:Z15)</f>
        <v>70.3592666666667</v>
      </c>
      <c r="AA16" s="3"/>
      <c r="AB16" s="1" t="n">
        <f aca="false">SUM(AB10:AB15)</f>
        <v>3.97512516309953</v>
      </c>
      <c r="AC16" s="3" t="n">
        <f aca="false">SUM(AC10:AC15)</f>
        <v>717.794748682325</v>
      </c>
      <c r="AD16" s="16"/>
      <c r="AE16" s="17" t="n">
        <f aca="false">SUM(AE10:AE15)</f>
        <v>3.97512516309953</v>
      </c>
      <c r="AF16" s="16" t="n">
        <f aca="false">SUM(AF10:AF15)</f>
        <v>717.794748682325</v>
      </c>
      <c r="AG16" s="3"/>
      <c r="AH16" s="1" t="n">
        <f aca="false">SUM(AH10:AH15)</f>
        <v>140</v>
      </c>
      <c r="AI16" s="0" t="n">
        <f aca="false">AH16/175</f>
        <v>0.8</v>
      </c>
      <c r="AJ16" s="3" t="n">
        <f aca="false">SUM(AJ10:AJ15)</f>
        <v>125.838405714286</v>
      </c>
      <c r="AK16" s="1" t="n">
        <f aca="false">SUM(AK10:AK15)</f>
        <v>140</v>
      </c>
      <c r="AL16" s="0" t="n">
        <f aca="false">AK16/175</f>
        <v>0.8</v>
      </c>
      <c r="AM16" s="3" t="n">
        <f aca="false">SUM(AM10:AM15)</f>
        <v>125.838405714286</v>
      </c>
      <c r="AN16" s="0" t="n">
        <f aca="false">SUM(AN10:AN15)</f>
        <v>27</v>
      </c>
      <c r="AO16" s="0" t="n">
        <f aca="false">AN16/175</f>
        <v>0.154285714285714</v>
      </c>
      <c r="AP16" s="3" t="n">
        <f aca="false">SUM(AP10:AP15)</f>
        <v>24.6767085714286</v>
      </c>
      <c r="AQ16" s="3" t="n">
        <f aca="false">SUM((AQ10:AQ15))</f>
        <v>53</v>
      </c>
      <c r="AR16" s="0" t="n">
        <f aca="false">AQ16/120</f>
        <v>0.441666666666667</v>
      </c>
      <c r="AS16" s="3" t="n">
        <f aca="false">SUM(AS10:AS15)</f>
        <v>43.1353830952381</v>
      </c>
      <c r="AT16" s="1" t="n">
        <f aca="false">SUM(AT10:AT15)</f>
        <v>140</v>
      </c>
      <c r="AU16" s="0" t="n">
        <f aca="false">AT16/174</f>
        <v>0.804597701149425</v>
      </c>
      <c r="AV16" s="3" t="n">
        <f aca="false">SUM(AV10:AV15)</f>
        <v>126.561614942529</v>
      </c>
      <c r="AW16" s="1" t="n">
        <f aca="false">SUM(AW10:AW15)</f>
        <v>140</v>
      </c>
      <c r="AX16" s="0" t="n">
        <f aca="false">AW16/174</f>
        <v>0.804597701149425</v>
      </c>
      <c r="AY16" s="3" t="n">
        <f aca="false">SUM(AY10:AY15)</f>
        <v>126.561614942529</v>
      </c>
    </row>
    <row r="17" customFormat="false" ht="12.8" hidden="false" customHeight="false" outlineLevel="0" collapsed="false">
      <c r="A17" s="0" t="s">
        <v>114</v>
      </c>
      <c r="B17" s="0" t="n">
        <v>96</v>
      </c>
      <c r="C17" s="1" t="n">
        <v>13</v>
      </c>
      <c r="D17" s="0" t="n">
        <f aca="false">C17/120</f>
        <v>0.108333333333333</v>
      </c>
      <c r="E17" s="0" t="n">
        <f aca="false">D17*B17</f>
        <v>10.4</v>
      </c>
      <c r="F17" s="0" t="n">
        <v>1</v>
      </c>
      <c r="G17" s="1" t="n">
        <f aca="false">F17/120</f>
        <v>0.00833333333333333</v>
      </c>
      <c r="H17" s="0" t="n">
        <f aca="false">G17*B17</f>
        <v>0.8</v>
      </c>
      <c r="I17" s="11" t="n">
        <v>4</v>
      </c>
      <c r="J17" s="17" t="n">
        <f aca="false">I17/120</f>
        <v>0.0333333333333333</v>
      </c>
      <c r="K17" s="11" t="n">
        <f aca="false">J17*B17</f>
        <v>3.2</v>
      </c>
      <c r="L17" s="0" t="n">
        <v>3</v>
      </c>
      <c r="M17" s="0" t="n">
        <f aca="false">L17/120</f>
        <v>0.025</v>
      </c>
      <c r="N17" s="0" t="n">
        <f aca="false">M17*B17</f>
        <v>2.4</v>
      </c>
      <c r="O17" s="0" t="n">
        <v>3</v>
      </c>
      <c r="P17" s="0" t="n">
        <f aca="false">O17/120</f>
        <v>0.025</v>
      </c>
      <c r="Q17" s="0" t="n">
        <f aca="false">P17*B17</f>
        <v>2.4</v>
      </c>
      <c r="R17" s="0" t="n">
        <f aca="false">S17*120</f>
        <v>63.3890066383426</v>
      </c>
      <c r="S17" s="1" t="n">
        <f aca="false">10^(-0.2771673)</f>
        <v>0.528241721986189</v>
      </c>
      <c r="T17" s="0" t="n">
        <f aca="false">S17*B17</f>
        <v>50.7112053106741</v>
      </c>
      <c r="U17" s="0" t="n">
        <v>1</v>
      </c>
      <c r="V17" s="0" t="n">
        <f aca="false">U17/120</f>
        <v>0.00833333333333333</v>
      </c>
      <c r="W17" s="0" t="n">
        <f aca="false">V17*B17</f>
        <v>0.8</v>
      </c>
      <c r="X17" s="11" t="n">
        <v>4</v>
      </c>
      <c r="Y17" s="11" t="n">
        <f aca="false">X17/120</f>
        <v>0.0333333333333333</v>
      </c>
      <c r="Z17" s="11" t="n">
        <f aca="false">Y17*B17</f>
        <v>3.2</v>
      </c>
      <c r="AA17" s="0" t="n">
        <f aca="false">AB17*120</f>
        <v>63.3890066383426</v>
      </c>
      <c r="AB17" s="1" t="n">
        <f aca="false">10^(-0.2771673)</f>
        <v>0.528241721986189</v>
      </c>
      <c r="AC17" s="0" t="n">
        <f aca="false">AB17*B17</f>
        <v>50.7112053106741</v>
      </c>
      <c r="AD17" s="11" t="n">
        <f aca="false">AE17*120</f>
        <v>63.3890066383426</v>
      </c>
      <c r="AE17" s="17" t="n">
        <f aca="false">10^(-0.2771673)</f>
        <v>0.528241721986189</v>
      </c>
      <c r="AF17" s="11" t="n">
        <f aca="false">AE17*B17</f>
        <v>50.7112053106741</v>
      </c>
      <c r="AH17" s="1" t="n">
        <v>12</v>
      </c>
      <c r="AI17" s="0" t="n">
        <f aca="false">AH17/175</f>
        <v>0.0685714285714286</v>
      </c>
      <c r="AJ17" s="0" t="n">
        <f aca="false">AI17*B17</f>
        <v>6.58285714285714</v>
      </c>
      <c r="AK17" s="1" t="n">
        <v>12</v>
      </c>
      <c r="AL17" s="0" t="n">
        <f aca="false">AK17/175</f>
        <v>0.0685714285714286</v>
      </c>
      <c r="AM17" s="0" t="n">
        <f aca="false">AL17*B17</f>
        <v>6.58285714285714</v>
      </c>
      <c r="AN17" s="0" t="n">
        <v>1</v>
      </c>
      <c r="AO17" s="0" t="n">
        <f aca="false">AN17/175</f>
        <v>0.00571428571428571</v>
      </c>
      <c r="AP17" s="0" t="n">
        <f aca="false">AO17*B17</f>
        <v>0.548571428571429</v>
      </c>
      <c r="AQ17" s="0" t="n">
        <v>2</v>
      </c>
      <c r="AR17" s="0" t="n">
        <f aca="false">AQ17/120</f>
        <v>0.0166666666666667</v>
      </c>
      <c r="AS17" s="0" t="n">
        <f aca="false">AR17*AM17</f>
        <v>0.109714285714286</v>
      </c>
      <c r="AT17" s="1" t="n">
        <v>12</v>
      </c>
      <c r="AU17" s="0" t="n">
        <f aca="false">AT17/174</f>
        <v>0.0689655172413793</v>
      </c>
      <c r="AV17" s="0" t="n">
        <f aca="false">AU17*B17</f>
        <v>6.62068965517241</v>
      </c>
      <c r="AW17" s="1" t="n">
        <v>12</v>
      </c>
      <c r="AX17" s="0" t="n">
        <f aca="false">AW17/174</f>
        <v>0.0689655172413793</v>
      </c>
      <c r="AY17" s="0" t="n">
        <f aca="false">AX17*B17</f>
        <v>6.62068965517241</v>
      </c>
    </row>
    <row r="18" customFormat="false" ht="12.8" hidden="false" customHeight="false" outlineLevel="0" collapsed="false">
      <c r="A18" s="0" t="s">
        <v>107</v>
      </c>
      <c r="B18" s="0" t="n">
        <v>63.872</v>
      </c>
      <c r="C18" s="1" t="n">
        <v>14</v>
      </c>
      <c r="D18" s="0" t="n">
        <f aca="false">C18/120</f>
        <v>0.116666666666667</v>
      </c>
      <c r="E18" s="0" t="n">
        <f aca="false">D18*B18</f>
        <v>7.45173333333333</v>
      </c>
      <c r="F18" s="0" t="n">
        <v>1</v>
      </c>
      <c r="G18" s="1" t="n">
        <f aca="false">F18/120</f>
        <v>0.00833333333333333</v>
      </c>
      <c r="H18" s="0" t="n">
        <f aca="false">G18*B18</f>
        <v>0.532266666666667</v>
      </c>
      <c r="I18" s="11" t="n">
        <v>4</v>
      </c>
      <c r="J18" s="17" t="n">
        <f aca="false">I18/120</f>
        <v>0.0333333333333333</v>
      </c>
      <c r="K18" s="11" t="n">
        <f aca="false">J18*B18</f>
        <v>2.12906666666667</v>
      </c>
      <c r="L18" s="0" t="n">
        <v>5</v>
      </c>
      <c r="M18" s="0" t="n">
        <f aca="false">L18/120</f>
        <v>0.0416666666666667</v>
      </c>
      <c r="N18" s="0" t="n">
        <f aca="false">M18*B18</f>
        <v>2.66133333333333</v>
      </c>
      <c r="O18" s="0" t="n">
        <v>5</v>
      </c>
      <c r="P18" s="0" t="n">
        <f aca="false">O18/120</f>
        <v>0.0416666666666667</v>
      </c>
      <c r="Q18" s="0" t="n">
        <f aca="false">P18*B18</f>
        <v>2.66133333333333</v>
      </c>
      <c r="R18" s="0" t="n">
        <f aca="false">S18*120</f>
        <v>86.0621806451367</v>
      </c>
      <c r="S18" s="1" t="n">
        <f aca="false">10^(-0.1443689)</f>
        <v>0.717184838709472</v>
      </c>
      <c r="T18" s="0" t="n">
        <f aca="false">S18*B18</f>
        <v>45.8080300180514</v>
      </c>
      <c r="U18" s="0" t="n">
        <v>1</v>
      </c>
      <c r="V18" s="0" t="n">
        <f aca="false">U18/120</f>
        <v>0.00833333333333333</v>
      </c>
      <c r="W18" s="0" t="n">
        <f aca="false">V18*B18</f>
        <v>0.532266666666667</v>
      </c>
      <c r="X18" s="11" t="n">
        <v>4</v>
      </c>
      <c r="Y18" s="11" t="n">
        <f aca="false">X18/120</f>
        <v>0.0333333333333333</v>
      </c>
      <c r="Z18" s="11" t="n">
        <f aca="false">Y18*B18</f>
        <v>2.12906666666667</v>
      </c>
      <c r="AA18" s="0" t="n">
        <f aca="false">AB18*120</f>
        <v>86.0621806451367</v>
      </c>
      <c r="AB18" s="1" t="n">
        <f aca="false">10^(-0.1443689)</f>
        <v>0.717184838709472</v>
      </c>
      <c r="AC18" s="0" t="n">
        <f aca="false">AB18*B18</f>
        <v>45.8080300180514</v>
      </c>
      <c r="AD18" s="11" t="n">
        <f aca="false">AE18*120</f>
        <v>86.0621806451367</v>
      </c>
      <c r="AE18" s="17" t="n">
        <f aca="false">10^(-0.1443689)</f>
        <v>0.717184838709472</v>
      </c>
      <c r="AF18" s="11" t="n">
        <f aca="false">AE18*B18</f>
        <v>45.8080300180514</v>
      </c>
      <c r="AH18" s="1" t="n">
        <v>14</v>
      </c>
      <c r="AI18" s="0" t="n">
        <f aca="false">AH18/175</f>
        <v>0.08</v>
      </c>
      <c r="AJ18" s="0" t="n">
        <f aca="false">AI18*B18</f>
        <v>5.10976</v>
      </c>
      <c r="AK18" s="1" t="n">
        <v>14</v>
      </c>
      <c r="AL18" s="0" t="n">
        <f aca="false">AK18/175</f>
        <v>0.08</v>
      </c>
      <c r="AM18" s="0" t="n">
        <f aca="false">AL18*B18</f>
        <v>5.10976</v>
      </c>
      <c r="AN18" s="0" t="n">
        <v>1</v>
      </c>
      <c r="AO18" s="0" t="n">
        <f aca="false">AN18/175</f>
        <v>0.00571428571428571</v>
      </c>
      <c r="AP18" s="0" t="n">
        <f aca="false">AO18*B18</f>
        <v>0.364982857142857</v>
      </c>
      <c r="AQ18" s="0" t="n">
        <v>2</v>
      </c>
      <c r="AR18" s="0" t="n">
        <f aca="false">AQ18/120</f>
        <v>0.0166666666666667</v>
      </c>
      <c r="AS18" s="0" t="n">
        <f aca="false">AR18*AM18</f>
        <v>0.0851626666666667</v>
      </c>
      <c r="AT18" s="1" t="n">
        <v>14</v>
      </c>
      <c r="AU18" s="0" t="n">
        <f aca="false">AT18/174</f>
        <v>0.0804597701149425</v>
      </c>
      <c r="AV18" s="0" t="n">
        <f aca="false">AU18*B18</f>
        <v>5.13912643678161</v>
      </c>
      <c r="AW18" s="1" t="n">
        <v>14</v>
      </c>
      <c r="AX18" s="0" t="n">
        <f aca="false">AW18/174</f>
        <v>0.0804597701149425</v>
      </c>
      <c r="AY18" s="0" t="n">
        <f aca="false">AX18*B18</f>
        <v>5.13912643678161</v>
      </c>
    </row>
    <row r="19" customFormat="false" ht="12.8" hidden="false" customHeight="false" outlineLevel="0" collapsed="false">
      <c r="A19" s="0" t="s">
        <v>337</v>
      </c>
      <c r="B19" s="0" t="n">
        <v>19.8</v>
      </c>
      <c r="C19" s="1" t="n">
        <v>20</v>
      </c>
      <c r="D19" s="0" t="n">
        <f aca="false">C19/120</f>
        <v>0.166666666666667</v>
      </c>
      <c r="E19" s="0" t="n">
        <f aca="false">D19*B19</f>
        <v>3.3</v>
      </c>
      <c r="F19" s="0" t="n">
        <v>2</v>
      </c>
      <c r="G19" s="1" t="n">
        <f aca="false">F19/120</f>
        <v>0.0166666666666667</v>
      </c>
      <c r="H19" s="0" t="n">
        <f aca="false">G19*B19</f>
        <v>0.33</v>
      </c>
      <c r="I19" s="11" t="n">
        <v>7</v>
      </c>
      <c r="J19" s="17" t="n">
        <f aca="false">I19/120</f>
        <v>0.0583333333333333</v>
      </c>
      <c r="K19" s="11" t="n">
        <f aca="false">J19*B19</f>
        <v>1.155</v>
      </c>
      <c r="L19" s="0" t="n">
        <v>5</v>
      </c>
      <c r="M19" s="0" t="n">
        <f aca="false">L19/120</f>
        <v>0.0416666666666667</v>
      </c>
      <c r="N19" s="0" t="n">
        <f aca="false">M19*B19</f>
        <v>0.825</v>
      </c>
      <c r="O19" s="0" t="n">
        <v>5</v>
      </c>
      <c r="P19" s="0" t="n">
        <f aca="false">O19/120</f>
        <v>0.0416666666666667</v>
      </c>
      <c r="Q19" s="0" t="n">
        <f aca="false">P19*B19</f>
        <v>0.825</v>
      </c>
      <c r="R19" s="0" t="n">
        <f aca="false">S19*120</f>
        <v>205.512265145836</v>
      </c>
      <c r="S19" s="1" t="n">
        <f aca="false">10^(0.2336565)</f>
        <v>1.71260220954864</v>
      </c>
      <c r="T19" s="0" t="n">
        <f aca="false">S19*B19</f>
        <v>33.909523749063</v>
      </c>
      <c r="U19" s="0" t="n">
        <v>2</v>
      </c>
      <c r="V19" s="0" t="n">
        <f aca="false">U19/120</f>
        <v>0.0166666666666667</v>
      </c>
      <c r="W19" s="0" t="n">
        <f aca="false">V19*B19</f>
        <v>0.33</v>
      </c>
      <c r="X19" s="11" t="n">
        <v>7</v>
      </c>
      <c r="Y19" s="11" t="n">
        <f aca="false">X19/120</f>
        <v>0.0583333333333333</v>
      </c>
      <c r="Z19" s="11" t="n">
        <f aca="false">Y19*B19</f>
        <v>1.155</v>
      </c>
      <c r="AA19" s="0" t="n">
        <f aca="false">AB19*120</f>
        <v>205.512265145836</v>
      </c>
      <c r="AB19" s="1" t="n">
        <f aca="false">10^(0.2336565)</f>
        <v>1.71260220954864</v>
      </c>
      <c r="AC19" s="0" t="n">
        <f aca="false">AB19*B19</f>
        <v>33.909523749063</v>
      </c>
      <c r="AD19" s="11" t="n">
        <f aca="false">AE19*120</f>
        <v>205.512265145836</v>
      </c>
      <c r="AE19" s="17" t="n">
        <f aca="false">10^(0.2336565)</f>
        <v>1.71260220954864</v>
      </c>
      <c r="AF19" s="11" t="n">
        <f aca="false">AE19*B19</f>
        <v>33.909523749063</v>
      </c>
      <c r="AH19" s="1" t="n">
        <v>18</v>
      </c>
      <c r="AI19" s="0" t="n">
        <f aca="false">AH19/175</f>
        <v>0.102857142857143</v>
      </c>
      <c r="AJ19" s="0" t="n">
        <f aca="false">AI19*B19</f>
        <v>2.03657142857143</v>
      </c>
      <c r="AK19" s="1" t="n">
        <v>18</v>
      </c>
      <c r="AL19" s="0" t="n">
        <f aca="false">AK19/175</f>
        <v>0.102857142857143</v>
      </c>
      <c r="AM19" s="0" t="n">
        <f aca="false">AL19*B19</f>
        <v>2.03657142857143</v>
      </c>
      <c r="AN19" s="0" t="n">
        <v>2</v>
      </c>
      <c r="AO19" s="0" t="n">
        <f aca="false">AN19/175</f>
        <v>0.0114285714285714</v>
      </c>
      <c r="AP19" s="0" t="n">
        <f aca="false">AO19*B19</f>
        <v>0.226285714285714</v>
      </c>
      <c r="AQ19" s="0" t="n">
        <v>5</v>
      </c>
      <c r="AR19" s="0" t="n">
        <f aca="false">AQ19/120</f>
        <v>0.0416666666666667</v>
      </c>
      <c r="AS19" s="0" t="n">
        <f aca="false">AR19*AM19</f>
        <v>0.0848571428571429</v>
      </c>
      <c r="AT19" s="1" t="n">
        <v>18</v>
      </c>
      <c r="AU19" s="0" t="n">
        <f aca="false">AT19/174</f>
        <v>0.103448275862069</v>
      </c>
      <c r="AV19" s="0" t="n">
        <f aca="false">AU19*B19</f>
        <v>2.04827586206897</v>
      </c>
      <c r="AW19" s="1" t="n">
        <v>18</v>
      </c>
      <c r="AX19" s="0" t="n">
        <f aca="false">AW19/174</f>
        <v>0.103448275862069</v>
      </c>
      <c r="AY19" s="0" t="n">
        <f aca="false">AX19*B19</f>
        <v>2.04827586206897</v>
      </c>
    </row>
    <row r="20" customFormat="false" ht="12.8" hidden="false" customHeight="false" outlineLevel="0" collapsed="false">
      <c r="A20" s="3" t="s">
        <v>338</v>
      </c>
      <c r="B20" s="0" t="n">
        <f aca="false">AVERAGE(B17:B19)</f>
        <v>59.8906666666667</v>
      </c>
      <c r="C20" s="1" t="n">
        <v>25</v>
      </c>
      <c r="D20" s="0" t="n">
        <f aca="false">C20/120</f>
        <v>0.208333333333333</v>
      </c>
      <c r="E20" s="0" t="n">
        <f aca="false">D20*B20</f>
        <v>12.4772222222222</v>
      </c>
      <c r="F20" s="0" t="n">
        <v>3</v>
      </c>
      <c r="G20" s="1" t="n">
        <f aca="false">F20/120</f>
        <v>0.025</v>
      </c>
      <c r="H20" s="0" t="n">
        <f aca="false">G20*B20</f>
        <v>1.49726666666667</v>
      </c>
      <c r="I20" s="11" t="n">
        <v>12</v>
      </c>
      <c r="J20" s="17" t="n">
        <f aca="false">I20/120</f>
        <v>0.1</v>
      </c>
      <c r="K20" s="11" t="n">
        <f aca="false">J20*E20</f>
        <v>1.24772222222222</v>
      </c>
      <c r="L20" s="0" t="n">
        <v>1</v>
      </c>
      <c r="M20" s="0" t="n">
        <f aca="false">L20/120</f>
        <v>0.00833333333333333</v>
      </c>
      <c r="N20" s="0" t="n">
        <f aca="false">M20*B20</f>
        <v>0.499088888888889</v>
      </c>
      <c r="O20" s="0" t="n">
        <v>1</v>
      </c>
      <c r="P20" s="0" t="n">
        <f aca="false">O20/120</f>
        <v>0.00833333333333333</v>
      </c>
      <c r="Q20" s="0" t="n">
        <f aca="false">P20*B20</f>
        <v>0.499088888888889</v>
      </c>
      <c r="R20" s="0" t="s">
        <v>74</v>
      </c>
      <c r="S20" s="1" t="s">
        <v>74</v>
      </c>
      <c r="T20" s="0" t="s">
        <v>74</v>
      </c>
      <c r="U20" s="0" t="n">
        <v>3</v>
      </c>
      <c r="V20" s="0" t="n">
        <f aca="false">U20/120</f>
        <v>0.025</v>
      </c>
      <c r="W20" s="0" t="n">
        <f aca="false">V20*B20</f>
        <v>1.49726666666667</v>
      </c>
      <c r="X20" s="11" t="n">
        <v>12</v>
      </c>
      <c r="Y20" s="11" t="n">
        <f aca="false">X20/120</f>
        <v>0.1</v>
      </c>
      <c r="Z20" s="11" t="n">
        <f aca="false">Y20*B20</f>
        <v>5.98906666666667</v>
      </c>
      <c r="AA20" s="0" t="s">
        <v>74</v>
      </c>
      <c r="AB20" s="1" t="s">
        <v>74</v>
      </c>
      <c r="AC20" s="0" t="s">
        <v>74</v>
      </c>
      <c r="AD20" s="11" t="s">
        <v>74</v>
      </c>
      <c r="AE20" s="17" t="s">
        <v>74</v>
      </c>
      <c r="AF20" s="11" t="s">
        <v>74</v>
      </c>
      <c r="AH20" s="1" t="n">
        <v>28</v>
      </c>
      <c r="AI20" s="0" t="n">
        <f aca="false">AH20/175</f>
        <v>0.16</v>
      </c>
      <c r="AJ20" s="0" t="n">
        <f aca="false">AI20*B20</f>
        <v>9.58250666666667</v>
      </c>
      <c r="AK20" s="1" t="n">
        <v>28</v>
      </c>
      <c r="AL20" s="0" t="n">
        <f aca="false">AK20/175</f>
        <v>0.16</v>
      </c>
      <c r="AM20" s="0" t="n">
        <f aca="false">AL20*B20</f>
        <v>9.58250666666667</v>
      </c>
      <c r="AN20" s="0" t="n">
        <v>3</v>
      </c>
      <c r="AO20" s="0" t="n">
        <f aca="false">AN20/175</f>
        <v>0.0171428571428571</v>
      </c>
      <c r="AP20" s="0" t="n">
        <f aca="false">AO20*B20</f>
        <v>1.02669714285714</v>
      </c>
      <c r="AQ20" s="0" t="n">
        <v>12</v>
      </c>
      <c r="AR20" s="0" t="n">
        <f aca="false">AQ20/120</f>
        <v>0.1</v>
      </c>
      <c r="AS20" s="0" t="n">
        <f aca="false">AR20*AM20</f>
        <v>0.958250666666667</v>
      </c>
      <c r="AT20" s="1" t="n">
        <v>28</v>
      </c>
      <c r="AU20" s="0" t="n">
        <f aca="false">AT20/174</f>
        <v>0.160919540229885</v>
      </c>
      <c r="AV20" s="0" t="n">
        <f aca="false">AU20*B20</f>
        <v>9.6375785440613</v>
      </c>
      <c r="AW20" s="1" t="n">
        <v>28</v>
      </c>
      <c r="AX20" s="0" t="n">
        <f aca="false">AW20/174</f>
        <v>0.160919540229885</v>
      </c>
      <c r="AY20" s="0" t="n">
        <f aca="false">AX20*B20</f>
        <v>9.6375785440613</v>
      </c>
    </row>
    <row r="21" customFormat="false" ht="12.8" hidden="false" customHeight="false" outlineLevel="0" collapsed="false">
      <c r="A21" s="3" t="s">
        <v>339</v>
      </c>
      <c r="B21" s="0" t="s">
        <v>74</v>
      </c>
      <c r="C21" s="1" t="n">
        <f aca="false">SUM(C17:C20)</f>
        <v>72</v>
      </c>
      <c r="D21" s="0" t="n">
        <f aca="false">C21/120</f>
        <v>0.6</v>
      </c>
      <c r="E21" s="3" t="n">
        <f aca="false">SUM(E17:E20)</f>
        <v>33.6289555555556</v>
      </c>
      <c r="F21" s="0" t="n">
        <f aca="false">SUM(F17:F20)</f>
        <v>7</v>
      </c>
      <c r="G21" s="1" t="n">
        <f aca="false">F21/120</f>
        <v>0.0583333333333333</v>
      </c>
      <c r="H21" s="3" t="n">
        <f aca="false">SUM(H17:H20)</f>
        <v>3.15953333333333</v>
      </c>
      <c r="I21" s="11" t="n">
        <f aca="false">SUM(I17:I20)</f>
        <v>27</v>
      </c>
      <c r="J21" s="17" t="n">
        <f aca="false">I21/120</f>
        <v>0.225</v>
      </c>
      <c r="K21" s="16" t="n">
        <f aca="false">SUM(K17:K20)</f>
        <v>7.73178888888889</v>
      </c>
      <c r="L21" s="3" t="n">
        <f aca="false">SUM(L17:L20)</f>
        <v>14</v>
      </c>
      <c r="M21" s="0" t="n">
        <f aca="false">L21/120</f>
        <v>0.116666666666667</v>
      </c>
      <c r="N21" s="3" t="n">
        <f aca="false">SUM(N17:N20)</f>
        <v>6.38542222222222</v>
      </c>
      <c r="O21" s="3" t="n">
        <f aca="false">SUM(O17:O20)</f>
        <v>14</v>
      </c>
      <c r="P21" s="0" t="n">
        <f aca="false">O21/120</f>
        <v>0.116666666666667</v>
      </c>
      <c r="Q21" s="3" t="n">
        <f aca="false">SUM(Q17:Q20)</f>
        <v>6.38542222222222</v>
      </c>
      <c r="R21" s="3"/>
      <c r="S21" s="1" t="n">
        <f aca="false">SUM(S17:S20)</f>
        <v>2.9580287702443</v>
      </c>
      <c r="T21" s="3" t="n">
        <f aca="false">SUM(T17:T20)</f>
        <v>130.428759077789</v>
      </c>
      <c r="U21" s="0" t="n">
        <f aca="false">SUM(U17:U20)</f>
        <v>7</v>
      </c>
      <c r="V21" s="0" t="n">
        <f aca="false">U21/120</f>
        <v>0.0583333333333333</v>
      </c>
      <c r="W21" s="3" t="n">
        <f aca="false">SUM(W17:W20)</f>
        <v>3.15953333333333</v>
      </c>
      <c r="X21" s="11" t="n">
        <f aca="false">SUM(X17:X20)</f>
        <v>27</v>
      </c>
      <c r="Y21" s="11" t="n">
        <f aca="false">X21/120</f>
        <v>0.225</v>
      </c>
      <c r="Z21" s="16" t="n">
        <f aca="false">SUM(Z17:Z20)</f>
        <v>12.4731333333333</v>
      </c>
      <c r="AA21" s="3"/>
      <c r="AB21" s="1" t="n">
        <f aca="false">SUM(AB17:AB20)</f>
        <v>2.9580287702443</v>
      </c>
      <c r="AC21" s="3" t="n">
        <f aca="false">SUM(AC17:AC20)</f>
        <v>130.428759077789</v>
      </c>
      <c r="AD21" s="16"/>
      <c r="AE21" s="17" t="n">
        <f aca="false">SUM(AE17:AE20)</f>
        <v>2.9580287702443</v>
      </c>
      <c r="AF21" s="16" t="n">
        <f aca="false">SUM(AF17:AF20)</f>
        <v>130.428759077789</v>
      </c>
      <c r="AG21" s="3"/>
      <c r="AH21" s="3" t="n">
        <f aca="false">SUM(AH17:AH20)</f>
        <v>72</v>
      </c>
      <c r="AI21" s="0" t="n">
        <f aca="false">AH21/175</f>
        <v>0.411428571428571</v>
      </c>
      <c r="AJ21" s="3" t="n">
        <f aca="false">SUM(AJ17:AJ20)</f>
        <v>23.3116952380952</v>
      </c>
      <c r="AK21" s="3" t="n">
        <f aca="false">SUM(AK17:AK20)</f>
        <v>72</v>
      </c>
      <c r="AL21" s="0" t="n">
        <f aca="false">AK21/175</f>
        <v>0.411428571428571</v>
      </c>
      <c r="AM21" s="3" t="n">
        <f aca="false">SUM(AM17:AM20)</f>
        <v>23.3116952380952</v>
      </c>
      <c r="AN21" s="0" t="n">
        <f aca="false">SUM(AN17:AN20)</f>
        <v>7</v>
      </c>
      <c r="AO21" s="0" t="n">
        <f aca="false">AN21/175</f>
        <v>0.04</v>
      </c>
      <c r="AP21" s="3" t="n">
        <f aca="false">SUM(AP17:AP20)</f>
        <v>2.16653714285714</v>
      </c>
      <c r="AQ21" s="3" t="n">
        <f aca="false">SUM(AQ17:AQ20)</f>
        <v>21</v>
      </c>
      <c r="AR21" s="0" t="n">
        <f aca="false">AQ21/120</f>
        <v>0.175</v>
      </c>
      <c r="AS21" s="3" t="n">
        <f aca="false">SUM(AS17:AS20)</f>
        <v>1.23798476190476</v>
      </c>
      <c r="AT21" s="1" t="n">
        <f aca="false">SUM(AT17:AT20)</f>
        <v>72</v>
      </c>
      <c r="AU21" s="0" t="n">
        <f aca="false">AT21/174</f>
        <v>0.413793103448276</v>
      </c>
      <c r="AV21" s="3" t="n">
        <f aca="false">SUM(AV17:AV20)</f>
        <v>23.4456704980843</v>
      </c>
      <c r="AW21" s="1" t="n">
        <f aca="false">SUM(AW17:AW20)</f>
        <v>72</v>
      </c>
      <c r="AX21" s="0" t="n">
        <f aca="false">AW21/174</f>
        <v>0.413793103448276</v>
      </c>
      <c r="AY21" s="3" t="n">
        <f aca="false">SUM(AY17:AY20)</f>
        <v>23.4456704980843</v>
      </c>
    </row>
    <row r="22" customFormat="false" ht="12.8" hidden="false" customHeight="false" outlineLevel="0" collapsed="false">
      <c r="A22" s="0" t="s">
        <v>340</v>
      </c>
      <c r="B22" s="0" t="n">
        <v>10.3284</v>
      </c>
      <c r="C22" s="0" t="n">
        <v>1</v>
      </c>
      <c r="D22" s="0" t="n">
        <f aca="false">C22/120</f>
        <v>0.00833333333333333</v>
      </c>
      <c r="E22" s="0" t="n">
        <f aca="false">D22*B22</f>
        <v>0.08607</v>
      </c>
      <c r="F22" s="0" t="n">
        <v>0</v>
      </c>
      <c r="G22" s="1" t="n">
        <f aca="false">F22/120</f>
        <v>0</v>
      </c>
      <c r="H22" s="0" t="n">
        <f aca="false">G22*B22</f>
        <v>0</v>
      </c>
      <c r="I22" s="11" t="n">
        <v>0</v>
      </c>
      <c r="J22" s="17" t="n">
        <f aca="false">I22/120</f>
        <v>0</v>
      </c>
      <c r="K22" s="11" t="n">
        <f aca="false">J22*B22</f>
        <v>0</v>
      </c>
      <c r="L22" s="0" t="n">
        <v>0</v>
      </c>
      <c r="M22" s="0" t="n">
        <f aca="false">L22/120</f>
        <v>0</v>
      </c>
      <c r="N22" s="0" t="n">
        <v>0</v>
      </c>
      <c r="O22" s="0" t="n">
        <v>0</v>
      </c>
      <c r="P22" s="0" t="n">
        <f aca="false">O22/120</f>
        <v>0</v>
      </c>
      <c r="Q22" s="0" t="n">
        <f aca="false">P22*B22</f>
        <v>0</v>
      </c>
      <c r="R22" s="0" t="n">
        <f aca="false">S22*120</f>
        <v>20.019836379398</v>
      </c>
      <c r="S22" s="0" t="n">
        <f aca="false">S26*26/(26+26+19+3+47)</f>
        <v>0.166831969828316</v>
      </c>
      <c r="T22" s="0" t="n">
        <f aca="false">S22*B22</f>
        <v>1.72310731717478</v>
      </c>
      <c r="U22" s="0" t="n">
        <v>0</v>
      </c>
      <c r="V22" s="0" t="n">
        <f aca="false">U22/120</f>
        <v>0</v>
      </c>
      <c r="W22" s="0" t="n">
        <f aca="false">V22*B22</f>
        <v>0</v>
      </c>
      <c r="X22" s="11" t="n">
        <v>0</v>
      </c>
      <c r="Y22" s="11" t="n">
        <f aca="false">X22/120</f>
        <v>0</v>
      </c>
      <c r="Z22" s="11" t="n">
        <f aca="false">Y22*B22</f>
        <v>0</v>
      </c>
      <c r="AA22" s="0" t="n">
        <f aca="false">AB22*120</f>
        <v>20.019836379398</v>
      </c>
      <c r="AB22" s="0" t="n">
        <f aca="false">AB26*26/(26+26+19+3+47)</f>
        <v>0.166831969828316</v>
      </c>
      <c r="AC22" s="0" t="n">
        <f aca="false">AB22*B22</f>
        <v>1.72310731717478</v>
      </c>
      <c r="AD22" s="11" t="n">
        <f aca="false">AE22*120</f>
        <v>20.019836379398</v>
      </c>
      <c r="AE22" s="11" t="n">
        <f aca="false">AE26*26/(26+26+19+3+47)</f>
        <v>0.166831969828316</v>
      </c>
      <c r="AF22" s="11" t="n">
        <f aca="false">AE22*B22</f>
        <v>1.72310731717478</v>
      </c>
      <c r="AH22" s="0" t="n">
        <v>1</v>
      </c>
      <c r="AI22" s="0" t="n">
        <f aca="false">AH22/175</f>
        <v>0.00571428571428571</v>
      </c>
      <c r="AJ22" s="0" t="n">
        <f aca="false">AI22*B22</f>
        <v>0.0590194285714286</v>
      </c>
      <c r="AK22" s="0" t="n">
        <v>1</v>
      </c>
      <c r="AL22" s="0" t="n">
        <f aca="false">AK22/175</f>
        <v>0.00571428571428571</v>
      </c>
      <c r="AM22" s="0" t="n">
        <f aca="false">AL22*B22</f>
        <v>0.0590194285714286</v>
      </c>
      <c r="AN22" s="0" t="n">
        <v>0</v>
      </c>
      <c r="AO22" s="0" t="n">
        <f aca="false">AN22/175</f>
        <v>0</v>
      </c>
      <c r="AP22" s="0" t="n">
        <v>0</v>
      </c>
      <c r="AQ22" s="0" t="n">
        <v>0</v>
      </c>
      <c r="AR22" s="0" t="n">
        <f aca="false">AQ22/120</f>
        <v>0</v>
      </c>
      <c r="AS22" s="0" t="n">
        <v>0</v>
      </c>
      <c r="AT22" s="0" t="n">
        <v>1</v>
      </c>
      <c r="AU22" s="0" t="n">
        <f aca="false">AT22/174</f>
        <v>0.00574712643678161</v>
      </c>
      <c r="AV22" s="0" t="n">
        <f aca="false">AU22*B22</f>
        <v>0.0593586206896552</v>
      </c>
      <c r="AW22" s="0" t="n">
        <v>1</v>
      </c>
      <c r="AX22" s="0" t="n">
        <f aca="false">AW22/174</f>
        <v>0.00574712643678161</v>
      </c>
      <c r="AY22" s="0" t="n">
        <f aca="false">AX22*B22</f>
        <v>0.0593586206896552</v>
      </c>
    </row>
    <row r="23" customFormat="false" ht="12.8" hidden="false" customHeight="false" outlineLevel="0" collapsed="false">
      <c r="A23" s="0" t="s">
        <v>341</v>
      </c>
      <c r="B23" s="0" t="n">
        <v>10.1954</v>
      </c>
      <c r="C23" s="1" t="n">
        <v>0</v>
      </c>
      <c r="D23" s="0" t="n">
        <f aca="false">C23/120</f>
        <v>0</v>
      </c>
      <c r="E23" s="0" t="n">
        <f aca="false">D23*B23</f>
        <v>0</v>
      </c>
      <c r="F23" s="0" t="n">
        <v>0</v>
      </c>
      <c r="G23" s="1" t="n">
        <f aca="false">F23/120</f>
        <v>0</v>
      </c>
      <c r="H23" s="0" t="n">
        <f aca="false">G23*B23</f>
        <v>0</v>
      </c>
      <c r="I23" s="11" t="n">
        <v>0</v>
      </c>
      <c r="J23" s="17" t="n">
        <f aca="false">I23/120</f>
        <v>0</v>
      </c>
      <c r="K23" s="11" t="n">
        <f aca="false">J23*B23</f>
        <v>0</v>
      </c>
      <c r="L23" s="0" t="n">
        <v>0</v>
      </c>
      <c r="M23" s="0" t="n">
        <f aca="false">L23/120</f>
        <v>0</v>
      </c>
      <c r="N23" s="0" t="n">
        <f aca="false">M23*B23</f>
        <v>0</v>
      </c>
      <c r="O23" s="0" t="n">
        <v>0</v>
      </c>
      <c r="P23" s="0" t="n">
        <f aca="false">O23/120</f>
        <v>0</v>
      </c>
      <c r="Q23" s="0" t="n">
        <f aca="false">P23*B23</f>
        <v>0</v>
      </c>
      <c r="R23" s="0" t="n">
        <f aca="false">S23*120</f>
        <v>20.019836379398</v>
      </c>
      <c r="S23" s="0" t="n">
        <f aca="false">S26*26/(26+26+19+3+47)</f>
        <v>0.166831969828316</v>
      </c>
      <c r="T23" s="0" t="n">
        <f aca="false">S23*B23</f>
        <v>1.70091866518762</v>
      </c>
      <c r="U23" s="0" t="n">
        <v>0</v>
      </c>
      <c r="V23" s="0" t="n">
        <f aca="false">U23/120</f>
        <v>0</v>
      </c>
      <c r="W23" s="0" t="n">
        <f aca="false">V23*B23</f>
        <v>0</v>
      </c>
      <c r="X23" s="11" t="n">
        <v>0</v>
      </c>
      <c r="Y23" s="11" t="n">
        <f aca="false">X23/120</f>
        <v>0</v>
      </c>
      <c r="Z23" s="11" t="n">
        <f aca="false">Y23*B23</f>
        <v>0</v>
      </c>
      <c r="AA23" s="0" t="n">
        <f aca="false">AB23*120</f>
        <v>20.019836379398</v>
      </c>
      <c r="AB23" s="0" t="n">
        <f aca="false">AB26*26/(26+26+19+3+47)</f>
        <v>0.166831969828316</v>
      </c>
      <c r="AC23" s="0" t="n">
        <f aca="false">AB23*B23</f>
        <v>1.70091866518762</v>
      </c>
      <c r="AD23" s="11" t="n">
        <f aca="false">AE23*120</f>
        <v>20.019836379398</v>
      </c>
      <c r="AE23" s="11" t="n">
        <f aca="false">AE26*26/(26+26+19+3+47)</f>
        <v>0.166831969828316</v>
      </c>
      <c r="AF23" s="11" t="n">
        <f aca="false">AE23*B23</f>
        <v>1.70091866518762</v>
      </c>
      <c r="AH23" s="1" t="n">
        <v>0</v>
      </c>
      <c r="AI23" s="0" t="n">
        <f aca="false">AH23/175</f>
        <v>0</v>
      </c>
      <c r="AJ23" s="0" t="n">
        <f aca="false">AI23*B23</f>
        <v>0</v>
      </c>
      <c r="AK23" s="1" t="n">
        <v>0</v>
      </c>
      <c r="AL23" s="0" t="n">
        <f aca="false">AK23/175</f>
        <v>0</v>
      </c>
      <c r="AM23" s="0" t="n">
        <f aca="false">AL23*B23</f>
        <v>0</v>
      </c>
      <c r="AN23" s="0" t="n">
        <v>0</v>
      </c>
      <c r="AO23" s="0" t="n">
        <f aca="false">AN23/175</f>
        <v>0</v>
      </c>
      <c r="AP23" s="0" t="n">
        <f aca="false">AO23*B23</f>
        <v>0</v>
      </c>
      <c r="AQ23" s="0" t="n">
        <v>0</v>
      </c>
      <c r="AR23" s="0" t="n">
        <f aca="false">AQ23/120</f>
        <v>0</v>
      </c>
      <c r="AS23" s="0" t="n">
        <v>0</v>
      </c>
      <c r="AT23" s="1" t="n">
        <f aca="false">32*(52/(47+19+3+52))</f>
        <v>13.7520661157025</v>
      </c>
      <c r="AU23" s="0" t="n">
        <f aca="false">AT23/174</f>
        <v>0.0790348627339223</v>
      </c>
      <c r="AV23" s="0" t="n">
        <f aca="false">AU23*B23</f>
        <v>0.805792039517431</v>
      </c>
      <c r="AW23" s="1" t="n">
        <v>0</v>
      </c>
      <c r="AX23" s="0" t="n">
        <f aca="false">AW23/174</f>
        <v>0</v>
      </c>
      <c r="AY23" s="0" t="n">
        <f aca="false">AX23*B23</f>
        <v>0</v>
      </c>
    </row>
    <row r="24" customFormat="false" ht="12.8" hidden="false" customHeight="false" outlineLevel="0" collapsed="false">
      <c r="A24" s="0" t="s">
        <v>342</v>
      </c>
      <c r="B24" s="0" t="n">
        <v>45</v>
      </c>
      <c r="C24" s="1" t="n">
        <v>0</v>
      </c>
      <c r="D24" s="0" t="n">
        <f aca="false">C24/120</f>
        <v>0</v>
      </c>
      <c r="E24" s="0" t="n">
        <f aca="false">D24*B24</f>
        <v>0</v>
      </c>
      <c r="F24" s="0" t="n">
        <v>0</v>
      </c>
      <c r="G24" s="1" t="n">
        <f aca="false">F24/120</f>
        <v>0</v>
      </c>
      <c r="H24" s="0" t="n">
        <f aca="false">G24*B24</f>
        <v>0</v>
      </c>
      <c r="I24" s="11" t="n">
        <v>0</v>
      </c>
      <c r="J24" s="17" t="n">
        <f aca="false">I24/120</f>
        <v>0</v>
      </c>
      <c r="K24" s="11" t="n">
        <f aca="false">J24*B24</f>
        <v>0</v>
      </c>
      <c r="L24" s="0" t="n">
        <v>0</v>
      </c>
      <c r="M24" s="0" t="n">
        <f aca="false">L24/120</f>
        <v>0</v>
      </c>
      <c r="N24" s="0" t="n">
        <f aca="false">M24*B24</f>
        <v>0</v>
      </c>
      <c r="O24" s="0" t="n">
        <v>0</v>
      </c>
      <c r="P24" s="0" t="n">
        <f aca="false">O24/120</f>
        <v>0</v>
      </c>
      <c r="Q24" s="0" t="n">
        <f aca="false">P24*B24</f>
        <v>0</v>
      </c>
      <c r="R24" s="0" t="n">
        <f aca="false">S24*120</f>
        <v>14.6298804310985</v>
      </c>
      <c r="S24" s="0" t="n">
        <f aca="false">S26*19/(26+26+19+3+47)</f>
        <v>0.121915670259154</v>
      </c>
      <c r="T24" s="0" t="n">
        <f aca="false">S24*B24</f>
        <v>5.48620516166194</v>
      </c>
      <c r="U24" s="0" t="n">
        <v>0</v>
      </c>
      <c r="V24" s="0" t="n">
        <f aca="false">U24/120</f>
        <v>0</v>
      </c>
      <c r="W24" s="0" t="n">
        <f aca="false">V24*B24</f>
        <v>0</v>
      </c>
      <c r="X24" s="11" t="n">
        <v>0</v>
      </c>
      <c r="Y24" s="11" t="n">
        <f aca="false">X24/120</f>
        <v>0</v>
      </c>
      <c r="Z24" s="11" t="n">
        <f aca="false">Y24*B24</f>
        <v>0</v>
      </c>
      <c r="AA24" s="0" t="n">
        <f aca="false">AB24*120</f>
        <v>14.6298804310985</v>
      </c>
      <c r="AB24" s="0" t="n">
        <f aca="false">AB26*19/(26+26+19+3+47)</f>
        <v>0.121915670259154</v>
      </c>
      <c r="AC24" s="0" t="n">
        <f aca="false">AB24*B24</f>
        <v>5.48620516166194</v>
      </c>
      <c r="AD24" s="11" t="n">
        <f aca="false">AE24*120</f>
        <v>14.6298804310985</v>
      </c>
      <c r="AE24" s="11" t="n">
        <f aca="false">AE26*19/(26+26+19+3+47)</f>
        <v>0.121915670259154</v>
      </c>
      <c r="AF24" s="11" t="n">
        <f aca="false">AE24*B24</f>
        <v>5.48620516166194</v>
      </c>
      <c r="AH24" s="1" t="n">
        <v>0</v>
      </c>
      <c r="AI24" s="0" t="n">
        <f aca="false">AH24/175</f>
        <v>0</v>
      </c>
      <c r="AJ24" s="0" t="n">
        <f aca="false">AI24*B24</f>
        <v>0</v>
      </c>
      <c r="AK24" s="1" t="n">
        <v>0</v>
      </c>
      <c r="AL24" s="0" t="n">
        <f aca="false">AK24/175</f>
        <v>0</v>
      </c>
      <c r="AM24" s="0" t="n">
        <f aca="false">AL24*B24</f>
        <v>0</v>
      </c>
      <c r="AN24" s="0" t="n">
        <v>0</v>
      </c>
      <c r="AO24" s="0" t="n">
        <f aca="false">AN24/175</f>
        <v>0</v>
      </c>
      <c r="AP24" s="0" t="n">
        <f aca="false">AO24*B24</f>
        <v>0</v>
      </c>
      <c r="AQ24" s="0" t="n">
        <v>0</v>
      </c>
      <c r="AR24" s="0" t="n">
        <f aca="false">AQ24/120</f>
        <v>0</v>
      </c>
      <c r="AS24" s="0" t="n">
        <v>0</v>
      </c>
      <c r="AT24" s="1" t="n">
        <f aca="false">32*(19/(47+19+3+52))</f>
        <v>5.02479338842975</v>
      </c>
      <c r="AU24" s="0" t="n">
        <f aca="false">AT24/174</f>
        <v>0.0288781229220101</v>
      </c>
      <c r="AV24" s="0" t="n">
        <f aca="false">AU24*B24</f>
        <v>1.29951553149045</v>
      </c>
      <c r="AW24" s="1" t="n">
        <v>0</v>
      </c>
      <c r="AX24" s="0" t="n">
        <f aca="false">AW24/174</f>
        <v>0</v>
      </c>
      <c r="AY24" s="0" t="n">
        <f aca="false">AX24*B24</f>
        <v>0</v>
      </c>
    </row>
    <row r="25" customFormat="false" ht="12.8" hidden="false" customHeight="false" outlineLevel="0" collapsed="false">
      <c r="A25" s="0" t="s">
        <v>343</v>
      </c>
      <c r="B25" s="0" t="n">
        <v>47.3759</v>
      </c>
      <c r="C25" s="1" t="n">
        <v>0</v>
      </c>
      <c r="D25" s="0" t="n">
        <f aca="false">C25/120</f>
        <v>0</v>
      </c>
      <c r="E25" s="0" t="n">
        <f aca="false">D25*B25</f>
        <v>0</v>
      </c>
      <c r="F25" s="0" t="n">
        <v>0</v>
      </c>
      <c r="G25" s="1" t="n">
        <f aca="false">F25/120</f>
        <v>0</v>
      </c>
      <c r="H25" s="0" t="n">
        <f aca="false">G25*B25</f>
        <v>0</v>
      </c>
      <c r="I25" s="11" t="n">
        <v>0</v>
      </c>
      <c r="J25" s="17" t="n">
        <f aca="false">I25/120</f>
        <v>0</v>
      </c>
      <c r="K25" s="11" t="n">
        <f aca="false">J25*B25</f>
        <v>0</v>
      </c>
      <c r="L25" s="0" t="n">
        <v>0</v>
      </c>
      <c r="M25" s="0" t="n">
        <f aca="false">L25/120</f>
        <v>0</v>
      </c>
      <c r="N25" s="0" t="n">
        <f aca="false">M25*B25</f>
        <v>0</v>
      </c>
      <c r="O25" s="0" t="n">
        <v>0</v>
      </c>
      <c r="P25" s="0" t="n">
        <f aca="false">O25/120</f>
        <v>0</v>
      </c>
      <c r="Q25" s="0" t="n">
        <f aca="false">P25*B25</f>
        <v>0</v>
      </c>
      <c r="R25" s="0" t="n">
        <f aca="false">S25*120</f>
        <v>2.30998112069977</v>
      </c>
      <c r="S25" s="0" t="n">
        <f aca="false">S26*3/(26+26+19+3+47)</f>
        <v>0.019249842672498</v>
      </c>
      <c r="T25" s="0" t="n">
        <f aca="false">S25*B25</f>
        <v>0.911978621468</v>
      </c>
      <c r="U25" s="0" t="n">
        <v>0</v>
      </c>
      <c r="V25" s="0" t="n">
        <f aca="false">U25/120</f>
        <v>0</v>
      </c>
      <c r="W25" s="0" t="n">
        <f aca="false">V25*B25</f>
        <v>0</v>
      </c>
      <c r="X25" s="11" t="n">
        <v>0</v>
      </c>
      <c r="Y25" s="11" t="n">
        <f aca="false">X25/120</f>
        <v>0</v>
      </c>
      <c r="Z25" s="11" t="n">
        <f aca="false">Y25*B25</f>
        <v>0</v>
      </c>
      <c r="AA25" s="0" t="n">
        <f aca="false">AB25*120</f>
        <v>2.30998112069977</v>
      </c>
      <c r="AB25" s="0" t="n">
        <f aca="false">AB26*3/(26+26+19+3+47)</f>
        <v>0.019249842672498</v>
      </c>
      <c r="AC25" s="0" t="n">
        <f aca="false">AB25*B25</f>
        <v>0.911978621468</v>
      </c>
      <c r="AD25" s="11" t="n">
        <f aca="false">AE25*120</f>
        <v>2.30998112069977</v>
      </c>
      <c r="AE25" s="11" t="n">
        <f aca="false">AE26*3/(26+26+19+3+47)</f>
        <v>0.019249842672498</v>
      </c>
      <c r="AF25" s="11" t="n">
        <f aca="false">AE25*B25</f>
        <v>0.911978621468</v>
      </c>
      <c r="AH25" s="1" t="n">
        <v>0</v>
      </c>
      <c r="AI25" s="0" t="n">
        <f aca="false">AH25/175</f>
        <v>0</v>
      </c>
      <c r="AJ25" s="0" t="n">
        <f aca="false">AI25*B25</f>
        <v>0</v>
      </c>
      <c r="AK25" s="1" t="n">
        <v>0</v>
      </c>
      <c r="AL25" s="0" t="n">
        <f aca="false">AK25/175</f>
        <v>0</v>
      </c>
      <c r="AM25" s="0" t="n">
        <f aca="false">AL25*B25</f>
        <v>0</v>
      </c>
      <c r="AN25" s="0" t="n">
        <v>0</v>
      </c>
      <c r="AO25" s="0" t="n">
        <f aca="false">AN25/175</f>
        <v>0</v>
      </c>
      <c r="AP25" s="0" t="n">
        <v>0</v>
      </c>
      <c r="AQ25" s="0" t="n">
        <v>0</v>
      </c>
      <c r="AR25" s="0" t="n">
        <f aca="false">AQ25/120</f>
        <v>0</v>
      </c>
      <c r="AS25" s="0" t="n">
        <f aca="false">AR25*AM25</f>
        <v>0</v>
      </c>
      <c r="AT25" s="1" t="n">
        <f aca="false">32*(3/(47+19+3+52))</f>
        <v>0.793388429752066</v>
      </c>
      <c r="AU25" s="0" t="n">
        <f aca="false">AT25/174</f>
        <v>0.00455970361926475</v>
      </c>
      <c r="AV25" s="0" t="n">
        <f aca="false">AU25*B25</f>
        <v>0.216020062695925</v>
      </c>
      <c r="AW25" s="1" t="n">
        <v>0</v>
      </c>
      <c r="AX25" s="0" t="n">
        <f aca="false">AW25/174</f>
        <v>0</v>
      </c>
      <c r="AY25" s="0" t="n">
        <f aca="false">AX25*B25</f>
        <v>0</v>
      </c>
    </row>
    <row r="26" customFormat="false" ht="12.8" hidden="false" customHeight="false" outlineLevel="0" collapsed="false">
      <c r="A26" s="0" t="s">
        <v>127</v>
      </c>
      <c r="B26" s="0" t="n">
        <v>57.447</v>
      </c>
      <c r="C26" s="1" t="n">
        <v>41</v>
      </c>
      <c r="D26" s="0" t="n">
        <f aca="false">C26/120</f>
        <v>0.341666666666667</v>
      </c>
      <c r="E26" s="0" t="n">
        <f aca="false">D26*B26</f>
        <v>19.627725</v>
      </c>
      <c r="F26" s="0" t="n">
        <v>6</v>
      </c>
      <c r="G26" s="1" t="n">
        <f aca="false">F26/120</f>
        <v>0.05</v>
      </c>
      <c r="H26" s="0" t="n">
        <f aca="false">G26*B26</f>
        <v>2.87235</v>
      </c>
      <c r="I26" s="11" t="n">
        <v>14</v>
      </c>
      <c r="J26" s="17" t="n">
        <f aca="false">I26/120</f>
        <v>0.116666666666667</v>
      </c>
      <c r="K26" s="11" t="n">
        <f aca="false">J26*B26</f>
        <v>6.70215</v>
      </c>
      <c r="L26" s="0" t="n">
        <v>7</v>
      </c>
      <c r="M26" s="0" t="n">
        <f aca="false">L26/120</f>
        <v>0.0583333333333333</v>
      </c>
      <c r="N26" s="0" t="n">
        <f aca="false">M26*B26</f>
        <v>3.351075</v>
      </c>
      <c r="O26" s="0" t="n">
        <v>7</v>
      </c>
      <c r="P26" s="0" t="n">
        <f aca="false">O26/120</f>
        <v>0.0583333333333333</v>
      </c>
      <c r="Q26" s="0" t="n">
        <f aca="false">P26*B26</f>
        <v>3.351075</v>
      </c>
      <c r="R26" s="0" t="n">
        <f aca="false">S26*120</f>
        <v>93.1692385348906</v>
      </c>
      <c r="S26" s="1" t="n">
        <f aca="false">10^(-0.1099087)</f>
        <v>0.776410321124088</v>
      </c>
      <c r="T26" s="0" t="n">
        <f aca="false">S26*B26</f>
        <v>44.6024437176155</v>
      </c>
      <c r="U26" s="0" t="n">
        <v>6</v>
      </c>
      <c r="V26" s="0" t="n">
        <f aca="false">U26/120</f>
        <v>0.05</v>
      </c>
      <c r="W26" s="0" t="n">
        <f aca="false">V26*B26</f>
        <v>2.87235</v>
      </c>
      <c r="X26" s="11" t="n">
        <v>14</v>
      </c>
      <c r="Y26" s="11" t="n">
        <f aca="false">X26/120</f>
        <v>0.116666666666667</v>
      </c>
      <c r="Z26" s="11" t="n">
        <f aca="false">Y26*B26</f>
        <v>6.70215</v>
      </c>
      <c r="AA26" s="0" t="n">
        <f aca="false">AB26*120</f>
        <v>93.1692385348906</v>
      </c>
      <c r="AB26" s="1" t="n">
        <f aca="false">10^(-0.1099087)</f>
        <v>0.776410321124088</v>
      </c>
      <c r="AC26" s="0" t="n">
        <f aca="false">AB26*B26</f>
        <v>44.6024437176155</v>
      </c>
      <c r="AD26" s="11" t="n">
        <f aca="false">AE26*120</f>
        <v>93.1692385348906</v>
      </c>
      <c r="AE26" s="17" t="n">
        <f aca="false">10^(-0.1099087)</f>
        <v>0.776410321124088</v>
      </c>
      <c r="AF26" s="11" t="n">
        <f aca="false">AE26*B26</f>
        <v>44.6024437176155</v>
      </c>
      <c r="AH26" s="1" t="n">
        <v>41</v>
      </c>
      <c r="AI26" s="0" t="n">
        <f aca="false">AH26/175</f>
        <v>0.234285714285714</v>
      </c>
      <c r="AJ26" s="0" t="n">
        <f aca="false">AI26*B26</f>
        <v>13.4590114285714</v>
      </c>
      <c r="AK26" s="1" t="n">
        <v>41</v>
      </c>
      <c r="AL26" s="0" t="n">
        <f aca="false">AK26/175</f>
        <v>0.234285714285714</v>
      </c>
      <c r="AM26" s="0" t="n">
        <f aca="false">AL26*B26</f>
        <v>13.4590114285714</v>
      </c>
      <c r="AN26" s="0" t="n">
        <v>6</v>
      </c>
      <c r="AO26" s="0" t="n">
        <f aca="false">AN26/175</f>
        <v>0.0342857142857143</v>
      </c>
      <c r="AP26" s="0" t="n">
        <f aca="false">AO26*B26</f>
        <v>1.96961142857143</v>
      </c>
      <c r="AQ26" s="0" t="n">
        <v>6</v>
      </c>
      <c r="AR26" s="0" t="n">
        <f aca="false">AQ26/120</f>
        <v>0.05</v>
      </c>
      <c r="AS26" s="0" t="n">
        <f aca="false">AR26*AM26</f>
        <v>0.672950571428572</v>
      </c>
      <c r="AT26" s="1" t="n">
        <f aca="false">9+32*(47/(47+19+3+52))</f>
        <v>21.4297520661157</v>
      </c>
      <c r="AU26" s="0" t="n">
        <f aca="false">AT26/174</f>
        <v>0.123159494632849</v>
      </c>
      <c r="AV26" s="0" t="n">
        <f aca="false">AU26*B26</f>
        <v>7.07514348817327</v>
      </c>
      <c r="AW26" s="1" t="n">
        <v>41</v>
      </c>
      <c r="AX26" s="0" t="n">
        <f aca="false">AW26/174</f>
        <v>0.235632183908046</v>
      </c>
      <c r="AY26" s="0" t="n">
        <f aca="false">AX26*B26</f>
        <v>13.5363620689655</v>
      </c>
    </row>
    <row r="27" customFormat="false" ht="12.8" hidden="false" customHeight="false" outlineLevel="0" collapsed="false">
      <c r="A27" s="3" t="s">
        <v>344</v>
      </c>
      <c r="B27" s="0" t="s">
        <v>74</v>
      </c>
      <c r="C27" s="1" t="n">
        <f aca="false">SUM(C22:C26)</f>
        <v>42</v>
      </c>
      <c r="D27" s="0" t="n">
        <f aca="false">C27/120</f>
        <v>0.35</v>
      </c>
      <c r="E27" s="3" t="n">
        <f aca="false">SUM(E22:E26)</f>
        <v>19.713795</v>
      </c>
      <c r="F27" s="0" t="n">
        <f aca="false">SUM(F22:F25)</f>
        <v>0</v>
      </c>
      <c r="G27" s="1" t="n">
        <f aca="false">F27/120</f>
        <v>0</v>
      </c>
      <c r="H27" s="3" t="n">
        <f aca="false">SUM(H24:H26)</f>
        <v>2.87235</v>
      </c>
      <c r="I27" s="11" t="n">
        <f aca="false">SUM(I22:I25)</f>
        <v>0</v>
      </c>
      <c r="J27" s="17" t="n">
        <f aca="false">I27/120</f>
        <v>0</v>
      </c>
      <c r="K27" s="16" t="n">
        <f aca="false">SUM(K24:K26)</f>
        <v>6.70215</v>
      </c>
      <c r="L27" s="3" t="n">
        <f aca="false">SUM(L22:L26)</f>
        <v>7</v>
      </c>
      <c r="M27" s="0" t="n">
        <f aca="false">L27/120</f>
        <v>0.0583333333333333</v>
      </c>
      <c r="N27" s="3" t="n">
        <f aca="false">SUM(N22:N26)</f>
        <v>3.351075</v>
      </c>
      <c r="O27" s="3" t="n">
        <f aca="false">SUM(O22:O26)</f>
        <v>7</v>
      </c>
      <c r="P27" s="0" t="n">
        <f aca="false">O27/120</f>
        <v>0.0583333333333333</v>
      </c>
      <c r="Q27" s="3" t="n">
        <f aca="false">SUM(Q22:Q26)</f>
        <v>3.351075</v>
      </c>
      <c r="R27" s="3"/>
      <c r="S27" s="1" t="n">
        <f aca="false">SUM(S22:S26)</f>
        <v>1.25123977371237</v>
      </c>
      <c r="T27" s="3" t="n">
        <f aca="false">SUM(T22:T26)</f>
        <v>54.4246534831078</v>
      </c>
      <c r="U27" s="0" t="n">
        <f aca="false">SUM(U22:U25)</f>
        <v>0</v>
      </c>
      <c r="V27" s="0" t="n">
        <f aca="false">U27/120</f>
        <v>0</v>
      </c>
      <c r="W27" s="3" t="n">
        <f aca="false">SUM(W22:W26)</f>
        <v>2.87235</v>
      </c>
      <c r="X27" s="11" t="n">
        <f aca="false">SUM(X22:X25)</f>
        <v>0</v>
      </c>
      <c r="Y27" s="11" t="n">
        <f aca="false">X27/120</f>
        <v>0</v>
      </c>
      <c r="Z27" s="16" t="n">
        <f aca="false">SUM(Z22:Z26)</f>
        <v>6.70215</v>
      </c>
      <c r="AA27" s="3"/>
      <c r="AB27" s="1" t="n">
        <f aca="false">SUM(AB22:AB26)</f>
        <v>1.25123977371237</v>
      </c>
      <c r="AC27" s="3" t="n">
        <f aca="false">SUM(AC22:AC26)</f>
        <v>54.4246534831078</v>
      </c>
      <c r="AD27" s="16"/>
      <c r="AE27" s="17" t="n">
        <f aca="false">SUM(AE22:AE26)</f>
        <v>1.25123977371237</v>
      </c>
      <c r="AF27" s="16" t="n">
        <f aca="false">SUM(AF22:AF26)</f>
        <v>54.4246534831078</v>
      </c>
      <c r="AG27" s="3"/>
      <c r="AH27" s="3" t="n">
        <f aca="false">SUM(AH22:AH25)</f>
        <v>1</v>
      </c>
      <c r="AI27" s="0" t="n">
        <f aca="false">AH27/175</f>
        <v>0.00571428571428571</v>
      </c>
      <c r="AJ27" s="3" t="n">
        <f aca="false">SUM(AJ22:AJ26)</f>
        <v>13.5180308571429</v>
      </c>
      <c r="AK27" s="3" t="n">
        <f aca="false">SUM(AK22:AK25)</f>
        <v>1</v>
      </c>
      <c r="AL27" s="0" t="n">
        <f aca="false">AK27/175</f>
        <v>0.00571428571428571</v>
      </c>
      <c r="AM27" s="3" t="n">
        <f aca="false">SUM(AM22:AM26)</f>
        <v>13.5180308571429</v>
      </c>
      <c r="AN27" s="0" t="n">
        <f aca="false">SUM(AN22:AN26)</f>
        <v>6</v>
      </c>
      <c r="AO27" s="0" t="n">
        <f aca="false">AN27/175</f>
        <v>0.0342857142857143</v>
      </c>
      <c r="AP27" s="3" t="n">
        <f aca="false">SUM(AP22:AP26)</f>
        <v>1.96961142857143</v>
      </c>
      <c r="AQ27" s="3" t="n">
        <f aca="false">SUM(AQ22:AQ25)</f>
        <v>0</v>
      </c>
      <c r="AR27" s="0" t="n">
        <f aca="false">AQ27/120</f>
        <v>0</v>
      </c>
      <c r="AS27" s="3" t="n">
        <f aca="false">SUM(AS22:AS25)</f>
        <v>0</v>
      </c>
      <c r="AT27" s="1" t="n">
        <f aca="false">SUM(AT22:AT25)</f>
        <v>20.5702479338843</v>
      </c>
      <c r="AU27" s="0" t="n">
        <f aca="false">AT27/174</f>
        <v>0.118219815711979</v>
      </c>
      <c r="AV27" s="3" t="n">
        <f aca="false">SUM(AV22:AV25)</f>
        <v>2.38068625439346</v>
      </c>
      <c r="AW27" s="1" t="n">
        <f aca="false">SUM(AW22:AW26)</f>
        <v>42</v>
      </c>
      <c r="AX27" s="0" t="n">
        <f aca="false">AW27/174</f>
        <v>0.241379310344828</v>
      </c>
      <c r="AY27" s="3" t="n">
        <f aca="false">SUM(AY22:AY26)</f>
        <v>13.5957206896552</v>
      </c>
    </row>
    <row r="28" customFormat="false" ht="12.8" hidden="false" customHeight="false" outlineLevel="0" collapsed="false">
      <c r="A28" s="0" t="s">
        <v>151</v>
      </c>
      <c r="B28" s="0" t="n">
        <v>15.06</v>
      </c>
      <c r="C28" s="1" t="n">
        <v>3</v>
      </c>
      <c r="D28" s="0" t="n">
        <f aca="false">C28/120</f>
        <v>0.025</v>
      </c>
      <c r="E28" s="0" t="n">
        <f aca="false">D28*B28</f>
        <v>0.3765</v>
      </c>
      <c r="F28" s="0" t="n">
        <v>1</v>
      </c>
      <c r="G28" s="1" t="n">
        <f aca="false">F28/120</f>
        <v>0.00833333333333333</v>
      </c>
      <c r="H28" s="0" t="n">
        <f aca="false">G28*B28</f>
        <v>0.1255</v>
      </c>
      <c r="I28" s="11" t="n">
        <v>0</v>
      </c>
      <c r="J28" s="17" t="n">
        <f aca="false">I28/120</f>
        <v>0</v>
      </c>
      <c r="K28" s="11" t="n">
        <f aca="false">J28*B28</f>
        <v>0</v>
      </c>
      <c r="L28" s="0" t="n">
        <v>0</v>
      </c>
      <c r="M28" s="0" t="n">
        <f aca="false">L28/120</f>
        <v>0</v>
      </c>
      <c r="N28" s="0" t="n">
        <f aca="false">M28*B28</f>
        <v>0</v>
      </c>
      <c r="O28" s="0" t="n">
        <v>0</v>
      </c>
      <c r="P28" s="0" t="n">
        <f aca="false">O28/120</f>
        <v>0</v>
      </c>
      <c r="Q28" s="0" t="n">
        <f aca="false">P28*B28</f>
        <v>0</v>
      </c>
      <c r="R28" s="0" t="n">
        <f aca="false">S28*120</f>
        <v>57.4532632283883</v>
      </c>
      <c r="S28" s="0" t="n">
        <f aca="false">S29*3/10</f>
        <v>0.478777193569903</v>
      </c>
      <c r="T28" s="0" t="n">
        <f aca="false">S28*B28</f>
        <v>7.21038453516274</v>
      </c>
      <c r="U28" s="0" t="n">
        <v>1</v>
      </c>
      <c r="V28" s="0" t="n">
        <f aca="false">U28/120</f>
        <v>0.00833333333333333</v>
      </c>
      <c r="W28" s="0" t="n">
        <f aca="false">V28*B28</f>
        <v>0.1255</v>
      </c>
      <c r="X28" s="11" t="n">
        <v>0</v>
      </c>
      <c r="Y28" s="11" t="n">
        <f aca="false">X28/120</f>
        <v>0</v>
      </c>
      <c r="Z28" s="11" t="n">
        <f aca="false">Y28*B28</f>
        <v>0</v>
      </c>
      <c r="AA28" s="0" t="n">
        <f aca="false">AB28*120</f>
        <v>57.4532632283883</v>
      </c>
      <c r="AB28" s="0" t="n">
        <f aca="false">AB29*3/10</f>
        <v>0.478777193569903</v>
      </c>
      <c r="AC28" s="0" t="n">
        <f aca="false">AB28*B28</f>
        <v>7.21038453516274</v>
      </c>
      <c r="AD28" s="11" t="n">
        <f aca="false">AE28*120</f>
        <v>57.4532632283883</v>
      </c>
      <c r="AE28" s="11" t="n">
        <f aca="false">AE29*3/10</f>
        <v>0.478777193569903</v>
      </c>
      <c r="AF28" s="11" t="n">
        <f aca="false">AE28*B28</f>
        <v>7.21038453516274</v>
      </c>
      <c r="AH28" s="0" t="n">
        <v>43</v>
      </c>
      <c r="AI28" s="0" t="n">
        <f aca="false">AH28/175</f>
        <v>0.245714285714286</v>
      </c>
      <c r="AJ28" s="0" t="n">
        <f aca="false">AI28*B28</f>
        <v>3.70045714285714</v>
      </c>
      <c r="AK28" s="0" t="n">
        <v>43</v>
      </c>
      <c r="AL28" s="0" t="n">
        <f aca="false">AK28/175</f>
        <v>0.245714285714286</v>
      </c>
      <c r="AM28" s="0" t="n">
        <f aca="false">AL28*B28</f>
        <v>3.70045714285714</v>
      </c>
      <c r="AN28" s="0" t="n">
        <v>1</v>
      </c>
      <c r="AO28" s="0" t="n">
        <f aca="false">AN28/175</f>
        <v>0.00571428571428571</v>
      </c>
      <c r="AP28" s="0" t="n">
        <f aca="false">AO28*B28</f>
        <v>0.0860571428571429</v>
      </c>
      <c r="AQ28" s="0" t="n">
        <v>1</v>
      </c>
      <c r="AR28" s="0" t="n">
        <f aca="false">AQ28/120</f>
        <v>0.00833333333333333</v>
      </c>
      <c r="AS28" s="0" t="n">
        <f aca="false">AR28*AM28</f>
        <v>0.0308371428571429</v>
      </c>
      <c r="AT28" s="1" t="n">
        <v>3</v>
      </c>
      <c r="AU28" s="0" t="n">
        <f aca="false">AT28/174</f>
        <v>0.0172413793103448</v>
      </c>
      <c r="AV28" s="0" t="n">
        <f aca="false">AU28*B28</f>
        <v>0.259655172413793</v>
      </c>
      <c r="AW28" s="0" t="n">
        <v>43</v>
      </c>
      <c r="AX28" s="0" t="n">
        <f aca="false">AW28/174</f>
        <v>0.247126436781609</v>
      </c>
      <c r="AY28" s="0" t="n">
        <f aca="false">AX28*B28</f>
        <v>3.72172413793103</v>
      </c>
    </row>
    <row r="29" customFormat="false" ht="12.8" hidden="false" customHeight="false" outlineLevel="0" collapsed="false">
      <c r="A29" s="0" t="s">
        <v>133</v>
      </c>
      <c r="B29" s="0" t="n">
        <v>21.789</v>
      </c>
      <c r="C29" s="1" t="n">
        <v>10</v>
      </c>
      <c r="D29" s="0" t="n">
        <f aca="false">C29/120</f>
        <v>0.0833333333333333</v>
      </c>
      <c r="E29" s="0" t="n">
        <f aca="false">D29*B29</f>
        <v>1.81575</v>
      </c>
      <c r="F29" s="0" t="n">
        <v>1</v>
      </c>
      <c r="G29" s="1" t="n">
        <f aca="false">F29/120</f>
        <v>0.00833333333333333</v>
      </c>
      <c r="H29" s="0" t="n">
        <f aca="false">G29*B29</f>
        <v>0.181575</v>
      </c>
      <c r="I29" s="11" t="n">
        <v>4</v>
      </c>
      <c r="J29" s="17" t="n">
        <f aca="false">I29/120</f>
        <v>0.0333333333333333</v>
      </c>
      <c r="K29" s="11" t="n">
        <f aca="false">J29*B29</f>
        <v>0.7263</v>
      </c>
      <c r="L29" s="0" t="n">
        <v>1</v>
      </c>
      <c r="M29" s="0" t="n">
        <f aca="false">L29/120</f>
        <v>0.00833333333333333</v>
      </c>
      <c r="N29" s="0" t="n">
        <f aca="false">M29*B29</f>
        <v>0.181575</v>
      </c>
      <c r="O29" s="0" t="n">
        <v>1</v>
      </c>
      <c r="P29" s="0" t="n">
        <f aca="false">O29/120</f>
        <v>0.00833333333333333</v>
      </c>
      <c r="Q29" s="0" t="n">
        <f aca="false">P29*B29</f>
        <v>0.181575</v>
      </c>
      <c r="R29" s="0" t="n">
        <f aca="false">S29*120</f>
        <v>191.510877427961</v>
      </c>
      <c r="S29" s="1" t="n">
        <f aca="false">10^(0.2030122)</f>
        <v>1.59592397856634</v>
      </c>
      <c r="T29" s="0" t="n">
        <f aca="false">S29*B29</f>
        <v>34.773587568982</v>
      </c>
      <c r="U29" s="0" t="n">
        <v>1</v>
      </c>
      <c r="V29" s="0" t="n">
        <f aca="false">U29/120</f>
        <v>0.00833333333333333</v>
      </c>
      <c r="W29" s="0" t="n">
        <f aca="false">V29*B29</f>
        <v>0.181575</v>
      </c>
      <c r="X29" s="11" t="n">
        <v>4</v>
      </c>
      <c r="Y29" s="11" t="n">
        <f aca="false">X29/120</f>
        <v>0.0333333333333333</v>
      </c>
      <c r="Z29" s="11" t="n">
        <f aca="false">Y29*B29</f>
        <v>0.7263</v>
      </c>
      <c r="AA29" s="0" t="n">
        <f aca="false">AB29*120</f>
        <v>191.510877427961</v>
      </c>
      <c r="AB29" s="1" t="n">
        <f aca="false">10^(0.2030122)</f>
        <v>1.59592397856634</v>
      </c>
      <c r="AC29" s="0" t="n">
        <f aca="false">AB29*B29</f>
        <v>34.773587568982</v>
      </c>
      <c r="AD29" s="11" t="n">
        <f aca="false">AE29*120</f>
        <v>191.510877427961</v>
      </c>
      <c r="AE29" s="17" t="n">
        <f aca="false">10^(0.2030122)</f>
        <v>1.59592397856634</v>
      </c>
      <c r="AF29" s="11" t="n">
        <f aca="false">AE29*B29</f>
        <v>34.773587568982</v>
      </c>
      <c r="AH29" s="0" t="n">
        <v>445</v>
      </c>
      <c r="AI29" s="0" t="n">
        <f aca="false">AH29/175</f>
        <v>2.54285714285714</v>
      </c>
      <c r="AJ29" s="0" t="n">
        <f aca="false">AI29*B29</f>
        <v>55.4063142857143</v>
      </c>
      <c r="AK29" s="0" t="n">
        <v>445</v>
      </c>
      <c r="AL29" s="0" t="n">
        <f aca="false">AK29/175</f>
        <v>2.54285714285714</v>
      </c>
      <c r="AM29" s="0" t="n">
        <f aca="false">AL29*B29</f>
        <v>55.4063142857143</v>
      </c>
      <c r="AN29" s="0" t="n">
        <v>1</v>
      </c>
      <c r="AO29" s="0" t="n">
        <f aca="false">AN29/175</f>
        <v>0.00571428571428571</v>
      </c>
      <c r="AP29" s="0" t="n">
        <f aca="false">AO29*B29</f>
        <v>0.124508571428571</v>
      </c>
      <c r="AQ29" s="0" t="n">
        <v>3</v>
      </c>
      <c r="AR29" s="0" t="n">
        <f aca="false">AQ29/120</f>
        <v>0.025</v>
      </c>
      <c r="AS29" s="0" t="n">
        <f aca="false">AR29*AM29</f>
        <v>1.38515785714286</v>
      </c>
      <c r="AT29" s="1" t="n">
        <v>10</v>
      </c>
      <c r="AU29" s="0" t="n">
        <f aca="false">AT29/174</f>
        <v>0.0574712643678161</v>
      </c>
      <c r="AV29" s="0" t="n">
        <f aca="false">AU29*B29</f>
        <v>1.25224137931034</v>
      </c>
      <c r="AW29" s="0" t="n">
        <v>445</v>
      </c>
      <c r="AX29" s="0" t="n">
        <f aca="false">AW29/174</f>
        <v>2.55747126436782</v>
      </c>
      <c r="AY29" s="0" t="n">
        <f aca="false">AX29*B29</f>
        <v>55.7247413793104</v>
      </c>
    </row>
    <row r="30" customFormat="false" ht="12.8" hidden="false" customHeight="false" outlineLevel="0" collapsed="false">
      <c r="A30" s="3" t="s">
        <v>345</v>
      </c>
      <c r="B30" s="0" t="n">
        <f aca="false">AVERAGE(B28:B29)</f>
        <v>18.4245</v>
      </c>
      <c r="C30" s="1" t="n">
        <v>39</v>
      </c>
      <c r="D30" s="0" t="n">
        <f aca="false">C30/120</f>
        <v>0.325</v>
      </c>
      <c r="E30" s="0" t="n">
        <f aca="false">D30*B30</f>
        <v>5.9879625</v>
      </c>
      <c r="F30" s="0" t="n">
        <v>7</v>
      </c>
      <c r="G30" s="1" t="n">
        <f aca="false">F30/120</f>
        <v>0.0583333333333333</v>
      </c>
      <c r="H30" s="0" t="n">
        <f aca="false">G30*B30</f>
        <v>1.0747625</v>
      </c>
      <c r="I30" s="11" t="n">
        <v>16</v>
      </c>
      <c r="J30" s="17" t="n">
        <f aca="false">I30/120</f>
        <v>0.133333333333333</v>
      </c>
      <c r="K30" s="11" t="n">
        <f aca="false">J30*B30</f>
        <v>2.4566</v>
      </c>
      <c r="L30" s="0" t="n">
        <v>7</v>
      </c>
      <c r="M30" s="0" t="n">
        <f aca="false">L30/120</f>
        <v>0.0583333333333333</v>
      </c>
      <c r="N30" s="0" t="n">
        <f aca="false">M30*B30</f>
        <v>1.0747625</v>
      </c>
      <c r="O30" s="0" t="n">
        <v>7</v>
      </c>
      <c r="P30" s="0" t="n">
        <f aca="false">O30/120</f>
        <v>0.0583333333333333</v>
      </c>
      <c r="Q30" s="0" t="n">
        <f aca="false">P30*B30</f>
        <v>1.0747625</v>
      </c>
      <c r="R30" s="0" t="s">
        <v>74</v>
      </c>
      <c r="S30" s="1" t="s">
        <v>74</v>
      </c>
      <c r="T30" s="0" t="s">
        <v>74</v>
      </c>
      <c r="U30" s="0" t="n">
        <v>7</v>
      </c>
      <c r="V30" s="0" t="n">
        <f aca="false">U30/120</f>
        <v>0.0583333333333333</v>
      </c>
      <c r="W30" s="0" t="n">
        <f aca="false">V30*B30</f>
        <v>1.0747625</v>
      </c>
      <c r="X30" s="11" t="n">
        <v>16</v>
      </c>
      <c r="Y30" s="11" t="n">
        <f aca="false">X30/120</f>
        <v>0.133333333333333</v>
      </c>
      <c r="Z30" s="11" t="n">
        <f aca="false">Y30*B30</f>
        <v>2.4566</v>
      </c>
      <c r="AA30" s="0" t="s">
        <v>74</v>
      </c>
      <c r="AB30" s="1" t="s">
        <v>74</v>
      </c>
      <c r="AC30" s="0" t="s">
        <v>74</v>
      </c>
      <c r="AD30" s="11" t="s">
        <v>74</v>
      </c>
      <c r="AE30" s="17" t="s">
        <v>74</v>
      </c>
      <c r="AF30" s="11" t="s">
        <v>74</v>
      </c>
      <c r="AH30" s="0" t="n">
        <v>39</v>
      </c>
      <c r="AI30" s="0" t="n">
        <f aca="false">AH30/175</f>
        <v>0.222857142857143</v>
      </c>
      <c r="AJ30" s="0" t="n">
        <f aca="false">AI30*B30</f>
        <v>4.10603142857143</v>
      </c>
      <c r="AK30" s="0" t="n">
        <v>39</v>
      </c>
      <c r="AL30" s="0" t="n">
        <f aca="false">AK30/175</f>
        <v>0.222857142857143</v>
      </c>
      <c r="AM30" s="0" t="n">
        <f aca="false">AL30*B30</f>
        <v>4.10603142857143</v>
      </c>
      <c r="AN30" s="0" t="n">
        <v>2</v>
      </c>
      <c r="AO30" s="0" t="n">
        <f aca="false">AN30/175</f>
        <v>0.0114285714285714</v>
      </c>
      <c r="AP30" s="0" t="n">
        <f aca="false">AO30*B30</f>
        <v>0.210565714285714</v>
      </c>
      <c r="AQ30" s="0" t="n">
        <v>15</v>
      </c>
      <c r="AR30" s="0" t="n">
        <f aca="false">AQ30/120</f>
        <v>0.125</v>
      </c>
      <c r="AS30" s="0" t="n">
        <f aca="false">AR30*AM30</f>
        <v>0.513253928571429</v>
      </c>
      <c r="AT30" s="1" t="n">
        <v>39</v>
      </c>
      <c r="AU30" s="0" t="n">
        <f aca="false">AT30/174</f>
        <v>0.224137931034483</v>
      </c>
      <c r="AV30" s="0" t="n">
        <f aca="false">AU30*B30</f>
        <v>4.12962931034483</v>
      </c>
      <c r="AW30" s="0" t="n">
        <v>39</v>
      </c>
      <c r="AX30" s="0" t="n">
        <f aca="false">AW30/174</f>
        <v>0.224137931034483</v>
      </c>
      <c r="AY30" s="0" t="n">
        <f aca="false">AX30*B30</f>
        <v>4.12962931034483</v>
      </c>
    </row>
    <row r="31" customFormat="false" ht="12.8" hidden="false" customHeight="false" outlineLevel="0" collapsed="false">
      <c r="A31" s="3" t="s">
        <v>346</v>
      </c>
      <c r="B31" s="0" t="s">
        <v>74</v>
      </c>
      <c r="C31" s="1" t="n">
        <f aca="false">SUM(C28:C30)</f>
        <v>52</v>
      </c>
      <c r="D31" s="0" t="n">
        <f aca="false">C31/120</f>
        <v>0.433333333333333</v>
      </c>
      <c r="E31" s="3" t="n">
        <f aca="false">SUM(E28:E30)</f>
        <v>8.1802125</v>
      </c>
      <c r="F31" s="0" t="n">
        <f aca="false">SUM(F28:F30)</f>
        <v>9</v>
      </c>
      <c r="G31" s="1" t="n">
        <f aca="false">F31/120</f>
        <v>0.075</v>
      </c>
      <c r="H31" s="3" t="n">
        <f aca="false">SUM(H28:H30)</f>
        <v>1.3818375</v>
      </c>
      <c r="I31" s="11" t="n">
        <f aca="false">SUM(I28:I30)</f>
        <v>20</v>
      </c>
      <c r="J31" s="17" t="n">
        <f aca="false">I31/120</f>
        <v>0.166666666666667</v>
      </c>
      <c r="K31" s="16" t="n">
        <f aca="false">SUM(K28:K30)</f>
        <v>3.1829</v>
      </c>
      <c r="L31" s="3" t="n">
        <f aca="false">SUM(L28:L30)</f>
        <v>8</v>
      </c>
      <c r="M31" s="0" t="n">
        <f aca="false">L31/120</f>
        <v>0.0666666666666667</v>
      </c>
      <c r="N31" s="3" t="n">
        <f aca="false">SUM(N28:N30)</f>
        <v>1.2563375</v>
      </c>
      <c r="O31" s="3" t="n">
        <f aca="false">SUM(O28:O30)</f>
        <v>8</v>
      </c>
      <c r="P31" s="0" t="n">
        <f aca="false">O31/120</f>
        <v>0.0666666666666667</v>
      </c>
      <c r="Q31" s="3" t="n">
        <f aca="false">SUM(Q28:Q30)</f>
        <v>1.2563375</v>
      </c>
      <c r="R31" s="3"/>
      <c r="S31" s="1" t="n">
        <f aca="false">SUM(S28:S30)</f>
        <v>2.07470117213625</v>
      </c>
      <c r="T31" s="3" t="n">
        <f aca="false">SUM(T28:T30)</f>
        <v>41.9839721041448</v>
      </c>
      <c r="U31" s="0" t="n">
        <f aca="false">SUM(U28:U30)</f>
        <v>9</v>
      </c>
      <c r="V31" s="0" t="n">
        <f aca="false">U31/120</f>
        <v>0.075</v>
      </c>
      <c r="W31" s="3" t="n">
        <f aca="false">SUM(W28:W30)</f>
        <v>1.3818375</v>
      </c>
      <c r="X31" s="11" t="n">
        <f aca="false">SUM(X28:X30)</f>
        <v>20</v>
      </c>
      <c r="Y31" s="11" t="n">
        <f aca="false">X31/120</f>
        <v>0.166666666666667</v>
      </c>
      <c r="Z31" s="16" t="n">
        <f aca="false">SUM(Z28:Z30)</f>
        <v>3.1829</v>
      </c>
      <c r="AB31" s="1" t="n">
        <f aca="false">SUM(AB28:AB30)</f>
        <v>2.07470117213625</v>
      </c>
      <c r="AC31" s="3" t="n">
        <f aca="false">SUM(AC28:AC30)</f>
        <v>41.9839721041448</v>
      </c>
      <c r="AD31" s="16"/>
      <c r="AE31" s="17" t="n">
        <f aca="false">SUM(AE28:AE30)</f>
        <v>2.07470117213625</v>
      </c>
      <c r="AF31" s="16" t="n">
        <f aca="false">SUM(AF28:AF30)</f>
        <v>41.9839721041448</v>
      </c>
      <c r="AG31" s="3"/>
      <c r="AH31" s="3" t="n">
        <f aca="false">SUM(AH28:AH30)</f>
        <v>527</v>
      </c>
      <c r="AI31" s="0" t="n">
        <f aca="false">AH31/175</f>
        <v>3.01142857142857</v>
      </c>
      <c r="AJ31" s="3" t="n">
        <f aca="false">SUM(AJ28:AJ30)</f>
        <v>63.2128028571429</v>
      </c>
      <c r="AK31" s="3" t="n">
        <f aca="false">SUM(AK28:AK30)</f>
        <v>527</v>
      </c>
      <c r="AL31" s="0" t="n">
        <f aca="false">AK31/175</f>
        <v>3.01142857142857</v>
      </c>
      <c r="AM31" s="3" t="n">
        <f aca="false">SUM(AM28:AM30)</f>
        <v>63.2128028571429</v>
      </c>
      <c r="AN31" s="0" t="n">
        <f aca="false">SUM(AN28:AN30)</f>
        <v>4</v>
      </c>
      <c r="AO31" s="0" t="n">
        <f aca="false">AN31/175</f>
        <v>0.0228571428571429</v>
      </c>
      <c r="AP31" s="3" t="n">
        <f aca="false">SUM(AP28:AP30)</f>
        <v>0.421131428571429</v>
      </c>
      <c r="AQ31" s="3" t="n">
        <f aca="false">SUM(AQ28:AQ30)</f>
        <v>19</v>
      </c>
      <c r="AR31" s="0" t="n">
        <f aca="false">AQ31/120</f>
        <v>0.158333333333333</v>
      </c>
      <c r="AS31" s="3" t="n">
        <f aca="false">SUM(AS28:AS30)</f>
        <v>1.92924892857143</v>
      </c>
      <c r="AT31" s="1" t="n">
        <f aca="false">SUM(AT28:AT30)</f>
        <v>52</v>
      </c>
      <c r="AU31" s="0" t="n">
        <f aca="false">AT31/174</f>
        <v>0.298850574712644</v>
      </c>
      <c r="AV31" s="3" t="n">
        <f aca="false">SUM(AV28:AV30)</f>
        <v>5.64152586206897</v>
      </c>
      <c r="AW31" s="1" t="n">
        <f aca="false">SUM(AW28:AW30)</f>
        <v>527</v>
      </c>
      <c r="AX31" s="0" t="n">
        <f aca="false">AW31/174</f>
        <v>3.02873563218391</v>
      </c>
      <c r="AY31" s="3" t="n">
        <f aca="false">SUM(AY28:AY30)</f>
        <v>63.5760948275862</v>
      </c>
    </row>
    <row r="32" customFormat="false" ht="12.8" hidden="false" customHeight="false" outlineLevel="0" collapsed="false">
      <c r="A32" s="0" t="s">
        <v>171</v>
      </c>
      <c r="B32" s="0" t="n">
        <v>1617.9</v>
      </c>
      <c r="C32" s="1" t="n">
        <v>20</v>
      </c>
      <c r="D32" s="0" t="n">
        <f aca="false">C32/120</f>
        <v>0.166666666666667</v>
      </c>
      <c r="E32" s="0" t="n">
        <f aca="false">D32*B32</f>
        <v>269.65</v>
      </c>
      <c r="F32" s="0" t="n">
        <v>5</v>
      </c>
      <c r="G32" s="1" t="n">
        <f aca="false">F32/120</f>
        <v>0.0416666666666667</v>
      </c>
      <c r="H32" s="0" t="n">
        <f aca="false">G32*B32</f>
        <v>67.4125</v>
      </c>
      <c r="I32" s="11" t="n">
        <v>5</v>
      </c>
      <c r="J32" s="17" t="n">
        <f aca="false">I32/120</f>
        <v>0.0416666666666667</v>
      </c>
      <c r="K32" s="11" t="n">
        <f aca="false">J32*B32</f>
        <v>67.4125</v>
      </c>
      <c r="L32" s="0" t="n">
        <v>3</v>
      </c>
      <c r="M32" s="0" t="n">
        <f aca="false">L32/120</f>
        <v>0.025</v>
      </c>
      <c r="N32" s="0" t="n">
        <f aca="false">M32*B32</f>
        <v>40.4475</v>
      </c>
      <c r="O32" s="0" t="n">
        <v>3</v>
      </c>
      <c r="P32" s="0" t="n">
        <f aca="false">O32/120</f>
        <v>0.025</v>
      </c>
      <c r="Q32" s="0" t="n">
        <f aca="false">P32*B32</f>
        <v>40.4475</v>
      </c>
      <c r="R32" s="0" t="n">
        <v>3</v>
      </c>
      <c r="S32" s="0" t="n">
        <f aca="false">R32/120</f>
        <v>0.025</v>
      </c>
      <c r="T32" s="0" t="n">
        <f aca="false">S32*B32</f>
        <v>40.4475</v>
      </c>
      <c r="U32" s="0" t="n">
        <v>5</v>
      </c>
      <c r="V32" s="0" t="n">
        <f aca="false">U32/120</f>
        <v>0.0416666666666667</v>
      </c>
      <c r="W32" s="0" t="n">
        <f aca="false">V32*B32</f>
        <v>67.4125</v>
      </c>
      <c r="X32" s="11" t="n">
        <v>5</v>
      </c>
      <c r="Y32" s="11" t="n">
        <f aca="false">X32/120</f>
        <v>0.0416666666666667</v>
      </c>
      <c r="Z32" s="11" t="n">
        <f aca="false">Y32*B32</f>
        <v>67.4125</v>
      </c>
      <c r="AA32" s="0" t="n">
        <v>5</v>
      </c>
      <c r="AB32" s="1" t="n">
        <f aca="false">AA32/120</f>
        <v>0.0416666666666667</v>
      </c>
      <c r="AC32" s="0" t="n">
        <f aca="false">AB32*B32</f>
        <v>67.4125</v>
      </c>
      <c r="AD32" s="11" t="n">
        <v>5</v>
      </c>
      <c r="AE32" s="17" t="n">
        <f aca="false">AD32/120</f>
        <v>0.0416666666666667</v>
      </c>
      <c r="AF32" s="11" t="n">
        <f aca="false">AE32*B32</f>
        <v>67.4125</v>
      </c>
      <c r="AH32" s="0" t="n">
        <v>20</v>
      </c>
      <c r="AI32" s="0" t="n">
        <f aca="false">AH32/175</f>
        <v>0.114285714285714</v>
      </c>
      <c r="AJ32" s="0" t="n">
        <f aca="false">AI32*B32</f>
        <v>184.902857142857</v>
      </c>
      <c r="AK32" s="0" t="n">
        <v>20</v>
      </c>
      <c r="AL32" s="0" t="n">
        <f aca="false">AK32/175</f>
        <v>0.114285714285714</v>
      </c>
      <c r="AM32" s="0" t="n">
        <f aca="false">AL32*B32</f>
        <v>184.902857142857</v>
      </c>
      <c r="AN32" s="0" t="n">
        <v>6</v>
      </c>
      <c r="AO32" s="0" t="n">
        <f aca="false">AN32/175</f>
        <v>0.0342857142857143</v>
      </c>
      <c r="AP32" s="0" t="n">
        <f aca="false">AO32*B32</f>
        <v>55.4708571428572</v>
      </c>
      <c r="AQ32" s="0" t="n">
        <v>6</v>
      </c>
      <c r="AR32" s="0" t="n">
        <f aca="false">AQ32/120</f>
        <v>0.05</v>
      </c>
      <c r="AS32" s="0" t="n">
        <f aca="false">AR32*AM32</f>
        <v>9.24514285714286</v>
      </c>
      <c r="AT32" s="1" t="n">
        <v>20</v>
      </c>
      <c r="AU32" s="0" t="n">
        <f aca="false">AT32/174</f>
        <v>0.114942528735632</v>
      </c>
      <c r="AV32" s="0" t="n">
        <f aca="false">AU32*B32</f>
        <v>185.965517241379</v>
      </c>
      <c r="AW32" s="1" t="n">
        <v>20</v>
      </c>
      <c r="AX32" s="0" t="n">
        <f aca="false">AW32/174</f>
        <v>0.114942528735632</v>
      </c>
      <c r="AY32" s="0" t="n">
        <f aca="false">AX32*B32</f>
        <v>185.965517241379</v>
      </c>
    </row>
    <row r="33" customFormat="false" ht="12.8" hidden="false" customHeight="false" outlineLevel="0" collapsed="false">
      <c r="A33" s="0" t="s">
        <v>173</v>
      </c>
      <c r="B33" s="0" t="n">
        <v>2374.58</v>
      </c>
      <c r="C33" s="1" t="n">
        <v>1</v>
      </c>
      <c r="D33" s="0" t="n">
        <f aca="false">C33/120</f>
        <v>0.00833333333333333</v>
      </c>
      <c r="E33" s="0" t="n">
        <f aca="false">D33*B33</f>
        <v>19.7881666666667</v>
      </c>
      <c r="F33" s="0" t="n">
        <v>0</v>
      </c>
      <c r="G33" s="1" t="n">
        <f aca="false">F33/120</f>
        <v>0</v>
      </c>
      <c r="H33" s="0" t="n">
        <f aca="false">G33*B33</f>
        <v>0</v>
      </c>
      <c r="I33" s="11" t="n">
        <v>0</v>
      </c>
      <c r="J33" s="17" t="n">
        <f aca="false">I33/120</f>
        <v>0</v>
      </c>
      <c r="K33" s="11" t="n">
        <f aca="false">J33*B33</f>
        <v>0</v>
      </c>
      <c r="L33" s="0" t="n">
        <v>0</v>
      </c>
      <c r="M33" s="0" t="n">
        <f aca="false">L33/120</f>
        <v>0</v>
      </c>
      <c r="N33" s="0" t="n">
        <f aca="false">M33*B33</f>
        <v>0</v>
      </c>
      <c r="O33" s="0" t="n">
        <v>0</v>
      </c>
      <c r="P33" s="0" t="n">
        <f aca="false">O33/120</f>
        <v>0</v>
      </c>
      <c r="Q33" s="0" t="n">
        <f aca="false">P33*B33</f>
        <v>0</v>
      </c>
      <c r="R33" s="0" t="n">
        <v>0</v>
      </c>
      <c r="S33" s="0" t="n">
        <f aca="false">R33/120</f>
        <v>0</v>
      </c>
      <c r="T33" s="0" t="n">
        <f aca="false">S33*B33</f>
        <v>0</v>
      </c>
      <c r="U33" s="0" t="n">
        <v>0</v>
      </c>
      <c r="V33" s="0" t="n">
        <f aca="false">U33/120</f>
        <v>0</v>
      </c>
      <c r="W33" s="0" t="n">
        <f aca="false">V33*B33</f>
        <v>0</v>
      </c>
      <c r="X33" s="11" t="n">
        <v>0</v>
      </c>
      <c r="Y33" s="11" t="n">
        <f aca="false">X33/120</f>
        <v>0</v>
      </c>
      <c r="Z33" s="11" t="n">
        <f aca="false">Y33*B33</f>
        <v>0</v>
      </c>
      <c r="AA33" s="0" t="n">
        <v>0</v>
      </c>
      <c r="AB33" s="1" t="n">
        <f aca="false">AA33/120</f>
        <v>0</v>
      </c>
      <c r="AC33" s="0" t="n">
        <f aca="false">AB33*B33</f>
        <v>0</v>
      </c>
      <c r="AD33" s="11" t="n">
        <v>0</v>
      </c>
      <c r="AE33" s="17" t="n">
        <f aca="false">AD33/120</f>
        <v>0</v>
      </c>
      <c r="AF33" s="11" t="n">
        <f aca="false">AE33*B33</f>
        <v>0</v>
      </c>
      <c r="AH33" s="0" t="n">
        <v>1</v>
      </c>
      <c r="AI33" s="0" t="n">
        <f aca="false">AH33/175</f>
        <v>0.00571428571428571</v>
      </c>
      <c r="AJ33" s="0" t="n">
        <f aca="false">AI33*B33</f>
        <v>13.5690285714286</v>
      </c>
      <c r="AK33" s="0" t="n">
        <v>1</v>
      </c>
      <c r="AL33" s="0" t="n">
        <f aca="false">AK33/175</f>
        <v>0.00571428571428571</v>
      </c>
      <c r="AM33" s="0" t="n">
        <f aca="false">AL33*B33</f>
        <v>13.5690285714286</v>
      </c>
      <c r="AN33" s="0" t="n">
        <v>0</v>
      </c>
      <c r="AO33" s="0" t="n">
        <f aca="false">AN33/175</f>
        <v>0</v>
      </c>
      <c r="AP33" s="0" t="n">
        <v>0</v>
      </c>
      <c r="AQ33" s="0" t="n">
        <v>0</v>
      </c>
      <c r="AR33" s="0" t="n">
        <f aca="false">AQ33/120</f>
        <v>0</v>
      </c>
      <c r="AS33" s="0" t="n">
        <f aca="false">AR33*AM33</f>
        <v>0</v>
      </c>
      <c r="AT33" s="1" t="n">
        <v>1</v>
      </c>
      <c r="AU33" s="0" t="n">
        <f aca="false">AT33/174</f>
        <v>0.00574712643678161</v>
      </c>
      <c r="AV33" s="0" t="n">
        <f aca="false">AU33*B33</f>
        <v>13.6470114942529</v>
      </c>
      <c r="AW33" s="1" t="n">
        <v>1</v>
      </c>
      <c r="AX33" s="0" t="n">
        <f aca="false">AW33/174</f>
        <v>0.00574712643678161</v>
      </c>
      <c r="AY33" s="0" t="n">
        <f aca="false">AX33*B33</f>
        <v>13.6470114942529</v>
      </c>
    </row>
    <row r="34" customFormat="false" ht="12.8" hidden="false" customHeight="false" outlineLevel="0" collapsed="false">
      <c r="A34" s="0" t="s">
        <v>179</v>
      </c>
      <c r="B34" s="0" t="n">
        <v>2194.89</v>
      </c>
      <c r="C34" s="1" t="n">
        <v>2</v>
      </c>
      <c r="D34" s="0" t="n">
        <f aca="false">C34/120</f>
        <v>0.0166666666666667</v>
      </c>
      <c r="E34" s="0" t="n">
        <f aca="false">D34*B34</f>
        <v>36.5815</v>
      </c>
      <c r="F34" s="0" t="n">
        <v>1</v>
      </c>
      <c r="G34" s="1" t="n">
        <f aca="false">F34/120</f>
        <v>0.00833333333333333</v>
      </c>
      <c r="H34" s="0" t="n">
        <f aca="false">G34*B34</f>
        <v>18.29075</v>
      </c>
      <c r="I34" s="11" t="n">
        <v>0</v>
      </c>
      <c r="J34" s="17" t="n">
        <f aca="false">I34/120</f>
        <v>0</v>
      </c>
      <c r="K34" s="11" t="n">
        <f aca="false">J34*B34</f>
        <v>0</v>
      </c>
      <c r="L34" s="0" t="n">
        <v>0</v>
      </c>
      <c r="M34" s="0" t="n">
        <f aca="false">L34/120</f>
        <v>0</v>
      </c>
      <c r="N34" s="0" t="n">
        <f aca="false">M34*B34</f>
        <v>0</v>
      </c>
      <c r="O34" s="0" t="n">
        <v>0</v>
      </c>
      <c r="P34" s="0" t="n">
        <f aca="false">O34/120</f>
        <v>0</v>
      </c>
      <c r="Q34" s="0" t="n">
        <f aca="false">P34*B34</f>
        <v>0</v>
      </c>
      <c r="R34" s="0" t="n">
        <v>0</v>
      </c>
      <c r="S34" s="0" t="n">
        <f aca="false">R34/120</f>
        <v>0</v>
      </c>
      <c r="T34" s="0" t="n">
        <f aca="false">S34*B34</f>
        <v>0</v>
      </c>
      <c r="U34" s="0" t="n">
        <v>1</v>
      </c>
      <c r="V34" s="0" t="n">
        <f aca="false">U34/120</f>
        <v>0.00833333333333333</v>
      </c>
      <c r="W34" s="0" t="n">
        <f aca="false">V34*B34</f>
        <v>18.29075</v>
      </c>
      <c r="X34" s="11" t="n">
        <v>0</v>
      </c>
      <c r="Y34" s="11" t="n">
        <f aca="false">X34/120</f>
        <v>0</v>
      </c>
      <c r="Z34" s="11" t="n">
        <f aca="false">Y34*B34</f>
        <v>0</v>
      </c>
      <c r="AA34" s="0" t="n">
        <v>1</v>
      </c>
      <c r="AB34" s="1" t="n">
        <f aca="false">AA34/120</f>
        <v>0.00833333333333333</v>
      </c>
      <c r="AC34" s="0" t="n">
        <f aca="false">AB34*B34</f>
        <v>18.29075</v>
      </c>
      <c r="AD34" s="11" t="n">
        <v>0</v>
      </c>
      <c r="AE34" s="17" t="n">
        <f aca="false">AD34/120</f>
        <v>0</v>
      </c>
      <c r="AF34" s="11" t="n">
        <f aca="false">AE34*B34</f>
        <v>0</v>
      </c>
      <c r="AH34" s="0" t="n">
        <v>2</v>
      </c>
      <c r="AI34" s="0" t="n">
        <f aca="false">AH34/175</f>
        <v>0.0114285714285714</v>
      </c>
      <c r="AJ34" s="0" t="n">
        <f aca="false">AI34*B34</f>
        <v>25.0844571428571</v>
      </c>
      <c r="AK34" s="0" t="n">
        <v>2</v>
      </c>
      <c r="AL34" s="0" t="n">
        <f aca="false">AK34/175</f>
        <v>0.0114285714285714</v>
      </c>
      <c r="AM34" s="0" t="n">
        <f aca="false">AL34*B34</f>
        <v>25.0844571428571</v>
      </c>
      <c r="AN34" s="0" t="n">
        <v>1</v>
      </c>
      <c r="AO34" s="0" t="n">
        <f aca="false">AN34/175</f>
        <v>0.00571428571428571</v>
      </c>
      <c r="AP34" s="0" t="n">
        <f aca="false">AO34*B34</f>
        <v>12.5422285714286</v>
      </c>
      <c r="AQ34" s="0" t="n">
        <v>1</v>
      </c>
      <c r="AR34" s="0" t="n">
        <f aca="false">AQ34/120</f>
        <v>0.00833333333333333</v>
      </c>
      <c r="AS34" s="0" t="n">
        <f aca="false">AR34*AM34</f>
        <v>0.209037142857143</v>
      </c>
      <c r="AT34" s="1" t="n">
        <v>2</v>
      </c>
      <c r="AU34" s="0" t="n">
        <f aca="false">AT34/174</f>
        <v>0.0114942528735632</v>
      </c>
      <c r="AV34" s="0" t="n">
        <f aca="false">AU34*B34</f>
        <v>25.2286206896552</v>
      </c>
      <c r="AW34" s="1" t="n">
        <v>2</v>
      </c>
      <c r="AX34" s="0" t="n">
        <f aca="false">AW34/174</f>
        <v>0.0114942528735632</v>
      </c>
      <c r="AY34" s="0" t="n">
        <f aca="false">AX34*B34</f>
        <v>25.2286206896552</v>
      </c>
    </row>
    <row r="35" customFormat="false" ht="12.8" hidden="false" customHeight="false" outlineLevel="0" collapsed="false">
      <c r="A35" s="0" t="s">
        <v>182</v>
      </c>
      <c r="B35" s="0" t="n">
        <v>2300</v>
      </c>
      <c r="C35" s="1" t="n">
        <v>2</v>
      </c>
      <c r="D35" s="0" t="n">
        <f aca="false">C35/120</f>
        <v>0.0166666666666667</v>
      </c>
      <c r="E35" s="0" t="n">
        <f aca="false">D35*B35</f>
        <v>38.3333333333333</v>
      </c>
      <c r="F35" s="0" t="n">
        <v>0</v>
      </c>
      <c r="G35" s="1" t="n">
        <f aca="false">F35/120</f>
        <v>0</v>
      </c>
      <c r="H35" s="0" t="n">
        <f aca="false">G35*B35</f>
        <v>0</v>
      </c>
      <c r="I35" s="11" t="n">
        <v>0</v>
      </c>
      <c r="J35" s="17" t="n">
        <f aca="false">I35/120</f>
        <v>0</v>
      </c>
      <c r="K35" s="11" t="n">
        <f aca="false">J35*B35</f>
        <v>0</v>
      </c>
      <c r="L35" s="0" t="n">
        <v>0</v>
      </c>
      <c r="M35" s="0" t="n">
        <f aca="false">L35/120</f>
        <v>0</v>
      </c>
      <c r="N35" s="0" t="n">
        <f aca="false">M35*B35</f>
        <v>0</v>
      </c>
      <c r="O35" s="0" t="n">
        <v>0</v>
      </c>
      <c r="P35" s="0" t="n">
        <f aca="false">O35/120</f>
        <v>0</v>
      </c>
      <c r="Q35" s="0" t="n">
        <f aca="false">P35*B35</f>
        <v>0</v>
      </c>
      <c r="R35" s="0" t="n">
        <v>0</v>
      </c>
      <c r="S35" s="0" t="n">
        <f aca="false">R35/120</f>
        <v>0</v>
      </c>
      <c r="T35" s="0" t="n">
        <f aca="false">S35*B35</f>
        <v>0</v>
      </c>
      <c r="U35" s="0" t="n">
        <v>0</v>
      </c>
      <c r="V35" s="0" t="n">
        <f aca="false">U35/120</f>
        <v>0</v>
      </c>
      <c r="W35" s="0" t="n">
        <f aca="false">V35*B35</f>
        <v>0</v>
      </c>
      <c r="X35" s="11" t="n">
        <v>0</v>
      </c>
      <c r="Y35" s="11" t="n">
        <f aca="false">X35/120</f>
        <v>0</v>
      </c>
      <c r="Z35" s="11" t="n">
        <f aca="false">Y35*B35</f>
        <v>0</v>
      </c>
      <c r="AA35" s="0" t="n">
        <v>0</v>
      </c>
      <c r="AB35" s="1" t="n">
        <f aca="false">AA35/120</f>
        <v>0</v>
      </c>
      <c r="AC35" s="0" t="n">
        <f aca="false">AB35*B35</f>
        <v>0</v>
      </c>
      <c r="AD35" s="11" t="n">
        <v>0</v>
      </c>
      <c r="AE35" s="17" t="n">
        <f aca="false">AD35/120</f>
        <v>0</v>
      </c>
      <c r="AF35" s="11" t="n">
        <f aca="false">AE35*B35</f>
        <v>0</v>
      </c>
      <c r="AH35" s="0" t="n">
        <v>2</v>
      </c>
      <c r="AI35" s="0" t="n">
        <f aca="false">AH35/175</f>
        <v>0.0114285714285714</v>
      </c>
      <c r="AJ35" s="0" t="n">
        <f aca="false">AI35*B35</f>
        <v>26.2857142857143</v>
      </c>
      <c r="AK35" s="0" t="n">
        <v>2</v>
      </c>
      <c r="AL35" s="0" t="n">
        <f aca="false">AK35/175</f>
        <v>0.0114285714285714</v>
      </c>
      <c r="AM35" s="0" t="n">
        <f aca="false">AL35*B35</f>
        <v>26.2857142857143</v>
      </c>
      <c r="AN35" s="0" t="n">
        <v>0</v>
      </c>
      <c r="AO35" s="0" t="n">
        <f aca="false">AN35/175</f>
        <v>0</v>
      </c>
      <c r="AP35" s="0" t="n">
        <v>0</v>
      </c>
      <c r="AQ35" s="0" t="n">
        <v>0</v>
      </c>
      <c r="AR35" s="0" t="n">
        <f aca="false">AQ35/120</f>
        <v>0</v>
      </c>
      <c r="AS35" s="0" t="n">
        <f aca="false">AR35*AM35</f>
        <v>0</v>
      </c>
      <c r="AT35" s="1" t="n">
        <v>2</v>
      </c>
      <c r="AU35" s="0" t="n">
        <f aca="false">AT35/174</f>
        <v>0.0114942528735632</v>
      </c>
      <c r="AV35" s="0" t="n">
        <f aca="false">AU35*B35</f>
        <v>26.4367816091954</v>
      </c>
      <c r="AW35" s="1" t="n">
        <v>2</v>
      </c>
      <c r="AX35" s="0" t="n">
        <f aca="false">AW35/174</f>
        <v>0.0114942528735632</v>
      </c>
      <c r="AY35" s="0" t="n">
        <f aca="false">AX35*B35</f>
        <v>26.4367816091954</v>
      </c>
    </row>
    <row r="36" customFormat="false" ht="12.8" hidden="false" customHeight="false" outlineLevel="0" collapsed="false">
      <c r="A36" s="3" t="s">
        <v>347</v>
      </c>
      <c r="B36" s="0" t="n">
        <f aca="false">AVERAGE(B32:B35)</f>
        <v>2121.8425</v>
      </c>
      <c r="C36" s="1" t="n">
        <v>16</v>
      </c>
      <c r="D36" s="0" t="n">
        <f aca="false">C36/120</f>
        <v>0.133333333333333</v>
      </c>
      <c r="E36" s="0" t="n">
        <f aca="false">D36*B36</f>
        <v>282.912333333333</v>
      </c>
      <c r="F36" s="0" t="n">
        <v>5</v>
      </c>
      <c r="G36" s="1" t="n">
        <f aca="false">F36/120</f>
        <v>0.0416666666666667</v>
      </c>
      <c r="H36" s="0" t="n">
        <f aca="false">G36*B36</f>
        <v>88.4101041666667</v>
      </c>
      <c r="I36" s="11" t="n">
        <v>3</v>
      </c>
      <c r="J36" s="17" t="n">
        <f aca="false">I36/120</f>
        <v>0.025</v>
      </c>
      <c r="K36" s="11" t="n">
        <f aca="false">J36*B36</f>
        <v>53.0460625</v>
      </c>
      <c r="L36" s="0" t="n">
        <v>4</v>
      </c>
      <c r="M36" s="0" t="n">
        <f aca="false">L36/120</f>
        <v>0.0333333333333333</v>
      </c>
      <c r="N36" s="0" t="n">
        <f aca="false">M36*B36</f>
        <v>70.7280833333333</v>
      </c>
      <c r="O36" s="0" t="n">
        <v>4</v>
      </c>
      <c r="P36" s="0" t="n">
        <f aca="false">O36/120</f>
        <v>0.0333333333333333</v>
      </c>
      <c r="Q36" s="0" t="n">
        <f aca="false">P36*B36</f>
        <v>70.7280833333333</v>
      </c>
      <c r="R36" s="0" t="n">
        <v>4</v>
      </c>
      <c r="S36" s="0" t="n">
        <f aca="false">R36/120</f>
        <v>0.0333333333333333</v>
      </c>
      <c r="T36" s="0" t="n">
        <f aca="false">S36*B36</f>
        <v>70.7280833333333</v>
      </c>
      <c r="U36" s="0" t="n">
        <v>5</v>
      </c>
      <c r="V36" s="0" t="n">
        <f aca="false">U36/120</f>
        <v>0.0416666666666667</v>
      </c>
      <c r="W36" s="0" t="n">
        <f aca="false">V36*B36</f>
        <v>88.4101041666667</v>
      </c>
      <c r="X36" s="11" t="n">
        <v>5</v>
      </c>
      <c r="Y36" s="11" t="n">
        <f aca="false">X36/120</f>
        <v>0.0416666666666667</v>
      </c>
      <c r="Z36" s="11" t="n">
        <f aca="false">Y36*B36</f>
        <v>88.4101041666667</v>
      </c>
      <c r="AA36" s="0" t="n">
        <v>5</v>
      </c>
      <c r="AB36" s="1" t="n">
        <f aca="false">AA36/120</f>
        <v>0.0416666666666667</v>
      </c>
      <c r="AC36" s="0" t="n">
        <f aca="false">AB36*B36</f>
        <v>88.4101041666667</v>
      </c>
      <c r="AD36" s="11" t="n">
        <v>5</v>
      </c>
      <c r="AE36" s="17" t="n">
        <f aca="false">AD36/120</f>
        <v>0.0416666666666667</v>
      </c>
      <c r="AF36" s="11" t="n">
        <f aca="false">AE36*B36</f>
        <v>88.4101041666667</v>
      </c>
      <c r="AH36" s="0" t="n">
        <v>22</v>
      </c>
      <c r="AI36" s="0" t="n">
        <f aca="false">AH36/175</f>
        <v>0.125714285714286</v>
      </c>
      <c r="AJ36" s="0" t="n">
        <f aca="false">AI36*B36</f>
        <v>266.745914285714</v>
      </c>
      <c r="AK36" s="0" t="n">
        <v>22</v>
      </c>
      <c r="AL36" s="0" t="n">
        <f aca="false">AK36/175</f>
        <v>0.125714285714286</v>
      </c>
      <c r="AM36" s="0" t="n">
        <f aca="false">AL36*B36</f>
        <v>266.745914285714</v>
      </c>
      <c r="AN36" s="0" t="n">
        <v>5</v>
      </c>
      <c r="AO36" s="0" t="n">
        <f aca="false">AN36/175</f>
        <v>0.0285714285714286</v>
      </c>
      <c r="AP36" s="0" t="n">
        <f aca="false">AO36*B36</f>
        <v>60.6240714285714</v>
      </c>
      <c r="AQ36" s="0" t="n">
        <v>3</v>
      </c>
      <c r="AR36" s="0" t="n">
        <f aca="false">AQ36/120</f>
        <v>0.025</v>
      </c>
      <c r="AS36" s="0" t="n">
        <f aca="false">AR36*AM36</f>
        <v>6.66864785714286</v>
      </c>
      <c r="AT36" s="1" t="n">
        <v>16</v>
      </c>
      <c r="AU36" s="0" t="n">
        <f aca="false">AT36/174</f>
        <v>0.0919540229885058</v>
      </c>
      <c r="AV36" s="0" t="n">
        <f aca="false">AU36*B36</f>
        <v>195.111954022988</v>
      </c>
      <c r="AW36" s="1" t="n">
        <v>16</v>
      </c>
      <c r="AX36" s="0" t="n">
        <f aca="false">AW36/174</f>
        <v>0.0919540229885058</v>
      </c>
      <c r="AY36" s="0" t="n">
        <f aca="false">AX36*B36</f>
        <v>195.111954022988</v>
      </c>
    </row>
    <row r="37" customFormat="false" ht="12.8" hidden="false" customHeight="false" outlineLevel="0" collapsed="false">
      <c r="A37" s="0" t="s">
        <v>183</v>
      </c>
      <c r="B37" s="0" t="n">
        <v>3180.67</v>
      </c>
      <c r="C37" s="1" t="n">
        <v>9</v>
      </c>
      <c r="D37" s="0" t="n">
        <f aca="false">C37/120</f>
        <v>0.075</v>
      </c>
      <c r="E37" s="0" t="n">
        <f aca="false">D37*B37</f>
        <v>238.55025</v>
      </c>
      <c r="F37" s="0" t="n">
        <v>3</v>
      </c>
      <c r="G37" s="1" t="n">
        <f aca="false">F37/120</f>
        <v>0.025</v>
      </c>
      <c r="H37" s="0" t="n">
        <f aca="false">G37*B37</f>
        <v>79.51675</v>
      </c>
      <c r="I37" s="11" t="n">
        <v>2</v>
      </c>
      <c r="J37" s="17" t="n">
        <f aca="false">I37/120</f>
        <v>0.0166666666666667</v>
      </c>
      <c r="K37" s="11" t="n">
        <f aca="false">J37*B37</f>
        <v>53.0111666666667</v>
      </c>
      <c r="L37" s="0" t="n">
        <v>2</v>
      </c>
      <c r="M37" s="0" t="n">
        <f aca="false">L37/120</f>
        <v>0.0166666666666667</v>
      </c>
      <c r="N37" s="0" t="n">
        <f aca="false">M37*B37</f>
        <v>53.0111666666667</v>
      </c>
      <c r="O37" s="0" t="n">
        <v>2</v>
      </c>
      <c r="P37" s="0" t="n">
        <f aca="false">O37/120</f>
        <v>0.0166666666666667</v>
      </c>
      <c r="Q37" s="0" t="n">
        <f aca="false">P37*B37</f>
        <v>53.0111666666667</v>
      </c>
      <c r="R37" s="0" t="n">
        <v>2</v>
      </c>
      <c r="S37" s="0" t="n">
        <f aca="false">R37/120</f>
        <v>0.0166666666666667</v>
      </c>
      <c r="T37" s="0" t="n">
        <f aca="false">S37*B37</f>
        <v>53.0111666666667</v>
      </c>
      <c r="U37" s="0" t="n">
        <v>3</v>
      </c>
      <c r="V37" s="0" t="n">
        <f aca="false">U37/120</f>
        <v>0.025</v>
      </c>
      <c r="W37" s="0" t="n">
        <f aca="false">V37*B37</f>
        <v>79.51675</v>
      </c>
      <c r="X37" s="11" t="n">
        <v>3</v>
      </c>
      <c r="Y37" s="11" t="n">
        <f aca="false">X37/120</f>
        <v>0.025</v>
      </c>
      <c r="Z37" s="11" t="n">
        <f aca="false">Y37*B37</f>
        <v>79.51675</v>
      </c>
      <c r="AA37" s="0" t="n">
        <v>3</v>
      </c>
      <c r="AB37" s="1" t="n">
        <f aca="false">AA37/120</f>
        <v>0.025</v>
      </c>
      <c r="AC37" s="0" t="n">
        <f aca="false">AB37*B37</f>
        <v>79.51675</v>
      </c>
      <c r="AD37" s="11" t="n">
        <v>3</v>
      </c>
      <c r="AE37" s="17" t="n">
        <f aca="false">AD37/120</f>
        <v>0.025</v>
      </c>
      <c r="AF37" s="11" t="n">
        <f aca="false">AE37*B37</f>
        <v>79.51675</v>
      </c>
      <c r="AH37" s="0" t="n">
        <v>11</v>
      </c>
      <c r="AI37" s="0" t="n">
        <f aca="false">AH37/175</f>
        <v>0.0628571428571429</v>
      </c>
      <c r="AJ37" s="0" t="n">
        <f aca="false">AI37*B37</f>
        <v>199.927828571429</v>
      </c>
      <c r="AK37" s="0" t="n">
        <v>11</v>
      </c>
      <c r="AL37" s="0" t="n">
        <f aca="false">AK37/175</f>
        <v>0.0628571428571429</v>
      </c>
      <c r="AM37" s="0" t="n">
        <f aca="false">AL37*B37</f>
        <v>199.927828571429</v>
      </c>
      <c r="AN37" s="0" t="n">
        <v>3</v>
      </c>
      <c r="AO37" s="0" t="n">
        <f aca="false">AN37/175</f>
        <v>0.0171428571428571</v>
      </c>
      <c r="AP37" s="0" t="n">
        <f aca="false">AO37*B37</f>
        <v>54.5257714285714</v>
      </c>
      <c r="AQ37" s="0" t="n">
        <v>5</v>
      </c>
      <c r="AR37" s="0" t="n">
        <f aca="false">AQ37/120</f>
        <v>0.0416666666666667</v>
      </c>
      <c r="AS37" s="0" t="n">
        <f aca="false">AR37*AM37</f>
        <v>8.33032619047619</v>
      </c>
      <c r="AT37" s="1" t="n">
        <v>10</v>
      </c>
      <c r="AU37" s="0" t="n">
        <f aca="false">AT37/174</f>
        <v>0.0574712643678161</v>
      </c>
      <c r="AV37" s="0" t="n">
        <f aca="false">AU37*B37</f>
        <v>182.797126436782</v>
      </c>
      <c r="AW37" s="1" t="n">
        <v>10</v>
      </c>
      <c r="AX37" s="0" t="n">
        <f aca="false">AW37/174</f>
        <v>0.0574712643678161</v>
      </c>
      <c r="AY37" s="0" t="n">
        <f aca="false">AX37*B37</f>
        <v>182.797126436782</v>
      </c>
    </row>
    <row r="38" customFormat="false" ht="12.8" hidden="false" customHeight="false" outlineLevel="0" collapsed="false">
      <c r="A38" s="0" t="s">
        <v>189</v>
      </c>
      <c r="B38" s="0" t="n">
        <v>1486.424</v>
      </c>
      <c r="C38" s="1" t="n">
        <v>5</v>
      </c>
      <c r="D38" s="0" t="n">
        <f aca="false">C38/120</f>
        <v>0.0416666666666667</v>
      </c>
      <c r="E38" s="0" t="n">
        <f aca="false">D38*B38</f>
        <v>61.9343333333333</v>
      </c>
      <c r="F38" s="0" t="n">
        <v>0</v>
      </c>
      <c r="G38" s="1" t="n">
        <f aca="false">F38/120</f>
        <v>0</v>
      </c>
      <c r="H38" s="0" t="n">
        <f aca="false">G38*B38</f>
        <v>0</v>
      </c>
      <c r="I38" s="11" t="n">
        <v>3</v>
      </c>
      <c r="J38" s="17" t="n">
        <f aca="false">I38/120</f>
        <v>0.025</v>
      </c>
      <c r="K38" s="11" t="n">
        <f aca="false">J38*B38</f>
        <v>37.1606</v>
      </c>
      <c r="L38" s="0" t="n">
        <v>6</v>
      </c>
      <c r="M38" s="0" t="n">
        <f aca="false">L38/120</f>
        <v>0.05</v>
      </c>
      <c r="N38" s="0" t="n">
        <f aca="false">M38*B38</f>
        <v>74.3212</v>
      </c>
      <c r="O38" s="0" t="n">
        <v>6</v>
      </c>
      <c r="P38" s="0" t="n">
        <f aca="false">O38/120</f>
        <v>0.05</v>
      </c>
      <c r="Q38" s="0" t="n">
        <f aca="false">P38*B38</f>
        <v>74.3212</v>
      </c>
      <c r="R38" s="0" t="n">
        <v>6</v>
      </c>
      <c r="S38" s="0" t="n">
        <f aca="false">R38/120</f>
        <v>0.05</v>
      </c>
      <c r="T38" s="0" t="n">
        <f aca="false">S38*B38</f>
        <v>74.3212</v>
      </c>
      <c r="U38" s="0" t="n">
        <v>0</v>
      </c>
      <c r="V38" s="0" t="n">
        <f aca="false">U38/120</f>
        <v>0</v>
      </c>
      <c r="W38" s="0" t="n">
        <f aca="false">V38*B38</f>
        <v>0</v>
      </c>
      <c r="X38" s="11" t="n">
        <v>3</v>
      </c>
      <c r="Y38" s="11" t="n">
        <f aca="false">X38/120</f>
        <v>0.025</v>
      </c>
      <c r="Z38" s="11" t="n">
        <f aca="false">Y38*B38</f>
        <v>37.1606</v>
      </c>
      <c r="AA38" s="0" t="n">
        <v>0</v>
      </c>
      <c r="AB38" s="1" t="n">
        <f aca="false">AA38/120</f>
        <v>0</v>
      </c>
      <c r="AC38" s="0" t="n">
        <f aca="false">AB38*B38</f>
        <v>0</v>
      </c>
      <c r="AD38" s="11" t="n">
        <v>3</v>
      </c>
      <c r="AE38" s="17" t="n">
        <f aca="false">AD38/120</f>
        <v>0.025</v>
      </c>
      <c r="AF38" s="11" t="n">
        <f aca="false">AE38*B38</f>
        <v>37.1606</v>
      </c>
      <c r="AH38" s="0" t="n">
        <v>5</v>
      </c>
      <c r="AI38" s="0" t="n">
        <f aca="false">AH38/175</f>
        <v>0.0285714285714286</v>
      </c>
      <c r="AJ38" s="0" t="n">
        <f aca="false">AI38*B38</f>
        <v>42.4692571428571</v>
      </c>
      <c r="AK38" s="0" t="n">
        <v>5</v>
      </c>
      <c r="AL38" s="0" t="n">
        <f aca="false">AK38/175</f>
        <v>0.0285714285714286</v>
      </c>
      <c r="AM38" s="0" t="n">
        <f aca="false">AL38*B38</f>
        <v>42.4692571428571</v>
      </c>
      <c r="AN38" s="0" t="n">
        <v>0</v>
      </c>
      <c r="AO38" s="0" t="n">
        <f aca="false">AN38/175</f>
        <v>0</v>
      </c>
      <c r="AP38" s="0" t="n">
        <v>0</v>
      </c>
      <c r="AQ38" s="0" t="n">
        <v>0</v>
      </c>
      <c r="AR38" s="0" t="n">
        <f aca="false">AQ38/120</f>
        <v>0</v>
      </c>
      <c r="AS38" s="0" t="n">
        <f aca="false">AR38*AM38</f>
        <v>0</v>
      </c>
      <c r="AT38" s="1" t="n">
        <v>4</v>
      </c>
      <c r="AU38" s="0" t="n">
        <f aca="false">AT38/174</f>
        <v>0.0229885057471264</v>
      </c>
      <c r="AV38" s="0" t="n">
        <f aca="false">AU38*B38</f>
        <v>34.1706666666667</v>
      </c>
      <c r="AW38" s="1" t="n">
        <v>4</v>
      </c>
      <c r="AX38" s="0" t="n">
        <f aca="false">AW38/174</f>
        <v>0.0229885057471264</v>
      </c>
      <c r="AY38" s="0" t="n">
        <f aca="false">AX38*B38</f>
        <v>34.1706666666667</v>
      </c>
    </row>
    <row r="39" customFormat="false" ht="12.8" hidden="false" customHeight="false" outlineLevel="0" collapsed="false">
      <c r="A39" s="3" t="s">
        <v>348</v>
      </c>
      <c r="B39" s="0" t="n">
        <f aca="false">AVERAGE(B37:B38)</f>
        <v>2333.547</v>
      </c>
      <c r="C39" s="1" t="n">
        <v>6</v>
      </c>
      <c r="D39" s="0" t="n">
        <f aca="false">C39/120</f>
        <v>0.05</v>
      </c>
      <c r="E39" s="0" t="n">
        <f aca="false">D39*B39</f>
        <v>116.67735</v>
      </c>
      <c r="F39" s="0" t="n">
        <v>0</v>
      </c>
      <c r="G39" s="1" t="n">
        <f aca="false">F39/120</f>
        <v>0</v>
      </c>
      <c r="H39" s="0" t="n">
        <f aca="false">G39*B39</f>
        <v>0</v>
      </c>
      <c r="I39" s="11" t="n">
        <v>4</v>
      </c>
      <c r="J39" s="17" t="n">
        <f aca="false">I39/120</f>
        <v>0.0333333333333333</v>
      </c>
      <c r="K39" s="11" t="n">
        <f aca="false">J39*B39</f>
        <v>77.7849</v>
      </c>
      <c r="L39" s="0" t="n">
        <v>3</v>
      </c>
      <c r="M39" s="0" t="n">
        <f aca="false">L39/120</f>
        <v>0.025</v>
      </c>
      <c r="N39" s="0" t="n">
        <f aca="false">M39*B39</f>
        <v>58.338675</v>
      </c>
      <c r="O39" s="0" t="n">
        <v>3</v>
      </c>
      <c r="P39" s="0" t="n">
        <f aca="false">O39/120</f>
        <v>0.025</v>
      </c>
      <c r="Q39" s="0" t="n">
        <f aca="false">P39*B39</f>
        <v>58.338675</v>
      </c>
      <c r="R39" s="0" t="n">
        <v>3</v>
      </c>
      <c r="S39" s="0" t="n">
        <f aca="false">R39/120</f>
        <v>0.025</v>
      </c>
      <c r="T39" s="0" t="n">
        <f aca="false">S39*B39</f>
        <v>58.338675</v>
      </c>
      <c r="U39" s="0" t="n">
        <v>0</v>
      </c>
      <c r="V39" s="0" t="n">
        <f aca="false">U39/120</f>
        <v>0</v>
      </c>
      <c r="W39" s="0" t="n">
        <f aca="false">V39*B39</f>
        <v>0</v>
      </c>
      <c r="X39" s="11" t="n">
        <v>5</v>
      </c>
      <c r="Y39" s="11" t="n">
        <f aca="false">X39/120</f>
        <v>0.0416666666666667</v>
      </c>
      <c r="Z39" s="11" t="n">
        <f aca="false">Y39*B39</f>
        <v>97.231125</v>
      </c>
      <c r="AA39" s="0" t="n">
        <v>0</v>
      </c>
      <c r="AB39" s="1" t="n">
        <f aca="false">AA39/120</f>
        <v>0</v>
      </c>
      <c r="AC39" s="0" t="n">
        <f aca="false">AB39*B39</f>
        <v>0</v>
      </c>
      <c r="AD39" s="11" t="n">
        <v>5</v>
      </c>
      <c r="AE39" s="17" t="n">
        <f aca="false">AD39/120</f>
        <v>0.0416666666666667</v>
      </c>
      <c r="AF39" s="11" t="n">
        <f aca="false">AE39*B39</f>
        <v>97.231125</v>
      </c>
      <c r="AH39" s="0" t="n">
        <v>8</v>
      </c>
      <c r="AI39" s="0" t="n">
        <f aca="false">AH39/175</f>
        <v>0.0457142857142857</v>
      </c>
      <c r="AJ39" s="0" t="n">
        <f aca="false">AI39*B39</f>
        <v>106.676434285714</v>
      </c>
      <c r="AK39" s="0" t="n">
        <v>8</v>
      </c>
      <c r="AL39" s="0" t="n">
        <f aca="false">AK39/175</f>
        <v>0.0457142857142857</v>
      </c>
      <c r="AM39" s="0" t="n">
        <f aca="false">AL39*B39</f>
        <v>106.676434285714</v>
      </c>
      <c r="AN39" s="0" t="n">
        <v>0</v>
      </c>
      <c r="AO39" s="0" t="n">
        <f aca="false">AN39/175</f>
        <v>0</v>
      </c>
      <c r="AP39" s="0" t="n">
        <v>0</v>
      </c>
      <c r="AQ39" s="0" t="n">
        <v>3</v>
      </c>
      <c r="AR39" s="0" t="n">
        <f aca="false">AQ39/120</f>
        <v>0.025</v>
      </c>
      <c r="AS39" s="0" t="n">
        <f aca="false">AR39*AM39</f>
        <v>2.66691085714286</v>
      </c>
      <c r="AT39" s="1" t="n">
        <v>6</v>
      </c>
      <c r="AU39" s="0" t="n">
        <f aca="false">AT39/174</f>
        <v>0.0344827586206897</v>
      </c>
      <c r="AV39" s="0" t="n">
        <f aca="false">AU39*B39</f>
        <v>80.4671379310345</v>
      </c>
      <c r="AW39" s="1" t="n">
        <v>6</v>
      </c>
      <c r="AX39" s="0" t="n">
        <f aca="false">AW39/174</f>
        <v>0.0344827586206897</v>
      </c>
      <c r="AY39" s="0" t="n">
        <f aca="false">AX39*B39</f>
        <v>80.4671379310345</v>
      </c>
    </row>
    <row r="40" customFormat="false" ht="12.8" hidden="false" customHeight="false" outlineLevel="0" collapsed="false">
      <c r="A40" s="3" t="s">
        <v>349</v>
      </c>
      <c r="B40" s="0" t="n">
        <f aca="false">AVERAGE(B32:B35,B37:B38)</f>
        <v>2192.41066666667</v>
      </c>
      <c r="C40" s="1" t="n">
        <v>2</v>
      </c>
      <c r="D40" s="0" t="n">
        <f aca="false">C40/120</f>
        <v>0.0166666666666667</v>
      </c>
      <c r="E40" s="0" t="n">
        <f aca="false">D40*B40</f>
        <v>36.5401777777778</v>
      </c>
      <c r="F40" s="0" t="n">
        <v>0</v>
      </c>
      <c r="G40" s="1" t="n">
        <f aca="false">F40/120</f>
        <v>0</v>
      </c>
      <c r="H40" s="0" t="n">
        <f aca="false">G40*B40</f>
        <v>0</v>
      </c>
      <c r="I40" s="11" t="n">
        <v>0</v>
      </c>
      <c r="J40" s="17" t="n">
        <f aca="false">I40/120</f>
        <v>0</v>
      </c>
      <c r="K40" s="11" t="n">
        <f aca="false">J40*B40</f>
        <v>0</v>
      </c>
      <c r="L40" s="0" t="n">
        <v>1</v>
      </c>
      <c r="M40" s="0" t="n">
        <f aca="false">L40/120</f>
        <v>0.00833333333333333</v>
      </c>
      <c r="N40" s="0" t="n">
        <f aca="false">M40*B40</f>
        <v>18.2700888888889</v>
      </c>
      <c r="O40" s="0" t="n">
        <v>1</v>
      </c>
      <c r="P40" s="0" t="n">
        <f aca="false">O40/120</f>
        <v>0.00833333333333333</v>
      </c>
      <c r="Q40" s="0" t="n">
        <f aca="false">P40*B40</f>
        <v>18.2700888888889</v>
      </c>
      <c r="R40" s="0" t="n">
        <v>1</v>
      </c>
      <c r="S40" s="0" t="n">
        <f aca="false">R40/120</f>
        <v>0.00833333333333333</v>
      </c>
      <c r="T40" s="0" t="n">
        <f aca="false">S40*B40</f>
        <v>18.2700888888889</v>
      </c>
      <c r="U40" s="0" t="n">
        <v>0</v>
      </c>
      <c r="V40" s="0" t="n">
        <f aca="false">U40/120</f>
        <v>0</v>
      </c>
      <c r="W40" s="0" t="n">
        <f aca="false">V40*B40</f>
        <v>0</v>
      </c>
      <c r="X40" s="11" t="n">
        <v>0</v>
      </c>
      <c r="Y40" s="11" t="n">
        <f aca="false">X40/120</f>
        <v>0</v>
      </c>
      <c r="Z40" s="11" t="n">
        <f aca="false">Y40*B40</f>
        <v>0</v>
      </c>
      <c r="AA40" s="0" t="n">
        <v>0</v>
      </c>
      <c r="AB40" s="1" t="n">
        <f aca="false">AA40/120</f>
        <v>0</v>
      </c>
      <c r="AC40" s="0" t="n">
        <f aca="false">AB40*B40</f>
        <v>0</v>
      </c>
      <c r="AD40" s="11" t="n">
        <v>0</v>
      </c>
      <c r="AE40" s="17" t="n">
        <f aca="false">AD40/120</f>
        <v>0</v>
      </c>
      <c r="AF40" s="11" t="n">
        <f aca="false">AE40*B40</f>
        <v>0</v>
      </c>
      <c r="AH40" s="0" t="n">
        <v>2</v>
      </c>
      <c r="AI40" s="0" t="n">
        <f aca="false">AH40/175</f>
        <v>0.0114285714285714</v>
      </c>
      <c r="AJ40" s="0" t="n">
        <f aca="false">AI40*B40</f>
        <v>25.0561219047619</v>
      </c>
      <c r="AK40" s="0" t="n">
        <v>2</v>
      </c>
      <c r="AL40" s="0" t="n">
        <f aca="false">AK40/175</f>
        <v>0.0114285714285714</v>
      </c>
      <c r="AM40" s="0" t="n">
        <f aca="false">AL40*B40</f>
        <v>25.0561219047619</v>
      </c>
      <c r="AN40" s="0" t="n">
        <v>0</v>
      </c>
      <c r="AO40" s="0" t="n">
        <f aca="false">AN40/175</f>
        <v>0</v>
      </c>
      <c r="AP40" s="0" t="n">
        <v>0</v>
      </c>
      <c r="AQ40" s="0" t="n">
        <v>0</v>
      </c>
      <c r="AR40" s="0" t="n">
        <f aca="false">AQ40/120</f>
        <v>0</v>
      </c>
      <c r="AS40" s="0" t="n">
        <f aca="false">AR40*AM40</f>
        <v>0</v>
      </c>
      <c r="AT40" s="1" t="n">
        <v>2</v>
      </c>
      <c r="AU40" s="0" t="n">
        <f aca="false">AT40/174</f>
        <v>0.0114942528735632</v>
      </c>
      <c r="AV40" s="0" t="n">
        <f aca="false">AU40*B40</f>
        <v>25.200122605364</v>
      </c>
      <c r="AW40" s="1" t="n">
        <v>2</v>
      </c>
      <c r="AX40" s="0" t="n">
        <f aca="false">AW40/174</f>
        <v>0.0114942528735632</v>
      </c>
      <c r="AY40" s="0" t="n">
        <f aca="false">AX40*B40</f>
        <v>25.200122605364</v>
      </c>
    </row>
    <row r="41" customFormat="false" ht="12.8" hidden="false" customHeight="false" outlineLevel="0" collapsed="false">
      <c r="A41" s="3" t="s">
        <v>350</v>
      </c>
      <c r="B41" s="0" t="s">
        <v>74</v>
      </c>
      <c r="C41" s="3" t="n">
        <f aca="false">SUM(C32:C40)</f>
        <v>63</v>
      </c>
      <c r="D41" s="0" t="n">
        <f aca="false">C41/120</f>
        <v>0.525</v>
      </c>
      <c r="E41" s="3" t="n">
        <f aca="false">SUM(E32:E40)</f>
        <v>1100.96744444444</v>
      </c>
      <c r="F41" s="1" t="n">
        <f aca="false">SUM(F32:F40)</f>
        <v>14</v>
      </c>
      <c r="G41" s="1" t="n">
        <f aca="false">F41/120</f>
        <v>0.116666666666667</v>
      </c>
      <c r="H41" s="3" t="n">
        <f aca="false">SUM(H32:H40)</f>
        <v>253.630104166667</v>
      </c>
      <c r="I41" s="17" t="n">
        <f aca="false">SUM(I32:I40)</f>
        <v>17</v>
      </c>
      <c r="J41" s="17" t="n">
        <f aca="false">I41/120</f>
        <v>0.141666666666667</v>
      </c>
      <c r="K41" s="16" t="n">
        <f aca="false">SUM(K32:K40)</f>
        <v>288.415229166667</v>
      </c>
      <c r="L41" s="3" t="n">
        <f aca="false">SUM(L32:L40)</f>
        <v>19</v>
      </c>
      <c r="M41" s="0" t="n">
        <f aca="false">L41/120</f>
        <v>0.158333333333333</v>
      </c>
      <c r="N41" s="3" t="n">
        <f aca="false">SUM(N32:N40)</f>
        <v>315.116713888889</v>
      </c>
      <c r="O41" s="3" t="n">
        <f aca="false">SUM(O32:O40)</f>
        <v>19</v>
      </c>
      <c r="P41" s="0" t="n">
        <f aca="false">O41/120</f>
        <v>0.158333333333333</v>
      </c>
      <c r="Q41" s="3" t="n">
        <f aca="false">SUM(Q32:Q40)</f>
        <v>315.116713888889</v>
      </c>
      <c r="R41" s="3" t="n">
        <f aca="false">SUM(R32:R40)</f>
        <v>19</v>
      </c>
      <c r="S41" s="0" t="n">
        <f aca="false">R41/120</f>
        <v>0.158333333333333</v>
      </c>
      <c r="T41" s="3" t="n">
        <f aca="false">SUM(T32:T40)</f>
        <v>315.116713888889</v>
      </c>
      <c r="U41" s="0" t="n">
        <f aca="false">SUM(U32:U40)</f>
        <v>14</v>
      </c>
      <c r="V41" s="0" t="n">
        <f aca="false">U41/120</f>
        <v>0.116666666666667</v>
      </c>
      <c r="W41" s="3" t="n">
        <f aca="false">SUM(W32:W40)</f>
        <v>253.630104166667</v>
      </c>
      <c r="X41" s="11" t="n">
        <f aca="false">SUM(X32:X40)</f>
        <v>21</v>
      </c>
      <c r="Y41" s="11" t="n">
        <f aca="false">X41/120</f>
        <v>0.175</v>
      </c>
      <c r="Z41" s="16" t="n">
        <f aca="false">SUM(Z32:Z40)</f>
        <v>369.731079166667</v>
      </c>
      <c r="AA41" s="0" t="n">
        <f aca="false">SUM(AA32:AA40)</f>
        <v>14</v>
      </c>
      <c r="AB41" s="1" t="n">
        <f aca="false">AA41/120</f>
        <v>0.116666666666667</v>
      </c>
      <c r="AC41" s="3" t="n">
        <f aca="false">SUM(AC32:AC40)</f>
        <v>253.630104166667</v>
      </c>
      <c r="AD41" s="11" t="n">
        <f aca="false">SUM(AD32:AD40)</f>
        <v>21</v>
      </c>
      <c r="AE41" s="17" t="n">
        <f aca="false">AD41/120</f>
        <v>0.175</v>
      </c>
      <c r="AF41" s="16" t="n">
        <f aca="false">SUM(AF32:AF40)</f>
        <v>369.731079166667</v>
      </c>
      <c r="AG41" s="3"/>
      <c r="AH41" s="3" t="n">
        <f aca="false">SUM(AH32:AH40)</f>
        <v>73</v>
      </c>
      <c r="AI41" s="0" t="n">
        <f aca="false">AH41/175</f>
        <v>0.417142857142857</v>
      </c>
      <c r="AJ41" s="3" t="n">
        <f aca="false">SUM(AJ32:AJ40)</f>
        <v>890.717613333333</v>
      </c>
      <c r="AK41" s="3" t="n">
        <f aca="false">SUM(AK32:AK40)</f>
        <v>73</v>
      </c>
      <c r="AL41" s="0" t="n">
        <f aca="false">AK41/175</f>
        <v>0.417142857142857</v>
      </c>
      <c r="AM41" s="3" t="n">
        <f aca="false">SUM(AM32:AM40)</f>
        <v>890.717613333333</v>
      </c>
      <c r="AN41" s="0" t="n">
        <f aca="false">SUM(AN32:AN40)</f>
        <v>15</v>
      </c>
      <c r="AO41" s="0" t="n">
        <f aca="false">AN41/175</f>
        <v>0.0857142857142857</v>
      </c>
      <c r="AP41" s="3" t="n">
        <f aca="false">SUM(AP32:AP40)</f>
        <v>183.162928571429</v>
      </c>
      <c r="AQ41" s="3" t="n">
        <f aca="false">SUM(AQ32:AQ40)</f>
        <v>18</v>
      </c>
      <c r="AR41" s="0" t="n">
        <f aca="false">AQ41/120</f>
        <v>0.15</v>
      </c>
      <c r="AS41" s="3" t="n">
        <f aca="false">SUM(AS32:AS40)</f>
        <v>27.1200649047619</v>
      </c>
      <c r="AT41" s="3" t="n">
        <f aca="false">SUM(AT32:AT40)</f>
        <v>63</v>
      </c>
      <c r="AU41" s="0" t="n">
        <f aca="false">AT41/174</f>
        <v>0.362068965517241</v>
      </c>
      <c r="AV41" s="3" t="n">
        <f aca="false">SUM(AV32:AV40)</f>
        <v>769.024938697318</v>
      </c>
      <c r="AW41" s="3" t="n">
        <f aca="false">SUM(AW32:AW40)</f>
        <v>63</v>
      </c>
      <c r="AX41" s="0" t="n">
        <f aca="false">AW41/174</f>
        <v>0.362068965517241</v>
      </c>
      <c r="AY41" s="3" t="n">
        <f aca="false">SUM(AY32:AY40)</f>
        <v>769.024938697318</v>
      </c>
    </row>
    <row r="42" customFormat="false" ht="12.8" hidden="false" customHeight="false" outlineLevel="0" collapsed="false">
      <c r="A42" s="0" t="s">
        <v>194</v>
      </c>
      <c r="B42" s="0" t="n">
        <v>3515.045</v>
      </c>
      <c r="C42" s="1" t="n">
        <v>29</v>
      </c>
      <c r="D42" s="0" t="n">
        <f aca="false">C42/120</f>
        <v>0.241666666666667</v>
      </c>
      <c r="E42" s="0" t="n">
        <f aca="false">D42*B42</f>
        <v>849.469208333333</v>
      </c>
      <c r="F42" s="0" t="n">
        <v>9</v>
      </c>
      <c r="G42" s="1" t="n">
        <f aca="false">F42/120</f>
        <v>0.075</v>
      </c>
      <c r="H42" s="0" t="n">
        <f aca="false">G42*B42</f>
        <v>263.628375</v>
      </c>
      <c r="I42" s="11" t="n">
        <v>7</v>
      </c>
      <c r="J42" s="17" t="n">
        <f aca="false">I42/120</f>
        <v>0.0583333333333333</v>
      </c>
      <c r="K42" s="11" t="n">
        <f aca="false">J42*B42</f>
        <v>205.044291666667</v>
      </c>
      <c r="L42" s="0" t="n">
        <v>1</v>
      </c>
      <c r="M42" s="0" t="n">
        <f aca="false">L42/120</f>
        <v>0.00833333333333333</v>
      </c>
      <c r="N42" s="0" t="n">
        <f aca="false">M42*B42</f>
        <v>29.2920416666667</v>
      </c>
      <c r="O42" s="0" t="n">
        <v>1</v>
      </c>
      <c r="P42" s="0" t="n">
        <f aca="false">O42/120</f>
        <v>0.00833333333333333</v>
      </c>
      <c r="Q42" s="0" t="n">
        <f aca="false">P42*B42</f>
        <v>29.2920416666667</v>
      </c>
      <c r="R42" s="0" t="n">
        <v>1</v>
      </c>
      <c r="S42" s="0" t="n">
        <f aca="false">R42/120</f>
        <v>0.00833333333333333</v>
      </c>
      <c r="T42" s="0" t="n">
        <f aca="false">S42*B42</f>
        <v>29.2920416666667</v>
      </c>
      <c r="U42" s="0" t="n">
        <v>9</v>
      </c>
      <c r="V42" s="0" t="n">
        <f aca="false">U42/120</f>
        <v>0.075</v>
      </c>
      <c r="W42" s="0" t="n">
        <f aca="false">V42*B42</f>
        <v>263.628375</v>
      </c>
      <c r="X42" s="11" t="n">
        <v>7</v>
      </c>
      <c r="Y42" s="11" t="n">
        <f aca="false">X42/120</f>
        <v>0.0583333333333333</v>
      </c>
      <c r="Z42" s="11" t="n">
        <f aca="false">Y42*B42</f>
        <v>205.044291666667</v>
      </c>
      <c r="AA42" s="0" t="n">
        <v>9</v>
      </c>
      <c r="AB42" s="1" t="n">
        <f aca="false">AA42/120</f>
        <v>0.075</v>
      </c>
      <c r="AC42" s="0" t="n">
        <f aca="false">AB42*B42</f>
        <v>263.628375</v>
      </c>
      <c r="AD42" s="11" t="n">
        <v>7</v>
      </c>
      <c r="AE42" s="17" t="n">
        <f aca="false">AD42/120</f>
        <v>0.0583333333333333</v>
      </c>
      <c r="AF42" s="11" t="n">
        <f aca="false">AE42*B42</f>
        <v>205.044291666667</v>
      </c>
      <c r="AH42" s="0" t="n">
        <v>29</v>
      </c>
      <c r="AI42" s="0" t="n">
        <f aca="false">AH42/175</f>
        <v>0.165714285714286</v>
      </c>
      <c r="AJ42" s="0" t="n">
        <f aca="false">AI42*B42</f>
        <v>582.493171428571</v>
      </c>
      <c r="AK42" s="0" t="n">
        <v>29</v>
      </c>
      <c r="AL42" s="0" t="n">
        <f aca="false">AK42/175</f>
        <v>0.165714285714286</v>
      </c>
      <c r="AM42" s="0" t="n">
        <f aca="false">AL42*B42</f>
        <v>582.493171428571</v>
      </c>
      <c r="AN42" s="0" t="n">
        <v>8</v>
      </c>
      <c r="AO42" s="0" t="n">
        <f aca="false">AN42/175</f>
        <v>0.0457142857142857</v>
      </c>
      <c r="AP42" s="0" t="n">
        <f aca="false">AO42*B42</f>
        <v>160.687771428571</v>
      </c>
      <c r="AQ42" s="0" t="n">
        <v>17</v>
      </c>
      <c r="AR42" s="0" t="n">
        <f aca="false">AQ42/120</f>
        <v>0.141666666666667</v>
      </c>
      <c r="AS42" s="0" t="n">
        <f aca="false">AR42*AM42</f>
        <v>82.5198659523809</v>
      </c>
      <c r="AT42" s="1" t="n">
        <v>29</v>
      </c>
      <c r="AU42" s="0" t="n">
        <f aca="false">AT42/174</f>
        <v>0.166666666666667</v>
      </c>
      <c r="AV42" s="0" t="n">
        <f aca="false">AU42*B42</f>
        <v>585.840833333333</v>
      </c>
      <c r="AW42" s="1" t="n">
        <v>29</v>
      </c>
      <c r="AX42" s="0" t="n">
        <f aca="false">AW42/174</f>
        <v>0.166666666666667</v>
      </c>
      <c r="AY42" s="0" t="n">
        <f aca="false">AX42*B42</f>
        <v>585.840833333333</v>
      </c>
    </row>
    <row r="43" customFormat="false" ht="12.8" hidden="false" customHeight="false" outlineLevel="0" collapsed="false">
      <c r="A43" s="0" t="s">
        <v>197</v>
      </c>
      <c r="B43" s="0" t="n">
        <v>2928.647</v>
      </c>
      <c r="C43" s="1" t="n">
        <v>8</v>
      </c>
      <c r="D43" s="0" t="n">
        <f aca="false">C43/120</f>
        <v>0.0666666666666667</v>
      </c>
      <c r="E43" s="0" t="n">
        <f aca="false">D43*B43</f>
        <v>195.243133333333</v>
      </c>
      <c r="F43" s="0" t="n">
        <v>1</v>
      </c>
      <c r="G43" s="1" t="n">
        <f aca="false">F43/120</f>
        <v>0.00833333333333333</v>
      </c>
      <c r="H43" s="0" t="n">
        <f aca="false">G43*B43</f>
        <v>24.4053916666667</v>
      </c>
      <c r="I43" s="11" t="n">
        <v>5</v>
      </c>
      <c r="J43" s="17" t="n">
        <f aca="false">I43/120</f>
        <v>0.0416666666666667</v>
      </c>
      <c r="K43" s="11" t="n">
        <f aca="false">J43*B43</f>
        <v>122.026958333333</v>
      </c>
      <c r="L43" s="0" t="n">
        <v>0</v>
      </c>
      <c r="M43" s="0" t="n">
        <f aca="false">L43/120</f>
        <v>0</v>
      </c>
      <c r="N43" s="0" t="n">
        <f aca="false">M43*B43</f>
        <v>0</v>
      </c>
      <c r="O43" s="0" t="n">
        <v>0</v>
      </c>
      <c r="P43" s="0" t="n">
        <f aca="false">O43/120</f>
        <v>0</v>
      </c>
      <c r="Q43" s="0" t="n">
        <f aca="false">P43*B43</f>
        <v>0</v>
      </c>
      <c r="R43" s="0" t="n">
        <v>0</v>
      </c>
      <c r="S43" s="0" t="n">
        <f aca="false">R43/120</f>
        <v>0</v>
      </c>
      <c r="T43" s="0" t="n">
        <f aca="false">S43*B43</f>
        <v>0</v>
      </c>
      <c r="U43" s="0" t="n">
        <v>1</v>
      </c>
      <c r="V43" s="0" t="n">
        <f aca="false">U43/120</f>
        <v>0.00833333333333333</v>
      </c>
      <c r="W43" s="0" t="n">
        <f aca="false">V43*B43</f>
        <v>24.4053916666667</v>
      </c>
      <c r="X43" s="11" t="n">
        <v>5</v>
      </c>
      <c r="Y43" s="11" t="n">
        <f aca="false">X43/120</f>
        <v>0.0416666666666667</v>
      </c>
      <c r="Z43" s="11" t="n">
        <f aca="false">Y43*B43</f>
        <v>122.026958333333</v>
      </c>
      <c r="AA43" s="0" t="n">
        <v>1</v>
      </c>
      <c r="AB43" s="1" t="n">
        <f aca="false">AA43/120</f>
        <v>0.00833333333333333</v>
      </c>
      <c r="AC43" s="0" t="n">
        <f aca="false">AB43*B43</f>
        <v>24.4053916666667</v>
      </c>
      <c r="AD43" s="11" t="n">
        <v>5</v>
      </c>
      <c r="AE43" s="17" t="n">
        <f aca="false">AD43/120</f>
        <v>0.0416666666666667</v>
      </c>
      <c r="AF43" s="11" t="n">
        <f aca="false">AE43*B43</f>
        <v>122.026958333333</v>
      </c>
      <c r="AH43" s="0" t="n">
        <v>8</v>
      </c>
      <c r="AI43" s="0" t="n">
        <f aca="false">AH43/175</f>
        <v>0.0457142857142857</v>
      </c>
      <c r="AJ43" s="0" t="n">
        <f aca="false">AI43*B43</f>
        <v>133.881005714286</v>
      </c>
      <c r="AK43" s="0" t="n">
        <v>8</v>
      </c>
      <c r="AL43" s="0" t="n">
        <f aca="false">AK43/175</f>
        <v>0.0457142857142857</v>
      </c>
      <c r="AM43" s="0" t="n">
        <f aca="false">AL43*B43</f>
        <v>133.881005714286</v>
      </c>
      <c r="AN43" s="0" t="n">
        <v>1</v>
      </c>
      <c r="AO43" s="0" t="n">
        <f aca="false">AN43/175</f>
        <v>0.00571428571428571</v>
      </c>
      <c r="AP43" s="0" t="n">
        <f aca="false">AO43*B43</f>
        <v>16.7351257142857</v>
      </c>
      <c r="AQ43" s="0" t="n">
        <v>6</v>
      </c>
      <c r="AR43" s="0" t="n">
        <f aca="false">AQ43/120</f>
        <v>0.05</v>
      </c>
      <c r="AS43" s="0" t="n">
        <f aca="false">AR43*AM43</f>
        <v>6.69405028571429</v>
      </c>
      <c r="AT43" s="1" t="n">
        <v>8</v>
      </c>
      <c r="AU43" s="0" t="n">
        <f aca="false">AT43/174</f>
        <v>0.0459770114942529</v>
      </c>
      <c r="AV43" s="0" t="n">
        <f aca="false">AU43*B43</f>
        <v>134.650436781609</v>
      </c>
      <c r="AW43" s="1" t="n">
        <v>8</v>
      </c>
      <c r="AX43" s="0" t="n">
        <f aca="false">AW43/174</f>
        <v>0.0459770114942529</v>
      </c>
      <c r="AY43" s="0" t="n">
        <f aca="false">AX43*B43</f>
        <v>134.650436781609</v>
      </c>
    </row>
    <row r="44" customFormat="false" ht="12.8" hidden="false" customHeight="false" outlineLevel="0" collapsed="false">
      <c r="A44" s="1" t="s">
        <v>201</v>
      </c>
      <c r="B44" s="0" t="n">
        <f aca="false">AVERAGE(B42:B43)</f>
        <v>3221.846</v>
      </c>
      <c r="C44" s="1" t="n">
        <v>9</v>
      </c>
      <c r="D44" s="0" t="n">
        <f aca="false">C44/120</f>
        <v>0.075</v>
      </c>
      <c r="E44" s="0" t="n">
        <f aca="false">D44*B44</f>
        <v>241.63845</v>
      </c>
      <c r="F44" s="0" t="n">
        <v>4</v>
      </c>
      <c r="G44" s="1" t="n">
        <f aca="false">F44/120</f>
        <v>0.0333333333333333</v>
      </c>
      <c r="H44" s="0" t="n">
        <f aca="false">G44*B44</f>
        <v>107.394866666667</v>
      </c>
      <c r="I44" s="11" t="n">
        <v>1</v>
      </c>
      <c r="J44" s="17" t="n">
        <f aca="false">I44/120</f>
        <v>0.00833333333333333</v>
      </c>
      <c r="K44" s="11" t="n">
        <f aca="false">J44*B44</f>
        <v>26.8487166666667</v>
      </c>
      <c r="L44" s="0" t="n">
        <v>1</v>
      </c>
      <c r="M44" s="0" t="n">
        <f aca="false">L44/120</f>
        <v>0.00833333333333333</v>
      </c>
      <c r="N44" s="0" t="n">
        <f aca="false">M44*B44</f>
        <v>26.8487166666667</v>
      </c>
      <c r="O44" s="0" t="n">
        <v>1</v>
      </c>
      <c r="P44" s="0" t="n">
        <f aca="false">O44/120</f>
        <v>0.00833333333333333</v>
      </c>
      <c r="Q44" s="0" t="n">
        <f aca="false">P44*B44</f>
        <v>26.8487166666667</v>
      </c>
      <c r="R44" s="0" t="n">
        <v>1</v>
      </c>
      <c r="S44" s="0" t="n">
        <f aca="false">R44/120</f>
        <v>0.00833333333333333</v>
      </c>
      <c r="T44" s="0" t="n">
        <f aca="false">S44*B44</f>
        <v>26.8487166666667</v>
      </c>
      <c r="U44" s="0" t="n">
        <v>4</v>
      </c>
      <c r="V44" s="0" t="n">
        <f aca="false">U44/120</f>
        <v>0.0333333333333333</v>
      </c>
      <c r="W44" s="0" t="n">
        <f aca="false">V44*B44</f>
        <v>107.394866666667</v>
      </c>
      <c r="X44" s="11" t="n">
        <v>1</v>
      </c>
      <c r="Y44" s="11" t="n">
        <f aca="false">X44/120</f>
        <v>0.00833333333333333</v>
      </c>
      <c r="Z44" s="11" t="n">
        <f aca="false">Y44*B44</f>
        <v>26.8487166666667</v>
      </c>
      <c r="AA44" s="0" t="n">
        <v>4</v>
      </c>
      <c r="AB44" s="1" t="n">
        <f aca="false">AA44/120</f>
        <v>0.0333333333333333</v>
      </c>
      <c r="AC44" s="0" t="n">
        <f aca="false">AB44*B44</f>
        <v>107.394866666667</v>
      </c>
      <c r="AD44" s="11" t="n">
        <v>1</v>
      </c>
      <c r="AE44" s="17" t="n">
        <f aca="false">AD44/120</f>
        <v>0.00833333333333333</v>
      </c>
      <c r="AF44" s="11" t="n">
        <f aca="false">AE44*B44</f>
        <v>26.8487166666667</v>
      </c>
      <c r="AH44" s="0" t="n">
        <v>12</v>
      </c>
      <c r="AI44" s="0" t="n">
        <f aca="false">AH44/175</f>
        <v>0.0685714285714286</v>
      </c>
      <c r="AJ44" s="0" t="n">
        <f aca="false">AI44*B44</f>
        <v>220.926582857143</v>
      </c>
      <c r="AK44" s="0" t="n">
        <v>12</v>
      </c>
      <c r="AL44" s="0" t="n">
        <f aca="false">AK44/175</f>
        <v>0.0685714285714286</v>
      </c>
      <c r="AM44" s="0" t="n">
        <f aca="false">AL44*B44</f>
        <v>220.926582857143</v>
      </c>
      <c r="AN44" s="0" t="n">
        <v>4</v>
      </c>
      <c r="AO44" s="0" t="n">
        <f aca="false">AN44/175</f>
        <v>0.0228571428571429</v>
      </c>
      <c r="AP44" s="0" t="n">
        <f aca="false">AO44*B44</f>
        <v>73.6421942857143</v>
      </c>
      <c r="AQ44" s="0" t="n">
        <v>5</v>
      </c>
      <c r="AR44" s="0" t="n">
        <f aca="false">AQ44/120</f>
        <v>0.0416666666666667</v>
      </c>
      <c r="AS44" s="0" t="n">
        <f aca="false">AR44*AM44</f>
        <v>9.20527428571429</v>
      </c>
      <c r="AT44" s="1" t="n">
        <v>10</v>
      </c>
      <c r="AU44" s="0" t="n">
        <f aca="false">AT44/174</f>
        <v>0.0574712643678161</v>
      </c>
      <c r="AV44" s="0" t="n">
        <f aca="false">AU44*B44</f>
        <v>185.163563218391</v>
      </c>
      <c r="AW44" s="1" t="n">
        <v>10</v>
      </c>
      <c r="AX44" s="0" t="n">
        <f aca="false">AW44/174</f>
        <v>0.0574712643678161</v>
      </c>
      <c r="AY44" s="0" t="n">
        <f aca="false">AX44*B44</f>
        <v>185.163563218391</v>
      </c>
    </row>
    <row r="45" customFormat="false" ht="12.8" hidden="false" customHeight="false" outlineLevel="0" collapsed="false">
      <c r="A45" s="1" t="s">
        <v>351</v>
      </c>
      <c r="B45" s="0" t="n">
        <v>500</v>
      </c>
      <c r="C45" s="1" t="n">
        <v>1</v>
      </c>
      <c r="D45" s="0" t="n">
        <f aca="false">C45/120</f>
        <v>0.00833333333333333</v>
      </c>
      <c r="E45" s="0" t="n">
        <f aca="false">D45*B45</f>
        <v>4.16666666666667</v>
      </c>
      <c r="F45" s="0" t="n">
        <v>0</v>
      </c>
      <c r="G45" s="1" t="n">
        <f aca="false">F45/120</f>
        <v>0</v>
      </c>
      <c r="H45" s="0" t="n">
        <v>0</v>
      </c>
      <c r="I45" s="11" t="n">
        <v>0</v>
      </c>
      <c r="J45" s="17" t="n">
        <f aca="false">I45/120</f>
        <v>0</v>
      </c>
      <c r="K45" s="11" t="n">
        <v>0</v>
      </c>
      <c r="L45" s="0" t="n">
        <v>1</v>
      </c>
      <c r="M45" s="0" t="n">
        <f aca="false">L45/120</f>
        <v>0.00833333333333333</v>
      </c>
      <c r="N45" s="0" t="n">
        <f aca="false">M45*B45</f>
        <v>4.16666666666667</v>
      </c>
      <c r="O45" s="0" t="n">
        <v>1</v>
      </c>
      <c r="P45" s="0" t="n">
        <f aca="false">O45/120</f>
        <v>0.00833333333333333</v>
      </c>
      <c r="Q45" s="0" t="n">
        <f aca="false">P45*B45</f>
        <v>4.16666666666667</v>
      </c>
      <c r="R45" s="0" t="n">
        <v>1</v>
      </c>
      <c r="S45" s="0" t="n">
        <f aca="false">R45/120</f>
        <v>0.00833333333333333</v>
      </c>
      <c r="T45" s="0" t="n">
        <f aca="false">S45*B45</f>
        <v>4.16666666666667</v>
      </c>
      <c r="U45" s="0" t="n">
        <v>0</v>
      </c>
      <c r="V45" s="0" t="n">
        <f aca="false">U45/120</f>
        <v>0</v>
      </c>
      <c r="W45" s="0" t="n">
        <v>0</v>
      </c>
      <c r="X45" s="11" t="n">
        <v>0</v>
      </c>
      <c r="Y45" s="11" t="n">
        <f aca="false">X45/120</f>
        <v>0</v>
      </c>
      <c r="Z45" s="11" t="n">
        <f aca="false">Y45*B45</f>
        <v>0</v>
      </c>
      <c r="AA45" s="0" t="n">
        <v>0</v>
      </c>
      <c r="AB45" s="1" t="n">
        <f aca="false">AA45/120</f>
        <v>0</v>
      </c>
      <c r="AC45" s="0" t="n">
        <v>0</v>
      </c>
      <c r="AD45" s="11" t="n">
        <v>0</v>
      </c>
      <c r="AE45" s="17" t="n">
        <f aca="false">AD45/120</f>
        <v>0</v>
      </c>
      <c r="AF45" s="11" t="n">
        <f aca="false">AE45*B45</f>
        <v>0</v>
      </c>
      <c r="AQ45" s="0" t="n">
        <v>0</v>
      </c>
      <c r="AR45" s="0" t="n">
        <f aca="false">AQ45/120</f>
        <v>0</v>
      </c>
      <c r="AS45" s="0" t="n">
        <v>0</v>
      </c>
      <c r="AT45" s="1"/>
      <c r="AW45" s="1"/>
    </row>
    <row r="46" customFormat="false" ht="12.8" hidden="false" customHeight="false" outlineLevel="0" collapsed="false">
      <c r="A46" s="18" t="s">
        <v>352</v>
      </c>
      <c r="B46" s="0" t="s">
        <v>74</v>
      </c>
      <c r="C46" s="1" t="n">
        <f aca="false">SUM(C42:C45)</f>
        <v>47</v>
      </c>
      <c r="D46" s="0" t="n">
        <f aca="false">C46/120</f>
        <v>0.391666666666667</v>
      </c>
      <c r="E46" s="0" t="n">
        <f aca="false">SUM(E42:E45)</f>
        <v>1290.51745833333</v>
      </c>
      <c r="F46" s="1" t="n">
        <f aca="false">SUM(F42:F44)</f>
        <v>14</v>
      </c>
      <c r="G46" s="1" t="n">
        <f aca="false">F46/120</f>
        <v>0.116666666666667</v>
      </c>
      <c r="H46" s="3" t="n">
        <f aca="false">SUM(H42:H44)</f>
        <v>395.428633333333</v>
      </c>
      <c r="I46" s="17" t="n">
        <f aca="false">SUM(I42:I44)</f>
        <v>13</v>
      </c>
      <c r="J46" s="17" t="n">
        <f aca="false">I46/120</f>
        <v>0.108333333333333</v>
      </c>
      <c r="K46" s="16" t="n">
        <f aca="false">SUM(K42:K44)</f>
        <v>353.919966666667</v>
      </c>
      <c r="L46" s="3" t="n">
        <f aca="false">SUM(L42:L45)</f>
        <v>3</v>
      </c>
      <c r="M46" s="0" t="n">
        <f aca="false">L46/120</f>
        <v>0.025</v>
      </c>
      <c r="N46" s="3" t="n">
        <f aca="false">SUM(N42:N45)</f>
        <v>60.307425</v>
      </c>
      <c r="O46" s="3" t="n">
        <f aca="false">SUM(O42:O45)</f>
        <v>3</v>
      </c>
      <c r="P46" s="0" t="n">
        <f aca="false">O46/120</f>
        <v>0.025</v>
      </c>
      <c r="Q46" s="3" t="n">
        <f aca="false">SUM(Q42:Q45)</f>
        <v>60.307425</v>
      </c>
      <c r="R46" s="3" t="n">
        <f aca="false">SUM(R42:R45)</f>
        <v>3</v>
      </c>
      <c r="S46" s="0" t="n">
        <f aca="false">R46/120</f>
        <v>0.025</v>
      </c>
      <c r="T46" s="3" t="n">
        <f aca="false">SUM(T42:T45)</f>
        <v>60.307425</v>
      </c>
      <c r="U46" s="0" t="n">
        <f aca="false">SUM(U42:U44)</f>
        <v>14</v>
      </c>
      <c r="V46" s="0" t="n">
        <f aca="false">U46/120</f>
        <v>0.116666666666667</v>
      </c>
      <c r="W46" s="3" t="n">
        <f aca="false">SUM(W42:W44)</f>
        <v>395.428633333333</v>
      </c>
      <c r="X46" s="11" t="n">
        <f aca="false">SUM(X42:X44)</f>
        <v>13</v>
      </c>
      <c r="Y46" s="11" t="n">
        <f aca="false">X46/120</f>
        <v>0.108333333333333</v>
      </c>
      <c r="Z46" s="16" t="n">
        <f aca="false">SUM(Z42:Z44)</f>
        <v>353.919966666667</v>
      </c>
      <c r="AA46" s="0" t="n">
        <f aca="false">SUM(AA42:AA44)</f>
        <v>14</v>
      </c>
      <c r="AB46" s="1" t="n">
        <f aca="false">AA46/120</f>
        <v>0.116666666666667</v>
      </c>
      <c r="AC46" s="3" t="n">
        <f aca="false">SUM(AC42:AC44)</f>
        <v>395.428633333333</v>
      </c>
      <c r="AD46" s="11" t="n">
        <f aca="false">SUM(AD42:AD44)</f>
        <v>13</v>
      </c>
      <c r="AE46" s="17" t="n">
        <f aca="false">AD46/120</f>
        <v>0.108333333333333</v>
      </c>
      <c r="AF46" s="16" t="n">
        <f aca="false">SUM(AF42:AF44)</f>
        <v>353.919966666667</v>
      </c>
      <c r="AG46" s="3"/>
      <c r="AH46" s="0" t="n">
        <f aca="false">SUM(AH42:AH44)</f>
        <v>49</v>
      </c>
      <c r="AI46" s="0" t="n">
        <f aca="false">AH46/175</f>
        <v>0.28</v>
      </c>
      <c r="AJ46" s="3" t="n">
        <f aca="false">SUM(AJ42:AJ44)</f>
        <v>937.30076</v>
      </c>
      <c r="AK46" s="0" t="n">
        <f aca="false">SUM(AK42:AK44)</f>
        <v>49</v>
      </c>
      <c r="AL46" s="0" t="n">
        <f aca="false">AK46/175</f>
        <v>0.28</v>
      </c>
      <c r="AM46" s="3" t="n">
        <f aca="false">SUM(AM42:AM44)</f>
        <v>937.30076</v>
      </c>
      <c r="AN46" s="0" t="n">
        <f aca="false">SUM(AN42:AN44)</f>
        <v>13</v>
      </c>
      <c r="AO46" s="0" t="n">
        <f aca="false">AN46/175</f>
        <v>0.0742857142857143</v>
      </c>
      <c r="AP46" s="3" t="n">
        <f aca="false">SUM(AP42:AP44)</f>
        <v>251.065091428571</v>
      </c>
      <c r="AQ46" s="3" t="n">
        <f aca="false">SUM(AQ42:AQ44)</f>
        <v>28</v>
      </c>
      <c r="AR46" s="0" t="n">
        <f aca="false">AQ46/120</f>
        <v>0.233333333333333</v>
      </c>
      <c r="AS46" s="3" t="n">
        <f aca="false">SUM(AS42:AS44)</f>
        <v>98.4191905238095</v>
      </c>
      <c r="AT46" s="1" t="n">
        <f aca="false">SUM(AT42:AT44)</f>
        <v>47</v>
      </c>
      <c r="AU46" s="0" t="n">
        <f aca="false">AT46/174</f>
        <v>0.270114942528736</v>
      </c>
      <c r="AV46" s="0" t="n">
        <f aca="false">SUM(AV42:AV44)</f>
        <v>905.654833333333</v>
      </c>
      <c r="AW46" s="1" t="n">
        <f aca="false">SUM(AW42:AW44)</f>
        <v>47</v>
      </c>
      <c r="AX46" s="0" t="n">
        <f aca="false">AW46/174</f>
        <v>0.270114942528736</v>
      </c>
      <c r="AY46" s="0" t="n">
        <f aca="false">SUM(AY42:AY44)</f>
        <v>905.654833333333</v>
      </c>
    </row>
    <row r="47" customFormat="false" ht="12.8" hidden="false" customHeight="false" outlineLevel="0" collapsed="false">
      <c r="A47" s="0" t="s">
        <v>203</v>
      </c>
      <c r="B47" s="0" t="n">
        <v>3785.365</v>
      </c>
      <c r="C47" s="1" t="n">
        <v>4</v>
      </c>
      <c r="D47" s="0" t="n">
        <f aca="false">C47/120</f>
        <v>0.0333333333333333</v>
      </c>
      <c r="E47" s="0" t="n">
        <f aca="false">D47*B47</f>
        <v>126.178833333333</v>
      </c>
      <c r="F47" s="0" t="n">
        <v>1</v>
      </c>
      <c r="G47" s="1" t="n">
        <f aca="false">F47/120</f>
        <v>0.00833333333333333</v>
      </c>
      <c r="H47" s="0" t="n">
        <f aca="false">G47*B47</f>
        <v>31.5447083333333</v>
      </c>
      <c r="I47" s="11" t="n">
        <v>4</v>
      </c>
      <c r="J47" s="17" t="n">
        <f aca="false">I47/120</f>
        <v>0.0333333333333333</v>
      </c>
      <c r="K47" s="11" t="n">
        <f aca="false">J47*B47</f>
        <v>126.178833333333</v>
      </c>
      <c r="L47" s="0" t="n">
        <v>2</v>
      </c>
      <c r="M47" s="0" t="n">
        <f aca="false">L47/120</f>
        <v>0.0166666666666667</v>
      </c>
      <c r="N47" s="0" t="n">
        <f aca="false">M47*B47</f>
        <v>63.0894166666667</v>
      </c>
      <c r="O47" s="0" t="n">
        <v>2</v>
      </c>
      <c r="P47" s="0" t="n">
        <f aca="false">O47/120</f>
        <v>0.0166666666666667</v>
      </c>
      <c r="Q47" s="0" t="n">
        <f aca="false">P47*B47</f>
        <v>63.0894166666667</v>
      </c>
      <c r="R47" s="0" t="n">
        <v>2</v>
      </c>
      <c r="S47" s="0" t="n">
        <f aca="false">R47/120</f>
        <v>0.0166666666666667</v>
      </c>
      <c r="T47" s="0" t="n">
        <f aca="false">S47*B47</f>
        <v>63.0894166666667</v>
      </c>
      <c r="U47" s="0" t="n">
        <v>1</v>
      </c>
      <c r="V47" s="0" t="n">
        <f aca="false">U47/120</f>
        <v>0.00833333333333333</v>
      </c>
      <c r="W47" s="0" t="n">
        <f aca="false">V47*B47</f>
        <v>31.5447083333333</v>
      </c>
      <c r="X47" s="11" t="n">
        <v>4</v>
      </c>
      <c r="Y47" s="11" t="n">
        <f aca="false">X47/120</f>
        <v>0.0333333333333333</v>
      </c>
      <c r="Z47" s="11" t="n">
        <f aca="false">Y47*B47</f>
        <v>126.178833333333</v>
      </c>
      <c r="AA47" s="0" t="n">
        <v>1</v>
      </c>
      <c r="AB47" s="1" t="n">
        <f aca="false">AA47/120</f>
        <v>0.00833333333333333</v>
      </c>
      <c r="AC47" s="0" t="n">
        <f aca="false">AB47*B47</f>
        <v>31.5447083333333</v>
      </c>
      <c r="AD47" s="11" t="n">
        <v>4</v>
      </c>
      <c r="AE47" s="17" t="n">
        <f aca="false">AD47/120</f>
        <v>0.0333333333333333</v>
      </c>
      <c r="AF47" s="11" t="n">
        <f aca="false">AE47*B47</f>
        <v>126.178833333333</v>
      </c>
      <c r="AH47" s="0" t="n">
        <v>4</v>
      </c>
      <c r="AI47" s="0" t="n">
        <f aca="false">AH47/175</f>
        <v>0.0228571428571429</v>
      </c>
      <c r="AJ47" s="0" t="n">
        <f aca="false">AI47*B47</f>
        <v>86.5226285714286</v>
      </c>
      <c r="AK47" s="0" t="n">
        <v>4</v>
      </c>
      <c r="AL47" s="0" t="n">
        <f aca="false">AK47/175</f>
        <v>0.0228571428571429</v>
      </c>
      <c r="AM47" s="0" t="n">
        <f aca="false">AL47*B47</f>
        <v>86.5226285714286</v>
      </c>
      <c r="AN47" s="0" t="n">
        <v>1</v>
      </c>
      <c r="AO47" s="0" t="n">
        <f aca="false">AN47/175</f>
        <v>0.00571428571428571</v>
      </c>
      <c r="AP47" s="0" t="n">
        <f aca="false">AO47*B47</f>
        <v>21.6306571428571</v>
      </c>
      <c r="AQ47" s="0" t="n">
        <v>4</v>
      </c>
      <c r="AR47" s="0" t="n">
        <f aca="false">AQ47/120</f>
        <v>0.0333333333333333</v>
      </c>
      <c r="AS47" s="0" t="n">
        <f aca="false">AR47*AM47</f>
        <v>2.88408761904762</v>
      </c>
      <c r="AT47" s="1" t="n">
        <v>4</v>
      </c>
      <c r="AU47" s="0" t="n">
        <f aca="false">AT47/174</f>
        <v>0.0229885057471264</v>
      </c>
      <c r="AV47" s="0" t="n">
        <f aca="false">AU47*B47</f>
        <v>87.0198850574713</v>
      </c>
      <c r="AW47" s="1" t="n">
        <v>4</v>
      </c>
      <c r="AX47" s="0" t="n">
        <f aca="false">AW47/174</f>
        <v>0.0229885057471264</v>
      </c>
      <c r="AY47" s="0" t="n">
        <f aca="false">AX47*B47</f>
        <v>87.0198850574713</v>
      </c>
    </row>
    <row r="48" customFormat="false" ht="12.8" hidden="false" customHeight="false" outlineLevel="0" collapsed="false">
      <c r="A48" s="0" t="s">
        <v>353</v>
      </c>
      <c r="B48" s="0" t="n">
        <v>500</v>
      </c>
      <c r="C48" s="1" t="n">
        <v>1</v>
      </c>
      <c r="D48" s="0" t="n">
        <f aca="false">C48/120</f>
        <v>0.00833333333333333</v>
      </c>
      <c r="E48" s="0" t="n">
        <f aca="false">D48*B48</f>
        <v>4.16666666666667</v>
      </c>
      <c r="F48" s="0" t="n">
        <v>0</v>
      </c>
      <c r="G48" s="1" t="n">
        <f aca="false">F48/120</f>
        <v>0</v>
      </c>
      <c r="H48" s="0" t="n">
        <f aca="false">G48*B48</f>
        <v>0</v>
      </c>
      <c r="I48" s="11" t="n">
        <v>0</v>
      </c>
      <c r="J48" s="17" t="n">
        <f aca="false">I48/120</f>
        <v>0</v>
      </c>
      <c r="K48" s="11" t="n">
        <f aca="false">J48*B48</f>
        <v>0</v>
      </c>
      <c r="L48" s="0" t="n">
        <v>0</v>
      </c>
      <c r="M48" s="0" t="n">
        <f aca="false">L48/120</f>
        <v>0</v>
      </c>
      <c r="N48" s="0" t="n">
        <f aca="false">M48*B48</f>
        <v>0</v>
      </c>
      <c r="O48" s="0" t="n">
        <v>0</v>
      </c>
      <c r="P48" s="0" t="n">
        <f aca="false">O48/120</f>
        <v>0</v>
      </c>
      <c r="Q48" s="0" t="n">
        <f aca="false">P48*B48</f>
        <v>0</v>
      </c>
      <c r="R48" s="0" t="n">
        <v>0</v>
      </c>
      <c r="S48" s="0" t="n">
        <f aca="false">R48/120</f>
        <v>0</v>
      </c>
      <c r="T48" s="0" t="n">
        <f aca="false">S48*B48</f>
        <v>0</v>
      </c>
      <c r="U48" s="0" t="n">
        <v>0</v>
      </c>
      <c r="V48" s="0" t="n">
        <f aca="false">U48/120</f>
        <v>0</v>
      </c>
      <c r="W48" s="0" t="n">
        <f aca="false">V48*B48</f>
        <v>0</v>
      </c>
      <c r="X48" s="11" t="n">
        <v>0</v>
      </c>
      <c r="Y48" s="11" t="n">
        <f aca="false">X48/120</f>
        <v>0</v>
      </c>
      <c r="Z48" s="11" t="n">
        <f aca="false">Y48*B48</f>
        <v>0</v>
      </c>
      <c r="AA48" s="0" t="n">
        <v>0</v>
      </c>
      <c r="AB48" s="1" t="n">
        <f aca="false">AA48/120</f>
        <v>0</v>
      </c>
      <c r="AC48" s="0" t="n">
        <f aca="false">AB48*B48</f>
        <v>0</v>
      </c>
      <c r="AD48" s="11" t="n">
        <v>0</v>
      </c>
      <c r="AE48" s="17" t="n">
        <f aca="false">AD48/120</f>
        <v>0</v>
      </c>
      <c r="AF48" s="11" t="n">
        <f aca="false">AE48*B48</f>
        <v>0</v>
      </c>
      <c r="AH48" s="0" t="n">
        <v>2</v>
      </c>
      <c r="AI48" s="0" t="n">
        <f aca="false">AH48/175</f>
        <v>0.0114285714285714</v>
      </c>
      <c r="AJ48" s="0" t="n">
        <f aca="false">AI48*B48</f>
        <v>5.71428571428571</v>
      </c>
      <c r="AK48" s="0" t="n">
        <v>2</v>
      </c>
      <c r="AL48" s="0" t="n">
        <f aca="false">AK48/175</f>
        <v>0.0114285714285714</v>
      </c>
      <c r="AM48" s="0" t="n">
        <f aca="false">AL48*B48</f>
        <v>5.71428571428571</v>
      </c>
      <c r="AN48" s="0" t="n">
        <v>0</v>
      </c>
      <c r="AO48" s="0" t="n">
        <f aca="false">AN48/175</f>
        <v>0</v>
      </c>
      <c r="AP48" s="0" t="n">
        <f aca="false">AO48/174</f>
        <v>0</v>
      </c>
      <c r="AQ48" s="0" t="n">
        <v>1</v>
      </c>
      <c r="AR48" s="0" t="n">
        <f aca="false">AQ48/120</f>
        <v>0.00833333333333333</v>
      </c>
      <c r="AS48" s="0" t="n">
        <f aca="false">AR48*AM48</f>
        <v>0.0476190476190476</v>
      </c>
      <c r="AT48" s="1" t="n">
        <v>1</v>
      </c>
      <c r="AU48" s="0" t="n">
        <f aca="false">AT48/174</f>
        <v>0.00574712643678161</v>
      </c>
      <c r="AV48" s="0" t="n">
        <f aca="false">AU48*B48</f>
        <v>2.8735632183908</v>
      </c>
      <c r="AW48" s="1" t="n">
        <v>1</v>
      </c>
      <c r="AX48" s="0" t="n">
        <f aca="false">AW48/174</f>
        <v>0.00574712643678161</v>
      </c>
      <c r="AY48" s="0" t="n">
        <f aca="false">AX48*B48</f>
        <v>2.8735632183908</v>
      </c>
    </row>
    <row r="49" customFormat="false" ht="12.8" hidden="false" customHeight="false" outlineLevel="0" collapsed="false">
      <c r="A49" s="0" t="s">
        <v>210</v>
      </c>
      <c r="B49" s="0" t="n">
        <v>4442.3925</v>
      </c>
      <c r="C49" s="1" t="n">
        <v>3</v>
      </c>
      <c r="D49" s="0" t="n">
        <f aca="false">C49/120</f>
        <v>0.025</v>
      </c>
      <c r="E49" s="0" t="n">
        <f aca="false">D49*B49</f>
        <v>111.0598125</v>
      </c>
      <c r="F49" s="0" t="n">
        <v>0</v>
      </c>
      <c r="G49" s="1" t="n">
        <v>0</v>
      </c>
      <c r="H49" s="0" t="n">
        <v>0</v>
      </c>
      <c r="I49" s="11" t="n">
        <v>0</v>
      </c>
      <c r="J49" s="17" t="n">
        <v>0</v>
      </c>
      <c r="K49" s="11" t="n">
        <f aca="false">J49*B49</f>
        <v>0</v>
      </c>
      <c r="L49" s="0" t="n">
        <v>1</v>
      </c>
      <c r="M49" s="0" t="n">
        <f aca="false">L49/120</f>
        <v>0.00833333333333333</v>
      </c>
      <c r="N49" s="0" t="n">
        <f aca="false">M49*B49</f>
        <v>37.0199375</v>
      </c>
      <c r="O49" s="0" t="n">
        <v>1</v>
      </c>
      <c r="P49" s="0" t="n">
        <f aca="false">O49/120</f>
        <v>0.00833333333333333</v>
      </c>
      <c r="Q49" s="0" t="n">
        <f aca="false">P49*B49</f>
        <v>37.0199375</v>
      </c>
      <c r="R49" s="0" t="n">
        <v>1</v>
      </c>
      <c r="S49" s="0" t="n">
        <f aca="false">R49/120</f>
        <v>0.00833333333333333</v>
      </c>
      <c r="T49" s="0" t="n">
        <f aca="false">S49*B49</f>
        <v>37.0199375</v>
      </c>
      <c r="U49" s="0" t="n">
        <v>0</v>
      </c>
      <c r="V49" s="0" t="n">
        <v>0</v>
      </c>
      <c r="W49" s="0" t="n">
        <v>0</v>
      </c>
      <c r="X49" s="11" t="n">
        <v>0</v>
      </c>
      <c r="Y49" s="11" t="n">
        <v>0</v>
      </c>
      <c r="Z49" s="11" t="n">
        <f aca="false">Y49*B49</f>
        <v>0</v>
      </c>
      <c r="AA49" s="0" t="n">
        <v>0</v>
      </c>
      <c r="AB49" s="0" t="n">
        <v>0</v>
      </c>
      <c r="AC49" s="0" t="n">
        <v>0</v>
      </c>
      <c r="AD49" s="11" t="n">
        <v>0</v>
      </c>
      <c r="AE49" s="11" t="n">
        <v>0</v>
      </c>
      <c r="AF49" s="11" t="n">
        <f aca="false">AE49*B49</f>
        <v>0</v>
      </c>
      <c r="AQ49" s="0" t="n">
        <v>0</v>
      </c>
      <c r="AR49" s="0" t="n">
        <v>0</v>
      </c>
      <c r="AS49" s="0" t="n">
        <v>0</v>
      </c>
      <c r="AT49" s="1"/>
      <c r="AW49" s="1"/>
    </row>
    <row r="50" customFormat="false" ht="12.8" hidden="false" customHeight="false" outlineLevel="0" collapsed="false">
      <c r="A50" s="0" t="s">
        <v>206</v>
      </c>
      <c r="B50" s="0" t="n">
        <v>3299.6792</v>
      </c>
      <c r="C50" s="1" t="n">
        <v>18</v>
      </c>
      <c r="D50" s="0" t="n">
        <f aca="false">C50/120</f>
        <v>0.15</v>
      </c>
      <c r="E50" s="0" t="n">
        <f aca="false">D50*B50</f>
        <v>494.95188</v>
      </c>
      <c r="F50" s="0" t="n">
        <v>0</v>
      </c>
      <c r="G50" s="1" t="n">
        <f aca="false">F50/120</f>
        <v>0</v>
      </c>
      <c r="H50" s="0" t="n">
        <f aca="false">G50*B50</f>
        <v>0</v>
      </c>
      <c r="I50" s="11" t="n">
        <v>0</v>
      </c>
      <c r="J50" s="17" t="n">
        <f aca="false">I50/120</f>
        <v>0</v>
      </c>
      <c r="K50" s="11" t="n">
        <f aca="false">J50*B50</f>
        <v>0</v>
      </c>
      <c r="L50" s="0" t="n">
        <v>10</v>
      </c>
      <c r="M50" s="0" t="n">
        <f aca="false">L50/120</f>
        <v>0.0833333333333333</v>
      </c>
      <c r="N50" s="0" t="n">
        <f aca="false">M50*B50</f>
        <v>274.973266666667</v>
      </c>
      <c r="O50" s="0" t="n">
        <v>10</v>
      </c>
      <c r="P50" s="0" t="n">
        <f aca="false">O50/120</f>
        <v>0.0833333333333333</v>
      </c>
      <c r="Q50" s="0" t="n">
        <f aca="false">P50*B50</f>
        <v>274.973266666667</v>
      </c>
      <c r="R50" s="0" t="n">
        <v>10</v>
      </c>
      <c r="S50" s="0" t="n">
        <f aca="false">R50/120</f>
        <v>0.0833333333333333</v>
      </c>
      <c r="T50" s="0" t="n">
        <f aca="false">S50*B50</f>
        <v>274.973266666667</v>
      </c>
      <c r="U50" s="0" t="n">
        <v>0</v>
      </c>
      <c r="V50" s="0" t="n">
        <f aca="false">U50/120</f>
        <v>0</v>
      </c>
      <c r="W50" s="0" t="n">
        <f aca="false">V50*B50</f>
        <v>0</v>
      </c>
      <c r="X50" s="11" t="n">
        <v>0</v>
      </c>
      <c r="Y50" s="11" t="n">
        <f aca="false">X50/120</f>
        <v>0</v>
      </c>
      <c r="Z50" s="11" t="n">
        <f aca="false">Y50*B50</f>
        <v>0</v>
      </c>
      <c r="AA50" s="0" t="n">
        <v>0</v>
      </c>
      <c r="AB50" s="1" t="n">
        <f aca="false">AA50/120</f>
        <v>0</v>
      </c>
      <c r="AC50" s="0" t="n">
        <f aca="false">AB50*B50</f>
        <v>0</v>
      </c>
      <c r="AD50" s="11" t="n">
        <v>0</v>
      </c>
      <c r="AE50" s="17" t="n">
        <f aca="false">AD50/120</f>
        <v>0</v>
      </c>
      <c r="AF50" s="11" t="n">
        <f aca="false">AE50*B50</f>
        <v>0</v>
      </c>
      <c r="AH50" s="0" t="n">
        <v>22</v>
      </c>
      <c r="AI50" s="0" t="n">
        <f aca="false">AH50/175</f>
        <v>0.125714285714286</v>
      </c>
      <c r="AJ50" s="0" t="n">
        <f aca="false">AI50*B50</f>
        <v>414.816813714286</v>
      </c>
      <c r="AK50" s="0" t="n">
        <v>22</v>
      </c>
      <c r="AL50" s="0" t="n">
        <f aca="false">AK50/175</f>
        <v>0.125714285714286</v>
      </c>
      <c r="AM50" s="0" t="n">
        <f aca="false">AL50*B50</f>
        <v>414.816813714286</v>
      </c>
      <c r="AN50" s="0" t="n">
        <v>0</v>
      </c>
      <c r="AO50" s="0" t="n">
        <f aca="false">AN50/175</f>
        <v>0</v>
      </c>
      <c r="AP50" s="0" t="n">
        <f aca="false">AO50/174</f>
        <v>0</v>
      </c>
      <c r="AQ50" s="0" t="n">
        <v>0</v>
      </c>
      <c r="AR50" s="0" t="n">
        <f aca="false">AQ50/120</f>
        <v>0</v>
      </c>
      <c r="AS50" s="0" t="n">
        <f aca="false">AR50*AM50</f>
        <v>0</v>
      </c>
      <c r="AT50" s="1" t="n">
        <v>22</v>
      </c>
      <c r="AU50" s="0" t="n">
        <f aca="false">AT50/174</f>
        <v>0.126436781609195</v>
      </c>
      <c r="AV50" s="0" t="n">
        <f aca="false">AU50*B50</f>
        <v>417.200818390805</v>
      </c>
      <c r="AW50" s="1" t="n">
        <v>22</v>
      </c>
      <c r="AX50" s="0" t="n">
        <f aca="false">AW50/174</f>
        <v>0.126436781609195</v>
      </c>
      <c r="AY50" s="0" t="n">
        <f aca="false">AX50*B50</f>
        <v>417.200818390805</v>
      </c>
    </row>
    <row r="51" customFormat="false" ht="12.8" hidden="false" customHeight="false" outlineLevel="0" collapsed="false">
      <c r="A51" s="0" t="s">
        <v>354</v>
      </c>
      <c r="B51" s="0" t="n">
        <v>500</v>
      </c>
      <c r="C51" s="1" t="n">
        <v>1</v>
      </c>
      <c r="D51" s="0" t="n">
        <f aca="false">C51/120</f>
        <v>0.00833333333333333</v>
      </c>
      <c r="E51" s="0" t="n">
        <f aca="false">D51*B51</f>
        <v>4.16666666666667</v>
      </c>
      <c r="F51" s="0" t="n">
        <v>0</v>
      </c>
      <c r="G51" s="1" t="n">
        <f aca="false">F51/120</f>
        <v>0</v>
      </c>
      <c r="H51" s="0" t="n">
        <f aca="false">G51*B51</f>
        <v>0</v>
      </c>
      <c r="I51" s="11" t="n">
        <v>0</v>
      </c>
      <c r="J51" s="17" t="n">
        <f aca="false">I51/120</f>
        <v>0</v>
      </c>
      <c r="K51" s="11" t="n">
        <f aca="false">J51*B51</f>
        <v>0</v>
      </c>
      <c r="L51" s="0" t="n">
        <v>1</v>
      </c>
      <c r="M51" s="0" t="n">
        <f aca="false">L51/120</f>
        <v>0.00833333333333333</v>
      </c>
      <c r="N51" s="0" t="n">
        <f aca="false">M51*B51</f>
        <v>4.16666666666667</v>
      </c>
      <c r="O51" s="0" t="n">
        <v>1</v>
      </c>
      <c r="P51" s="0" t="n">
        <f aca="false">O51/120</f>
        <v>0.00833333333333333</v>
      </c>
      <c r="Q51" s="0" t="n">
        <f aca="false">P51*B51</f>
        <v>4.16666666666667</v>
      </c>
      <c r="R51" s="0" t="n">
        <v>1</v>
      </c>
      <c r="S51" s="0" t="n">
        <f aca="false">R51/120</f>
        <v>0.00833333333333333</v>
      </c>
      <c r="T51" s="0" t="n">
        <f aca="false">S51*B51</f>
        <v>4.16666666666667</v>
      </c>
      <c r="U51" s="0" t="n">
        <v>0</v>
      </c>
      <c r="V51" s="0" t="n">
        <f aca="false">U51/120</f>
        <v>0</v>
      </c>
      <c r="W51" s="0" t="n">
        <f aca="false">V51*B51</f>
        <v>0</v>
      </c>
      <c r="X51" s="11" t="n">
        <v>0</v>
      </c>
      <c r="Y51" s="11" t="n">
        <f aca="false">X51/120</f>
        <v>0</v>
      </c>
      <c r="Z51" s="11" t="n">
        <f aca="false">Y51*B51</f>
        <v>0</v>
      </c>
      <c r="AA51" s="0" t="n">
        <v>0</v>
      </c>
      <c r="AB51" s="1" t="n">
        <f aca="false">AA51/120</f>
        <v>0</v>
      </c>
      <c r="AC51" s="0" t="n">
        <f aca="false">AB51*B51</f>
        <v>0</v>
      </c>
      <c r="AD51" s="11" t="n">
        <v>0</v>
      </c>
      <c r="AE51" s="17" t="n">
        <f aca="false">AD51/120</f>
        <v>0</v>
      </c>
      <c r="AF51" s="11" t="n">
        <f aca="false">AE51*B51</f>
        <v>0</v>
      </c>
      <c r="AH51" s="0" t="n">
        <v>1</v>
      </c>
      <c r="AI51" s="0" t="n">
        <f aca="false">AH51/175</f>
        <v>0.00571428571428571</v>
      </c>
      <c r="AJ51" s="0" t="n">
        <f aca="false">AI51*B51</f>
        <v>2.85714285714286</v>
      </c>
      <c r="AK51" s="0" t="n">
        <v>1</v>
      </c>
      <c r="AL51" s="0" t="n">
        <f aca="false">AK51/175</f>
        <v>0.00571428571428571</v>
      </c>
      <c r="AM51" s="0" t="n">
        <f aca="false">AL51*B51</f>
        <v>2.85714285714286</v>
      </c>
      <c r="AN51" s="0" t="n">
        <v>0</v>
      </c>
      <c r="AO51" s="0" t="n">
        <f aca="false">AN51/175</f>
        <v>0</v>
      </c>
      <c r="AP51" s="0" t="n">
        <f aca="false">AO51/174</f>
        <v>0</v>
      </c>
      <c r="AQ51" s="0" t="n">
        <v>0</v>
      </c>
      <c r="AR51" s="0" t="n">
        <f aca="false">AQ51/120</f>
        <v>0</v>
      </c>
      <c r="AS51" s="0" t="n">
        <f aca="false">AR51*AM51</f>
        <v>0</v>
      </c>
      <c r="AT51" s="1" t="n">
        <v>1</v>
      </c>
      <c r="AU51" s="0" t="n">
        <f aca="false">AT51/174</f>
        <v>0.00574712643678161</v>
      </c>
      <c r="AV51" s="0" t="n">
        <f aca="false">AU51*B51</f>
        <v>2.8735632183908</v>
      </c>
      <c r="AW51" s="1" t="n">
        <v>1</v>
      </c>
      <c r="AX51" s="0" t="n">
        <f aca="false">AW51/174</f>
        <v>0.00574712643678161</v>
      </c>
      <c r="AY51" s="0" t="n">
        <f aca="false">AX51*B51</f>
        <v>2.8735632183908</v>
      </c>
    </row>
    <row r="52" customFormat="false" ht="12.8" hidden="false" customHeight="false" outlineLevel="0" collapsed="false">
      <c r="A52" s="0" t="s">
        <v>213</v>
      </c>
      <c r="B52" s="0" t="n">
        <v>3092.027</v>
      </c>
      <c r="C52" s="1" t="n">
        <v>1</v>
      </c>
      <c r="D52" s="0" t="n">
        <f aca="false">C52/120</f>
        <v>0.00833333333333333</v>
      </c>
      <c r="E52" s="0" t="n">
        <f aca="false">D52*B52</f>
        <v>25.7668916666667</v>
      </c>
      <c r="F52" s="0" t="n">
        <v>0</v>
      </c>
      <c r="G52" s="1" t="n">
        <f aca="false">F52/120</f>
        <v>0</v>
      </c>
      <c r="H52" s="0" t="n">
        <f aca="false">G52*B52</f>
        <v>0</v>
      </c>
      <c r="I52" s="11" t="n">
        <v>0</v>
      </c>
      <c r="J52" s="17" t="n">
        <f aca="false">I52/120</f>
        <v>0</v>
      </c>
      <c r="K52" s="11" t="n">
        <f aca="false">J52*B52</f>
        <v>0</v>
      </c>
      <c r="L52" s="0" t="n">
        <v>0</v>
      </c>
      <c r="M52" s="0" t="n">
        <f aca="false">L52/120</f>
        <v>0</v>
      </c>
      <c r="N52" s="0" t="n">
        <f aca="false">M52*B52</f>
        <v>0</v>
      </c>
      <c r="O52" s="0" t="n">
        <v>0</v>
      </c>
      <c r="P52" s="0" t="n">
        <f aca="false">O52/120</f>
        <v>0</v>
      </c>
      <c r="Q52" s="0" t="n">
        <f aca="false">P52*B52</f>
        <v>0</v>
      </c>
      <c r="R52" s="0" t="n">
        <v>0</v>
      </c>
      <c r="S52" s="0" t="n">
        <f aca="false">R52/120</f>
        <v>0</v>
      </c>
      <c r="T52" s="0" t="n">
        <f aca="false">S52*B52</f>
        <v>0</v>
      </c>
      <c r="U52" s="0" t="n">
        <v>0</v>
      </c>
      <c r="V52" s="0" t="n">
        <f aca="false">U52/120</f>
        <v>0</v>
      </c>
      <c r="W52" s="0" t="n">
        <f aca="false">V52*B52</f>
        <v>0</v>
      </c>
      <c r="X52" s="11" t="n">
        <v>0</v>
      </c>
      <c r="Y52" s="11" t="n">
        <f aca="false">X52/120</f>
        <v>0</v>
      </c>
      <c r="Z52" s="11" t="n">
        <f aca="false">Y52*B52</f>
        <v>0</v>
      </c>
      <c r="AA52" s="0" t="n">
        <v>0</v>
      </c>
      <c r="AB52" s="1" t="n">
        <f aca="false">AA52/120</f>
        <v>0</v>
      </c>
      <c r="AC52" s="0" t="n">
        <f aca="false">AB52*B52</f>
        <v>0</v>
      </c>
      <c r="AD52" s="11" t="n">
        <v>0</v>
      </c>
      <c r="AE52" s="17" t="n">
        <f aca="false">AD52/120</f>
        <v>0</v>
      </c>
      <c r="AF52" s="11" t="n">
        <f aca="false">AE52*B52</f>
        <v>0</v>
      </c>
      <c r="AH52" s="0" t="n">
        <v>1</v>
      </c>
      <c r="AI52" s="0" t="n">
        <f aca="false">AH52/175</f>
        <v>0.00571428571428571</v>
      </c>
      <c r="AJ52" s="0" t="n">
        <f aca="false">AI52*B52</f>
        <v>17.6687257142857</v>
      </c>
      <c r="AK52" s="0" t="n">
        <v>1</v>
      </c>
      <c r="AL52" s="0" t="n">
        <f aca="false">AK52/175</f>
        <v>0.00571428571428571</v>
      </c>
      <c r="AM52" s="0" t="n">
        <f aca="false">AL52*B52</f>
        <v>17.6687257142857</v>
      </c>
      <c r="AN52" s="0" t="n">
        <v>0</v>
      </c>
      <c r="AO52" s="0" t="n">
        <f aca="false">AN52/175</f>
        <v>0</v>
      </c>
      <c r="AP52" s="0" t="n">
        <f aca="false">AO52/174</f>
        <v>0</v>
      </c>
      <c r="AQ52" s="0" t="n">
        <v>0</v>
      </c>
      <c r="AR52" s="0" t="n">
        <f aca="false">AQ52/120</f>
        <v>0</v>
      </c>
      <c r="AS52" s="0" t="n">
        <f aca="false">AR52*AM52</f>
        <v>0</v>
      </c>
      <c r="AT52" s="1" t="n">
        <v>1</v>
      </c>
      <c r="AU52" s="0" t="n">
        <f aca="false">AT52/174</f>
        <v>0.00574712643678161</v>
      </c>
      <c r="AV52" s="0" t="n">
        <f aca="false">AU52*B52</f>
        <v>17.7702701149425</v>
      </c>
      <c r="AW52" s="1" t="n">
        <v>1</v>
      </c>
      <c r="AX52" s="0" t="n">
        <f aca="false">AW52/174</f>
        <v>0.00574712643678161</v>
      </c>
      <c r="AY52" s="0" t="n">
        <f aca="false">AX52*B52</f>
        <v>17.7702701149425</v>
      </c>
    </row>
    <row r="53" customFormat="false" ht="12.8" hidden="false" customHeight="false" outlineLevel="0" collapsed="false">
      <c r="A53" s="18" t="s">
        <v>355</v>
      </c>
      <c r="B53" s="0" t="n">
        <f aca="false">AVERAGE(B42:B44,B47,B50,B52:B52)</f>
        <v>3307.10153333333</v>
      </c>
      <c r="C53" s="1" t="n">
        <v>21</v>
      </c>
      <c r="D53" s="0" t="n">
        <f aca="false">C53/120</f>
        <v>0.175</v>
      </c>
      <c r="E53" s="0" t="n">
        <f aca="false">D53*B53</f>
        <v>578.742768333333</v>
      </c>
      <c r="F53" s="0" t="n">
        <v>4</v>
      </c>
      <c r="G53" s="1" t="n">
        <f aca="false">F53/120</f>
        <v>0.0333333333333333</v>
      </c>
      <c r="H53" s="0" t="n">
        <f aca="false">G53*B53</f>
        <v>110.236717777778</v>
      </c>
      <c r="I53" s="11" t="n">
        <v>10</v>
      </c>
      <c r="J53" s="17" t="n">
        <f aca="false">I53/120</f>
        <v>0.0833333333333333</v>
      </c>
      <c r="K53" s="11" t="n">
        <f aca="false">J53*B53</f>
        <v>275.591794444444</v>
      </c>
      <c r="L53" s="0" t="n">
        <v>8</v>
      </c>
      <c r="M53" s="0" t="n">
        <f aca="false">L53/120</f>
        <v>0.0666666666666667</v>
      </c>
      <c r="N53" s="0" t="n">
        <f aca="false">M53*B53</f>
        <v>220.473435555556</v>
      </c>
      <c r="O53" s="0" t="n">
        <v>8</v>
      </c>
      <c r="P53" s="0" t="n">
        <f aca="false">O53/120</f>
        <v>0.0666666666666667</v>
      </c>
      <c r="Q53" s="0" t="n">
        <f aca="false">P53*B53</f>
        <v>220.473435555556</v>
      </c>
      <c r="R53" s="0" t="n">
        <v>8</v>
      </c>
      <c r="S53" s="0" t="n">
        <f aca="false">R53/120</f>
        <v>0.0666666666666667</v>
      </c>
      <c r="T53" s="0" t="n">
        <f aca="false">S53*B53</f>
        <v>220.473435555556</v>
      </c>
      <c r="U53" s="0" t="n">
        <v>4</v>
      </c>
      <c r="V53" s="0" t="n">
        <f aca="false">U53/120</f>
        <v>0.0333333333333333</v>
      </c>
      <c r="W53" s="0" t="n">
        <f aca="false">V53*B53</f>
        <v>110.236717777778</v>
      </c>
      <c r="X53" s="11" t="n">
        <v>10</v>
      </c>
      <c r="Y53" s="11" t="n">
        <f aca="false">X53/120</f>
        <v>0.0833333333333333</v>
      </c>
      <c r="Z53" s="11" t="n">
        <f aca="false">Y53*B53</f>
        <v>275.591794444444</v>
      </c>
      <c r="AA53" s="0" t="n">
        <v>4</v>
      </c>
      <c r="AB53" s="1" t="n">
        <f aca="false">AA53/120</f>
        <v>0.0333333333333333</v>
      </c>
      <c r="AC53" s="0" t="n">
        <f aca="false">AB53*B53</f>
        <v>110.236717777778</v>
      </c>
      <c r="AD53" s="11" t="n">
        <v>10</v>
      </c>
      <c r="AE53" s="17" t="n">
        <f aca="false">AD53/120</f>
        <v>0.0833333333333333</v>
      </c>
      <c r="AF53" s="11" t="n">
        <f aca="false">AE53*B53</f>
        <v>275.591794444444</v>
      </c>
      <c r="AH53" s="0" t="n">
        <v>22</v>
      </c>
      <c r="AI53" s="0" t="n">
        <f aca="false">AH53/175</f>
        <v>0.125714285714286</v>
      </c>
      <c r="AJ53" s="0" t="n">
        <f aca="false">AI53*B53</f>
        <v>415.749907047619</v>
      </c>
      <c r="AK53" s="0" t="n">
        <v>22</v>
      </c>
      <c r="AL53" s="0" t="n">
        <f aca="false">AK53/175</f>
        <v>0.125714285714286</v>
      </c>
      <c r="AM53" s="0" t="n">
        <f aca="false">AL53*B53</f>
        <v>415.749907047619</v>
      </c>
      <c r="AN53" s="0" t="n">
        <v>4</v>
      </c>
      <c r="AO53" s="0" t="n">
        <f aca="false">AN53/175</f>
        <v>0.0228571428571429</v>
      </c>
      <c r="AP53" s="0" t="n">
        <f aca="false">AO53*B53</f>
        <v>75.5908921904762</v>
      </c>
      <c r="AQ53" s="0" t="n">
        <v>7</v>
      </c>
      <c r="AR53" s="0" t="n">
        <f aca="false">AQ53/120</f>
        <v>0.0583333333333333</v>
      </c>
      <c r="AS53" s="0" t="n">
        <f aca="false">AR53*AM53</f>
        <v>24.2520779111111</v>
      </c>
      <c r="AT53" s="1" t="n">
        <v>21</v>
      </c>
      <c r="AU53" s="0" t="n">
        <f aca="false">AT53/174</f>
        <v>0.120689655172414</v>
      </c>
      <c r="AV53" s="0" t="n">
        <f aca="false">AU53*B53</f>
        <v>399.132943678161</v>
      </c>
      <c r="AW53" s="1" t="n">
        <v>21</v>
      </c>
      <c r="AX53" s="0" t="n">
        <f aca="false">AW53/174</f>
        <v>0.120689655172414</v>
      </c>
      <c r="AY53" s="0" t="n">
        <f aca="false">AX53*B53</f>
        <v>399.132943678161</v>
      </c>
    </row>
    <row r="54" customFormat="false" ht="12.8" hidden="false" customHeight="false" outlineLevel="0" collapsed="false">
      <c r="A54" s="18" t="s">
        <v>356</v>
      </c>
      <c r="B54" s="0" t="s">
        <v>74</v>
      </c>
      <c r="C54" s="1" t="n">
        <f aca="false">SUM(C46:C53)</f>
        <v>96</v>
      </c>
      <c r="D54" s="0" t="n">
        <f aca="false">C54/120</f>
        <v>0.8</v>
      </c>
      <c r="E54" s="0" t="n">
        <f aca="false">SUM(E46:E53)</f>
        <v>2635.5509775</v>
      </c>
      <c r="F54" s="3" t="n">
        <f aca="false">SUM(F46:F53)</f>
        <v>19</v>
      </c>
      <c r="G54" s="1" t="n">
        <f aca="false">F54/120</f>
        <v>0.158333333333333</v>
      </c>
      <c r="H54" s="3" t="n">
        <f aca="false">SUM(H46:H53)</f>
        <v>537.210059444445</v>
      </c>
      <c r="I54" s="16" t="n">
        <f aca="false">SUM(I46:I53)</f>
        <v>27</v>
      </c>
      <c r="J54" s="17" t="n">
        <f aca="false">I54/120</f>
        <v>0.225</v>
      </c>
      <c r="K54" s="16" t="n">
        <f aca="false">SUM(K46:K53)</f>
        <v>755.690594444445</v>
      </c>
      <c r="L54" s="3" t="n">
        <f aca="false">SUM(L46:L53)</f>
        <v>25</v>
      </c>
      <c r="M54" s="0" t="n">
        <f aca="false">L54/120</f>
        <v>0.208333333333333</v>
      </c>
      <c r="N54" s="3" t="n">
        <f aca="false">SUM(N46:N53)</f>
        <v>660.030148055556</v>
      </c>
      <c r="O54" s="3" t="n">
        <f aca="false">SUM(O46:O53)</f>
        <v>25</v>
      </c>
      <c r="P54" s="0" t="n">
        <f aca="false">O54/120</f>
        <v>0.208333333333333</v>
      </c>
      <c r="Q54" s="3" t="n">
        <f aca="false">SUM(Q46:Q53)</f>
        <v>660.030148055556</v>
      </c>
      <c r="R54" s="3" t="n">
        <f aca="false">SUM(R46:R53)</f>
        <v>25</v>
      </c>
      <c r="S54" s="0" t="n">
        <f aca="false">R54/120</f>
        <v>0.208333333333333</v>
      </c>
      <c r="T54" s="3" t="n">
        <f aca="false">SUM(T46:T53)</f>
        <v>660.030148055556</v>
      </c>
      <c r="U54" s="0" t="n">
        <f aca="false">SUM(U46:U53)</f>
        <v>19</v>
      </c>
      <c r="V54" s="0" t="n">
        <f aca="false">U54/120</f>
        <v>0.158333333333333</v>
      </c>
      <c r="W54" s="3" t="n">
        <f aca="false">SUM(W46:W53)</f>
        <v>537.210059444445</v>
      </c>
      <c r="X54" s="11" t="n">
        <f aca="false">SUM(X46:X53)</f>
        <v>27</v>
      </c>
      <c r="Y54" s="11" t="n">
        <f aca="false">X54/120</f>
        <v>0.225</v>
      </c>
      <c r="Z54" s="16" t="n">
        <f aca="false">SUM(Z46:Z53)</f>
        <v>755.690594444445</v>
      </c>
      <c r="AA54" s="0" t="n">
        <f aca="false">SUM(AA46:AA53)</f>
        <v>19</v>
      </c>
      <c r="AB54" s="1" t="n">
        <f aca="false">AA54/120</f>
        <v>0.158333333333333</v>
      </c>
      <c r="AC54" s="3" t="n">
        <f aca="false">SUM(AC46:AC53)</f>
        <v>537.210059444445</v>
      </c>
      <c r="AD54" s="11" t="n">
        <f aca="false">SUM(AD46:AD53)</f>
        <v>27</v>
      </c>
      <c r="AE54" s="17" t="n">
        <f aca="false">AD54/120</f>
        <v>0.225</v>
      </c>
      <c r="AF54" s="16" t="n">
        <f aca="false">SUM(AF46:AF53)</f>
        <v>755.690594444445</v>
      </c>
      <c r="AG54" s="3"/>
      <c r="AH54" s="3" t="n">
        <f aca="false">SUM(AH46:AH53)</f>
        <v>101</v>
      </c>
      <c r="AI54" s="0" t="n">
        <f aca="false">AH54/175</f>
        <v>0.577142857142857</v>
      </c>
      <c r="AJ54" s="3" t="n">
        <f aca="false">SUM(AJ46:AJ53)</f>
        <v>1880.63026361905</v>
      </c>
      <c r="AK54" s="3" t="n">
        <f aca="false">SUM(AK46:AK53)</f>
        <v>101</v>
      </c>
      <c r="AL54" s="0" t="n">
        <f aca="false">AK54/175</f>
        <v>0.577142857142857</v>
      </c>
      <c r="AM54" s="3" t="n">
        <f aca="false">SUM(AM46:AM53)</f>
        <v>1880.63026361905</v>
      </c>
      <c r="AN54" s="0" t="n">
        <f aca="false">SUM(AN46:AN53)</f>
        <v>18</v>
      </c>
      <c r="AO54" s="0" t="n">
        <f aca="false">AN54/175</f>
        <v>0.102857142857143</v>
      </c>
      <c r="AP54" s="3" t="n">
        <f aca="false">SUM(AP46:AP47,AP53)</f>
        <v>348.286640761905</v>
      </c>
      <c r="AQ54" s="3" t="n">
        <f aca="false">SUM(AQ46:AQ53)</f>
        <v>40</v>
      </c>
      <c r="AR54" s="0" t="n">
        <f aca="false">AQ54/120</f>
        <v>0.333333333333333</v>
      </c>
      <c r="AS54" s="3" t="n">
        <f aca="false">SUM(AS46:AS53)</f>
        <v>125.602975101587</v>
      </c>
      <c r="AT54" s="1" t="n">
        <f aca="false">SUM(AT46:AT53)</f>
        <v>97</v>
      </c>
      <c r="AU54" s="0" t="n">
        <f aca="false">AT54/174</f>
        <v>0.557471264367816</v>
      </c>
      <c r="AV54" s="0" t="n">
        <f aca="false">SUM(AV46:AV53)</f>
        <v>1832.52587701149</v>
      </c>
      <c r="AW54" s="1" t="n">
        <f aca="false">SUM(AW46:AW53)</f>
        <v>97</v>
      </c>
      <c r="AX54" s="0" t="n">
        <f aca="false">AW54/174</f>
        <v>0.557471264367816</v>
      </c>
      <c r="AY54" s="0" t="n">
        <f aca="false">SUM(AY46:AY53)</f>
        <v>1832.52587701149</v>
      </c>
    </row>
    <row r="55" customFormat="false" ht="12.8" hidden="false" customHeight="false" outlineLevel="0" collapsed="false">
      <c r="A55" s="0" t="s">
        <v>357</v>
      </c>
      <c r="B55" s="0" t="n">
        <v>4458.36</v>
      </c>
      <c r="C55" s="1" t="n">
        <v>2</v>
      </c>
      <c r="D55" s="0" t="n">
        <f aca="false">C55/120</f>
        <v>0.0166666666666667</v>
      </c>
      <c r="E55" s="0" t="n">
        <f aca="false">D55*B55</f>
        <v>74.306</v>
      </c>
      <c r="F55" s="0" t="n">
        <v>1</v>
      </c>
      <c r="G55" s="1" t="n">
        <f aca="false">F55/120</f>
        <v>0.00833333333333333</v>
      </c>
      <c r="H55" s="0" t="n">
        <f aca="false">G55*B55</f>
        <v>37.153</v>
      </c>
      <c r="I55" s="11" t="n">
        <v>0</v>
      </c>
      <c r="J55" s="17" t="n">
        <f aca="false">I55/120</f>
        <v>0</v>
      </c>
      <c r="K55" s="11" t="n">
        <f aca="false">J55*B55</f>
        <v>0</v>
      </c>
      <c r="L55" s="0" t="n">
        <v>0</v>
      </c>
      <c r="M55" s="0" t="n">
        <f aca="false">L55/120</f>
        <v>0</v>
      </c>
      <c r="N55" s="0" t="n">
        <f aca="false">M55*B55</f>
        <v>0</v>
      </c>
      <c r="O55" s="0" t="n">
        <v>0</v>
      </c>
      <c r="P55" s="0" t="n">
        <f aca="false">O55/120</f>
        <v>0</v>
      </c>
      <c r="Q55" s="0" t="n">
        <f aca="false">P55*B55</f>
        <v>0</v>
      </c>
      <c r="R55" s="0" t="n">
        <v>0</v>
      </c>
      <c r="S55" s="0" t="n">
        <f aca="false">R55/120</f>
        <v>0</v>
      </c>
      <c r="T55" s="0" t="n">
        <f aca="false">S55*B55</f>
        <v>0</v>
      </c>
      <c r="U55" s="0" t="n">
        <v>1</v>
      </c>
      <c r="V55" s="0" t="n">
        <f aca="false">U55/120</f>
        <v>0.00833333333333333</v>
      </c>
      <c r="W55" s="0" t="n">
        <f aca="false">V55*B55</f>
        <v>37.153</v>
      </c>
      <c r="X55" s="11" t="n">
        <v>0</v>
      </c>
      <c r="Y55" s="11" t="n">
        <f aca="false">X55/120</f>
        <v>0</v>
      </c>
      <c r="Z55" s="11" t="n">
        <f aca="false">Y55*B55</f>
        <v>0</v>
      </c>
      <c r="AA55" s="0" t="n">
        <v>1</v>
      </c>
      <c r="AB55" s="1" t="n">
        <f aca="false">AA55/120</f>
        <v>0.00833333333333333</v>
      </c>
      <c r="AC55" s="0" t="n">
        <f aca="false">AB55*B55</f>
        <v>37.153</v>
      </c>
      <c r="AD55" s="11" t="n">
        <v>0</v>
      </c>
      <c r="AE55" s="17" t="n">
        <f aca="false">AD55/120</f>
        <v>0</v>
      </c>
      <c r="AF55" s="11" t="n">
        <f aca="false">AE55*B55</f>
        <v>0</v>
      </c>
      <c r="AH55" s="0" t="n">
        <v>1</v>
      </c>
      <c r="AI55" s="0" t="n">
        <f aca="false">AH55/175</f>
        <v>0.00571428571428571</v>
      </c>
      <c r="AJ55" s="0" t="n">
        <f aca="false">AI55*B55</f>
        <v>25.4763428571429</v>
      </c>
      <c r="AK55" s="0" t="n">
        <v>1</v>
      </c>
      <c r="AL55" s="0" t="n">
        <f aca="false">AK55/175</f>
        <v>0.00571428571428571</v>
      </c>
      <c r="AM55" s="0" t="n">
        <f aca="false">AL55*B55</f>
        <v>25.4763428571429</v>
      </c>
      <c r="AN55" s="0" t="n">
        <v>0</v>
      </c>
      <c r="AO55" s="0" t="n">
        <f aca="false">AN55/175</f>
        <v>0</v>
      </c>
      <c r="AP55" s="0" t="n">
        <v>0</v>
      </c>
      <c r="AQ55" s="0" t="n">
        <v>0</v>
      </c>
      <c r="AR55" s="0" t="n">
        <f aca="false">AQ55/120</f>
        <v>0</v>
      </c>
      <c r="AS55" s="0" t="n">
        <f aca="false">AR55*AM55</f>
        <v>0</v>
      </c>
      <c r="AT55" s="1" t="n">
        <v>1</v>
      </c>
      <c r="AU55" s="0" t="n">
        <f aca="false">AT55/174</f>
        <v>0.00574712643678161</v>
      </c>
      <c r="AV55" s="0" t="n">
        <f aca="false">AU55*B55</f>
        <v>25.6227586206897</v>
      </c>
      <c r="AW55" s="1" t="n">
        <v>1</v>
      </c>
      <c r="AX55" s="0" t="n">
        <f aca="false">AW55/174</f>
        <v>0.00574712643678161</v>
      </c>
      <c r="AY55" s="0" t="n">
        <f aca="false">AX55*B55</f>
        <v>25.6227586206897</v>
      </c>
    </row>
    <row r="56" customFormat="false" ht="12.8" hidden="false" customHeight="false" outlineLevel="0" collapsed="false">
      <c r="A56" s="0" t="s">
        <v>215</v>
      </c>
      <c r="B56" s="0" t="n">
        <v>4717.051</v>
      </c>
      <c r="C56" s="1" t="n">
        <v>10</v>
      </c>
      <c r="D56" s="0" t="n">
        <f aca="false">C56/120</f>
        <v>0.0833333333333333</v>
      </c>
      <c r="E56" s="0" t="n">
        <f aca="false">D56*B56</f>
        <v>393.087583333333</v>
      </c>
      <c r="F56" s="0" t="n">
        <v>7</v>
      </c>
      <c r="G56" s="1" t="n">
        <f aca="false">F56/120</f>
        <v>0.0583333333333333</v>
      </c>
      <c r="H56" s="0" t="n">
        <f aca="false">G56*B56</f>
        <v>275.161308333333</v>
      </c>
      <c r="I56" s="11" t="n">
        <v>1</v>
      </c>
      <c r="J56" s="17" t="n">
        <f aca="false">I56/120</f>
        <v>0.00833333333333333</v>
      </c>
      <c r="K56" s="11" t="n">
        <f aca="false">J56*B56</f>
        <v>39.3087583333333</v>
      </c>
      <c r="L56" s="0" t="n">
        <v>0</v>
      </c>
      <c r="M56" s="0" t="n">
        <f aca="false">L56/120</f>
        <v>0</v>
      </c>
      <c r="N56" s="0" t="n">
        <f aca="false">M56*B56</f>
        <v>0</v>
      </c>
      <c r="O56" s="0" t="n">
        <v>0</v>
      </c>
      <c r="P56" s="0" t="n">
        <f aca="false">O56/120</f>
        <v>0</v>
      </c>
      <c r="Q56" s="0" t="n">
        <f aca="false">P56*B56</f>
        <v>0</v>
      </c>
      <c r="R56" s="0" t="n">
        <v>0</v>
      </c>
      <c r="S56" s="0" t="n">
        <f aca="false">R56/120</f>
        <v>0</v>
      </c>
      <c r="T56" s="0" t="n">
        <f aca="false">S56*B56</f>
        <v>0</v>
      </c>
      <c r="U56" s="0" t="n">
        <v>7</v>
      </c>
      <c r="V56" s="0" t="n">
        <f aca="false">U56/120</f>
        <v>0.0583333333333333</v>
      </c>
      <c r="W56" s="0" t="n">
        <f aca="false">V56*B56</f>
        <v>275.161308333333</v>
      </c>
      <c r="X56" s="11" t="n">
        <v>1</v>
      </c>
      <c r="Y56" s="11" t="n">
        <f aca="false">X56/120</f>
        <v>0.00833333333333333</v>
      </c>
      <c r="Z56" s="11" t="n">
        <f aca="false">Y56*B56</f>
        <v>39.3087583333333</v>
      </c>
      <c r="AA56" s="0" t="n">
        <v>7</v>
      </c>
      <c r="AB56" s="1" t="n">
        <f aca="false">AA56/120</f>
        <v>0.0583333333333333</v>
      </c>
      <c r="AC56" s="0" t="n">
        <f aca="false">AB56*B56</f>
        <v>275.161308333333</v>
      </c>
      <c r="AD56" s="11" t="n">
        <v>1</v>
      </c>
      <c r="AE56" s="17" t="n">
        <f aca="false">AD56/120</f>
        <v>0.00833333333333333</v>
      </c>
      <c r="AF56" s="11" t="n">
        <f aca="false">AE56*B56</f>
        <v>39.3087583333333</v>
      </c>
      <c r="AH56" s="0" t="n">
        <v>10</v>
      </c>
      <c r="AI56" s="0" t="n">
        <f aca="false">AH56/175</f>
        <v>0.0571428571428571</v>
      </c>
      <c r="AJ56" s="0" t="n">
        <f aca="false">AI56*B56</f>
        <v>269.545771428571</v>
      </c>
      <c r="AK56" s="0" t="n">
        <v>10</v>
      </c>
      <c r="AL56" s="0" t="n">
        <f aca="false">AK56/175</f>
        <v>0.0571428571428571</v>
      </c>
      <c r="AM56" s="0" t="n">
        <f aca="false">AL56*B56</f>
        <v>269.545771428571</v>
      </c>
      <c r="AN56" s="0" t="n">
        <v>7</v>
      </c>
      <c r="AO56" s="0" t="n">
        <f aca="false">AN56/175</f>
        <v>0.04</v>
      </c>
      <c r="AP56" s="0" t="n">
        <f aca="false">AO56*B56</f>
        <v>188.68204</v>
      </c>
      <c r="AQ56" s="0" t="n">
        <v>9</v>
      </c>
      <c r="AR56" s="0" t="n">
        <f aca="false">AQ56/120</f>
        <v>0.075</v>
      </c>
      <c r="AS56" s="0" t="n">
        <f aca="false">AR56*AM56</f>
        <v>20.2159328571429</v>
      </c>
      <c r="AT56" s="1" t="n">
        <v>10</v>
      </c>
      <c r="AU56" s="0" t="n">
        <f aca="false">AT56/174</f>
        <v>0.0574712643678161</v>
      </c>
      <c r="AV56" s="0" t="n">
        <f aca="false">AU56*B56</f>
        <v>271.094885057471</v>
      </c>
      <c r="AW56" s="1" t="n">
        <v>10</v>
      </c>
      <c r="AX56" s="0" t="n">
        <f aca="false">AW56/174</f>
        <v>0.0574712643678161</v>
      </c>
      <c r="AY56" s="0" t="n">
        <f aca="false">AX56*B56</f>
        <v>271.094885057471</v>
      </c>
    </row>
    <row r="57" customFormat="false" ht="12.8" hidden="false" customHeight="false" outlineLevel="0" collapsed="false">
      <c r="A57" s="0" t="s">
        <v>358</v>
      </c>
      <c r="B57" s="0" t="n">
        <v>500</v>
      </c>
      <c r="C57" s="1" t="n">
        <v>1</v>
      </c>
      <c r="D57" s="0" t="n">
        <f aca="false">C57/120</f>
        <v>0.00833333333333333</v>
      </c>
      <c r="E57" s="0" t="n">
        <f aca="false">D57*B57</f>
        <v>4.16666666666667</v>
      </c>
      <c r="F57" s="0" t="n">
        <v>0</v>
      </c>
      <c r="G57" s="1" t="n">
        <f aca="false">F57/120</f>
        <v>0</v>
      </c>
      <c r="H57" s="0" t="n">
        <f aca="false">G57*B57</f>
        <v>0</v>
      </c>
      <c r="I57" s="11" t="n">
        <v>0</v>
      </c>
      <c r="J57" s="17" t="n">
        <f aca="false">I57/120</f>
        <v>0</v>
      </c>
      <c r="K57" s="11" t="n">
        <f aca="false">J57*B57</f>
        <v>0</v>
      </c>
      <c r="L57" s="0" t="n">
        <v>0</v>
      </c>
      <c r="M57" s="0" t="n">
        <f aca="false">L57/120</f>
        <v>0</v>
      </c>
      <c r="N57" s="0" t="n">
        <f aca="false">M57*B57</f>
        <v>0</v>
      </c>
      <c r="O57" s="0" t="n">
        <v>0</v>
      </c>
      <c r="P57" s="0" t="n">
        <f aca="false">O57/120</f>
        <v>0</v>
      </c>
      <c r="Q57" s="0" t="n">
        <f aca="false">P57*B57</f>
        <v>0</v>
      </c>
      <c r="R57" s="0" t="n">
        <v>0</v>
      </c>
      <c r="S57" s="0" t="n">
        <f aca="false">R57/120</f>
        <v>0</v>
      </c>
      <c r="T57" s="0" t="n">
        <f aca="false">S57*B57</f>
        <v>0</v>
      </c>
      <c r="U57" s="0" t="n">
        <v>0</v>
      </c>
      <c r="V57" s="0" t="n">
        <f aca="false">U57/120</f>
        <v>0</v>
      </c>
      <c r="W57" s="0" t="n">
        <f aca="false">V57*B57</f>
        <v>0</v>
      </c>
      <c r="X57" s="11" t="n">
        <v>0</v>
      </c>
      <c r="Y57" s="11" t="n">
        <f aca="false">X57/120</f>
        <v>0</v>
      </c>
      <c r="Z57" s="11" t="n">
        <f aca="false">Y57*B57</f>
        <v>0</v>
      </c>
      <c r="AA57" s="0" t="n">
        <v>0</v>
      </c>
      <c r="AB57" s="1" t="n">
        <f aca="false">AA57/120</f>
        <v>0</v>
      </c>
      <c r="AC57" s="0" t="n">
        <f aca="false">AB57*B57</f>
        <v>0</v>
      </c>
      <c r="AD57" s="11" t="n">
        <v>0</v>
      </c>
      <c r="AE57" s="17" t="n">
        <f aca="false">AD57/120</f>
        <v>0</v>
      </c>
      <c r="AF57" s="11" t="n">
        <f aca="false">AE57*B57</f>
        <v>0</v>
      </c>
      <c r="AH57" s="0" t="n">
        <v>1</v>
      </c>
      <c r="AI57" s="0" t="n">
        <f aca="false">AH57/175</f>
        <v>0.00571428571428571</v>
      </c>
      <c r="AJ57" s="0" t="n">
        <f aca="false">AI57*B57</f>
        <v>2.85714285714286</v>
      </c>
      <c r="AK57" s="0" t="n">
        <v>1</v>
      </c>
      <c r="AL57" s="0" t="n">
        <f aca="false">AK57/175</f>
        <v>0.00571428571428571</v>
      </c>
      <c r="AM57" s="0" t="n">
        <f aca="false">AL57*B57</f>
        <v>2.85714285714286</v>
      </c>
      <c r="AN57" s="0" t="n">
        <v>0</v>
      </c>
      <c r="AO57" s="0" t="n">
        <f aca="false">AN57/175</f>
        <v>0</v>
      </c>
      <c r="AP57" s="0" t="n">
        <v>0</v>
      </c>
      <c r="AQ57" s="0" t="n">
        <v>0</v>
      </c>
      <c r="AR57" s="0" t="n">
        <f aca="false">AQ57/120</f>
        <v>0</v>
      </c>
      <c r="AS57" s="0" t="n">
        <f aca="false">AR57*AM57</f>
        <v>0</v>
      </c>
      <c r="AT57" s="1" t="n">
        <v>1</v>
      </c>
      <c r="AU57" s="0" t="n">
        <f aca="false">AT57/174</f>
        <v>0.00574712643678161</v>
      </c>
      <c r="AV57" s="0" t="n">
        <f aca="false">AU57*B57</f>
        <v>2.8735632183908</v>
      </c>
      <c r="AW57" s="1" t="n">
        <v>1</v>
      </c>
      <c r="AX57" s="0" t="n">
        <f aca="false">AW57/174</f>
        <v>0.00574712643678161</v>
      </c>
      <c r="AY57" s="0" t="n">
        <f aca="false">AX57*B57</f>
        <v>2.8735632183908</v>
      </c>
    </row>
    <row r="58" customFormat="false" ht="12.8" hidden="false" customHeight="false" outlineLevel="0" collapsed="false">
      <c r="A58" s="0" t="s">
        <v>221</v>
      </c>
      <c r="B58" s="0" t="n">
        <v>4181.47</v>
      </c>
      <c r="C58" s="1" t="n">
        <v>17</v>
      </c>
      <c r="D58" s="0" t="n">
        <f aca="false">C58/120</f>
        <v>0.141666666666667</v>
      </c>
      <c r="E58" s="0" t="n">
        <f aca="false">D58*B58</f>
        <v>592.374916666667</v>
      </c>
      <c r="F58" s="0" t="n">
        <v>0</v>
      </c>
      <c r="G58" s="1" t="n">
        <f aca="false">F58/120</f>
        <v>0</v>
      </c>
      <c r="H58" s="0" t="n">
        <f aca="false">G58*B58</f>
        <v>0</v>
      </c>
      <c r="I58" s="11" t="n">
        <v>5</v>
      </c>
      <c r="J58" s="17" t="n">
        <f aca="false">I58/120</f>
        <v>0.0416666666666667</v>
      </c>
      <c r="K58" s="11" t="n">
        <f aca="false">J58*B58</f>
        <v>174.227916666667</v>
      </c>
      <c r="L58" s="0" t="n">
        <v>7</v>
      </c>
      <c r="M58" s="0" t="n">
        <f aca="false">L58/120</f>
        <v>0.0583333333333333</v>
      </c>
      <c r="N58" s="0" t="n">
        <f aca="false">M58*B58</f>
        <v>243.919083333333</v>
      </c>
      <c r="O58" s="0" t="n">
        <v>7</v>
      </c>
      <c r="P58" s="0" t="n">
        <f aca="false">O58/120</f>
        <v>0.0583333333333333</v>
      </c>
      <c r="Q58" s="0" t="n">
        <f aca="false">P58*B58</f>
        <v>243.919083333333</v>
      </c>
      <c r="R58" s="0" t="n">
        <v>7</v>
      </c>
      <c r="S58" s="0" t="n">
        <f aca="false">R58/120</f>
        <v>0.0583333333333333</v>
      </c>
      <c r="T58" s="0" t="n">
        <f aca="false">S58*B58</f>
        <v>243.919083333333</v>
      </c>
      <c r="U58" s="0" t="n">
        <v>0</v>
      </c>
      <c r="V58" s="0" t="n">
        <f aca="false">U58/120</f>
        <v>0</v>
      </c>
      <c r="W58" s="0" t="n">
        <f aca="false">V58*B58</f>
        <v>0</v>
      </c>
      <c r="X58" s="11" t="n">
        <v>5</v>
      </c>
      <c r="Y58" s="11" t="n">
        <f aca="false">X58/120</f>
        <v>0.0416666666666667</v>
      </c>
      <c r="Z58" s="11" t="n">
        <f aca="false">Y58*B58</f>
        <v>174.227916666667</v>
      </c>
      <c r="AA58" s="0" t="n">
        <v>0</v>
      </c>
      <c r="AB58" s="1" t="n">
        <f aca="false">AA58/120</f>
        <v>0</v>
      </c>
      <c r="AC58" s="0" t="n">
        <f aca="false">AB58*B58</f>
        <v>0</v>
      </c>
      <c r="AD58" s="11" t="n">
        <v>5</v>
      </c>
      <c r="AE58" s="17" t="n">
        <f aca="false">AD58/120</f>
        <v>0.0416666666666667</v>
      </c>
      <c r="AF58" s="11" t="n">
        <f aca="false">AE58*B58</f>
        <v>174.227916666667</v>
      </c>
      <c r="AH58" s="0" t="n">
        <v>19</v>
      </c>
      <c r="AI58" s="0" t="n">
        <f aca="false">AH58/175</f>
        <v>0.108571428571429</v>
      </c>
      <c r="AJ58" s="0" t="n">
        <f aca="false">AI58*B58</f>
        <v>453.988171428571</v>
      </c>
      <c r="AK58" s="0" t="n">
        <v>19</v>
      </c>
      <c r="AL58" s="0" t="n">
        <f aca="false">AK58/175</f>
        <v>0.108571428571429</v>
      </c>
      <c r="AM58" s="0" t="n">
        <f aca="false">AL58*B58</f>
        <v>453.988171428571</v>
      </c>
      <c r="AN58" s="0" t="n">
        <v>0</v>
      </c>
      <c r="AO58" s="0" t="n">
        <f aca="false">AN58/175</f>
        <v>0</v>
      </c>
      <c r="AP58" s="0" t="n">
        <v>0</v>
      </c>
      <c r="AQ58" s="0" t="n">
        <v>0</v>
      </c>
      <c r="AR58" s="0" t="n">
        <f aca="false">AQ58/120</f>
        <v>0</v>
      </c>
      <c r="AS58" s="0" t="n">
        <f aca="false">AR58*AM58</f>
        <v>0</v>
      </c>
      <c r="AT58" s="1" t="n">
        <v>17</v>
      </c>
      <c r="AU58" s="0" t="n">
        <f aca="false">AT58/174</f>
        <v>0.0977011494252874</v>
      </c>
      <c r="AV58" s="0" t="n">
        <f aca="false">AU58*B58</f>
        <v>408.534425287356</v>
      </c>
      <c r="AW58" s="1" t="n">
        <v>17</v>
      </c>
      <c r="AX58" s="0" t="n">
        <f aca="false">AW58/174</f>
        <v>0.0977011494252874</v>
      </c>
      <c r="AY58" s="0" t="n">
        <f aca="false">AX58*B58</f>
        <v>408.534425287356</v>
      </c>
    </row>
    <row r="59" customFormat="false" ht="12.8" hidden="false" customHeight="false" outlineLevel="0" collapsed="false">
      <c r="A59" s="18" t="s">
        <v>359</v>
      </c>
      <c r="B59" s="0" t="n">
        <f aca="false">AVERAGE(B55:B56,B58)</f>
        <v>4452.29366666667</v>
      </c>
      <c r="C59" s="1" t="n">
        <v>3</v>
      </c>
      <c r="D59" s="0" t="n">
        <f aca="false">C59/120</f>
        <v>0.025</v>
      </c>
      <c r="E59" s="0" t="n">
        <f aca="false">D59*B59</f>
        <v>111.307341666667</v>
      </c>
      <c r="F59" s="0" t="n">
        <v>2</v>
      </c>
      <c r="G59" s="1" t="n">
        <f aca="false">F59/120</f>
        <v>0.0166666666666667</v>
      </c>
      <c r="H59" s="0" t="n">
        <f aca="false">G59*B59</f>
        <v>74.2048944444445</v>
      </c>
      <c r="I59" s="11" t="n">
        <v>0</v>
      </c>
      <c r="J59" s="17" t="n">
        <f aca="false">I59/120</f>
        <v>0</v>
      </c>
      <c r="K59" s="11" t="n">
        <f aca="false">J59*B59</f>
        <v>0</v>
      </c>
      <c r="L59" s="0" t="n">
        <v>1</v>
      </c>
      <c r="M59" s="0" t="n">
        <f aca="false">L59/120</f>
        <v>0.00833333333333333</v>
      </c>
      <c r="N59" s="0" t="n">
        <f aca="false">M59*B59</f>
        <v>37.1024472222222</v>
      </c>
      <c r="O59" s="0" t="n">
        <v>1</v>
      </c>
      <c r="P59" s="0" t="n">
        <f aca="false">O59/120</f>
        <v>0.00833333333333333</v>
      </c>
      <c r="Q59" s="0" t="n">
        <f aca="false">P59*B59</f>
        <v>37.1024472222222</v>
      </c>
      <c r="R59" s="0" t="n">
        <v>1</v>
      </c>
      <c r="S59" s="0" t="n">
        <f aca="false">R59/120</f>
        <v>0.00833333333333333</v>
      </c>
      <c r="T59" s="0" t="n">
        <f aca="false">S59*B59</f>
        <v>37.1024472222222</v>
      </c>
      <c r="U59" s="0" t="n">
        <v>2</v>
      </c>
      <c r="V59" s="0" t="n">
        <f aca="false">U59/120</f>
        <v>0.0166666666666667</v>
      </c>
      <c r="W59" s="0" t="n">
        <f aca="false">V59*B59</f>
        <v>74.2048944444445</v>
      </c>
      <c r="X59" s="11" t="n">
        <v>0</v>
      </c>
      <c r="Y59" s="11" t="n">
        <f aca="false">X59/120</f>
        <v>0</v>
      </c>
      <c r="Z59" s="11" t="n">
        <f aca="false">Y59*B59</f>
        <v>0</v>
      </c>
      <c r="AA59" s="0" t="n">
        <v>2</v>
      </c>
      <c r="AB59" s="1" t="n">
        <f aca="false">AA59/120</f>
        <v>0.0166666666666667</v>
      </c>
      <c r="AC59" s="0" t="n">
        <f aca="false">AB59*B59</f>
        <v>74.2048944444445</v>
      </c>
      <c r="AD59" s="11" t="n">
        <v>0</v>
      </c>
      <c r="AE59" s="17" t="n">
        <f aca="false">AD59/120</f>
        <v>0</v>
      </c>
      <c r="AF59" s="11" t="n">
        <f aca="false">AE59*B59</f>
        <v>0</v>
      </c>
      <c r="AH59" s="0" t="n">
        <v>3</v>
      </c>
      <c r="AI59" s="0" t="n">
        <f aca="false">AH59/175</f>
        <v>0.0171428571428571</v>
      </c>
      <c r="AJ59" s="0" t="n">
        <f aca="false">AI59*B59</f>
        <v>76.3250342857143</v>
      </c>
      <c r="AK59" s="0" t="n">
        <v>3</v>
      </c>
      <c r="AL59" s="0" t="n">
        <f aca="false">AK59/175</f>
        <v>0.0171428571428571</v>
      </c>
      <c r="AM59" s="0" t="n">
        <f aca="false">AL59*B59</f>
        <v>76.3250342857143</v>
      </c>
      <c r="AN59" s="0" t="n">
        <v>2</v>
      </c>
      <c r="AO59" s="0" t="n">
        <f aca="false">AN59/175</f>
        <v>0.0114285714285714</v>
      </c>
      <c r="AP59" s="0" t="n">
        <f aca="false">AO59*B59</f>
        <v>50.8833561904762</v>
      </c>
      <c r="AQ59" s="0" t="n">
        <v>2</v>
      </c>
      <c r="AR59" s="0" t="n">
        <f aca="false">AQ59/120</f>
        <v>0.0166666666666667</v>
      </c>
      <c r="AS59" s="0" t="n">
        <f aca="false">AR59*AM59</f>
        <v>1.2720839047619</v>
      </c>
      <c r="AT59" s="1" t="n">
        <v>3</v>
      </c>
      <c r="AU59" s="0" t="n">
        <f aca="false">AT59/174</f>
        <v>0.0172413793103448</v>
      </c>
      <c r="AV59" s="0" t="n">
        <f aca="false">AU59*B59</f>
        <v>76.763683908046</v>
      </c>
      <c r="AW59" s="1" t="n">
        <v>3</v>
      </c>
      <c r="AX59" s="0" t="n">
        <f aca="false">AW59/174</f>
        <v>0.0172413793103448</v>
      </c>
      <c r="AY59" s="0" t="n">
        <f aca="false">AX59*B59</f>
        <v>76.763683908046</v>
      </c>
    </row>
    <row r="60" customFormat="false" ht="12.8" hidden="false" customHeight="false" outlineLevel="0" collapsed="false">
      <c r="A60" s="18" t="s">
        <v>360</v>
      </c>
      <c r="B60" s="0" t="s">
        <v>74</v>
      </c>
      <c r="C60" s="1" t="n">
        <f aca="false">SUM(C55:C59)</f>
        <v>33</v>
      </c>
      <c r="D60" s="0" t="n">
        <f aca="false">C60/120</f>
        <v>0.275</v>
      </c>
      <c r="E60" s="0" t="n">
        <f aca="false">SUM(E55:E59)</f>
        <v>1175.24250833333</v>
      </c>
      <c r="F60" s="3" t="n">
        <f aca="false">SUM(F55:F59)</f>
        <v>10</v>
      </c>
      <c r="G60" s="1" t="n">
        <f aca="false">F60/120</f>
        <v>0.0833333333333333</v>
      </c>
      <c r="H60" s="3" t="n">
        <f aca="false">SUM(H55:H59)</f>
        <v>386.519202777778</v>
      </c>
      <c r="I60" s="16" t="n">
        <f aca="false">SUM(I55:I59)</f>
        <v>6</v>
      </c>
      <c r="J60" s="17" t="n">
        <f aca="false">I60/120</f>
        <v>0.05</v>
      </c>
      <c r="K60" s="16" t="n">
        <f aca="false">SUM(K55:K59)</f>
        <v>213.536675</v>
      </c>
      <c r="L60" s="3" t="n">
        <f aca="false">SUM(L55:L59)</f>
        <v>8</v>
      </c>
      <c r="M60" s="0" t="n">
        <f aca="false">L60/120</f>
        <v>0.0666666666666667</v>
      </c>
      <c r="N60" s="3" t="n">
        <f aca="false">SUM(N58:N59)</f>
        <v>281.021530555556</v>
      </c>
      <c r="O60" s="3" t="n">
        <f aca="false">SUM(O55:O59)</f>
        <v>8</v>
      </c>
      <c r="P60" s="0" t="n">
        <f aca="false">O60/120</f>
        <v>0.0666666666666667</v>
      </c>
      <c r="Q60" s="3" t="n">
        <f aca="false">SUM(Q58:Q59)</f>
        <v>281.021530555556</v>
      </c>
      <c r="R60" s="3" t="n">
        <f aca="false">SUM(R55:R59)</f>
        <v>8</v>
      </c>
      <c r="S60" s="0" t="n">
        <f aca="false">R60/120</f>
        <v>0.0666666666666667</v>
      </c>
      <c r="T60" s="3" t="n">
        <f aca="false">SUM(T55:T59)</f>
        <v>281.021530555556</v>
      </c>
      <c r="U60" s="0" t="n">
        <f aca="false">SUM(U55:U59)</f>
        <v>10</v>
      </c>
      <c r="V60" s="0" t="n">
        <f aca="false">U60/120</f>
        <v>0.0833333333333333</v>
      </c>
      <c r="W60" s="3" t="n">
        <f aca="false">SUM(W55:W59)</f>
        <v>386.519202777778</v>
      </c>
      <c r="X60" s="11" t="n">
        <f aca="false">SUM(X55:X59)</f>
        <v>6</v>
      </c>
      <c r="Y60" s="11" t="n">
        <f aca="false">X60/120</f>
        <v>0.05</v>
      </c>
      <c r="Z60" s="16" t="n">
        <f aca="false">SUM(Z55:Z59)</f>
        <v>213.536675</v>
      </c>
      <c r="AA60" s="0" t="n">
        <f aca="false">SUM(AA55:AA59)</f>
        <v>10</v>
      </c>
      <c r="AB60" s="1" t="n">
        <f aca="false">AA60/120</f>
        <v>0.0833333333333333</v>
      </c>
      <c r="AC60" s="3" t="n">
        <f aca="false">SUM(AC55:AC59)</f>
        <v>386.519202777778</v>
      </c>
      <c r="AD60" s="11" t="n">
        <f aca="false">SUM(AD55:AD59)</f>
        <v>6</v>
      </c>
      <c r="AE60" s="17" t="n">
        <f aca="false">AD60/120</f>
        <v>0.05</v>
      </c>
      <c r="AF60" s="16" t="n">
        <f aca="false">SUM(AF55:AF59)</f>
        <v>213.536675</v>
      </c>
      <c r="AG60" s="3"/>
      <c r="AH60" s="0" t="n">
        <f aca="false">SUM(AH55:AH59)</f>
        <v>34</v>
      </c>
      <c r="AI60" s="0" t="n">
        <f aca="false">AH60/175</f>
        <v>0.194285714285714</v>
      </c>
      <c r="AJ60" s="3" t="n">
        <f aca="false">SUM(AJ55:AJ59)</f>
        <v>828.192462857143</v>
      </c>
      <c r="AK60" s="0" t="n">
        <f aca="false">SUM(AK55:AK59)</f>
        <v>34</v>
      </c>
      <c r="AL60" s="0" t="n">
        <f aca="false">AK60/175</f>
        <v>0.194285714285714</v>
      </c>
      <c r="AM60" s="3" t="n">
        <f aca="false">SUM(AM55:AM59)</f>
        <v>828.192462857143</v>
      </c>
      <c r="AN60" s="0" t="n">
        <f aca="false">SUM(AN56:AN59)</f>
        <v>9</v>
      </c>
      <c r="AO60" s="0" t="n">
        <f aca="false">AN60/175</f>
        <v>0.0514285714285714</v>
      </c>
      <c r="AP60" s="3" t="n">
        <f aca="false">SUM(AP56,AP59)</f>
        <v>239.565396190476</v>
      </c>
      <c r="AQ60" s="3" t="n">
        <f aca="false">SUM(AQ55:AQ59)</f>
        <v>11</v>
      </c>
      <c r="AR60" s="0" t="n">
        <f aca="false">AQ60/120</f>
        <v>0.0916666666666667</v>
      </c>
      <c r="AS60" s="3" t="n">
        <f aca="false">SUM(AS55:AS59)</f>
        <v>21.4880167619048</v>
      </c>
      <c r="AT60" s="1" t="n">
        <f aca="false">SUM(AT55:AT59)</f>
        <v>32</v>
      </c>
      <c r="AU60" s="0" t="n">
        <f aca="false">AT60/174</f>
        <v>0.183908045977012</v>
      </c>
      <c r="AV60" s="0" t="n">
        <f aca="false">SUM(AV55:AV59)</f>
        <v>784.889316091954</v>
      </c>
      <c r="AW60" s="1" t="n">
        <f aca="false">SUM(AW55:AW59)</f>
        <v>32</v>
      </c>
      <c r="AX60" s="0" t="n">
        <f aca="false">AW60/174</f>
        <v>0.183908045977012</v>
      </c>
      <c r="AY60" s="0" t="n">
        <f aca="false">SUM(AY55:AY59)</f>
        <v>784.889316091954</v>
      </c>
    </row>
    <row r="61" customFormat="false" ht="12.8" hidden="false" customHeight="false" outlineLevel="0" collapsed="false">
      <c r="A61" s="3" t="s">
        <v>361</v>
      </c>
      <c r="B61" s="0" t="n">
        <f aca="false">(AVERAGE(B42:B44,B47,B50,B52:B52,B55:B56,B58)*(0.201/(0.201+0.081))+1600*(0.081/(0.201+0.081)))</f>
        <v>3088.84851465721</v>
      </c>
      <c r="C61" s="1" t="n">
        <v>174</v>
      </c>
      <c r="D61" s="0" t="n">
        <f aca="false">C61/120</f>
        <v>1.45</v>
      </c>
      <c r="E61" s="0" t="n">
        <f aca="false">D61*B61</f>
        <v>4478.83034625296</v>
      </c>
      <c r="F61" s="0" t="n">
        <v>41</v>
      </c>
      <c r="G61" s="1" t="n">
        <f aca="false">F61/120</f>
        <v>0.341666666666667</v>
      </c>
      <c r="H61" s="0" t="n">
        <f aca="false">G61*B61</f>
        <v>1055.35657584121</v>
      </c>
      <c r="I61" s="11" t="n">
        <v>75</v>
      </c>
      <c r="J61" s="17" t="n">
        <f aca="false">I61/120</f>
        <v>0.625</v>
      </c>
      <c r="K61" s="11" t="n">
        <f aca="false">J61*B61</f>
        <v>1930.53032166076</v>
      </c>
      <c r="L61" s="0" t="n">
        <v>47</v>
      </c>
      <c r="M61" s="0" t="n">
        <f aca="false">L61/120</f>
        <v>0.391666666666667</v>
      </c>
      <c r="N61" s="0" t="n">
        <f aca="false">M61*B61</f>
        <v>1209.79900157407</v>
      </c>
      <c r="O61" s="0" t="n">
        <v>47</v>
      </c>
      <c r="P61" s="0" t="n">
        <f aca="false">O61/120</f>
        <v>0.391666666666667</v>
      </c>
      <c r="Q61" s="0" t="n">
        <f aca="false">P61*B61</f>
        <v>1209.79900157407</v>
      </c>
      <c r="R61" s="0" t="n">
        <v>47</v>
      </c>
      <c r="S61" s="0" t="n">
        <f aca="false">R61/120</f>
        <v>0.391666666666667</v>
      </c>
      <c r="T61" s="0" t="n">
        <f aca="false">S61*B61</f>
        <v>1209.79900157407</v>
      </c>
      <c r="U61" s="0" t="n">
        <v>41</v>
      </c>
      <c r="V61" s="0" t="n">
        <f aca="false">U61/120</f>
        <v>0.341666666666667</v>
      </c>
      <c r="W61" s="0" t="n">
        <f aca="false">V61*B61</f>
        <v>1055.35657584121</v>
      </c>
      <c r="X61" s="11" t="n">
        <v>75</v>
      </c>
      <c r="Y61" s="11" t="n">
        <f aca="false">X61/120</f>
        <v>0.625</v>
      </c>
      <c r="Z61" s="11" t="n">
        <f aca="false">Y61*B61</f>
        <v>1930.53032166076</v>
      </c>
      <c r="AA61" s="0" t="n">
        <v>41</v>
      </c>
      <c r="AB61" s="1" t="n">
        <f aca="false">AA61/120</f>
        <v>0.341666666666667</v>
      </c>
      <c r="AC61" s="0" t="n">
        <f aca="false">AB61*B61</f>
        <v>1055.35657584121</v>
      </c>
      <c r="AD61" s="11" t="n">
        <v>75</v>
      </c>
      <c r="AE61" s="17" t="n">
        <f aca="false">AD61/120</f>
        <v>0.625</v>
      </c>
      <c r="AF61" s="11" t="n">
        <f aca="false">AE61*B61</f>
        <v>1930.53032166076</v>
      </c>
      <c r="AH61" s="0" t="n">
        <v>177</v>
      </c>
      <c r="AI61" s="0" t="n">
        <f aca="false">AH61/175</f>
        <v>1.01142857142857</v>
      </c>
      <c r="AJ61" s="0" t="n">
        <f aca="false">AI61*B61</f>
        <v>3124.14964053901</v>
      </c>
      <c r="AK61" s="0" t="n">
        <v>177</v>
      </c>
      <c r="AL61" s="0" t="n">
        <f aca="false">AK61/175</f>
        <v>1.01142857142857</v>
      </c>
      <c r="AM61" s="0" t="n">
        <f aca="false">AL61*B61</f>
        <v>3124.14964053901</v>
      </c>
      <c r="AN61" s="0" t="n">
        <v>41</v>
      </c>
      <c r="AO61" s="0" t="n">
        <f aca="false">AN61/175</f>
        <v>0.234285714285714</v>
      </c>
      <c r="AP61" s="0" t="n">
        <f aca="false">AO61*B61</f>
        <v>723.673080576832</v>
      </c>
      <c r="AQ61" s="0" t="n">
        <v>81</v>
      </c>
      <c r="AR61" s="0" t="n">
        <f aca="false">AQ61/120</f>
        <v>0.675</v>
      </c>
      <c r="AS61" s="0" t="n">
        <f aca="false">AR61*AM61</f>
        <v>2108.80100736383</v>
      </c>
      <c r="AT61" s="1" t="n">
        <v>174</v>
      </c>
      <c r="AU61" s="0" t="n">
        <f aca="false">AT61/174</f>
        <v>1</v>
      </c>
      <c r="AV61" s="0" t="n">
        <f aca="false">AU61*B61</f>
        <v>3088.84851465721</v>
      </c>
      <c r="AW61" s="1" t="n">
        <v>174</v>
      </c>
      <c r="AX61" s="0" t="n">
        <f aca="false">AW61/174</f>
        <v>1</v>
      </c>
      <c r="AY61" s="0" t="n">
        <f aca="false">AX61*B61</f>
        <v>3088.84851465721</v>
      </c>
    </row>
    <row r="62" customFormat="false" ht="12.8" hidden="false" customHeight="false" outlineLevel="0" collapsed="false">
      <c r="A62" s="3" t="s">
        <v>362</v>
      </c>
      <c r="B62" s="0" t="n">
        <f aca="false">AVERAGE(B48,B51,B57)</f>
        <v>500</v>
      </c>
      <c r="C62" s="1" t="n">
        <v>5</v>
      </c>
      <c r="D62" s="0" t="n">
        <f aca="false">C62/120</f>
        <v>0.0416666666666667</v>
      </c>
      <c r="E62" s="0" t="n">
        <f aca="false">D62*B62</f>
        <v>20.8333333333333</v>
      </c>
      <c r="F62" s="0" t="n">
        <v>0</v>
      </c>
      <c r="G62" s="1" t="n">
        <f aca="false">F62/120</f>
        <v>0</v>
      </c>
      <c r="H62" s="0" t="n">
        <f aca="false">G62*B62</f>
        <v>0</v>
      </c>
      <c r="I62" s="11" t="n">
        <v>0</v>
      </c>
      <c r="J62" s="17" t="n">
        <f aca="false">I62/120</f>
        <v>0</v>
      </c>
      <c r="K62" s="11" t="n">
        <f aca="false">J62*B62</f>
        <v>0</v>
      </c>
      <c r="L62" s="0" t="n">
        <v>2</v>
      </c>
      <c r="M62" s="0" t="n">
        <f aca="false">L62/120</f>
        <v>0.0166666666666667</v>
      </c>
      <c r="N62" s="0" t="n">
        <f aca="false">M62*B62</f>
        <v>8.33333333333333</v>
      </c>
      <c r="O62" s="0" t="n">
        <v>2</v>
      </c>
      <c r="P62" s="0" t="n">
        <f aca="false">O62/120</f>
        <v>0.0166666666666667</v>
      </c>
      <c r="Q62" s="0" t="n">
        <f aca="false">P62*B62</f>
        <v>8.33333333333333</v>
      </c>
      <c r="R62" s="0" t="n">
        <v>2</v>
      </c>
      <c r="S62" s="0" t="n">
        <f aca="false">R62/120</f>
        <v>0.0166666666666667</v>
      </c>
      <c r="T62" s="0" t="n">
        <f aca="false">S62*B62</f>
        <v>8.33333333333333</v>
      </c>
      <c r="U62" s="0" t="n">
        <v>0</v>
      </c>
      <c r="V62" s="0" t="n">
        <f aca="false">U62/120</f>
        <v>0</v>
      </c>
      <c r="W62" s="0" t="n">
        <f aca="false">V62*B62</f>
        <v>0</v>
      </c>
      <c r="X62" s="11" t="n">
        <v>0</v>
      </c>
      <c r="Y62" s="11" t="n">
        <f aca="false">X62/120</f>
        <v>0</v>
      </c>
      <c r="Z62" s="11" t="n">
        <f aca="false">Y62*B62</f>
        <v>0</v>
      </c>
      <c r="AA62" s="0" t="n">
        <v>0</v>
      </c>
      <c r="AB62" s="1" t="n">
        <f aca="false">AA62/120</f>
        <v>0</v>
      </c>
      <c r="AC62" s="0" t="n">
        <v>0</v>
      </c>
      <c r="AD62" s="11" t="n">
        <v>0</v>
      </c>
      <c r="AE62" s="17" t="n">
        <f aca="false">AD62/120</f>
        <v>0</v>
      </c>
      <c r="AF62" s="11" t="n">
        <v>0</v>
      </c>
      <c r="AH62" s="0" t="n">
        <v>6</v>
      </c>
      <c r="AI62" s="0" t="n">
        <f aca="false">AH62/175</f>
        <v>0.0342857142857143</v>
      </c>
      <c r="AJ62" s="0" t="n">
        <f aca="false">AI62*B62</f>
        <v>17.1428571428571</v>
      </c>
      <c r="AK62" s="0" t="n">
        <v>6</v>
      </c>
      <c r="AL62" s="0" t="n">
        <f aca="false">AK62/175</f>
        <v>0.0342857142857143</v>
      </c>
      <c r="AM62" s="0" t="n">
        <f aca="false">AL62*B62</f>
        <v>17.1428571428571</v>
      </c>
      <c r="AN62" s="0" t="n">
        <v>0</v>
      </c>
      <c r="AO62" s="0" t="n">
        <f aca="false">AN62/175</f>
        <v>0</v>
      </c>
      <c r="AP62" s="0" t="n">
        <v>0</v>
      </c>
      <c r="AQ62" s="0" t="n">
        <v>3</v>
      </c>
      <c r="AR62" s="0" t="n">
        <f aca="false">AQ62/120</f>
        <v>0.025</v>
      </c>
      <c r="AS62" s="0" t="n">
        <f aca="false">AR62*AM62</f>
        <v>0.428571428571429</v>
      </c>
      <c r="AT62" s="1" t="n">
        <v>5</v>
      </c>
      <c r="AU62" s="0" t="n">
        <f aca="false">AT62/174</f>
        <v>0.028735632183908</v>
      </c>
      <c r="AV62" s="0" t="n">
        <f aca="false">AU62*B62</f>
        <v>14.367816091954</v>
      </c>
      <c r="AW62" s="1" t="n">
        <v>5</v>
      </c>
      <c r="AX62" s="0" t="n">
        <f aca="false">AW62/174</f>
        <v>0.028735632183908</v>
      </c>
      <c r="AY62" s="0" t="n">
        <f aca="false">AX62*B62</f>
        <v>14.367816091954</v>
      </c>
    </row>
    <row r="63" customFormat="false" ht="12.8" hidden="false" customHeight="false" outlineLevel="0" collapsed="false">
      <c r="A63" s="3" t="s">
        <v>363</v>
      </c>
      <c r="B63" s="0" t="s">
        <v>74</v>
      </c>
      <c r="C63" s="3" t="n">
        <f aca="false">SUM(C54,C60:C62)</f>
        <v>308</v>
      </c>
      <c r="D63" s="0" t="n">
        <f aca="false">C63/120</f>
        <v>2.56666666666667</v>
      </c>
      <c r="E63" s="3" t="n">
        <f aca="false">SUM(E54,E60:E62)</f>
        <v>8310.45716541962</v>
      </c>
      <c r="F63" s="3" t="n">
        <f aca="false">SUM(F54,F60:F61)</f>
        <v>70</v>
      </c>
      <c r="G63" s="1" t="n">
        <f aca="false">F63/120</f>
        <v>0.583333333333333</v>
      </c>
      <c r="H63" s="3" t="n">
        <f aca="false">SUM(H54,H60:H61)</f>
        <v>1979.08583806344</v>
      </c>
      <c r="I63" s="16" t="n">
        <f aca="false">SUM(I54,I60:I61)</f>
        <v>108</v>
      </c>
      <c r="J63" s="17" t="n">
        <f aca="false">I63/120</f>
        <v>0.9</v>
      </c>
      <c r="K63" s="16" t="n">
        <f aca="false">SUM(K54,K60:K61)</f>
        <v>2899.7575911052</v>
      </c>
      <c r="L63" s="3" t="n">
        <f aca="false">SUM(L54,L60:L62)</f>
        <v>82</v>
      </c>
      <c r="M63" s="0" t="n">
        <f aca="false">L63/120</f>
        <v>0.683333333333333</v>
      </c>
      <c r="N63" s="3" t="n">
        <f aca="false">SUM(N54,N60:N62)</f>
        <v>2159.18401351852</v>
      </c>
      <c r="O63" s="3" t="n">
        <f aca="false">SUM(O54,O60:O62)</f>
        <v>82</v>
      </c>
      <c r="P63" s="0" t="n">
        <f aca="false">O63/120</f>
        <v>0.683333333333333</v>
      </c>
      <c r="Q63" s="3" t="n">
        <f aca="false">SUM(Q54,Q60:Q62)</f>
        <v>2159.18401351852</v>
      </c>
      <c r="R63" s="3" t="n">
        <f aca="false">SUM(R54,R60:R62)</f>
        <v>82</v>
      </c>
      <c r="S63" s="0" t="n">
        <f aca="false">R63/120</f>
        <v>0.683333333333333</v>
      </c>
      <c r="T63" s="0" t="n">
        <f aca="false">SUM(T54,T60:T62)</f>
        <v>2159.18401351852</v>
      </c>
      <c r="U63" s="0" t="n">
        <f aca="false">SUM(U54,U60:U61)</f>
        <v>70</v>
      </c>
      <c r="V63" s="0" t="n">
        <f aca="false">U63/120</f>
        <v>0.583333333333333</v>
      </c>
      <c r="W63" s="3" t="n">
        <f aca="false">SUM(W54,W60:W61)</f>
        <v>1979.08583806344</v>
      </c>
      <c r="X63" s="11" t="n">
        <f aca="false">SUM(X54,X60:X61)</f>
        <v>108</v>
      </c>
      <c r="Y63" s="11" t="n">
        <f aca="false">X63/120</f>
        <v>0.9</v>
      </c>
      <c r="Z63" s="16" t="n">
        <f aca="false">SUM(Z54,Z60:Z61)</f>
        <v>2899.7575911052</v>
      </c>
      <c r="AA63" s="0" t="n">
        <f aca="false">SUM(AA54,AA60:AA61)</f>
        <v>70</v>
      </c>
      <c r="AB63" s="1" t="n">
        <f aca="false">AA63/120</f>
        <v>0.583333333333333</v>
      </c>
      <c r="AC63" s="3" t="n">
        <f aca="false">SUM(AC54,AC60:AC61)</f>
        <v>1979.08583806344</v>
      </c>
      <c r="AD63" s="11" t="n">
        <f aca="false">SUM(AD54,AD60:AD61)</f>
        <v>108</v>
      </c>
      <c r="AE63" s="17" t="n">
        <f aca="false">AD63/120</f>
        <v>0.9</v>
      </c>
      <c r="AF63" s="16" t="n">
        <f aca="false">SUM(AF54,AF60:AF61)</f>
        <v>2899.7575911052</v>
      </c>
      <c r="AG63" s="3"/>
      <c r="AH63" s="3" t="n">
        <f aca="false">SUM(AH54,AH60:AH62)</f>
        <v>318</v>
      </c>
      <c r="AI63" s="0" t="n">
        <f aca="false">AH63/175</f>
        <v>1.81714285714286</v>
      </c>
      <c r="AJ63" s="3" t="n">
        <f aca="false">SUM(AJ60:AJ62,AJ54)</f>
        <v>5850.11522415805</v>
      </c>
      <c r="AK63" s="3" t="n">
        <f aca="false">SUM(AK54,AK60:AK62)</f>
        <v>318</v>
      </c>
      <c r="AL63" s="0" t="n">
        <f aca="false">AK63/175</f>
        <v>1.81714285714286</v>
      </c>
      <c r="AM63" s="3" t="n">
        <f aca="false">SUM(AM54,AM60:AM62)</f>
        <v>5850.11522415805</v>
      </c>
      <c r="AN63" s="0" t="n">
        <f aca="false">SUM(AN54,AN60:AN61)</f>
        <v>68</v>
      </c>
      <c r="AO63" s="0" t="n">
        <f aca="false">AN63/175</f>
        <v>0.388571428571429</v>
      </c>
      <c r="AP63" s="3" t="n">
        <f aca="false">SUM(AP54,AP60:AP61)</f>
        <v>1311.52511752921</v>
      </c>
      <c r="AQ63" s="3" t="n">
        <f aca="false">SUM(AQ54,AQ60:AQ62)</f>
        <v>135</v>
      </c>
      <c r="AR63" s="0" t="n">
        <f aca="false">AQ63/120</f>
        <v>1.125</v>
      </c>
      <c r="AS63" s="3" t="n">
        <f aca="false">SUM(AS54,AS60:AS62)</f>
        <v>2256.32057065589</v>
      </c>
      <c r="AT63" s="3" t="n">
        <f aca="false">SUM(AT54,AT60:AT62)</f>
        <v>308</v>
      </c>
      <c r="AU63" s="0" t="n">
        <f aca="false">AT63/174</f>
        <v>1.77011494252874</v>
      </c>
      <c r="AV63" s="3" t="n">
        <f aca="false">SUM(AV54,AV60:AV62)</f>
        <v>5720.63152385261</v>
      </c>
      <c r="AW63" s="3" t="n">
        <f aca="false">SUM(AW54,AW60:AW62)</f>
        <v>308</v>
      </c>
      <c r="AX63" s="0" t="n">
        <f aca="false">AW63/174</f>
        <v>1.77011494252874</v>
      </c>
      <c r="AY63" s="3" t="n">
        <f aca="false">SUM(AY54,AY60:AY62)</f>
        <v>5720.63152385261</v>
      </c>
    </row>
    <row r="64" customFormat="false" ht="12.8" hidden="false" customHeight="false" outlineLevel="0" collapsed="false">
      <c r="A64" s="3" t="s">
        <v>364</v>
      </c>
      <c r="B64" s="0" t="n">
        <v>120</v>
      </c>
      <c r="C64" s="1" t="s">
        <v>74</v>
      </c>
      <c r="D64" s="1" t="s">
        <v>74</v>
      </c>
      <c r="E64" s="1" t="s">
        <v>74</v>
      </c>
      <c r="F64" s="1" t="s">
        <v>74</v>
      </c>
      <c r="G64" s="1" t="s">
        <v>74</v>
      </c>
      <c r="H64" s="1" t="s">
        <v>74</v>
      </c>
      <c r="I64" s="17" t="s">
        <v>74</v>
      </c>
      <c r="J64" s="17" t="s">
        <v>74</v>
      </c>
      <c r="K64" s="17" t="s">
        <v>74</v>
      </c>
      <c r="L64" s="1" t="s">
        <v>74</v>
      </c>
      <c r="M64" s="1" t="s">
        <v>74</v>
      </c>
      <c r="N64" s="1" t="s">
        <v>74</v>
      </c>
      <c r="O64" s="0" t="n">
        <f aca="false">(O63*(0.62+0.098)/0.282)</f>
        <v>208.780141843972</v>
      </c>
      <c r="P64" s="0" t="n">
        <f aca="false">O64/120</f>
        <v>1.73983451536643</v>
      </c>
      <c r="Q64" s="3" t="n">
        <f aca="false">P64*B64</f>
        <v>208.780141843972</v>
      </c>
      <c r="R64" s="0" t="n">
        <f aca="false">(R63*(0.62+0.098)/0.282)</f>
        <v>208.780141843972</v>
      </c>
      <c r="S64" s="0" t="n">
        <f aca="false">R64/120</f>
        <v>1.73983451536643</v>
      </c>
      <c r="T64" s="3" t="n">
        <f aca="false">S64*B64</f>
        <v>208.780141843972</v>
      </c>
      <c r="U64" s="0" t="n">
        <f aca="false">(U63*(0.62+0.098)/0.282)</f>
        <v>178.22695035461</v>
      </c>
      <c r="V64" s="0" t="n">
        <f aca="false">U64/120</f>
        <v>1.48522458628842</v>
      </c>
      <c r="W64" s="3" t="n">
        <f aca="false">V64*B64</f>
        <v>178.22695035461</v>
      </c>
      <c r="X64" s="11" t="n">
        <f aca="false">(X63*(0.62+0.098)/0.282)</f>
        <v>274.978723404255</v>
      </c>
      <c r="Y64" s="11" t="n">
        <f aca="false">X64/120</f>
        <v>2.29148936170213</v>
      </c>
      <c r="Z64" s="16" t="n">
        <f aca="false">Y64*B64</f>
        <v>274.978723404255</v>
      </c>
      <c r="AA64" s="0" t="n">
        <f aca="false">(AA63*(0.62+0.098)/0.282)</f>
        <v>178.22695035461</v>
      </c>
      <c r="AB64" s="1" t="n">
        <f aca="false">AA64/120</f>
        <v>1.48522458628842</v>
      </c>
      <c r="AC64" s="3" t="n">
        <f aca="false">AB64*B64</f>
        <v>178.22695035461</v>
      </c>
      <c r="AD64" s="11" t="n">
        <f aca="false">(AD63*(0.62+0.098)/0.282)</f>
        <v>274.978723404255</v>
      </c>
      <c r="AE64" s="17" t="n">
        <f aca="false">AD64/120</f>
        <v>2.29148936170213</v>
      </c>
      <c r="AF64" s="16" t="n">
        <f aca="false">AE64*B64</f>
        <v>274.978723404255</v>
      </c>
      <c r="AG64" s="3"/>
      <c r="AH64" s="0" t="n">
        <f aca="false">(318*(0.62+0.098)/0.282)-10</f>
        <v>799.659574468085</v>
      </c>
      <c r="AI64" s="0" t="n">
        <f aca="false">AH64/175</f>
        <v>4.56948328267477</v>
      </c>
      <c r="AJ64" s="3" t="n">
        <f aca="false">AI64*B64</f>
        <v>548.337993920973</v>
      </c>
      <c r="AK64" s="1" t="s">
        <v>74</v>
      </c>
      <c r="AL64" s="1" t="s">
        <v>74</v>
      </c>
      <c r="AM64" s="1" t="s">
        <v>74</v>
      </c>
      <c r="AQ64" s="1" t="s">
        <v>74</v>
      </c>
      <c r="AR64" s="1" t="s">
        <v>74</v>
      </c>
      <c r="AS64" s="1" t="s">
        <v>74</v>
      </c>
      <c r="AT64" s="1" t="s">
        <v>74</v>
      </c>
      <c r="AU64" s="1" t="s">
        <v>74</v>
      </c>
      <c r="AV64" s="1" t="s">
        <v>74</v>
      </c>
      <c r="AW64" s="1" t="s">
        <v>74</v>
      </c>
      <c r="AX64" s="1" t="s">
        <v>74</v>
      </c>
      <c r="AY64" s="1" t="s">
        <v>74</v>
      </c>
    </row>
    <row r="65" customFormat="false" ht="12.8" hidden="false" customHeight="false" outlineLevel="0" collapsed="false">
      <c r="A65" s="0" t="s">
        <v>365</v>
      </c>
      <c r="B65" s="0" t="n">
        <v>2000</v>
      </c>
      <c r="C65" s="1" t="n">
        <v>2</v>
      </c>
      <c r="D65" s="0" t="n">
        <f aca="false">C65/120</f>
        <v>0.0166666666666667</v>
      </c>
      <c r="E65" s="0" t="n">
        <f aca="false">D65*B65</f>
        <v>33.3333333333333</v>
      </c>
      <c r="F65" s="0" t="n">
        <v>0</v>
      </c>
      <c r="G65" s="0" t="n">
        <f aca="false">F65/120</f>
        <v>0</v>
      </c>
      <c r="H65" s="0" t="n">
        <f aca="false">G65*B65</f>
        <v>0</v>
      </c>
      <c r="I65" s="11" t="n">
        <v>0</v>
      </c>
      <c r="J65" s="11" t="n">
        <f aca="false">I65/120</f>
        <v>0</v>
      </c>
      <c r="K65" s="11" t="n">
        <f aca="false">J65*B65</f>
        <v>0</v>
      </c>
      <c r="L65" s="0" t="n">
        <v>0</v>
      </c>
      <c r="M65" s="0" t="n">
        <f aca="false">L65/120</f>
        <v>0</v>
      </c>
      <c r="N65" s="0" t="n">
        <f aca="false">M65*B65</f>
        <v>0</v>
      </c>
      <c r="O65" s="0" t="n">
        <v>0</v>
      </c>
      <c r="P65" s="0" t="n">
        <f aca="false">O65/120</f>
        <v>0</v>
      </c>
      <c r="Q65" s="0" t="n">
        <f aca="false">P65*B65</f>
        <v>0</v>
      </c>
      <c r="R65" s="0" t="n">
        <v>0</v>
      </c>
      <c r="S65" s="0" t="n">
        <f aca="false">R65/120</f>
        <v>0</v>
      </c>
      <c r="T65" s="0" t="n">
        <f aca="false">S65*B65</f>
        <v>0</v>
      </c>
      <c r="U65" s="0" t="n">
        <v>0</v>
      </c>
      <c r="V65" s="0" t="n">
        <f aca="false">U65/120</f>
        <v>0</v>
      </c>
      <c r="W65" s="0" t="n">
        <f aca="false">V65*B65</f>
        <v>0</v>
      </c>
      <c r="X65" s="11" t="n">
        <v>0</v>
      </c>
      <c r="Y65" s="11" t="n">
        <f aca="false">X65/120</f>
        <v>0</v>
      </c>
      <c r="Z65" s="11" t="n">
        <f aca="false">Y65*B65</f>
        <v>0</v>
      </c>
      <c r="AA65" s="0" t="n">
        <v>0</v>
      </c>
      <c r="AB65" s="1" t="n">
        <f aca="false">AA65/120</f>
        <v>0</v>
      </c>
      <c r="AC65" s="0" t="n">
        <f aca="false">AB65*B65</f>
        <v>0</v>
      </c>
      <c r="AD65" s="11" t="n">
        <v>0</v>
      </c>
      <c r="AE65" s="17" t="n">
        <f aca="false">AD65/120</f>
        <v>0</v>
      </c>
      <c r="AF65" s="11" t="n">
        <f aca="false">AE65*B65</f>
        <v>0</v>
      </c>
      <c r="AH65" s="0" t="n">
        <v>2</v>
      </c>
      <c r="AI65" s="0" t="n">
        <f aca="false">AH65/175</f>
        <v>0.0114285714285714</v>
      </c>
      <c r="AJ65" s="0" t="n">
        <f aca="false">AI65*B65</f>
        <v>22.8571428571429</v>
      </c>
      <c r="AK65" s="0" t="n">
        <v>2</v>
      </c>
      <c r="AL65" s="0" t="n">
        <f aca="false">AK65/175</f>
        <v>0.0114285714285714</v>
      </c>
      <c r="AM65" s="0" t="n">
        <f aca="false">AL65*B65</f>
        <v>22.8571428571429</v>
      </c>
      <c r="AN65" s="0" t="n">
        <v>0</v>
      </c>
      <c r="AO65" s="0" t="n">
        <f aca="false">AN65/175</f>
        <v>0</v>
      </c>
      <c r="AP65" s="0" t="n">
        <v>0</v>
      </c>
      <c r="AQ65" s="0" t="n">
        <v>0</v>
      </c>
      <c r="AR65" s="0" t="n">
        <f aca="false">AQ65/120</f>
        <v>0</v>
      </c>
      <c r="AS65" s="0" t="n">
        <f aca="false">AR65*AM65</f>
        <v>0</v>
      </c>
      <c r="AT65" s="1" t="n">
        <v>2</v>
      </c>
      <c r="AU65" s="0" t="n">
        <f aca="false">AT65/174</f>
        <v>0.0114942528735632</v>
      </c>
      <c r="AV65" s="0" t="n">
        <f aca="false">AU65*B65</f>
        <v>22.9885057471264</v>
      </c>
      <c r="AW65" s="1" t="n">
        <v>2</v>
      </c>
      <c r="AX65" s="0" t="n">
        <f aca="false">AW65/174</f>
        <v>0.0114942528735632</v>
      </c>
      <c r="AY65" s="0" t="n">
        <f aca="false">AX65*B65</f>
        <v>22.9885057471264</v>
      </c>
    </row>
    <row r="66" customFormat="false" ht="12.8" hidden="false" customHeight="false" outlineLevel="0" collapsed="false">
      <c r="A66" s="0" t="s">
        <v>226</v>
      </c>
      <c r="B66" s="0" t="n">
        <v>2125.548</v>
      </c>
      <c r="C66" s="1" t="n">
        <v>51</v>
      </c>
      <c r="D66" s="0" t="n">
        <f aca="false">C66/120</f>
        <v>0.425</v>
      </c>
      <c r="E66" s="0" t="n">
        <f aca="false">D66*B66</f>
        <v>903.3579</v>
      </c>
      <c r="F66" s="0" t="n">
        <v>30</v>
      </c>
      <c r="G66" s="0" t="n">
        <f aca="false">F66/120</f>
        <v>0.25</v>
      </c>
      <c r="H66" s="0" t="n">
        <f aca="false">G66*B66</f>
        <v>531.387</v>
      </c>
      <c r="I66" s="11" t="n">
        <v>8</v>
      </c>
      <c r="J66" s="11" t="n">
        <f aca="false">I66/120</f>
        <v>0.0666666666666667</v>
      </c>
      <c r="K66" s="11" t="n">
        <f aca="false">J66*B66</f>
        <v>141.7032</v>
      </c>
      <c r="L66" s="0" t="n">
        <v>0</v>
      </c>
      <c r="M66" s="0" t="n">
        <f aca="false">L66/120</f>
        <v>0</v>
      </c>
      <c r="N66" s="0" t="n">
        <f aca="false">M66*B66</f>
        <v>0</v>
      </c>
      <c r="O66" s="0" t="n">
        <v>0</v>
      </c>
      <c r="P66" s="0" t="n">
        <f aca="false">O66/120</f>
        <v>0</v>
      </c>
      <c r="Q66" s="0" t="n">
        <f aca="false">P66*B66</f>
        <v>0</v>
      </c>
      <c r="R66" s="0" t="n">
        <v>0</v>
      </c>
      <c r="S66" s="0" t="n">
        <f aca="false">R66/120</f>
        <v>0</v>
      </c>
      <c r="T66" s="0" t="n">
        <f aca="false">S66*B66</f>
        <v>0</v>
      </c>
      <c r="U66" s="0" t="n">
        <v>40</v>
      </c>
      <c r="V66" s="0" t="n">
        <f aca="false">U66/120</f>
        <v>0.333333333333333</v>
      </c>
      <c r="W66" s="0" t="n">
        <f aca="false">V66*B66</f>
        <v>708.516</v>
      </c>
      <c r="X66" s="11" t="n">
        <v>11</v>
      </c>
      <c r="Y66" s="11" t="n">
        <f aca="false">X66/120</f>
        <v>0.0916666666666667</v>
      </c>
      <c r="Z66" s="11" t="n">
        <f aca="false">Y66*B66</f>
        <v>194.8419</v>
      </c>
      <c r="AA66" s="0" t="n">
        <v>40</v>
      </c>
      <c r="AB66" s="1" t="n">
        <f aca="false">AA66/120</f>
        <v>0.333333333333333</v>
      </c>
      <c r="AC66" s="0" t="n">
        <f aca="false">AB66*B66</f>
        <v>708.516</v>
      </c>
      <c r="AD66" s="11" t="n">
        <v>11</v>
      </c>
      <c r="AE66" s="17" t="n">
        <f aca="false">AD66/120</f>
        <v>0.0916666666666667</v>
      </c>
      <c r="AF66" s="11" t="n">
        <f aca="false">AE66*B66</f>
        <v>194.8419</v>
      </c>
      <c r="AH66" s="0" t="n">
        <v>67</v>
      </c>
      <c r="AI66" s="0" t="n">
        <f aca="false">AH66/175</f>
        <v>0.382857142857143</v>
      </c>
      <c r="AJ66" s="0" t="n">
        <f aca="false">AI66*B66</f>
        <v>813.781234285714</v>
      </c>
      <c r="AK66" s="0" t="n">
        <v>67</v>
      </c>
      <c r="AL66" s="0" t="n">
        <f aca="false">AK66/175</f>
        <v>0.382857142857143</v>
      </c>
      <c r="AM66" s="0" t="n">
        <f aca="false">AL66*B66</f>
        <v>813.781234285714</v>
      </c>
      <c r="AN66" s="0" t="n">
        <v>40</v>
      </c>
      <c r="AO66" s="0" t="n">
        <f aca="false">AN66/175</f>
        <v>0.228571428571429</v>
      </c>
      <c r="AP66" s="0" t="n">
        <f aca="false">AO66*B66</f>
        <v>485.839542857143</v>
      </c>
      <c r="AQ66" s="0" t="n">
        <v>37</v>
      </c>
      <c r="AR66" s="0" t="n">
        <f aca="false">AQ66/120</f>
        <v>0.308333333333333</v>
      </c>
      <c r="AS66" s="0" t="n">
        <f aca="false">AR66*AM66</f>
        <v>250.915880571429</v>
      </c>
      <c r="AT66" s="1" t="n">
        <v>51</v>
      </c>
      <c r="AU66" s="0" t="n">
        <f aca="false">AT66/174</f>
        <v>0.293103448275862</v>
      </c>
      <c r="AV66" s="0" t="n">
        <f aca="false">AU66*B66</f>
        <v>623.005448275862</v>
      </c>
      <c r="AW66" s="1" t="n">
        <v>51</v>
      </c>
      <c r="AX66" s="0" t="n">
        <f aca="false">AW66/174</f>
        <v>0.293103448275862</v>
      </c>
      <c r="AY66" s="0" t="n">
        <f aca="false">AX66*B66</f>
        <v>623.005448275862</v>
      </c>
    </row>
    <row r="67" customFormat="false" ht="12.8" hidden="false" customHeight="false" outlineLevel="0" collapsed="false">
      <c r="A67" s="0" t="s">
        <v>366</v>
      </c>
      <c r="B67" s="0" t="n">
        <v>160</v>
      </c>
      <c r="C67" s="1" t="n">
        <v>3</v>
      </c>
      <c r="D67" s="0" t="n">
        <f aca="false">C67/120</f>
        <v>0.025</v>
      </c>
      <c r="E67" s="0" t="n">
        <f aca="false">D67*B67</f>
        <v>4</v>
      </c>
      <c r="F67" s="0" t="n">
        <v>0</v>
      </c>
      <c r="G67" s="0" t="n">
        <f aca="false">F67/120</f>
        <v>0</v>
      </c>
      <c r="H67" s="0" t="n">
        <f aca="false">G67*B67</f>
        <v>0</v>
      </c>
      <c r="I67" s="11" t="n">
        <v>0</v>
      </c>
      <c r="J67" s="11" t="n">
        <f aca="false">I67/120</f>
        <v>0</v>
      </c>
      <c r="K67" s="11" t="n">
        <f aca="false">J67*B67</f>
        <v>0</v>
      </c>
      <c r="L67" s="0" t="n">
        <v>0</v>
      </c>
      <c r="M67" s="0" t="n">
        <f aca="false">L67/120</f>
        <v>0</v>
      </c>
      <c r="N67" s="0" t="n">
        <f aca="false">M67*B67</f>
        <v>0</v>
      </c>
      <c r="O67" s="0" t="n">
        <v>0</v>
      </c>
      <c r="P67" s="0" t="n">
        <f aca="false">O67/120</f>
        <v>0</v>
      </c>
      <c r="Q67" s="0" t="n">
        <f aca="false">P67*B67</f>
        <v>0</v>
      </c>
      <c r="R67" s="0" t="n">
        <v>0</v>
      </c>
      <c r="S67" s="0" t="n">
        <f aca="false">R67/120</f>
        <v>0</v>
      </c>
      <c r="T67" s="0" t="n">
        <f aca="false">S67*B67</f>
        <v>0</v>
      </c>
      <c r="U67" s="0" t="n">
        <v>0</v>
      </c>
      <c r="V67" s="0" t="n">
        <f aca="false">U67/120</f>
        <v>0</v>
      </c>
      <c r="W67" s="0" t="n">
        <f aca="false">V67*B67</f>
        <v>0</v>
      </c>
      <c r="X67" s="11" t="n">
        <v>0</v>
      </c>
      <c r="Y67" s="11" t="n">
        <f aca="false">X67/120</f>
        <v>0</v>
      </c>
      <c r="Z67" s="11" t="n">
        <f aca="false">Y67*B67</f>
        <v>0</v>
      </c>
      <c r="AA67" s="0" t="n">
        <v>0</v>
      </c>
      <c r="AB67" s="1" t="n">
        <f aca="false">AA67/120</f>
        <v>0</v>
      </c>
      <c r="AC67" s="0" t="n">
        <f aca="false">AB67*B67</f>
        <v>0</v>
      </c>
      <c r="AD67" s="11" t="n">
        <v>0</v>
      </c>
      <c r="AE67" s="17" t="n">
        <f aca="false">AD67/120</f>
        <v>0</v>
      </c>
      <c r="AF67" s="11" t="n">
        <f aca="false">AE67*B67</f>
        <v>0</v>
      </c>
      <c r="AH67" s="0" t="n">
        <v>3</v>
      </c>
      <c r="AI67" s="0" t="n">
        <f aca="false">AH67/175</f>
        <v>0.0171428571428571</v>
      </c>
      <c r="AJ67" s="0" t="n">
        <f aca="false">AI67*B67</f>
        <v>2.74285714285714</v>
      </c>
      <c r="AK67" s="0" t="n">
        <v>3</v>
      </c>
      <c r="AL67" s="0" t="n">
        <f aca="false">AK67/175</f>
        <v>0.0171428571428571</v>
      </c>
      <c r="AM67" s="0" t="n">
        <f aca="false">AL67*B67</f>
        <v>2.74285714285714</v>
      </c>
      <c r="AN67" s="0" t="n">
        <v>0</v>
      </c>
      <c r="AO67" s="0" t="n">
        <f aca="false">AN67/175</f>
        <v>0</v>
      </c>
      <c r="AP67" s="0" t="n">
        <f aca="false">AO67/174</f>
        <v>0</v>
      </c>
      <c r="AQ67" s="0" t="n">
        <v>1</v>
      </c>
      <c r="AR67" s="0" t="n">
        <f aca="false">AQ67/120</f>
        <v>0.00833333333333333</v>
      </c>
      <c r="AS67" s="0" t="n">
        <f aca="false">AR67*AM67</f>
        <v>0.0228571428571429</v>
      </c>
      <c r="AT67" s="1" t="n">
        <v>3</v>
      </c>
      <c r="AU67" s="0" t="n">
        <f aca="false">AT67/174</f>
        <v>0.0172413793103448</v>
      </c>
      <c r="AV67" s="0" t="n">
        <f aca="false">AU67*B67</f>
        <v>2.75862068965517</v>
      </c>
      <c r="AW67" s="1" t="n">
        <v>3</v>
      </c>
      <c r="AX67" s="0" t="n">
        <f aca="false">AW67/174</f>
        <v>0.0172413793103448</v>
      </c>
      <c r="AY67" s="0" t="n">
        <f aca="false">AX67*B67</f>
        <v>2.75862068965517</v>
      </c>
    </row>
    <row r="68" customFormat="false" ht="12.8" hidden="false" customHeight="false" outlineLevel="0" collapsed="false">
      <c r="A68" s="0" t="s">
        <v>230</v>
      </c>
      <c r="B68" s="0" t="n">
        <v>4160.968</v>
      </c>
      <c r="C68" s="1" t="n">
        <v>16</v>
      </c>
      <c r="D68" s="0" t="n">
        <f aca="false">C68/120</f>
        <v>0.133333333333333</v>
      </c>
      <c r="E68" s="0" t="n">
        <f aca="false">D68*B68</f>
        <v>554.795733333333</v>
      </c>
      <c r="F68" s="0" t="n">
        <v>0</v>
      </c>
      <c r="G68" s="0" t="n">
        <f aca="false">F68/120</f>
        <v>0</v>
      </c>
      <c r="H68" s="0" t="n">
        <f aca="false">G68*B68</f>
        <v>0</v>
      </c>
      <c r="I68" s="11" t="n">
        <v>3</v>
      </c>
      <c r="J68" s="11" t="n">
        <f aca="false">I68/120</f>
        <v>0.025</v>
      </c>
      <c r="K68" s="11" t="n">
        <f aca="false">J68*B68</f>
        <v>104.0242</v>
      </c>
      <c r="L68" s="0" t="n">
        <v>10</v>
      </c>
      <c r="M68" s="0" t="n">
        <f aca="false">L68/120</f>
        <v>0.0833333333333333</v>
      </c>
      <c r="N68" s="0" t="n">
        <f aca="false">M68*B68</f>
        <v>346.747333333333</v>
      </c>
      <c r="O68" s="0" t="n">
        <v>10</v>
      </c>
      <c r="P68" s="0" t="n">
        <f aca="false">O68/120</f>
        <v>0.0833333333333333</v>
      </c>
      <c r="Q68" s="0" t="n">
        <f aca="false">P68*B68</f>
        <v>346.747333333333</v>
      </c>
      <c r="R68" s="0" t="n">
        <v>10</v>
      </c>
      <c r="S68" s="0" t="n">
        <f aca="false">R68/120</f>
        <v>0.0833333333333333</v>
      </c>
      <c r="T68" s="0" t="n">
        <f aca="false">S68*B68</f>
        <v>346.747333333333</v>
      </c>
      <c r="U68" s="0" t="n">
        <v>0</v>
      </c>
      <c r="V68" s="0" t="n">
        <f aca="false">U68/120</f>
        <v>0</v>
      </c>
      <c r="W68" s="0" t="n">
        <f aca="false">V68*B68</f>
        <v>0</v>
      </c>
      <c r="X68" s="11" t="n">
        <v>3</v>
      </c>
      <c r="Y68" s="11" t="n">
        <f aca="false">X68/120</f>
        <v>0.025</v>
      </c>
      <c r="Z68" s="11" t="n">
        <f aca="false">Y68*B68</f>
        <v>104.0242</v>
      </c>
      <c r="AA68" s="0" t="n">
        <v>0</v>
      </c>
      <c r="AB68" s="1" t="n">
        <f aca="false">AA68/120</f>
        <v>0</v>
      </c>
      <c r="AC68" s="0" t="n">
        <f aca="false">AB68*B68</f>
        <v>0</v>
      </c>
      <c r="AD68" s="11" t="n">
        <v>3</v>
      </c>
      <c r="AE68" s="17" t="n">
        <f aca="false">AD68/120</f>
        <v>0.025</v>
      </c>
      <c r="AF68" s="11" t="n">
        <f aca="false">AE68*B68</f>
        <v>104.0242</v>
      </c>
      <c r="AH68" s="0" t="n">
        <v>14</v>
      </c>
      <c r="AI68" s="0" t="n">
        <f aca="false">AH68/175</f>
        <v>0.08</v>
      </c>
      <c r="AJ68" s="0" t="n">
        <f aca="false">AI68*B68</f>
        <v>332.87744</v>
      </c>
      <c r="AK68" s="0" t="n">
        <v>14</v>
      </c>
      <c r="AL68" s="0" t="n">
        <f aca="false">AK68/175</f>
        <v>0.08</v>
      </c>
      <c r="AM68" s="0" t="n">
        <f aca="false">AL68*B68</f>
        <v>332.87744</v>
      </c>
      <c r="AN68" s="0" t="n">
        <v>0</v>
      </c>
      <c r="AO68" s="0" t="n">
        <f aca="false">AN68/175</f>
        <v>0</v>
      </c>
      <c r="AP68" s="0" t="n">
        <f aca="false">AO68/174</f>
        <v>0</v>
      </c>
      <c r="AQ68" s="0" t="n">
        <v>0</v>
      </c>
      <c r="AR68" s="0" t="n">
        <f aca="false">AQ68/120</f>
        <v>0</v>
      </c>
      <c r="AS68" s="0" t="n">
        <f aca="false">AR68*AM68</f>
        <v>0</v>
      </c>
      <c r="AT68" s="1" t="n">
        <v>13</v>
      </c>
      <c r="AU68" s="0" t="n">
        <f aca="false">AT68/174</f>
        <v>0.0747126436781609</v>
      </c>
      <c r="AV68" s="0" t="n">
        <f aca="false">AU68*B68</f>
        <v>310.87691954023</v>
      </c>
      <c r="AW68" s="1" t="n">
        <v>13</v>
      </c>
      <c r="AX68" s="0" t="n">
        <f aca="false">AW68/174</f>
        <v>0.0747126436781609</v>
      </c>
      <c r="AY68" s="0" t="n">
        <f aca="false">AX68*B68</f>
        <v>310.87691954023</v>
      </c>
    </row>
    <row r="69" customFormat="false" ht="12.8" hidden="false" customHeight="false" outlineLevel="0" collapsed="false">
      <c r="A69" s="0" t="s">
        <v>367</v>
      </c>
      <c r="B69" s="0" t="n">
        <v>3187.77</v>
      </c>
      <c r="C69" s="1" t="n">
        <v>1</v>
      </c>
      <c r="D69" s="0" t="n">
        <f aca="false">C69/120</f>
        <v>0.00833333333333333</v>
      </c>
      <c r="E69" s="0" t="n">
        <f aca="false">D69*B69</f>
        <v>26.56475</v>
      </c>
      <c r="F69" s="0" t="n">
        <v>0</v>
      </c>
      <c r="G69" s="0" t="n">
        <f aca="false">F69/120</f>
        <v>0</v>
      </c>
      <c r="H69" s="0" t="n">
        <f aca="false">G69*B69</f>
        <v>0</v>
      </c>
      <c r="I69" s="11" t="n">
        <v>0</v>
      </c>
      <c r="J69" s="11" t="n">
        <f aca="false">I69/120</f>
        <v>0</v>
      </c>
      <c r="K69" s="11" t="n">
        <f aca="false">J69*B69</f>
        <v>0</v>
      </c>
      <c r="L69" s="0" t="n">
        <v>0</v>
      </c>
      <c r="M69" s="0" t="n">
        <f aca="false">L69/120</f>
        <v>0</v>
      </c>
      <c r="N69" s="0" t="n">
        <f aca="false">M69*B69</f>
        <v>0</v>
      </c>
      <c r="O69" s="0" t="n">
        <v>0</v>
      </c>
      <c r="P69" s="0" t="n">
        <f aca="false">O69/120</f>
        <v>0</v>
      </c>
      <c r="Q69" s="0" t="n">
        <f aca="false">P69*B69</f>
        <v>0</v>
      </c>
      <c r="R69" s="0" t="n">
        <v>0</v>
      </c>
      <c r="S69" s="0" t="n">
        <f aca="false">R69/120</f>
        <v>0</v>
      </c>
      <c r="T69" s="0" t="n">
        <f aca="false">S69*B69</f>
        <v>0</v>
      </c>
      <c r="U69" s="0" t="n">
        <v>0</v>
      </c>
      <c r="V69" s="0" t="n">
        <f aca="false">U69/120</f>
        <v>0</v>
      </c>
      <c r="W69" s="0" t="n">
        <f aca="false">V69*B69</f>
        <v>0</v>
      </c>
      <c r="X69" s="11" t="n">
        <v>0</v>
      </c>
      <c r="Y69" s="11" t="n">
        <f aca="false">X69/120</f>
        <v>0</v>
      </c>
      <c r="Z69" s="11" t="n">
        <f aca="false">Y69*B69</f>
        <v>0</v>
      </c>
      <c r="AA69" s="0" t="n">
        <v>0</v>
      </c>
      <c r="AB69" s="1" t="n">
        <f aca="false">AA69/120</f>
        <v>0</v>
      </c>
      <c r="AC69" s="0" t="n">
        <f aca="false">AB69*B69</f>
        <v>0</v>
      </c>
      <c r="AD69" s="11" t="n">
        <v>0</v>
      </c>
      <c r="AE69" s="17" t="n">
        <f aca="false">AD69/120</f>
        <v>0</v>
      </c>
      <c r="AF69" s="11" t="n">
        <f aca="false">AE69*B69</f>
        <v>0</v>
      </c>
      <c r="AH69" s="0" t="n">
        <v>1</v>
      </c>
      <c r="AI69" s="0" t="n">
        <f aca="false">AH69/175</f>
        <v>0.00571428571428571</v>
      </c>
      <c r="AJ69" s="0" t="n">
        <f aca="false">AI69*B69</f>
        <v>18.2158285714286</v>
      </c>
      <c r="AK69" s="0" t="n">
        <v>1</v>
      </c>
      <c r="AL69" s="0" t="n">
        <f aca="false">AK69/175</f>
        <v>0.00571428571428571</v>
      </c>
      <c r="AM69" s="0" t="n">
        <f aca="false">AL69*B69</f>
        <v>18.2158285714286</v>
      </c>
      <c r="AN69" s="0" t="n">
        <v>0</v>
      </c>
      <c r="AO69" s="0" t="n">
        <f aca="false">AN69/175</f>
        <v>0</v>
      </c>
      <c r="AP69" s="0" t="n">
        <f aca="false">AO69/174</f>
        <v>0</v>
      </c>
      <c r="AQ69" s="0" t="n">
        <v>0</v>
      </c>
      <c r="AR69" s="0" t="n">
        <f aca="false">AQ69/120</f>
        <v>0</v>
      </c>
      <c r="AS69" s="0" t="n">
        <f aca="false">AR69*AM69</f>
        <v>0</v>
      </c>
      <c r="AT69" s="1" t="n">
        <v>1</v>
      </c>
      <c r="AU69" s="0" t="n">
        <f aca="false">AT69/174</f>
        <v>0.00574712643678161</v>
      </c>
      <c r="AV69" s="0" t="n">
        <f aca="false">AU69*B69</f>
        <v>18.3205172413793</v>
      </c>
      <c r="AW69" s="1" t="n">
        <v>1</v>
      </c>
      <c r="AX69" s="0" t="n">
        <f aca="false">AW69/174</f>
        <v>0.00574712643678161</v>
      </c>
      <c r="AY69" s="0" t="n">
        <f aca="false">AX69*B69</f>
        <v>18.3205172413793</v>
      </c>
    </row>
    <row r="70" customFormat="false" ht="12.8" hidden="false" customHeight="false" outlineLevel="0" collapsed="false">
      <c r="A70" s="0" t="s">
        <v>368</v>
      </c>
      <c r="B70" s="0" t="n">
        <v>1896.318</v>
      </c>
      <c r="C70" s="1" t="n">
        <v>1</v>
      </c>
      <c r="D70" s="0" t="n">
        <f aca="false">C70/120</f>
        <v>0.00833333333333333</v>
      </c>
      <c r="E70" s="0" t="n">
        <f aca="false">D70*B70</f>
        <v>15.80265</v>
      </c>
      <c r="F70" s="0" t="n">
        <v>0</v>
      </c>
      <c r="G70" s="0" t="n">
        <f aca="false">F70/120</f>
        <v>0</v>
      </c>
      <c r="H70" s="0" t="n">
        <f aca="false">G70*B70</f>
        <v>0</v>
      </c>
      <c r="I70" s="11" t="n">
        <v>0</v>
      </c>
      <c r="J70" s="11" t="n">
        <f aca="false">I70/120</f>
        <v>0</v>
      </c>
      <c r="K70" s="11" t="n">
        <f aca="false">J70*B70</f>
        <v>0</v>
      </c>
      <c r="L70" s="0" t="n">
        <v>0</v>
      </c>
      <c r="M70" s="0" t="n">
        <f aca="false">L70/120</f>
        <v>0</v>
      </c>
      <c r="N70" s="0" t="n">
        <f aca="false">M70*B70</f>
        <v>0</v>
      </c>
      <c r="O70" s="0" t="n">
        <v>0</v>
      </c>
      <c r="P70" s="0" t="n">
        <f aca="false">O70/120</f>
        <v>0</v>
      </c>
      <c r="Q70" s="0" t="n">
        <f aca="false">P70*B70</f>
        <v>0</v>
      </c>
      <c r="R70" s="0" t="n">
        <v>0</v>
      </c>
      <c r="S70" s="0" t="n">
        <f aca="false">R70/120</f>
        <v>0</v>
      </c>
      <c r="T70" s="0" t="n">
        <f aca="false">S70*B70</f>
        <v>0</v>
      </c>
      <c r="U70" s="0" t="n">
        <v>0</v>
      </c>
      <c r="V70" s="0" t="n">
        <f aca="false">U70/120</f>
        <v>0</v>
      </c>
      <c r="W70" s="0" t="n">
        <f aca="false">V70*B70</f>
        <v>0</v>
      </c>
      <c r="X70" s="11" t="n">
        <v>0</v>
      </c>
      <c r="Y70" s="11" t="n">
        <f aca="false">X70/120</f>
        <v>0</v>
      </c>
      <c r="Z70" s="11" t="n">
        <f aca="false">Y70*B70</f>
        <v>0</v>
      </c>
      <c r="AA70" s="0" t="n">
        <v>0</v>
      </c>
      <c r="AB70" s="1" t="n">
        <f aca="false">AA70/120</f>
        <v>0</v>
      </c>
      <c r="AC70" s="0" t="n">
        <f aca="false">AB70*B70</f>
        <v>0</v>
      </c>
      <c r="AD70" s="11" t="n">
        <v>0</v>
      </c>
      <c r="AE70" s="17" t="n">
        <f aca="false">AD70/120</f>
        <v>0</v>
      </c>
      <c r="AF70" s="11" t="n">
        <f aca="false">AE70*B70</f>
        <v>0</v>
      </c>
      <c r="AH70" s="0" t="n">
        <v>4</v>
      </c>
      <c r="AI70" s="0" t="n">
        <f aca="false">AH70/175</f>
        <v>0.0228571428571429</v>
      </c>
      <c r="AJ70" s="0" t="n">
        <f aca="false">AI70*B70</f>
        <v>43.3444114285714</v>
      </c>
      <c r="AK70" s="0" t="n">
        <v>4</v>
      </c>
      <c r="AL70" s="0" t="n">
        <f aca="false">AK70/175</f>
        <v>0.0228571428571429</v>
      </c>
      <c r="AM70" s="0" t="n">
        <f aca="false">AL70*B70</f>
        <v>43.3444114285714</v>
      </c>
      <c r="AN70" s="0" t="n">
        <v>0</v>
      </c>
      <c r="AO70" s="0" t="n">
        <f aca="false">AN70/175</f>
        <v>0</v>
      </c>
      <c r="AP70" s="0" t="n">
        <f aca="false">AO70/174</f>
        <v>0</v>
      </c>
      <c r="AQ70" s="0" t="n">
        <v>0</v>
      </c>
      <c r="AR70" s="0" t="n">
        <f aca="false">AQ70/120</f>
        <v>0</v>
      </c>
      <c r="AS70" s="0" t="n">
        <f aca="false">AR70*AM70</f>
        <v>0</v>
      </c>
      <c r="AT70" s="1" t="n">
        <v>1</v>
      </c>
      <c r="AU70" s="0" t="n">
        <f aca="false">AT70/174</f>
        <v>0.00574712643678161</v>
      </c>
      <c r="AV70" s="0" t="n">
        <f aca="false">AU70*B70</f>
        <v>10.8983793103448</v>
      </c>
      <c r="AW70" s="1" t="n">
        <v>1</v>
      </c>
      <c r="AX70" s="0" t="n">
        <f aca="false">AW70/174</f>
        <v>0.00574712643678161</v>
      </c>
      <c r="AY70" s="0" t="n">
        <f aca="false">AX70*B70</f>
        <v>10.8983793103448</v>
      </c>
    </row>
    <row r="71" customFormat="false" ht="12.8" hidden="false" customHeight="false" outlineLevel="0" collapsed="false">
      <c r="A71" s="3" t="s">
        <v>369</v>
      </c>
      <c r="B71" s="0" t="n">
        <f aca="false">AVERAGE(B68:B69)</f>
        <v>3674.369</v>
      </c>
      <c r="C71" s="1" t="n">
        <v>5</v>
      </c>
      <c r="D71" s="0" t="n">
        <f aca="false">C71/120</f>
        <v>0.0416666666666667</v>
      </c>
      <c r="E71" s="0" t="n">
        <f aca="false">D71*B71</f>
        <v>153.098708333333</v>
      </c>
      <c r="F71" s="0" t="n">
        <v>0</v>
      </c>
      <c r="G71" s="0" t="n">
        <f aca="false">F71/120</f>
        <v>0</v>
      </c>
      <c r="H71" s="0" t="n">
        <f aca="false">G71*B71</f>
        <v>0</v>
      </c>
      <c r="I71" s="11" t="n">
        <v>1</v>
      </c>
      <c r="J71" s="11" t="n">
        <f aca="false">I71/120</f>
        <v>0.00833333333333333</v>
      </c>
      <c r="K71" s="11" t="n">
        <f aca="false">J71*B71</f>
        <v>30.6197416666667</v>
      </c>
      <c r="L71" s="0" t="n">
        <v>2</v>
      </c>
      <c r="M71" s="0" t="n">
        <f aca="false">L71/120</f>
        <v>0.0166666666666667</v>
      </c>
      <c r="N71" s="0" t="n">
        <f aca="false">M71*B71</f>
        <v>61.2394833333333</v>
      </c>
      <c r="O71" s="0" t="n">
        <v>2</v>
      </c>
      <c r="P71" s="0" t="n">
        <f aca="false">O71/120</f>
        <v>0.0166666666666667</v>
      </c>
      <c r="Q71" s="0" t="n">
        <f aca="false">P71*B71</f>
        <v>61.2394833333333</v>
      </c>
      <c r="R71" s="0" t="n">
        <v>2</v>
      </c>
      <c r="S71" s="0" t="n">
        <f aca="false">R71/120</f>
        <v>0.0166666666666667</v>
      </c>
      <c r="T71" s="0" t="n">
        <f aca="false">S71*B71</f>
        <v>61.2394833333333</v>
      </c>
      <c r="U71" s="0" t="n">
        <v>0</v>
      </c>
      <c r="V71" s="0" t="n">
        <f aca="false">U71/120</f>
        <v>0</v>
      </c>
      <c r="W71" s="0" t="n">
        <f aca="false">V71*B71</f>
        <v>0</v>
      </c>
      <c r="X71" s="11" t="n">
        <v>2</v>
      </c>
      <c r="Y71" s="11" t="n">
        <f aca="false">X71/120</f>
        <v>0.0166666666666667</v>
      </c>
      <c r="Z71" s="11" t="n">
        <f aca="false">Y71*B71</f>
        <v>61.2394833333333</v>
      </c>
      <c r="AA71" s="0" t="n">
        <v>0</v>
      </c>
      <c r="AB71" s="1" t="n">
        <f aca="false">AA71/120</f>
        <v>0</v>
      </c>
      <c r="AC71" s="0" t="n">
        <f aca="false">AB71*B71</f>
        <v>0</v>
      </c>
      <c r="AD71" s="11" t="n">
        <v>2</v>
      </c>
      <c r="AE71" s="17" t="n">
        <f aca="false">AD71/120</f>
        <v>0.0166666666666667</v>
      </c>
      <c r="AF71" s="11" t="n">
        <f aca="false">AE71*B71</f>
        <v>61.2394833333333</v>
      </c>
      <c r="AH71" s="0" t="n">
        <v>8</v>
      </c>
      <c r="AI71" s="0" t="n">
        <f aca="false">AH71/175</f>
        <v>0.0457142857142857</v>
      </c>
      <c r="AJ71" s="0" t="n">
        <f aca="false">AI71*B71</f>
        <v>167.971154285714</v>
      </c>
      <c r="AK71" s="0" t="n">
        <v>8</v>
      </c>
      <c r="AL71" s="0" t="n">
        <f aca="false">AK71/175</f>
        <v>0.0457142857142857</v>
      </c>
      <c r="AM71" s="0" t="n">
        <f aca="false">AL71*B71</f>
        <v>167.971154285714</v>
      </c>
      <c r="AN71" s="0" t="n">
        <v>0</v>
      </c>
      <c r="AO71" s="0" t="n">
        <f aca="false">AN71/175</f>
        <v>0</v>
      </c>
      <c r="AP71" s="0" t="n">
        <f aca="false">AO71/174</f>
        <v>0</v>
      </c>
      <c r="AQ71" s="0" t="n">
        <v>0</v>
      </c>
      <c r="AR71" s="0" t="n">
        <f aca="false">AQ71/120</f>
        <v>0</v>
      </c>
      <c r="AS71" s="0" t="n">
        <f aca="false">AR71*AM71</f>
        <v>0</v>
      </c>
      <c r="AT71" s="1" t="n">
        <v>7</v>
      </c>
      <c r="AU71" s="0" t="n">
        <f aca="false">AT71/174</f>
        <v>0.0402298850574713</v>
      </c>
      <c r="AV71" s="0" t="n">
        <f aca="false">AU71*B71</f>
        <v>147.819442528736</v>
      </c>
      <c r="AW71" s="1" t="n">
        <v>7</v>
      </c>
      <c r="AX71" s="0" t="n">
        <f aca="false">AW71/174</f>
        <v>0.0402298850574713</v>
      </c>
      <c r="AY71" s="0" t="n">
        <f aca="false">AX71*B71</f>
        <v>147.819442528736</v>
      </c>
    </row>
    <row r="72" customFormat="false" ht="12.8" hidden="false" customHeight="false" outlineLevel="0" collapsed="false">
      <c r="A72" s="3" t="s">
        <v>370</v>
      </c>
      <c r="B72" s="0" t="s">
        <v>74</v>
      </c>
      <c r="C72" s="1" t="n">
        <f aca="false">SUM(C65:C71)</f>
        <v>79</v>
      </c>
      <c r="D72" s="0" t="n">
        <f aca="false">C72/120</f>
        <v>0.658333333333333</v>
      </c>
      <c r="E72" s="0" t="n">
        <f aca="false">SUM(E65:E71)</f>
        <v>1690.953075</v>
      </c>
      <c r="F72" s="3" t="n">
        <v>30</v>
      </c>
      <c r="G72" s="0" t="n">
        <f aca="false">F72/120</f>
        <v>0.25</v>
      </c>
      <c r="H72" s="3" t="n">
        <f aca="false">SUM(H65:H71)</f>
        <v>531.387</v>
      </c>
      <c r="I72" s="16" t="n">
        <f aca="false">SUM(I65:I71)</f>
        <v>12</v>
      </c>
      <c r="J72" s="11" t="n">
        <f aca="false">I72/120</f>
        <v>0.1</v>
      </c>
      <c r="K72" s="16" t="n">
        <f aca="false">SUM(K65:K71)</f>
        <v>276.347141666667</v>
      </c>
      <c r="L72" s="3" t="n">
        <f aca="false">SUM(L65:L71)</f>
        <v>12</v>
      </c>
      <c r="M72" s="0" t="n">
        <f aca="false">L72/120</f>
        <v>0.1</v>
      </c>
      <c r="N72" s="3" t="n">
        <f aca="false">SUM(N65:N71)</f>
        <v>407.986816666667</v>
      </c>
      <c r="O72" s="3" t="n">
        <f aca="false">SUM(O65:O71)</f>
        <v>12</v>
      </c>
      <c r="P72" s="0" t="n">
        <f aca="false">O72/120</f>
        <v>0.1</v>
      </c>
      <c r="Q72" s="3" t="n">
        <f aca="false">SUM(Q65:Q71)</f>
        <v>407.986816666667</v>
      </c>
      <c r="R72" s="3" t="n">
        <f aca="false">SUM(R65:R71)</f>
        <v>12</v>
      </c>
      <c r="S72" s="0" t="n">
        <f aca="false">R72/120</f>
        <v>0.1</v>
      </c>
      <c r="T72" s="3" t="n">
        <f aca="false">SUM(T65:T71)</f>
        <v>407.986816666667</v>
      </c>
      <c r="U72" s="0" t="n">
        <f aca="false">SUM(U65:U71)</f>
        <v>40</v>
      </c>
      <c r="V72" s="0" t="n">
        <f aca="false">U72/120</f>
        <v>0.333333333333333</v>
      </c>
      <c r="W72" s="3" t="n">
        <f aca="false">SUM(W65:W71)</f>
        <v>708.516</v>
      </c>
      <c r="X72" s="11" t="n">
        <f aca="false">SUM(X65:X71)</f>
        <v>16</v>
      </c>
      <c r="Y72" s="11" t="n">
        <f aca="false">X72/120</f>
        <v>0.133333333333333</v>
      </c>
      <c r="Z72" s="16" t="n">
        <f aca="false">SUM(Z65:Z71)</f>
        <v>360.105583333333</v>
      </c>
      <c r="AA72" s="0" t="n">
        <v>40</v>
      </c>
      <c r="AB72" s="1" t="n">
        <f aca="false">AA72/120</f>
        <v>0.333333333333333</v>
      </c>
      <c r="AC72" s="3" t="n">
        <f aca="false">SUM(AC65:AC71)</f>
        <v>708.516</v>
      </c>
      <c r="AD72" s="11" t="n">
        <f aca="false">SUM(AD65:AD71)</f>
        <v>16</v>
      </c>
      <c r="AE72" s="17" t="n">
        <f aca="false">AD72/120</f>
        <v>0.133333333333333</v>
      </c>
      <c r="AF72" s="16" t="n">
        <f aca="false">SUM(AF65:AF71)</f>
        <v>360.105583333333</v>
      </c>
      <c r="AG72" s="3"/>
      <c r="AH72" s="3" t="n">
        <f aca="false">SUM(AH65:AH71)</f>
        <v>99</v>
      </c>
      <c r="AI72" s="0" t="n">
        <f aca="false">AH72/175</f>
        <v>0.565714285714286</v>
      </c>
      <c r="AJ72" s="3" t="n">
        <f aca="false">SUM(AJ65:AJ71)</f>
        <v>1401.79006857143</v>
      </c>
      <c r="AK72" s="3" t="n">
        <f aca="false">SUM(AK65:AK71)</f>
        <v>99</v>
      </c>
      <c r="AL72" s="0" t="n">
        <f aca="false">AK72/175</f>
        <v>0.565714285714286</v>
      </c>
      <c r="AM72" s="3" t="n">
        <f aca="false">SUM(AM65:AM71)</f>
        <v>1401.79006857143</v>
      </c>
      <c r="AN72" s="0" t="n">
        <v>40</v>
      </c>
      <c r="AO72" s="0" t="n">
        <f aca="false">AN72/175</f>
        <v>0.228571428571429</v>
      </c>
      <c r="AP72" s="3" t="n">
        <f aca="false">AP66</f>
        <v>485.839542857143</v>
      </c>
      <c r="AQ72" s="3" t="n">
        <f aca="false">SUM(AQ66:AQ71)</f>
        <v>38</v>
      </c>
      <c r="AR72" s="0" t="n">
        <f aca="false">AQ72/120</f>
        <v>0.316666666666667</v>
      </c>
      <c r="AS72" s="3" t="n">
        <f aca="false">SUM(AS65:AS71)</f>
        <v>250.938737714286</v>
      </c>
      <c r="AT72" s="1" t="n">
        <f aca="false">SUM(AT65:AT71)</f>
        <v>78</v>
      </c>
      <c r="AU72" s="0" t="n">
        <f aca="false">AT72/174</f>
        <v>0.448275862068966</v>
      </c>
      <c r="AV72" s="0" t="n">
        <f aca="false">SUM(AV65:AV71)</f>
        <v>1136.66783333333</v>
      </c>
      <c r="AW72" s="1" t="n">
        <f aca="false">SUM(AW65:AW71)</f>
        <v>78</v>
      </c>
      <c r="AX72" s="0" t="n">
        <f aca="false">AW72/174</f>
        <v>0.448275862068966</v>
      </c>
      <c r="AY72" s="0" t="n">
        <f aca="false">SUM(AY65:AY71)</f>
        <v>1136.66783333333</v>
      </c>
    </row>
    <row r="73" customFormat="false" ht="12.8" hidden="false" customHeight="false" outlineLevel="0" collapsed="false">
      <c r="A73" s="0" t="s">
        <v>371</v>
      </c>
      <c r="B73" s="0" t="n">
        <v>1500</v>
      </c>
      <c r="C73" s="1" t="n">
        <v>0</v>
      </c>
      <c r="D73" s="0" t="n">
        <f aca="false">C73/120</f>
        <v>0</v>
      </c>
      <c r="E73" s="0" t="n">
        <f aca="false">D73*B73</f>
        <v>0</v>
      </c>
      <c r="F73" s="0" t="n">
        <v>0</v>
      </c>
      <c r="G73" s="0" t="n">
        <f aca="false">F73/120</f>
        <v>0</v>
      </c>
      <c r="H73" s="0" t="n">
        <f aca="false">G73*B73</f>
        <v>0</v>
      </c>
      <c r="I73" s="11" t="n">
        <v>0</v>
      </c>
      <c r="J73" s="11" t="n">
        <f aca="false">I73/120</f>
        <v>0</v>
      </c>
      <c r="K73" s="11" t="n">
        <f aca="false">J73*B73</f>
        <v>0</v>
      </c>
      <c r="L73" s="0" t="n">
        <v>0</v>
      </c>
      <c r="M73" s="0" t="n">
        <f aca="false">L73/120</f>
        <v>0</v>
      </c>
      <c r="N73" s="0" t="n">
        <f aca="false">M73*B73</f>
        <v>0</v>
      </c>
      <c r="O73" s="0" t="n">
        <v>0</v>
      </c>
      <c r="P73" s="0" t="n">
        <f aca="false">O73/120</f>
        <v>0</v>
      </c>
      <c r="Q73" s="0" t="n">
        <f aca="false">P73*B73</f>
        <v>0</v>
      </c>
      <c r="R73" s="0" t="n">
        <v>0</v>
      </c>
      <c r="S73" s="0" t="n">
        <f aca="false">R73/120</f>
        <v>0</v>
      </c>
      <c r="T73" s="0" t="n">
        <f aca="false">S73*B73</f>
        <v>0</v>
      </c>
      <c r="U73" s="0" t="n">
        <v>1</v>
      </c>
      <c r="V73" s="0" t="n">
        <f aca="false">U73/120</f>
        <v>0.00833333333333333</v>
      </c>
      <c r="W73" s="0" t="n">
        <f aca="false">V73*B73</f>
        <v>12.5</v>
      </c>
      <c r="X73" s="11" t="n">
        <v>1</v>
      </c>
      <c r="Y73" s="11" t="n">
        <f aca="false">X73/120</f>
        <v>0.00833333333333333</v>
      </c>
      <c r="Z73" s="11" t="n">
        <f aca="false">Y73*B73</f>
        <v>12.5</v>
      </c>
      <c r="AA73" s="0" t="n">
        <v>1</v>
      </c>
      <c r="AB73" s="1" t="n">
        <f aca="false">AA73/120</f>
        <v>0.00833333333333333</v>
      </c>
      <c r="AC73" s="0" t="n">
        <f aca="false">AB73*B73</f>
        <v>12.5</v>
      </c>
      <c r="AD73" s="11" t="n">
        <v>1</v>
      </c>
      <c r="AE73" s="17" t="n">
        <f aca="false">AD73/120</f>
        <v>0.00833333333333333</v>
      </c>
      <c r="AF73" s="11" t="n">
        <f aca="false">AE73*B73</f>
        <v>12.5</v>
      </c>
      <c r="AH73" s="1" t="n">
        <v>1</v>
      </c>
      <c r="AI73" s="0" t="n">
        <f aca="false">AH73/175</f>
        <v>0.00571428571428571</v>
      </c>
      <c r="AJ73" s="0" t="n">
        <f aca="false">AI73*B73</f>
        <v>8.57142857142857</v>
      </c>
      <c r="AK73" s="1" t="n">
        <v>1</v>
      </c>
      <c r="AL73" s="0" t="n">
        <f aca="false">AK73/175</f>
        <v>0.00571428571428571</v>
      </c>
      <c r="AM73" s="0" t="n">
        <f aca="false">AL73*B73</f>
        <v>8.57142857142857</v>
      </c>
      <c r="AN73" s="0" t="n">
        <v>1</v>
      </c>
      <c r="AO73" s="0" t="n">
        <f aca="false">AN73/175</f>
        <v>0.00571428571428571</v>
      </c>
      <c r="AP73" s="0" t="n">
        <f aca="false">AO73*B73</f>
        <v>8.57142857142857</v>
      </c>
      <c r="AQ73" s="0" t="n">
        <v>0</v>
      </c>
      <c r="AR73" s="0" t="n">
        <f aca="false">AQ73/120</f>
        <v>0</v>
      </c>
      <c r="AS73" s="0" t="n">
        <f aca="false">AR73*AM73</f>
        <v>0</v>
      </c>
      <c r="AT73" s="1" t="n">
        <v>0</v>
      </c>
      <c r="AU73" s="0" t="n">
        <f aca="false">AT73/174</f>
        <v>0</v>
      </c>
      <c r="AV73" s="0" t="n">
        <f aca="false">AU73*B73</f>
        <v>0</v>
      </c>
      <c r="AW73" s="1" t="n">
        <v>0</v>
      </c>
      <c r="AX73" s="0" t="n">
        <f aca="false">AW73/174</f>
        <v>0</v>
      </c>
      <c r="AY73" s="0" t="n">
        <f aca="false">AX73*B73</f>
        <v>0</v>
      </c>
    </row>
    <row r="74" customFormat="false" ht="12.8" hidden="false" customHeight="false" outlineLevel="0" collapsed="false">
      <c r="A74" s="0" t="s">
        <v>235</v>
      </c>
      <c r="B74" s="0" t="n">
        <v>2863.418</v>
      </c>
      <c r="C74" s="1" t="n">
        <v>6</v>
      </c>
      <c r="D74" s="0" t="n">
        <f aca="false">C74/120</f>
        <v>0.05</v>
      </c>
      <c r="E74" s="0" t="n">
        <f aca="false">D74*B74</f>
        <v>143.1709</v>
      </c>
      <c r="F74" s="0" t="n">
        <v>0</v>
      </c>
      <c r="G74" s="0" t="n">
        <f aca="false">F74/120</f>
        <v>0</v>
      </c>
      <c r="H74" s="0" t="n">
        <f aca="false">G74*B74</f>
        <v>0</v>
      </c>
      <c r="I74" s="11" t="n">
        <v>1</v>
      </c>
      <c r="J74" s="11" t="n">
        <f aca="false">I74/120</f>
        <v>0.00833333333333333</v>
      </c>
      <c r="K74" s="11" t="n">
        <f aca="false">J74*B74</f>
        <v>23.8618166666667</v>
      </c>
      <c r="L74" s="0" t="n">
        <v>4</v>
      </c>
      <c r="M74" s="0" t="n">
        <f aca="false">L74/120</f>
        <v>0.0333333333333333</v>
      </c>
      <c r="N74" s="0" t="n">
        <f aca="false">M74*B74</f>
        <v>95.4472666666667</v>
      </c>
      <c r="O74" s="0" t="n">
        <v>4</v>
      </c>
      <c r="P74" s="0" t="n">
        <f aca="false">O74/120</f>
        <v>0.0333333333333333</v>
      </c>
      <c r="Q74" s="0" t="n">
        <f aca="false">P74*B74</f>
        <v>95.4472666666667</v>
      </c>
      <c r="R74" s="0" t="n">
        <v>4</v>
      </c>
      <c r="S74" s="0" t="n">
        <f aca="false">R74/120</f>
        <v>0.0333333333333333</v>
      </c>
      <c r="T74" s="0" t="n">
        <f aca="false">S74*B74</f>
        <v>95.4472666666667</v>
      </c>
      <c r="U74" s="0" t="n">
        <v>0</v>
      </c>
      <c r="V74" s="0" t="n">
        <f aca="false">U74/120</f>
        <v>0</v>
      </c>
      <c r="W74" s="0" t="n">
        <f aca="false">V74*N74</f>
        <v>0</v>
      </c>
      <c r="X74" s="11" t="n">
        <v>1</v>
      </c>
      <c r="Y74" s="11" t="n">
        <f aca="false">X74/120</f>
        <v>0.00833333333333333</v>
      </c>
      <c r="Z74" s="11" t="n">
        <f aca="false">Y74*B74</f>
        <v>23.8618166666667</v>
      </c>
      <c r="AA74" s="0" t="n">
        <v>0</v>
      </c>
      <c r="AB74" s="1" t="n">
        <f aca="false">AA74/120</f>
        <v>0</v>
      </c>
      <c r="AC74" s="0" t="n">
        <f aca="false">AB74*Q74</f>
        <v>0</v>
      </c>
      <c r="AD74" s="11" t="n">
        <v>1</v>
      </c>
      <c r="AE74" s="17" t="n">
        <f aca="false">AD74/120</f>
        <v>0.00833333333333333</v>
      </c>
      <c r="AF74" s="11" t="n">
        <f aca="false">AE74*B74</f>
        <v>23.8618166666667</v>
      </c>
      <c r="AH74" s="0" t="n">
        <v>8</v>
      </c>
      <c r="AI74" s="0" t="n">
        <f aca="false">AH74/175</f>
        <v>0.0457142857142857</v>
      </c>
      <c r="AJ74" s="0" t="n">
        <f aca="false">AI74*B74</f>
        <v>130.899108571429</v>
      </c>
      <c r="AK74" s="0" t="n">
        <v>8</v>
      </c>
      <c r="AL74" s="0" t="n">
        <f aca="false">AK74/175</f>
        <v>0.0457142857142857</v>
      </c>
      <c r="AM74" s="0" t="n">
        <f aca="false">AL74*B74</f>
        <v>130.899108571429</v>
      </c>
      <c r="AN74" s="0" t="n">
        <v>1</v>
      </c>
      <c r="AO74" s="0" t="n">
        <f aca="false">AN74/175</f>
        <v>0.00571428571428571</v>
      </c>
      <c r="AP74" s="0" t="n">
        <f aca="false">AO74*B74</f>
        <v>16.3623885714286</v>
      </c>
      <c r="AQ74" s="0" t="n">
        <v>1</v>
      </c>
      <c r="AR74" s="0" t="n">
        <f aca="false">AQ74/120</f>
        <v>0.00833333333333333</v>
      </c>
      <c r="AS74" s="0" t="n">
        <f aca="false">AR74*AM74</f>
        <v>1.0908259047619</v>
      </c>
      <c r="AT74" s="1" t="n">
        <v>6</v>
      </c>
      <c r="AU74" s="0" t="n">
        <f aca="false">AT74/174</f>
        <v>0.0344827586206897</v>
      </c>
      <c r="AV74" s="0" t="n">
        <f aca="false">AU74*B74</f>
        <v>98.7385517241379</v>
      </c>
      <c r="AW74" s="1" t="n">
        <v>6</v>
      </c>
      <c r="AX74" s="0" t="n">
        <f aca="false">AW74/174</f>
        <v>0.0344827586206897</v>
      </c>
      <c r="AY74" s="0" t="n">
        <f aca="false">AX74*B74</f>
        <v>98.7385517241379</v>
      </c>
    </row>
    <row r="75" customFormat="false" ht="12.8" hidden="false" customHeight="false" outlineLevel="0" collapsed="false">
      <c r="A75" s="0" t="s">
        <v>240</v>
      </c>
      <c r="B75" s="0" t="n">
        <v>2213.03</v>
      </c>
      <c r="C75" s="1" t="n">
        <v>3</v>
      </c>
      <c r="D75" s="0" t="n">
        <f aca="false">C75/120</f>
        <v>0.025</v>
      </c>
      <c r="E75" s="0" t="n">
        <f aca="false">D75*B75</f>
        <v>55.32575</v>
      </c>
      <c r="F75" s="0" t="n">
        <v>0</v>
      </c>
      <c r="G75" s="0" t="n">
        <f aca="false">F75/120</f>
        <v>0</v>
      </c>
      <c r="H75" s="0" t="n">
        <f aca="false">G75*E75</f>
        <v>0</v>
      </c>
      <c r="I75" s="11" t="n">
        <v>1</v>
      </c>
      <c r="J75" s="11" t="n">
        <f aca="false">I75/120</f>
        <v>0.00833333333333333</v>
      </c>
      <c r="K75" s="11" t="n">
        <f aca="false">J75*B75</f>
        <v>18.4419166666667</v>
      </c>
      <c r="L75" s="0" t="n">
        <v>0</v>
      </c>
      <c r="M75" s="0" t="n">
        <f aca="false">L75/120</f>
        <v>0</v>
      </c>
      <c r="N75" s="0" t="n">
        <f aca="false">M75*B75</f>
        <v>0</v>
      </c>
      <c r="O75" s="0" t="n">
        <v>0</v>
      </c>
      <c r="P75" s="0" t="n">
        <f aca="false">O75/120</f>
        <v>0</v>
      </c>
      <c r="Q75" s="0" t="n">
        <f aca="false">P75*B75</f>
        <v>0</v>
      </c>
      <c r="R75" s="0" t="n">
        <v>0</v>
      </c>
      <c r="S75" s="0" t="n">
        <f aca="false">R75/120</f>
        <v>0</v>
      </c>
      <c r="T75" s="0" t="n">
        <f aca="false">S75*B75</f>
        <v>0</v>
      </c>
      <c r="U75" s="0" t="n">
        <v>1</v>
      </c>
      <c r="V75" s="0" t="n">
        <f aca="false">U75/120</f>
        <v>0.00833333333333333</v>
      </c>
      <c r="W75" s="0" t="n">
        <f aca="false">V75*B75</f>
        <v>18.4419166666667</v>
      </c>
      <c r="X75" s="11" t="n">
        <v>2</v>
      </c>
      <c r="Y75" s="11" t="n">
        <f aca="false">X75/120</f>
        <v>0.0166666666666667</v>
      </c>
      <c r="Z75" s="11" t="n">
        <f aca="false">Y75*B75</f>
        <v>36.8838333333333</v>
      </c>
      <c r="AA75" s="0" t="n">
        <v>1</v>
      </c>
      <c r="AB75" s="1" t="n">
        <f aca="false">AA75/120</f>
        <v>0.00833333333333333</v>
      </c>
      <c r="AC75" s="0" t="n">
        <f aca="false">AB75*B75</f>
        <v>18.4419166666667</v>
      </c>
      <c r="AD75" s="11" t="n">
        <v>2</v>
      </c>
      <c r="AE75" s="17" t="n">
        <f aca="false">AD75/120</f>
        <v>0.0166666666666667</v>
      </c>
      <c r="AF75" s="11" t="n">
        <f aca="false">AE75*B75</f>
        <v>36.8838333333333</v>
      </c>
      <c r="AH75" s="0" t="n">
        <v>5</v>
      </c>
      <c r="AI75" s="0" t="n">
        <f aca="false">AH75/175</f>
        <v>0.0285714285714286</v>
      </c>
      <c r="AJ75" s="0" t="n">
        <f aca="false">AI75*B75</f>
        <v>63.2294285714286</v>
      </c>
      <c r="AK75" s="0" t="n">
        <v>5</v>
      </c>
      <c r="AL75" s="0" t="n">
        <f aca="false">AK75/175</f>
        <v>0.0285714285714286</v>
      </c>
      <c r="AM75" s="0" t="n">
        <f aca="false">AL75*B75</f>
        <v>63.2294285714286</v>
      </c>
      <c r="AN75" s="0" t="n">
        <v>1</v>
      </c>
      <c r="AO75" s="0" t="n">
        <f aca="false">AN75/175</f>
        <v>0.00571428571428571</v>
      </c>
      <c r="AP75" s="0" t="n">
        <f aca="false">AO75*B75</f>
        <v>12.6458857142857</v>
      </c>
      <c r="AQ75" s="0" t="n">
        <v>1</v>
      </c>
      <c r="AR75" s="0" t="n">
        <f aca="false">AQ75/120</f>
        <v>0.00833333333333333</v>
      </c>
      <c r="AS75" s="0" t="n">
        <f aca="false">AR75*AM75</f>
        <v>0.526911904761905</v>
      </c>
      <c r="AT75" s="1" t="n">
        <v>3</v>
      </c>
      <c r="AU75" s="0" t="n">
        <f aca="false">AT75/174</f>
        <v>0.0172413793103448</v>
      </c>
      <c r="AV75" s="0" t="n">
        <f aca="false">AU75*B75</f>
        <v>38.1556896551724</v>
      </c>
      <c r="AW75" s="1" t="n">
        <v>3</v>
      </c>
      <c r="AX75" s="0" t="n">
        <f aca="false">AW75/174</f>
        <v>0.0172413793103448</v>
      </c>
      <c r="AY75" s="0" t="n">
        <f aca="false">AX75*B75</f>
        <v>38.1556896551724</v>
      </c>
    </row>
    <row r="76" customFormat="false" ht="12.8" hidden="false" customHeight="false" outlineLevel="0" collapsed="false">
      <c r="A76" s="0" t="s">
        <v>243</v>
      </c>
      <c r="B76" s="0" t="n">
        <v>2704.38</v>
      </c>
      <c r="C76" s="1" t="n">
        <v>1</v>
      </c>
      <c r="D76" s="0" t="n">
        <f aca="false">C76/120</f>
        <v>0.00833333333333333</v>
      </c>
      <c r="E76" s="0" t="n">
        <f aca="false">D76*B76</f>
        <v>22.5365</v>
      </c>
      <c r="F76" s="0" t="n">
        <v>0</v>
      </c>
      <c r="G76" s="0" t="n">
        <f aca="false">F76/120</f>
        <v>0</v>
      </c>
      <c r="H76" s="0" t="n">
        <f aca="false">G76*B76</f>
        <v>0</v>
      </c>
      <c r="I76" s="11" t="n">
        <v>0</v>
      </c>
      <c r="J76" s="11" t="n">
        <f aca="false">I76/120</f>
        <v>0</v>
      </c>
      <c r="K76" s="11" t="n">
        <f aca="false">J76*B76</f>
        <v>0</v>
      </c>
      <c r="L76" s="0" t="n">
        <v>0</v>
      </c>
      <c r="M76" s="0" t="n">
        <f aca="false">L76/120</f>
        <v>0</v>
      </c>
      <c r="N76" s="0" t="n">
        <f aca="false">M76*B76</f>
        <v>0</v>
      </c>
      <c r="O76" s="0" t="n">
        <v>0</v>
      </c>
      <c r="P76" s="0" t="n">
        <f aca="false">O76/120</f>
        <v>0</v>
      </c>
      <c r="Q76" s="0" t="n">
        <f aca="false">P76*B76</f>
        <v>0</v>
      </c>
      <c r="R76" s="0" t="n">
        <v>0</v>
      </c>
      <c r="S76" s="0" t="n">
        <f aca="false">R76/120</f>
        <v>0</v>
      </c>
      <c r="T76" s="0" t="n">
        <f aca="false">S76*B76</f>
        <v>0</v>
      </c>
      <c r="U76" s="0" t="n">
        <v>0</v>
      </c>
      <c r="V76" s="0" t="n">
        <f aca="false">U76/120</f>
        <v>0</v>
      </c>
      <c r="W76" s="0" t="n">
        <f aca="false">V76*B76</f>
        <v>0</v>
      </c>
      <c r="X76" s="11" t="n">
        <v>0</v>
      </c>
      <c r="Y76" s="11" t="n">
        <f aca="false">X76/120</f>
        <v>0</v>
      </c>
      <c r="Z76" s="11" t="n">
        <f aca="false">Y76*B76</f>
        <v>0</v>
      </c>
      <c r="AA76" s="0" t="n">
        <v>0</v>
      </c>
      <c r="AB76" s="1" t="n">
        <f aca="false">AA76/120</f>
        <v>0</v>
      </c>
      <c r="AC76" s="0" t="n">
        <f aca="false">AB76*B76</f>
        <v>0</v>
      </c>
      <c r="AD76" s="11" t="n">
        <v>0</v>
      </c>
      <c r="AE76" s="17" t="n">
        <f aca="false">AD76/120</f>
        <v>0</v>
      </c>
      <c r="AF76" s="11" t="n">
        <f aca="false">AE76*B76</f>
        <v>0</v>
      </c>
      <c r="AH76" s="0" t="n">
        <v>1</v>
      </c>
      <c r="AI76" s="0" t="n">
        <f aca="false">AH76/175</f>
        <v>0.00571428571428571</v>
      </c>
      <c r="AJ76" s="0" t="n">
        <f aca="false">AI76*B76</f>
        <v>15.4536</v>
      </c>
      <c r="AK76" s="0" t="n">
        <v>1</v>
      </c>
      <c r="AL76" s="0" t="n">
        <f aca="false">AK76/175</f>
        <v>0.00571428571428571</v>
      </c>
      <c r="AM76" s="0" t="n">
        <f aca="false">AL76*B76</f>
        <v>15.4536</v>
      </c>
      <c r="AN76" s="0" t="n">
        <v>0</v>
      </c>
      <c r="AO76" s="0" t="n">
        <f aca="false">AN76/175</f>
        <v>0</v>
      </c>
      <c r="AP76" s="0" t="n">
        <v>0</v>
      </c>
      <c r="AQ76" s="0" t="n">
        <v>0</v>
      </c>
      <c r="AR76" s="0" t="n">
        <f aca="false">AQ76/120</f>
        <v>0</v>
      </c>
      <c r="AS76" s="0" t="n">
        <f aca="false">AR76*AM76</f>
        <v>0</v>
      </c>
      <c r="AT76" s="1" t="n">
        <v>1</v>
      </c>
      <c r="AU76" s="0" t="n">
        <f aca="false">AT76/174</f>
        <v>0.00574712643678161</v>
      </c>
      <c r="AV76" s="0" t="n">
        <f aca="false">AU76*B76</f>
        <v>15.5424137931035</v>
      </c>
      <c r="AW76" s="1" t="n">
        <v>1</v>
      </c>
      <c r="AX76" s="0" t="n">
        <f aca="false">AW76/174</f>
        <v>0.00574712643678161</v>
      </c>
      <c r="AY76" s="0" t="n">
        <f aca="false">AX76*B76</f>
        <v>15.5424137931035</v>
      </c>
    </row>
    <row r="77" customFormat="false" ht="12.8" hidden="false" customHeight="false" outlineLevel="0" collapsed="false">
      <c r="A77" s="3" t="s">
        <v>238</v>
      </c>
      <c r="B77" s="0" t="n">
        <f aca="false">AVERAGE(B74,B75:B76)</f>
        <v>2593.60933333333</v>
      </c>
      <c r="C77" s="1" t="n">
        <v>17</v>
      </c>
      <c r="D77" s="0" t="n">
        <f aca="false">C77/120</f>
        <v>0.141666666666667</v>
      </c>
      <c r="E77" s="0" t="n">
        <f aca="false">D77*B77</f>
        <v>367.427988888889</v>
      </c>
      <c r="F77" s="0" t="n">
        <v>0</v>
      </c>
      <c r="G77" s="0" t="n">
        <f aca="false">F77/120</f>
        <v>0</v>
      </c>
      <c r="H77" s="0" t="n">
        <f aca="false">G77*B77</f>
        <v>0</v>
      </c>
      <c r="I77" s="11" t="n">
        <v>5</v>
      </c>
      <c r="J77" s="11" t="n">
        <f aca="false">I77/120</f>
        <v>0.0416666666666667</v>
      </c>
      <c r="K77" s="11" t="n">
        <f aca="false">J77*B77</f>
        <v>108.067055555556</v>
      </c>
      <c r="L77" s="0" t="n">
        <v>10</v>
      </c>
      <c r="M77" s="0" t="n">
        <f aca="false">L77/120</f>
        <v>0.0833333333333333</v>
      </c>
      <c r="N77" s="0" t="n">
        <f aca="false">M77*B77</f>
        <v>216.134111111111</v>
      </c>
      <c r="O77" s="0" t="n">
        <v>10</v>
      </c>
      <c r="P77" s="0" t="n">
        <f aca="false">O77/120</f>
        <v>0.0833333333333333</v>
      </c>
      <c r="Q77" s="0" t="n">
        <f aca="false">P77*B77</f>
        <v>216.134111111111</v>
      </c>
      <c r="R77" s="0" t="n">
        <v>10</v>
      </c>
      <c r="S77" s="0" t="n">
        <f aca="false">R77/120</f>
        <v>0.0833333333333333</v>
      </c>
      <c r="T77" s="0" t="n">
        <f aca="false">S77*B77</f>
        <v>216.134111111111</v>
      </c>
      <c r="U77" s="0" t="n">
        <v>1</v>
      </c>
      <c r="V77" s="0" t="n">
        <f aca="false">U77/120</f>
        <v>0.00833333333333333</v>
      </c>
      <c r="W77" s="0" t="n">
        <f aca="false">V77*B77</f>
        <v>21.6134111111111</v>
      </c>
      <c r="X77" s="11" t="n">
        <v>7</v>
      </c>
      <c r="Y77" s="11" t="n">
        <f aca="false">X77/120</f>
        <v>0.0583333333333333</v>
      </c>
      <c r="Z77" s="11" t="n">
        <f aca="false">Y77*B77</f>
        <v>151.293877777778</v>
      </c>
      <c r="AA77" s="0" t="n">
        <v>1</v>
      </c>
      <c r="AB77" s="1" t="n">
        <f aca="false">AA77/120</f>
        <v>0.00833333333333333</v>
      </c>
      <c r="AC77" s="0" t="n">
        <f aca="false">AB77*B77</f>
        <v>21.6134111111111</v>
      </c>
      <c r="AD77" s="11" t="n">
        <v>7</v>
      </c>
      <c r="AE77" s="17" t="n">
        <f aca="false">AD77/120</f>
        <v>0.0583333333333333</v>
      </c>
      <c r="AF77" s="11" t="n">
        <f aca="false">AE77*B77</f>
        <v>151.293877777778</v>
      </c>
      <c r="AH77" s="0" t="n">
        <v>34</v>
      </c>
      <c r="AI77" s="0" t="n">
        <f aca="false">AH77/175</f>
        <v>0.194285714285714</v>
      </c>
      <c r="AJ77" s="0" t="n">
        <f aca="false">AI77*B77</f>
        <v>503.901241904762</v>
      </c>
      <c r="AK77" s="0" t="n">
        <v>34</v>
      </c>
      <c r="AL77" s="0" t="n">
        <f aca="false">AK77/175</f>
        <v>0.194285714285714</v>
      </c>
      <c r="AM77" s="0" t="n">
        <f aca="false">AL77*B77</f>
        <v>503.901241904762</v>
      </c>
      <c r="AN77" s="0" t="n">
        <v>1</v>
      </c>
      <c r="AO77" s="0" t="n">
        <f aca="false">AN77/175</f>
        <v>0.00571428571428571</v>
      </c>
      <c r="AP77" s="0" t="n">
        <f aca="false">AO77*B77</f>
        <v>14.8206247619048</v>
      </c>
      <c r="AQ77" s="0" t="n">
        <v>3</v>
      </c>
      <c r="AR77" s="0" t="n">
        <f aca="false">AQ77/120</f>
        <v>0.025</v>
      </c>
      <c r="AS77" s="0" t="n">
        <f aca="false">AR77*AM77</f>
        <v>12.597531047619</v>
      </c>
      <c r="AT77" s="1" t="n">
        <v>18</v>
      </c>
      <c r="AU77" s="0" t="n">
        <f aca="false">AT77/174</f>
        <v>0.103448275862069</v>
      </c>
      <c r="AV77" s="0" t="n">
        <f aca="false">AU77*B77</f>
        <v>268.304413793103</v>
      </c>
      <c r="AW77" s="1" t="n">
        <v>18</v>
      </c>
      <c r="AX77" s="0" t="n">
        <f aca="false">AW77/174</f>
        <v>0.103448275862069</v>
      </c>
      <c r="AY77" s="0" t="n">
        <f aca="false">AX77*B77</f>
        <v>268.304413793103</v>
      </c>
    </row>
    <row r="78" customFormat="false" ht="12.8" hidden="false" customHeight="false" outlineLevel="0" collapsed="false">
      <c r="A78" s="0" t="s">
        <v>372</v>
      </c>
      <c r="B78" s="0" t="n">
        <v>160</v>
      </c>
      <c r="C78" s="1" t="n">
        <v>1</v>
      </c>
      <c r="D78" s="0" t="n">
        <f aca="false">C78/120</f>
        <v>0.00833333333333333</v>
      </c>
      <c r="E78" s="0" t="n">
        <f aca="false">D78*B78</f>
        <v>1.33333333333333</v>
      </c>
      <c r="F78" s="0" t="n">
        <v>1</v>
      </c>
      <c r="G78" s="0" t="n">
        <f aca="false">F78/120</f>
        <v>0.00833333333333333</v>
      </c>
      <c r="H78" s="0" t="n">
        <f aca="false">G78*B78</f>
        <v>1.33333333333333</v>
      </c>
      <c r="I78" s="11" t="n">
        <v>0</v>
      </c>
      <c r="J78" s="11" t="n">
        <f aca="false">I78/120</f>
        <v>0</v>
      </c>
      <c r="K78" s="11" t="n">
        <f aca="false">J78*B78</f>
        <v>0</v>
      </c>
      <c r="L78" s="0" t="n">
        <v>0</v>
      </c>
      <c r="M78" s="0" t="n">
        <f aca="false">L78/120</f>
        <v>0</v>
      </c>
      <c r="N78" s="0" t="n">
        <f aca="false">M78*B78</f>
        <v>0</v>
      </c>
      <c r="O78" s="0" t="n">
        <v>0</v>
      </c>
      <c r="P78" s="0" t="n">
        <f aca="false">O78/120</f>
        <v>0</v>
      </c>
      <c r="Q78" s="0" t="n">
        <f aca="false">P78*B78</f>
        <v>0</v>
      </c>
      <c r="R78" s="0" t="n">
        <v>0</v>
      </c>
      <c r="S78" s="0" t="n">
        <f aca="false">R78/120</f>
        <v>0</v>
      </c>
      <c r="T78" s="0" t="n">
        <f aca="false">S78*B78</f>
        <v>0</v>
      </c>
      <c r="U78" s="0" t="n">
        <v>1</v>
      </c>
      <c r="V78" s="0" t="n">
        <f aca="false">U78/120</f>
        <v>0.00833333333333333</v>
      </c>
      <c r="W78" s="0" t="n">
        <f aca="false">V78*B78</f>
        <v>1.33333333333333</v>
      </c>
      <c r="X78" s="11" t="n">
        <v>0</v>
      </c>
      <c r="Y78" s="11" t="n">
        <f aca="false">X78/120</f>
        <v>0</v>
      </c>
      <c r="Z78" s="11" t="n">
        <f aca="false">Y78*B78</f>
        <v>0</v>
      </c>
      <c r="AA78" s="0" t="n">
        <v>1</v>
      </c>
      <c r="AB78" s="1" t="n">
        <f aca="false">AA78/120</f>
        <v>0.00833333333333333</v>
      </c>
      <c r="AC78" s="0" t="n">
        <f aca="false">AB78*B78</f>
        <v>1.33333333333333</v>
      </c>
      <c r="AD78" s="11" t="n">
        <v>0</v>
      </c>
      <c r="AE78" s="17" t="n">
        <f aca="false">AD78/120</f>
        <v>0</v>
      </c>
      <c r="AF78" s="11" t="n">
        <f aca="false">AE78*B78</f>
        <v>0</v>
      </c>
      <c r="AH78" s="0" t="n">
        <v>1</v>
      </c>
      <c r="AI78" s="0" t="n">
        <f aca="false">AH78/175</f>
        <v>0.00571428571428571</v>
      </c>
      <c r="AJ78" s="0" t="n">
        <f aca="false">AI78*B78</f>
        <v>0.914285714285714</v>
      </c>
      <c r="AK78" s="0" t="n">
        <v>1</v>
      </c>
      <c r="AL78" s="0" t="n">
        <f aca="false">AK78/175</f>
        <v>0.00571428571428571</v>
      </c>
      <c r="AM78" s="0" t="n">
        <f aca="false">AL78*B78</f>
        <v>0.914285714285714</v>
      </c>
      <c r="AN78" s="0" t="n">
        <v>0</v>
      </c>
      <c r="AO78" s="0" t="n">
        <f aca="false">AN78/175</f>
        <v>0</v>
      </c>
      <c r="AP78" s="0" t="n">
        <v>0</v>
      </c>
      <c r="AQ78" s="0" t="n">
        <v>1</v>
      </c>
      <c r="AR78" s="0" t="n">
        <f aca="false">AQ78/120</f>
        <v>0.00833333333333333</v>
      </c>
      <c r="AS78" s="0" t="n">
        <f aca="false">AR78*AM78</f>
        <v>0.00761904761904762</v>
      </c>
      <c r="AT78" s="1" t="n">
        <v>1</v>
      </c>
      <c r="AU78" s="0" t="n">
        <f aca="false">AT78/174</f>
        <v>0.00574712643678161</v>
      </c>
      <c r="AV78" s="0" t="n">
        <f aca="false">AU78*B78</f>
        <v>0.919540229885058</v>
      </c>
      <c r="AW78" s="1" t="n">
        <v>1</v>
      </c>
      <c r="AX78" s="0" t="n">
        <f aca="false">AW78/174</f>
        <v>0.00574712643678161</v>
      </c>
      <c r="AY78" s="0" t="n">
        <f aca="false">AX78*B78</f>
        <v>0.919540229885058</v>
      </c>
    </row>
    <row r="79" customFormat="false" ht="12.8" hidden="false" customHeight="false" outlineLevel="0" collapsed="false">
      <c r="A79" s="3" t="s">
        <v>373</v>
      </c>
      <c r="B79" s="0" t="s">
        <v>74</v>
      </c>
      <c r="C79" s="1" t="n">
        <f aca="false">SUM(C73:C77)</f>
        <v>27</v>
      </c>
      <c r="D79" s="0" t="n">
        <f aca="false">C79/120</f>
        <v>0.225</v>
      </c>
      <c r="E79" s="0" t="n">
        <f aca="false">SUM(E73:E78)</f>
        <v>589.794472222222</v>
      </c>
      <c r="F79" s="3" t="n">
        <v>1</v>
      </c>
      <c r="G79" s="0" t="n">
        <f aca="false">F79/120</f>
        <v>0.00833333333333333</v>
      </c>
      <c r="H79" s="3" t="n">
        <f aca="false">SUM(H74:H78)</f>
        <v>1.33333333333333</v>
      </c>
      <c r="I79" s="16" t="n">
        <f aca="false">SUM(I74:I78)</f>
        <v>7</v>
      </c>
      <c r="J79" s="11" t="n">
        <f aca="false">I79/120</f>
        <v>0.0583333333333333</v>
      </c>
      <c r="K79" s="16" t="n">
        <f aca="false">SUM(K74:K78)</f>
        <v>150.370788888889</v>
      </c>
      <c r="L79" s="3" t="n">
        <f aca="false">SUM(L74:L77)</f>
        <v>14</v>
      </c>
      <c r="M79" s="0" t="n">
        <f aca="false">L79/120</f>
        <v>0.116666666666667</v>
      </c>
      <c r="N79" s="1" t="n">
        <f aca="false">SUM(N74:N78)</f>
        <v>311.581377777778</v>
      </c>
      <c r="O79" s="3" t="n">
        <f aca="false">SUM(O74:O77)</f>
        <v>14</v>
      </c>
      <c r="P79" s="0" t="n">
        <f aca="false">O79/120</f>
        <v>0.116666666666667</v>
      </c>
      <c r="Q79" s="0" t="n">
        <f aca="false">SUM(Q74:Q78)</f>
        <v>311.581377777778</v>
      </c>
      <c r="R79" s="3" t="n">
        <f aca="false">SUM(R74:R77)</f>
        <v>14</v>
      </c>
      <c r="S79" s="0" t="n">
        <f aca="false">R79/120</f>
        <v>0.116666666666667</v>
      </c>
      <c r="T79" s="0" t="n">
        <f aca="false">SUM(T74:T78)</f>
        <v>311.581377777778</v>
      </c>
      <c r="U79" s="0" t="n">
        <f aca="false">SUM(U74:U78)</f>
        <v>3</v>
      </c>
      <c r="V79" s="0" t="n">
        <f aca="false">U79/120</f>
        <v>0.025</v>
      </c>
      <c r="W79" s="0" t="n">
        <f aca="false">SUM(W74:W78)</f>
        <v>41.3886611111111</v>
      </c>
      <c r="X79" s="11" t="n">
        <f aca="false">SUM(X74:X78)</f>
        <v>10</v>
      </c>
      <c r="Y79" s="11" t="n">
        <f aca="false">X79/120</f>
        <v>0.0833333333333333</v>
      </c>
      <c r="Z79" s="11" t="n">
        <f aca="false">SUM(Z74:Z78)</f>
        <v>212.039527777778</v>
      </c>
      <c r="AA79" s="0" t="n">
        <f aca="false">SUM(AA74:AA78)</f>
        <v>3</v>
      </c>
      <c r="AB79" s="1" t="n">
        <f aca="false">AA79/120</f>
        <v>0.025</v>
      </c>
      <c r="AC79" s="0" t="n">
        <f aca="false">SUM(AC74:AC78)</f>
        <v>41.3886611111111</v>
      </c>
      <c r="AD79" s="11" t="n">
        <f aca="false">SUM(AD74:AD78)</f>
        <v>10</v>
      </c>
      <c r="AE79" s="17" t="n">
        <f aca="false">AD79/120</f>
        <v>0.0833333333333333</v>
      </c>
      <c r="AF79" s="11" t="n">
        <f aca="false">SUM(AF74:AF78)</f>
        <v>212.039527777778</v>
      </c>
      <c r="AH79" s="3" t="n">
        <f aca="false">SUM(AH74:AH77)</f>
        <v>48</v>
      </c>
      <c r="AI79" s="0" t="n">
        <f aca="false">AH79/175</f>
        <v>0.274285714285714</v>
      </c>
      <c r="AJ79" s="3" t="n">
        <f aca="false">SUM(AJ74:AJ78)</f>
        <v>714.397664761905</v>
      </c>
      <c r="AK79" s="3" t="n">
        <f aca="false">SUM(AK74:AK77)</f>
        <v>48</v>
      </c>
      <c r="AL79" s="0" t="n">
        <f aca="false">AK79/175</f>
        <v>0.274285714285714</v>
      </c>
      <c r="AM79" s="3" t="n">
        <f aca="false">SUM(AM74:AM78)</f>
        <v>714.397664761905</v>
      </c>
      <c r="AN79" s="0" t="n">
        <f aca="false">SUM(AN74:AN78)</f>
        <v>3</v>
      </c>
      <c r="AO79" s="0" t="n">
        <f aca="false">AN79/175</f>
        <v>0.0171428571428571</v>
      </c>
      <c r="AP79" s="3" t="n">
        <f aca="false">SUM(AP74:AP78)</f>
        <v>43.828899047619</v>
      </c>
      <c r="AQ79" s="3" t="n">
        <f aca="false">SUM(AQ74:AQ77)</f>
        <v>5</v>
      </c>
      <c r="AR79" s="0" t="n">
        <f aca="false">AQ79/120</f>
        <v>0.0416666666666667</v>
      </c>
      <c r="AS79" s="3" t="n">
        <f aca="false">SUM(AS73:AS78)</f>
        <v>14.2228879047619</v>
      </c>
      <c r="AT79" s="1" t="n">
        <f aca="false">SUM(AT73:AT77)</f>
        <v>28</v>
      </c>
      <c r="AU79" s="0" t="n">
        <f aca="false">AT79/174</f>
        <v>0.160919540229885</v>
      </c>
      <c r="AV79" s="0" t="n">
        <f aca="false">SUM(AV73:AV78)</f>
        <v>421.660609195402</v>
      </c>
      <c r="AW79" s="1" t="n">
        <f aca="false">SUM(AW73:AW77)</f>
        <v>28</v>
      </c>
      <c r="AX79" s="0" t="n">
        <f aca="false">AW79/174</f>
        <v>0.160919540229885</v>
      </c>
      <c r="AY79" s="0" t="n">
        <f aca="false">SUM(AY74:AY78)</f>
        <v>421.660609195402</v>
      </c>
    </row>
    <row r="80" customFormat="false" ht="12.8" hidden="false" customHeight="false" outlineLevel="0" collapsed="false">
      <c r="A80" s="3" t="s">
        <v>374</v>
      </c>
      <c r="B80" s="0" t="n">
        <f aca="false">AVERAGE(B65:B66,B68:B70,B73:B76)</f>
        <v>2516.82577777778</v>
      </c>
      <c r="C80" s="1" t="n">
        <v>16</v>
      </c>
      <c r="D80" s="0" t="n">
        <f aca="false">C80/120</f>
        <v>0.133333333333333</v>
      </c>
      <c r="E80" s="0" t="n">
        <f aca="false">D80*B80</f>
        <v>335.57677037037</v>
      </c>
      <c r="F80" s="0" t="n">
        <v>3</v>
      </c>
      <c r="G80" s="0" t="n">
        <f aca="false">F80/120</f>
        <v>0.025</v>
      </c>
      <c r="H80" s="0" t="n">
        <f aca="false">G80*B80</f>
        <v>62.9206444444445</v>
      </c>
      <c r="I80" s="11" t="n">
        <v>1</v>
      </c>
      <c r="J80" s="11" t="n">
        <f aca="false">I80/120</f>
        <v>0.00833333333333333</v>
      </c>
      <c r="K80" s="11" t="n">
        <f aca="false">J80*B80</f>
        <v>20.9735481481482</v>
      </c>
      <c r="L80" s="0" t="n">
        <v>1</v>
      </c>
      <c r="M80" s="0" t="n">
        <f aca="false">L80/120</f>
        <v>0.00833333333333333</v>
      </c>
      <c r="N80" s="0" t="n">
        <f aca="false">M80*B80</f>
        <v>20.9735481481482</v>
      </c>
      <c r="O80" s="0" t="n">
        <v>1</v>
      </c>
      <c r="P80" s="0" t="n">
        <f aca="false">O80/120</f>
        <v>0.00833333333333333</v>
      </c>
      <c r="Q80" s="0" t="n">
        <f aca="false">P80*B80</f>
        <v>20.9735481481482</v>
      </c>
      <c r="R80" s="0" t="n">
        <v>1</v>
      </c>
      <c r="S80" s="0" t="n">
        <f aca="false">R80/120</f>
        <v>0.00833333333333333</v>
      </c>
      <c r="T80" s="0" t="n">
        <f aca="false">S80*B80</f>
        <v>20.9735481481482</v>
      </c>
      <c r="U80" s="0" t="n">
        <v>3</v>
      </c>
      <c r="V80" s="0" t="n">
        <f aca="false">U80/120</f>
        <v>0.025</v>
      </c>
      <c r="W80" s="0" t="n">
        <f aca="false">V80*B80</f>
        <v>62.9206444444445</v>
      </c>
      <c r="X80" s="11" t="n">
        <v>1</v>
      </c>
      <c r="Y80" s="11" t="n">
        <f aca="false">X80/120</f>
        <v>0.00833333333333333</v>
      </c>
      <c r="Z80" s="11" t="n">
        <f aca="false">Y80*B80</f>
        <v>20.9735481481482</v>
      </c>
      <c r="AA80" s="0" t="n">
        <v>3</v>
      </c>
      <c r="AB80" s="1" t="n">
        <f aca="false">AA80/120</f>
        <v>0.025</v>
      </c>
      <c r="AC80" s="0" t="n">
        <f aca="false">AB80*B80</f>
        <v>62.9206444444445</v>
      </c>
      <c r="AD80" s="11" t="n">
        <v>1</v>
      </c>
      <c r="AE80" s="17" t="n">
        <f aca="false">AD80/120</f>
        <v>0.00833333333333333</v>
      </c>
      <c r="AF80" s="11" t="n">
        <f aca="false">AE80*B80</f>
        <v>20.9735481481482</v>
      </c>
      <c r="AH80" s="0" t="n">
        <v>21</v>
      </c>
      <c r="AI80" s="0" t="n">
        <f aca="false">AH80/175</f>
        <v>0.12</v>
      </c>
      <c r="AJ80" s="0" t="n">
        <f aca="false">AI80*B80</f>
        <v>302.019093333333</v>
      </c>
      <c r="AK80" s="0" t="n">
        <v>21</v>
      </c>
      <c r="AL80" s="0" t="n">
        <f aca="false">AK80/175</f>
        <v>0.12</v>
      </c>
      <c r="AM80" s="0" t="n">
        <f aca="false">AL80*B80</f>
        <v>302.019093333333</v>
      </c>
      <c r="AN80" s="0" t="n">
        <v>3</v>
      </c>
      <c r="AO80" s="0" t="n">
        <f aca="false">AN80/175</f>
        <v>0.0171428571428571</v>
      </c>
      <c r="AP80" s="0" t="n">
        <f aca="false">AO80*B80</f>
        <v>43.1455847619048</v>
      </c>
      <c r="AQ80" s="0" t="n">
        <v>3</v>
      </c>
      <c r="AR80" s="0" t="n">
        <f aca="false">AQ80/120</f>
        <v>0.025</v>
      </c>
      <c r="AS80" s="0" t="n">
        <f aca="false">AR80*AM80</f>
        <v>7.55047733333333</v>
      </c>
      <c r="AT80" s="1" t="n">
        <v>16</v>
      </c>
      <c r="AU80" s="0" t="n">
        <f aca="false">AT80/174</f>
        <v>0.0919540229885058</v>
      </c>
      <c r="AV80" s="0" t="n">
        <f aca="false">AU80*B80</f>
        <v>231.432255427842</v>
      </c>
      <c r="AW80" s="1" t="n">
        <v>16</v>
      </c>
      <c r="AX80" s="0" t="n">
        <f aca="false">AW80/174</f>
        <v>0.0919540229885058</v>
      </c>
      <c r="AY80" s="0" t="n">
        <f aca="false">AX80*B80</f>
        <v>231.432255427842</v>
      </c>
    </row>
    <row r="81" customFormat="false" ht="12.8" hidden="false" customHeight="false" outlineLevel="0" collapsed="false">
      <c r="A81" s="3" t="s">
        <v>375</v>
      </c>
      <c r="B81" s="0" t="s">
        <v>74</v>
      </c>
      <c r="C81" s="3" t="n">
        <f aca="false">SUM(C72,C79:C80)</f>
        <v>122</v>
      </c>
      <c r="D81" s="0" t="n">
        <f aca="false">C81/120</f>
        <v>1.01666666666667</v>
      </c>
      <c r="E81" s="3" t="n">
        <f aca="false">SUM(E72,E79:E80)</f>
        <v>2616.32431759259</v>
      </c>
      <c r="F81" s="3" t="n">
        <f aca="false">SUM(F72,F79:F80)</f>
        <v>34</v>
      </c>
      <c r="G81" s="0" t="n">
        <f aca="false">F81/120</f>
        <v>0.283333333333333</v>
      </c>
      <c r="H81" s="3" t="n">
        <f aca="false">SUM(H72,H79:H80)</f>
        <v>595.640977777778</v>
      </c>
      <c r="I81" s="16" t="n">
        <f aca="false">SUM(I72,I79:I80)</f>
        <v>20</v>
      </c>
      <c r="J81" s="11" t="n">
        <f aca="false">I81/120</f>
        <v>0.166666666666667</v>
      </c>
      <c r="K81" s="16" t="n">
        <f aca="false">SUM(K72,K79:K80)</f>
        <v>447.691478703704</v>
      </c>
      <c r="L81" s="3" t="n">
        <f aca="false">SUM(L72,L79:L80)</f>
        <v>27</v>
      </c>
      <c r="M81" s="0" t="n">
        <f aca="false">L81/120</f>
        <v>0.225</v>
      </c>
      <c r="N81" s="3" t="n">
        <f aca="false">SUM(N72,N79:N80)</f>
        <v>740.541742592593</v>
      </c>
      <c r="O81" s="3" t="n">
        <f aca="false">SUM(O72,O79:O80)</f>
        <v>27</v>
      </c>
      <c r="P81" s="0" t="n">
        <f aca="false">O81/120</f>
        <v>0.225</v>
      </c>
      <c r="Q81" s="3" t="n">
        <f aca="false">SUM(Q72,Q79:Q80)</f>
        <v>740.541742592593</v>
      </c>
      <c r="R81" s="3" t="n">
        <f aca="false">SUM(R72,R79:R80)</f>
        <v>27</v>
      </c>
      <c r="S81" s="0" t="n">
        <f aca="false">R81/120</f>
        <v>0.225</v>
      </c>
      <c r="T81" s="3" t="n">
        <f aca="false">SUM(T72,T79:T80)</f>
        <v>740.541742592593</v>
      </c>
      <c r="U81" s="0" t="n">
        <f aca="false">SUM(U72:U73,U79:U80)</f>
        <v>47</v>
      </c>
      <c r="V81" s="0" t="n">
        <f aca="false">U81/120</f>
        <v>0.391666666666667</v>
      </c>
      <c r="W81" s="3" t="n">
        <f aca="false">SUM(W72,W73,W79:W80)</f>
        <v>825.325305555555</v>
      </c>
      <c r="X81" s="11" t="n">
        <f aca="false">SUM(X72:X73,X79:X80)</f>
        <v>28</v>
      </c>
      <c r="Y81" s="11" t="n">
        <f aca="false">X81/120</f>
        <v>0.233333333333333</v>
      </c>
      <c r="Z81" s="16" t="n">
        <f aca="false">SUM(Z72,Z73,Z79:Z80)</f>
        <v>605.618659259259</v>
      </c>
      <c r="AA81" s="0" t="n">
        <f aca="false">SUM(AA72:AA73,AA79:AA80)</f>
        <v>47</v>
      </c>
      <c r="AB81" s="1" t="n">
        <f aca="false">AA81/120</f>
        <v>0.391666666666667</v>
      </c>
      <c r="AC81" s="3" t="n">
        <f aca="false">SUM(AC72,AC73,AC79:AC80)</f>
        <v>825.325305555555</v>
      </c>
      <c r="AD81" s="11" t="n">
        <f aca="false">SUM(AD72:AD73,AD79:AD80)</f>
        <v>28</v>
      </c>
      <c r="AE81" s="17" t="n">
        <f aca="false">AD81/120</f>
        <v>0.233333333333333</v>
      </c>
      <c r="AF81" s="16" t="n">
        <f aca="false">SUM(AF72,AF73,AF79:AF80)</f>
        <v>605.618659259259</v>
      </c>
      <c r="AG81" s="3"/>
      <c r="AH81" s="3" t="n">
        <f aca="false">SUM(AH72,AH79:AH80,AH73)</f>
        <v>169</v>
      </c>
      <c r="AI81" s="0" t="n">
        <f aca="false">AH81/175</f>
        <v>0.965714285714286</v>
      </c>
      <c r="AJ81" s="3" t="n">
        <f aca="false">SUM(AJ79:AJ80,AJ72:AJ73)</f>
        <v>2426.7782552381</v>
      </c>
      <c r="AK81" s="3" t="n">
        <f aca="false">SUM(AK72,AK79:AK80,AK73)</f>
        <v>169</v>
      </c>
      <c r="AL81" s="0" t="n">
        <f aca="false">AK81/175</f>
        <v>0.965714285714286</v>
      </c>
      <c r="AM81" s="3" t="n">
        <f aca="false">SUM(AM72:AM73,AM79:AM80)</f>
        <v>2426.7782552381</v>
      </c>
      <c r="AN81" s="0" t="n">
        <f aca="false">SUM(AN72:AN73,AN79:AN80)</f>
        <v>47</v>
      </c>
      <c r="AO81" s="0" t="n">
        <f aca="false">AN81/175</f>
        <v>0.268571428571429</v>
      </c>
      <c r="AP81" s="3" t="n">
        <f aca="false">SUM(AP72,AP73,AP79:AP80)</f>
        <v>581.385455238095</v>
      </c>
      <c r="AQ81" s="3" t="n">
        <f aca="false">SUM(AQ72,AQ79:AQ80)</f>
        <v>46</v>
      </c>
      <c r="AR81" s="0" t="n">
        <f aca="false">AQ81/120</f>
        <v>0.383333333333333</v>
      </c>
      <c r="AS81" s="3" t="n">
        <f aca="false">SUM(AS72,AS79:AS80)</f>
        <v>272.712102952381</v>
      </c>
      <c r="AT81" s="3" t="n">
        <f aca="false">SUM(AT72,AT79:AT80)</f>
        <v>122</v>
      </c>
      <c r="AU81" s="0" t="n">
        <f aca="false">AT81/174</f>
        <v>0.701149425287356</v>
      </c>
      <c r="AV81" s="3" t="n">
        <f aca="false">SUM(AV72,AV79:AV80)</f>
        <v>1789.76069795658</v>
      </c>
      <c r="AW81" s="3" t="n">
        <f aca="false">SUM(AW72,AW79:AW80)</f>
        <v>122</v>
      </c>
      <c r="AX81" s="0" t="n">
        <f aca="false">AW81/174</f>
        <v>0.701149425287356</v>
      </c>
      <c r="AY81" s="3" t="n">
        <f aca="false">SUM(AY72,AY79:AY80)</f>
        <v>1789.76069795658</v>
      </c>
    </row>
    <row r="82" customFormat="false" ht="12.8" hidden="false" customHeight="false" outlineLevel="0" collapsed="false">
      <c r="A82" s="3" t="s">
        <v>376</v>
      </c>
      <c r="B82" s="0" t="n">
        <v>160</v>
      </c>
      <c r="C82" s="1" t="s">
        <v>74</v>
      </c>
      <c r="D82" s="1" t="s">
        <v>74</v>
      </c>
      <c r="E82" s="1" t="s">
        <v>74</v>
      </c>
      <c r="F82" s="1" t="s">
        <v>74</v>
      </c>
      <c r="G82" s="1" t="s">
        <v>74</v>
      </c>
      <c r="H82" s="1" t="s">
        <v>74</v>
      </c>
      <c r="I82" s="17" t="s">
        <v>74</v>
      </c>
      <c r="J82" s="17" t="s">
        <v>74</v>
      </c>
      <c r="K82" s="17" t="s">
        <v>74</v>
      </c>
      <c r="L82" s="1" t="s">
        <v>74</v>
      </c>
      <c r="M82" s="1" t="s">
        <v>74</v>
      </c>
      <c r="N82" s="1" t="s">
        <v>74</v>
      </c>
      <c r="O82" s="0" t="n">
        <f aca="false">(O81*0.71875/(0.22656+0.05469))</f>
        <v>69</v>
      </c>
      <c r="P82" s="0" t="n">
        <f aca="false">O82/120</f>
        <v>0.575</v>
      </c>
      <c r="Q82" s="3" t="n">
        <f aca="false">P82*B82</f>
        <v>92</v>
      </c>
      <c r="R82" s="0" t="n">
        <f aca="false">(R81*0.71875/(0.22656+0.05469))</f>
        <v>69</v>
      </c>
      <c r="S82" s="0" t="n">
        <f aca="false">R82/120</f>
        <v>0.575</v>
      </c>
      <c r="T82" s="3" t="n">
        <f aca="false">S82*B82</f>
        <v>92</v>
      </c>
      <c r="U82" s="0" t="n">
        <f aca="false">(U81*0.71875/(0.22656+0.05469))</f>
        <v>120.111111111111</v>
      </c>
      <c r="V82" s="0" t="n">
        <f aca="false">U82/120</f>
        <v>1.00092592592593</v>
      </c>
      <c r="W82" s="3" t="n">
        <f aca="false">V82*B82</f>
        <v>160.148148148148</v>
      </c>
      <c r="X82" s="11" t="n">
        <f aca="false">(X81*0.71875/(0.22656+0.05469))</f>
        <v>71.5555555555556</v>
      </c>
      <c r="Y82" s="11" t="n">
        <f aca="false">X82/120</f>
        <v>0.596296296296296</v>
      </c>
      <c r="Z82" s="16" t="n">
        <f aca="false">Y82*B82</f>
        <v>95.4074074074074</v>
      </c>
      <c r="AA82" s="0" t="n">
        <f aca="false">(AA81*0.71875/(0.22656+0.05469))</f>
        <v>120.111111111111</v>
      </c>
      <c r="AB82" s="1" t="n">
        <f aca="false">AA82/120</f>
        <v>1.00092592592593</v>
      </c>
      <c r="AC82" s="3" t="n">
        <f aca="false">AB82*B82</f>
        <v>160.148148148148</v>
      </c>
      <c r="AD82" s="11" t="n">
        <f aca="false">(AD81*0.71875/(0.22656+0.05469))</f>
        <v>71.5555555555556</v>
      </c>
      <c r="AE82" s="17" t="n">
        <f aca="false">AD82/120</f>
        <v>0.596296296296296</v>
      </c>
      <c r="AF82" s="16" t="n">
        <f aca="false">AE82*B82</f>
        <v>95.4074074074074</v>
      </c>
      <c r="AG82" s="3"/>
      <c r="AH82" s="0" t="n">
        <f aca="false">(AH81*0.71875/(0.22656+0.05469))-4</f>
        <v>427.888888888889</v>
      </c>
      <c r="AI82" s="0" t="n">
        <f aca="false">AH82/175</f>
        <v>2.44507936507937</v>
      </c>
      <c r="AJ82" s="3" t="n">
        <f aca="false">AI82*B82</f>
        <v>391.212698412698</v>
      </c>
      <c r="AK82" s="1" t="s">
        <v>74</v>
      </c>
      <c r="AL82" s="1" t="s">
        <v>74</v>
      </c>
      <c r="AM82" s="1" t="s">
        <v>74</v>
      </c>
      <c r="AQ82" s="1" t="s">
        <v>74</v>
      </c>
      <c r="AR82" s="1" t="s">
        <v>74</v>
      </c>
      <c r="AS82" s="1" t="s">
        <v>74</v>
      </c>
      <c r="AT82" s="1" t="s">
        <v>74</v>
      </c>
      <c r="AU82" s="1" t="s">
        <v>74</v>
      </c>
      <c r="AV82" s="1" t="s">
        <v>74</v>
      </c>
      <c r="AW82" s="1" t="s">
        <v>74</v>
      </c>
      <c r="AX82" s="1" t="s">
        <v>74</v>
      </c>
      <c r="AY82" s="1" t="s">
        <v>74</v>
      </c>
    </row>
    <row r="83" customFormat="false" ht="12.8" hidden="false" customHeight="false" outlineLevel="0" collapsed="false">
      <c r="A83" s="0" t="s">
        <v>245</v>
      </c>
      <c r="B83" s="0" t="n">
        <v>2513.39</v>
      </c>
      <c r="C83" s="0" t="n">
        <v>29</v>
      </c>
      <c r="D83" s="0" t="n">
        <f aca="false">C83/120</f>
        <v>0.241666666666667</v>
      </c>
      <c r="E83" s="0" t="n">
        <f aca="false">D83*B83</f>
        <v>607.402583333333</v>
      </c>
      <c r="F83" s="0" t="n">
        <v>8</v>
      </c>
      <c r="G83" s="0" t="n">
        <f aca="false">F83/120</f>
        <v>0.0666666666666667</v>
      </c>
      <c r="H83" s="0" t="n">
        <f aca="false">G83*B83</f>
        <v>167.559333333333</v>
      </c>
      <c r="I83" s="11" t="n">
        <v>10</v>
      </c>
      <c r="J83" s="11" t="n">
        <f aca="false">I83/120</f>
        <v>0.0833333333333333</v>
      </c>
      <c r="K83" s="11" t="n">
        <f aca="false">J83*B83</f>
        <v>209.449166666667</v>
      </c>
      <c r="L83" s="0" t="n">
        <v>5</v>
      </c>
      <c r="M83" s="0" t="n">
        <f aca="false">L83/120</f>
        <v>0.0416666666666667</v>
      </c>
      <c r="N83" s="0" t="n">
        <f aca="false">M83*B83</f>
        <v>104.724583333333</v>
      </c>
      <c r="O83" s="0" t="n">
        <v>5</v>
      </c>
      <c r="P83" s="0" t="n">
        <f aca="false">O83/120</f>
        <v>0.0416666666666667</v>
      </c>
      <c r="Q83" s="0" t="n">
        <f aca="false">P83*B83</f>
        <v>104.724583333333</v>
      </c>
      <c r="R83" s="0" t="n">
        <v>5</v>
      </c>
      <c r="S83" s="0" t="n">
        <f aca="false">R83/120</f>
        <v>0.0416666666666667</v>
      </c>
      <c r="T83" s="0" t="n">
        <f aca="false">S83*B83</f>
        <v>104.724583333333</v>
      </c>
      <c r="U83" s="0" t="n">
        <v>8</v>
      </c>
      <c r="V83" s="0" t="n">
        <f aca="false">U83/120</f>
        <v>0.0666666666666667</v>
      </c>
      <c r="W83" s="0" t="n">
        <f aca="false">V83*B83</f>
        <v>167.559333333333</v>
      </c>
      <c r="X83" s="11" t="n">
        <v>10</v>
      </c>
      <c r="Y83" s="11" t="n">
        <f aca="false">X83/120</f>
        <v>0.0833333333333333</v>
      </c>
      <c r="Z83" s="11" t="n">
        <f aca="false">Y83*B83</f>
        <v>209.449166666667</v>
      </c>
      <c r="AA83" s="0" t="n">
        <v>8</v>
      </c>
      <c r="AB83" s="1" t="n">
        <f aca="false">AA83/120</f>
        <v>0.0666666666666667</v>
      </c>
      <c r="AC83" s="0" t="n">
        <f aca="false">AB83*B83</f>
        <v>167.559333333333</v>
      </c>
      <c r="AD83" s="11" t="n">
        <v>10</v>
      </c>
      <c r="AE83" s="17" t="n">
        <f aca="false">AD83/120</f>
        <v>0.0833333333333333</v>
      </c>
      <c r="AF83" s="11" t="n">
        <f aca="false">AE83*B83</f>
        <v>209.449166666667</v>
      </c>
      <c r="AH83" s="0" t="n">
        <v>51</v>
      </c>
      <c r="AI83" s="0" t="n">
        <f aca="false">AH83/175</f>
        <v>0.291428571428571</v>
      </c>
      <c r="AJ83" s="0" t="n">
        <f aca="false">AI83*B83</f>
        <v>732.473657142857</v>
      </c>
      <c r="AK83" s="0" t="n">
        <v>51</v>
      </c>
      <c r="AL83" s="0" t="n">
        <f aca="false">AK83/175</f>
        <v>0.291428571428571</v>
      </c>
      <c r="AM83" s="0" t="n">
        <f aca="false">AL83*B83</f>
        <v>732.473657142857</v>
      </c>
      <c r="AN83" s="0" t="n">
        <v>9</v>
      </c>
      <c r="AO83" s="0" t="n">
        <f aca="false">AN83/175</f>
        <v>0.0514285714285714</v>
      </c>
      <c r="AP83" s="0" t="n">
        <f aca="false">AO83*B83</f>
        <v>129.260057142857</v>
      </c>
      <c r="AQ83" s="0" t="n">
        <v>13</v>
      </c>
      <c r="AR83" s="0" t="n">
        <f aca="false">AQ83/120</f>
        <v>0.108333333333333</v>
      </c>
      <c r="AS83" s="0" t="n">
        <f aca="false">AR83*AM83</f>
        <v>79.3513128571429</v>
      </c>
      <c r="AT83" s="0" t="n">
        <v>25</v>
      </c>
      <c r="AU83" s="0" t="n">
        <f aca="false">AT83/174</f>
        <v>0.14367816091954</v>
      </c>
      <c r="AV83" s="0" t="n">
        <f aca="false">AU83*B83</f>
        <v>361.119252873563</v>
      </c>
      <c r="AW83" s="0" t="n">
        <v>25</v>
      </c>
      <c r="AX83" s="0" t="n">
        <f aca="false">AW83/174</f>
        <v>0.14367816091954</v>
      </c>
      <c r="AY83" s="0" t="n">
        <f aca="false">AX83*B83</f>
        <v>361.119252873563</v>
      </c>
    </row>
    <row r="84" customFormat="false" ht="12.8" hidden="false" customHeight="false" outlineLevel="0" collapsed="false">
      <c r="A84" s="0" t="s">
        <v>377</v>
      </c>
      <c r="B84" s="0" t="n">
        <v>335</v>
      </c>
      <c r="C84" s="0" t="n">
        <v>4</v>
      </c>
      <c r="D84" s="0" t="n">
        <f aca="false">C84/120</f>
        <v>0.0333333333333333</v>
      </c>
      <c r="E84" s="0" t="n">
        <f aca="false">D84*B84</f>
        <v>11.1666666666667</v>
      </c>
      <c r="F84" s="0" t="n">
        <v>1</v>
      </c>
      <c r="G84" s="0" t="n">
        <f aca="false">F84/120</f>
        <v>0.00833333333333333</v>
      </c>
      <c r="H84" s="0" t="n">
        <f aca="false">G84*B84</f>
        <v>2.79166666666667</v>
      </c>
      <c r="I84" s="11" t="n">
        <v>2</v>
      </c>
      <c r="J84" s="11" t="n">
        <f aca="false">I84/120</f>
        <v>0.0166666666666667</v>
      </c>
      <c r="K84" s="11" t="n">
        <f aca="false">J84*B84</f>
        <v>5.58333333333333</v>
      </c>
      <c r="L84" s="0" t="n">
        <v>2</v>
      </c>
      <c r="M84" s="0" t="n">
        <f aca="false">L84/120</f>
        <v>0.0166666666666667</v>
      </c>
      <c r="N84" s="0" t="n">
        <f aca="false">M84*B84</f>
        <v>5.58333333333333</v>
      </c>
      <c r="O84" s="0" t="n">
        <f aca="false">P84*120</f>
        <v>7.38898009950249</v>
      </c>
      <c r="P84" s="0" t="n">
        <f aca="false">Q84/B84</f>
        <v>0.0615748341625207</v>
      </c>
      <c r="Q84" s="0" t="n">
        <f aca="false">Q83*0.1625/0.825</f>
        <v>20.6275694444444</v>
      </c>
      <c r="R84" s="0" t="n">
        <f aca="false">S84*120</f>
        <v>7.38898009950249</v>
      </c>
      <c r="S84" s="0" t="n">
        <f aca="false">T84/B84</f>
        <v>0.0615748341625207</v>
      </c>
      <c r="T84" s="0" t="n">
        <f aca="false">T83*0.1625/0.825</f>
        <v>20.6275694444444</v>
      </c>
      <c r="U84" s="0" t="n">
        <f aca="false">V84*120</f>
        <v>11.822368159204</v>
      </c>
      <c r="V84" s="0" t="n">
        <f aca="false">W84/B84</f>
        <v>0.0985197346600332</v>
      </c>
      <c r="W84" s="0" t="n">
        <f aca="false">W83*0.1625/0.825</f>
        <v>33.0041111111111</v>
      </c>
      <c r="X84" s="11" t="n">
        <f aca="false">Y84*120</f>
        <v>14.777960199005</v>
      </c>
      <c r="Y84" s="11" t="n">
        <f aca="false">Z84/B84</f>
        <v>0.123149668325041</v>
      </c>
      <c r="Z84" s="11" t="n">
        <f aca="false">Z83*0.1625/0.825</f>
        <v>41.2551388888889</v>
      </c>
      <c r="AA84" s="0" t="n">
        <f aca="false">AB84*120</f>
        <v>11.822368159204</v>
      </c>
      <c r="AB84" s="0" t="n">
        <f aca="false">AC84/B84</f>
        <v>0.0985197346600332</v>
      </c>
      <c r="AC84" s="0" t="n">
        <f aca="false">AC83*0.1625/0.825</f>
        <v>33.0041111111111</v>
      </c>
      <c r="AD84" s="11" t="n">
        <f aca="false">AE84*120</f>
        <v>14.777960199005</v>
      </c>
      <c r="AE84" s="11" t="n">
        <f aca="false">AF84/B84</f>
        <v>0.123149668325041</v>
      </c>
      <c r="AF84" s="11" t="n">
        <f aca="false">AF83*0.1625/0.825</f>
        <v>41.2551388888889</v>
      </c>
      <c r="AH84" s="0" t="n">
        <f aca="false">AI84*175</f>
        <v>75.3675970149254</v>
      </c>
      <c r="AI84" s="0" t="n">
        <f aca="false">AJ84/B84</f>
        <v>0.430671982942431</v>
      </c>
      <c r="AJ84" s="0" t="n">
        <f aca="false">AJ83*0.1625/0.825</f>
        <v>144.275114285714</v>
      </c>
      <c r="AK84" s="0" t="n">
        <v>7</v>
      </c>
      <c r="AL84" s="0" t="n">
        <f aca="false">AK84/175</f>
        <v>0.04</v>
      </c>
      <c r="AM84" s="0" t="n">
        <f aca="false">AL84*B84</f>
        <v>13.4</v>
      </c>
      <c r="AN84" s="0" t="n">
        <v>1</v>
      </c>
      <c r="AO84" s="0" t="n">
        <f aca="false">AN84/175</f>
        <v>0.00571428571428571</v>
      </c>
      <c r="AP84" s="0" t="n">
        <f aca="false">AO84*B84</f>
        <v>1.91428571428571</v>
      </c>
      <c r="AQ84" s="0" t="n">
        <v>0</v>
      </c>
      <c r="AR84" s="0" t="n">
        <f aca="false">AQ84/120</f>
        <v>0</v>
      </c>
      <c r="AS84" s="0" t="n">
        <f aca="false">AR84*AM84</f>
        <v>0</v>
      </c>
      <c r="AT84" s="0" t="n">
        <v>8</v>
      </c>
      <c r="AU84" s="0" t="n">
        <f aca="false">AT84/174</f>
        <v>0.0459770114942529</v>
      </c>
      <c r="AV84" s="0" t="n">
        <f aca="false">AU84*B84</f>
        <v>15.4022988505747</v>
      </c>
      <c r="AW84" s="0" t="n">
        <v>8</v>
      </c>
      <c r="AX84" s="0" t="n">
        <f aca="false">AW84/174</f>
        <v>0.0459770114942529</v>
      </c>
      <c r="AY84" s="0" t="n">
        <f aca="false">AX84*B84</f>
        <v>15.4022988505747</v>
      </c>
    </row>
    <row r="85" customFormat="false" ht="12.8" hidden="false" customHeight="false" outlineLevel="0" collapsed="false">
      <c r="A85" s="0" t="s">
        <v>378</v>
      </c>
      <c r="B85" s="0" t="n">
        <v>34.79</v>
      </c>
      <c r="C85" s="1" t="s">
        <v>74</v>
      </c>
      <c r="D85" s="0" t="s">
        <v>74</v>
      </c>
      <c r="E85" s="1" t="s">
        <v>74</v>
      </c>
      <c r="F85" s="1" t="s">
        <v>74</v>
      </c>
      <c r="G85" s="1" t="s">
        <v>74</v>
      </c>
      <c r="H85" s="1" t="s">
        <v>74</v>
      </c>
      <c r="I85" s="17" t="s">
        <v>74</v>
      </c>
      <c r="J85" s="17" t="s">
        <v>74</v>
      </c>
      <c r="K85" s="17" t="s">
        <v>74</v>
      </c>
      <c r="L85" s="1" t="s">
        <v>74</v>
      </c>
      <c r="M85" s="1" t="s">
        <v>74</v>
      </c>
      <c r="N85" s="1" t="s">
        <v>74</v>
      </c>
      <c r="O85" s="0" t="n">
        <f aca="false">P85*120</f>
        <v>5.47307655456549</v>
      </c>
      <c r="P85" s="0" t="n">
        <f aca="false">Q85/B85</f>
        <v>0.0456089712880457</v>
      </c>
      <c r="Q85" s="0" t="n">
        <f aca="false">Q83*0.0125/0.825</f>
        <v>1.58673611111111</v>
      </c>
      <c r="R85" s="0" t="n">
        <f aca="false">S85*120</f>
        <v>5.47307655456549</v>
      </c>
      <c r="S85" s="0" t="n">
        <f aca="false">T85/B85</f>
        <v>0.0456089712880457</v>
      </c>
      <c r="T85" s="0" t="n">
        <f aca="false">T83*0.0125/0.825</f>
        <v>1.58673611111111</v>
      </c>
      <c r="U85" s="0" t="n">
        <f aca="false">V85*120</f>
        <v>8.75692248730478</v>
      </c>
      <c r="V85" s="0" t="n">
        <f aca="false">W85/B85</f>
        <v>0.0729743540608732</v>
      </c>
      <c r="W85" s="0" t="n">
        <f aca="false">W83*0.0125/0.825</f>
        <v>2.53877777777778</v>
      </c>
      <c r="X85" s="11" t="n">
        <f aca="false">Y85*120</f>
        <v>10.946153109131</v>
      </c>
      <c r="Y85" s="11" t="n">
        <f aca="false">Z85/B85</f>
        <v>0.0912179425760915</v>
      </c>
      <c r="Z85" s="11" t="n">
        <f aca="false">Z83*0.0125/0.825</f>
        <v>3.17347222222222</v>
      </c>
      <c r="AA85" s="0" t="n">
        <f aca="false">AB85*120</f>
        <v>8.75692248730478</v>
      </c>
      <c r="AB85" s="0" t="n">
        <f aca="false">AC85/B85</f>
        <v>0.0729743540608732</v>
      </c>
      <c r="AC85" s="0" t="n">
        <f aca="false">AC83*0.0125/0.825</f>
        <v>2.53877777777778</v>
      </c>
      <c r="AD85" s="11" t="n">
        <f aca="false">AE85*120</f>
        <v>10.946153109131</v>
      </c>
      <c r="AE85" s="11" t="n">
        <f aca="false">AF85/B85</f>
        <v>0.0912179425760915</v>
      </c>
      <c r="AF85" s="11" t="n">
        <f aca="false">AF83*0.0125/0.825</f>
        <v>3.17347222222222</v>
      </c>
      <c r="AH85" s="0" t="n">
        <f aca="false">AI85*175</f>
        <v>55.825380856568</v>
      </c>
      <c r="AI85" s="0" t="n">
        <f aca="false">AJ85/B85</f>
        <v>0.319002176323246</v>
      </c>
      <c r="AJ85" s="0" t="n">
        <f aca="false">AJ83*0.0125/0.825</f>
        <v>11.0980857142857</v>
      </c>
      <c r="AK85" s="1" t="s">
        <v>74</v>
      </c>
      <c r="AL85" s="1" t="s">
        <v>74</v>
      </c>
      <c r="AM85" s="1" t="s">
        <v>74</v>
      </c>
      <c r="AQ85" s="1" t="s">
        <v>74</v>
      </c>
      <c r="AR85" s="1" t="s">
        <v>74</v>
      </c>
      <c r="AS85" s="1" t="s">
        <v>74</v>
      </c>
      <c r="AT85" s="1" t="s">
        <v>74</v>
      </c>
      <c r="AU85" s="1" t="s">
        <v>74</v>
      </c>
      <c r="AV85" s="1" t="s">
        <v>74</v>
      </c>
      <c r="AW85" s="1" t="s">
        <v>74</v>
      </c>
      <c r="AX85" s="1" t="s">
        <v>74</v>
      </c>
      <c r="AY85" s="1" t="s">
        <v>74</v>
      </c>
    </row>
    <row r="86" customFormat="false" ht="12.8" hidden="false" customHeight="false" outlineLevel="0" collapsed="false">
      <c r="A86" s="0" t="s">
        <v>269</v>
      </c>
      <c r="B86" s="0" t="n">
        <v>2744.971</v>
      </c>
      <c r="C86" s="1" t="n">
        <v>6</v>
      </c>
      <c r="D86" s="0" t="n">
        <f aca="false">C86/120</f>
        <v>0.05</v>
      </c>
      <c r="E86" s="0" t="n">
        <f aca="false">D86*B86</f>
        <v>137.24855</v>
      </c>
      <c r="F86" s="0" t="n">
        <v>0</v>
      </c>
      <c r="G86" s="0" t="n">
        <f aca="false">F86/120</f>
        <v>0</v>
      </c>
      <c r="H86" s="0" t="n">
        <v>0</v>
      </c>
      <c r="I86" s="11" t="n">
        <v>2</v>
      </c>
      <c r="J86" s="11" t="n">
        <f aca="false">I86/120</f>
        <v>0.0166666666666667</v>
      </c>
      <c r="K86" s="11" t="n">
        <f aca="false">J86*B86</f>
        <v>45.7495166666667</v>
      </c>
      <c r="L86" s="0" t="n">
        <v>0</v>
      </c>
      <c r="M86" s="0" t="n">
        <f aca="false">L86/120</f>
        <v>0</v>
      </c>
      <c r="N86" s="0" t="n">
        <f aca="false">M86*B86</f>
        <v>0</v>
      </c>
      <c r="O86" s="0" t="n">
        <v>0</v>
      </c>
      <c r="P86" s="0" t="n">
        <f aca="false">O86/120</f>
        <v>0</v>
      </c>
      <c r="Q86" s="0" t="n">
        <v>0</v>
      </c>
      <c r="R86" s="0" t="n">
        <v>0</v>
      </c>
      <c r="S86" s="0" t="n">
        <f aca="false">R86/120</f>
        <v>0</v>
      </c>
      <c r="T86" s="0" t="n">
        <v>0</v>
      </c>
      <c r="U86" s="0" t="n">
        <v>0</v>
      </c>
      <c r="V86" s="0" t="n">
        <v>0</v>
      </c>
      <c r="W86" s="0" t="n">
        <f aca="false">V86*B86</f>
        <v>0</v>
      </c>
      <c r="X86" s="11" t="n">
        <v>2</v>
      </c>
      <c r="Y86" s="11" t="n">
        <f aca="false">X86/120</f>
        <v>0.0166666666666667</v>
      </c>
      <c r="Z86" s="11" t="n">
        <f aca="false">Y86*B86</f>
        <v>45.7495166666667</v>
      </c>
      <c r="AA86" s="0" t="n">
        <v>0</v>
      </c>
      <c r="AB86" s="0" t="n">
        <f aca="false">AA86/120</f>
        <v>0</v>
      </c>
      <c r="AC86" s="0" t="n">
        <f aca="false">AB86*B86</f>
        <v>0</v>
      </c>
      <c r="AD86" s="11" t="n">
        <v>2</v>
      </c>
      <c r="AE86" s="11" t="n">
        <f aca="false">AD86/120</f>
        <v>0.0166666666666667</v>
      </c>
      <c r="AF86" s="11" t="n">
        <f aca="false">AE86*B86</f>
        <v>45.7495166666667</v>
      </c>
      <c r="AH86" s="0" t="n">
        <v>9</v>
      </c>
      <c r="AI86" s="0" t="n">
        <f aca="false">AH86/175</f>
        <v>0.0514285714285714</v>
      </c>
      <c r="AJ86" s="0" t="n">
        <f aca="false">AI86*B86</f>
        <v>141.169937142857</v>
      </c>
      <c r="AK86" s="0" t="n">
        <v>9</v>
      </c>
      <c r="AL86" s="0" t="n">
        <f aca="false">AK86/175</f>
        <v>0.0514285714285714</v>
      </c>
      <c r="AM86" s="0" t="n">
        <f aca="false">AL86*B86</f>
        <v>141.169937142857</v>
      </c>
      <c r="AN86" s="0" t="n">
        <v>1</v>
      </c>
      <c r="AO86" s="0" t="n">
        <f aca="false">AN86/175</f>
        <v>0.00571428571428571</v>
      </c>
      <c r="AP86" s="0" t="n">
        <f aca="false">AO86*B86</f>
        <v>15.6855485714286</v>
      </c>
      <c r="AQ86" s="0" t="n">
        <v>1</v>
      </c>
      <c r="AR86" s="0" t="n">
        <f aca="false">AQ86/120</f>
        <v>0.00833333333333333</v>
      </c>
      <c r="AS86" s="0" t="n">
        <f aca="false">AR86*AM86</f>
        <v>1.17641614285714</v>
      </c>
      <c r="AT86" s="1" t="n">
        <v>6</v>
      </c>
      <c r="AU86" s="0" t="n">
        <f aca="false">AT86/174</f>
        <v>0.0344827586206897</v>
      </c>
      <c r="AV86" s="0" t="n">
        <f aca="false">AU86*B86</f>
        <v>94.6541724137931</v>
      </c>
      <c r="AW86" s="1" t="n">
        <v>6</v>
      </c>
      <c r="AX86" s="0" t="n">
        <f aca="false">AW86/174</f>
        <v>0.0344827586206897</v>
      </c>
      <c r="AY86" s="0" t="n">
        <f aca="false">AX86*B86</f>
        <v>94.6541724137931</v>
      </c>
    </row>
    <row r="87" customFormat="false" ht="12.8" hidden="false" customHeight="false" outlineLevel="0" collapsed="false">
      <c r="A87" s="0" t="s">
        <v>379</v>
      </c>
      <c r="B87" s="0" t="n">
        <v>423.33</v>
      </c>
      <c r="C87" s="1" t="s">
        <v>74</v>
      </c>
      <c r="D87" s="0" t="s">
        <v>74</v>
      </c>
      <c r="E87" s="1" t="s">
        <v>74</v>
      </c>
      <c r="F87" s="1" t="s">
        <v>74</v>
      </c>
      <c r="G87" s="1" t="s">
        <v>74</v>
      </c>
      <c r="H87" s="1" t="s">
        <v>74</v>
      </c>
      <c r="I87" s="17" t="s">
        <v>74</v>
      </c>
      <c r="J87" s="17" t="s">
        <v>74</v>
      </c>
      <c r="K87" s="17" t="s">
        <v>74</v>
      </c>
      <c r="L87" s="1" t="s">
        <v>74</v>
      </c>
      <c r="M87" s="1" t="s">
        <v>74</v>
      </c>
      <c r="N87" s="1" t="s">
        <v>74</v>
      </c>
      <c r="O87" s="1" t="s">
        <v>74</v>
      </c>
      <c r="P87" s="1" t="s">
        <v>74</v>
      </c>
      <c r="Q87" s="1" t="s">
        <v>74</v>
      </c>
      <c r="R87" s="1" t="s">
        <v>74</v>
      </c>
      <c r="S87" s="1" t="s">
        <v>74</v>
      </c>
      <c r="T87" s="1" t="s">
        <v>74</v>
      </c>
      <c r="U87" s="0" t="n">
        <v>0</v>
      </c>
      <c r="V87" s="0" t="n">
        <v>0</v>
      </c>
      <c r="W87" s="0" t="n">
        <f aca="false">V87*B87</f>
        <v>0</v>
      </c>
      <c r="X87" s="11" t="n">
        <f aca="false">Y87*120</f>
        <v>1.89014123704567</v>
      </c>
      <c r="Y87" s="11" t="n">
        <f aca="false">Z87/B87</f>
        <v>0.0157511769753806</v>
      </c>
      <c r="Z87" s="11" t="n">
        <f aca="false">Z86*0.126/0.8645</f>
        <v>6.66794574898785</v>
      </c>
      <c r="AA87" s="0" t="n">
        <f aca="false">AB87*120</f>
        <v>0</v>
      </c>
      <c r="AB87" s="0" t="n">
        <f aca="false">AC87/B87</f>
        <v>0</v>
      </c>
      <c r="AC87" s="0" t="n">
        <f aca="false">AC86*0.126/0.8645</f>
        <v>0</v>
      </c>
      <c r="AD87" s="11" t="n">
        <f aca="false">AE87*120</f>
        <v>1.89014123704567</v>
      </c>
      <c r="AE87" s="11" t="n">
        <f aca="false">AF87/B87</f>
        <v>0.0157511769753806</v>
      </c>
      <c r="AF87" s="11" t="n">
        <f aca="false">AF86*0.126/0.8645</f>
        <v>6.66794574898785</v>
      </c>
      <c r="AH87" s="0" t="n">
        <f aca="false">AI87*175</f>
        <v>8.50563556670551</v>
      </c>
      <c r="AI87" s="0" t="n">
        <f aca="false">AJ87/B87</f>
        <v>0.0486036318097458</v>
      </c>
      <c r="AJ87" s="0" t="n">
        <f aca="false">AJ86*0.126/0.8645</f>
        <v>20.5753754540197</v>
      </c>
      <c r="AK87" s="1" t="s">
        <v>74</v>
      </c>
      <c r="AL87" s="1" t="s">
        <v>74</v>
      </c>
      <c r="AM87" s="1" t="s">
        <v>74</v>
      </c>
      <c r="AQ87" s="1" t="s">
        <v>74</v>
      </c>
      <c r="AR87" s="1" t="s">
        <v>74</v>
      </c>
      <c r="AS87" s="1" t="s">
        <v>74</v>
      </c>
      <c r="AT87" s="1" t="s">
        <v>74</v>
      </c>
      <c r="AU87" s="1" t="s">
        <v>74</v>
      </c>
      <c r="AV87" s="1" t="s">
        <v>74</v>
      </c>
      <c r="AW87" s="1" t="s">
        <v>74</v>
      </c>
      <c r="AX87" s="1" t="s">
        <v>74</v>
      </c>
      <c r="AY87" s="1" t="s">
        <v>74</v>
      </c>
    </row>
    <row r="88" customFormat="false" ht="12.8" hidden="false" customHeight="false" outlineLevel="0" collapsed="false">
      <c r="A88" s="0" t="s">
        <v>380</v>
      </c>
      <c r="B88" s="0" t="n">
        <v>30.13</v>
      </c>
      <c r="C88" s="1" t="s">
        <v>74</v>
      </c>
      <c r="D88" s="0" t="s">
        <v>74</v>
      </c>
      <c r="E88" s="1" t="s">
        <v>74</v>
      </c>
      <c r="F88" s="1" t="s">
        <v>74</v>
      </c>
      <c r="G88" s="1" t="s">
        <v>74</v>
      </c>
      <c r="H88" s="1" t="s">
        <v>74</v>
      </c>
      <c r="I88" s="17" t="s">
        <v>74</v>
      </c>
      <c r="J88" s="17" t="s">
        <v>74</v>
      </c>
      <c r="K88" s="17" t="s">
        <v>74</v>
      </c>
      <c r="L88" s="1" t="s">
        <v>74</v>
      </c>
      <c r="M88" s="1" t="s">
        <v>74</v>
      </c>
      <c r="N88" s="1" t="s">
        <v>74</v>
      </c>
      <c r="O88" s="1" t="s">
        <v>74</v>
      </c>
      <c r="P88" s="1" t="s">
        <v>74</v>
      </c>
      <c r="Q88" s="1" t="s">
        <v>74</v>
      </c>
      <c r="R88" s="1" t="s">
        <v>74</v>
      </c>
      <c r="S88" s="1" t="s">
        <v>74</v>
      </c>
      <c r="T88" s="1" t="s">
        <v>74</v>
      </c>
      <c r="U88" s="0" t="n">
        <v>0</v>
      </c>
      <c r="V88" s="0" t="n">
        <v>0</v>
      </c>
      <c r="W88" s="0" t="n">
        <f aca="false">V88*B88</f>
        <v>0</v>
      </c>
      <c r="X88" s="11" t="n">
        <f aca="false">Y88*120</f>
        <v>2.00229117049562</v>
      </c>
      <c r="Y88" s="11" t="n">
        <f aca="false">Z88/B88</f>
        <v>0.0166857597541302</v>
      </c>
      <c r="Z88" s="11" t="n">
        <f aca="false">Z86*0.0095/0.8645</f>
        <v>0.502741941391941</v>
      </c>
      <c r="AA88" s="0" t="n">
        <f aca="false">AB88*120</f>
        <v>0</v>
      </c>
      <c r="AB88" s="0" t="n">
        <f aca="false">AC88/B88</f>
        <v>0</v>
      </c>
      <c r="AC88" s="0" t="n">
        <f aca="false">AC86*0.0095/0.8645</f>
        <v>0</v>
      </c>
      <c r="AD88" s="11" t="n">
        <f aca="false">AE88*120</f>
        <v>2.00229117049562</v>
      </c>
      <c r="AE88" s="11" t="n">
        <f aca="false">AF88/B88</f>
        <v>0.0166857597541302</v>
      </c>
      <c r="AF88" s="11" t="n">
        <f aca="false">AF86*0.0095/0.8645</f>
        <v>0.502741941391941</v>
      </c>
      <c r="AH88" s="0" t="n">
        <f aca="false">AI88*175</f>
        <v>9.01031026723028</v>
      </c>
      <c r="AI88" s="0" t="n">
        <f aca="false">AJ88/B88</f>
        <v>0.0514874872413159</v>
      </c>
      <c r="AJ88" s="0" t="n">
        <f aca="false">AJ86*0.0095/0.8645</f>
        <v>1.55131799058085</v>
      </c>
      <c r="AK88" s="1" t="s">
        <v>74</v>
      </c>
      <c r="AL88" s="1" t="s">
        <v>74</v>
      </c>
      <c r="AM88" s="1" t="s">
        <v>74</v>
      </c>
      <c r="AQ88" s="1" t="s">
        <v>74</v>
      </c>
      <c r="AR88" s="1" t="s">
        <v>74</v>
      </c>
      <c r="AS88" s="1" t="s">
        <v>74</v>
      </c>
      <c r="AT88" s="1" t="s">
        <v>74</v>
      </c>
      <c r="AU88" s="1" t="s">
        <v>74</v>
      </c>
      <c r="AV88" s="1" t="s">
        <v>74</v>
      </c>
      <c r="AW88" s="1" t="s">
        <v>74</v>
      </c>
      <c r="AX88" s="1" t="s">
        <v>74</v>
      </c>
      <c r="AY88" s="1" t="s">
        <v>74</v>
      </c>
    </row>
    <row r="89" customFormat="false" ht="12.8" hidden="false" customHeight="false" outlineLevel="0" collapsed="false">
      <c r="A89" s="0" t="s">
        <v>276</v>
      </c>
      <c r="B89" s="0" t="n">
        <v>2989.271</v>
      </c>
      <c r="C89" s="1" t="n">
        <v>1</v>
      </c>
      <c r="D89" s="0" t="n">
        <f aca="false">C89/120</f>
        <v>0.00833333333333333</v>
      </c>
      <c r="E89" s="0" t="n">
        <f aca="false">D89*B89</f>
        <v>24.9105916666667</v>
      </c>
      <c r="F89" s="0" t="n">
        <v>0</v>
      </c>
      <c r="G89" s="0" t="n">
        <f aca="false">F89/120</f>
        <v>0</v>
      </c>
      <c r="H89" s="0" t="n">
        <v>0</v>
      </c>
      <c r="I89" s="11" t="n">
        <v>0</v>
      </c>
      <c r="J89" s="11" t="n">
        <f aca="false">I89/120</f>
        <v>0</v>
      </c>
      <c r="K89" s="11" t="n">
        <v>0</v>
      </c>
      <c r="L89" s="0" t="n">
        <v>0</v>
      </c>
      <c r="M89" s="0" t="n">
        <f aca="false">L89/120</f>
        <v>0</v>
      </c>
      <c r="N89" s="0" t="n">
        <f aca="false">M89*B89</f>
        <v>0</v>
      </c>
      <c r="O89" s="0" t="n">
        <v>0</v>
      </c>
      <c r="P89" s="0" t="n">
        <f aca="false">O89/120</f>
        <v>0</v>
      </c>
      <c r="Q89" s="0" t="n">
        <v>0</v>
      </c>
      <c r="R89" s="0" t="n">
        <v>0</v>
      </c>
      <c r="S89" s="0" t="n">
        <f aca="false">R89/120</f>
        <v>0</v>
      </c>
      <c r="T89" s="0" t="n">
        <v>0</v>
      </c>
      <c r="U89" s="0" t="s">
        <v>74</v>
      </c>
      <c r="V89" s="0" t="s">
        <v>74</v>
      </c>
      <c r="W89" s="0" t="s">
        <v>74</v>
      </c>
      <c r="X89" s="11" t="s">
        <v>74</v>
      </c>
      <c r="Y89" s="11" t="s">
        <v>74</v>
      </c>
      <c r="Z89" s="11" t="s">
        <v>74</v>
      </c>
      <c r="AA89" s="0" t="s">
        <v>74</v>
      </c>
      <c r="AB89" s="0" t="s">
        <v>74</v>
      </c>
      <c r="AC89" s="0" t="s">
        <v>74</v>
      </c>
      <c r="AD89" s="11" t="s">
        <v>74</v>
      </c>
      <c r="AE89" s="11" t="s">
        <v>74</v>
      </c>
      <c r="AF89" s="11" t="s">
        <v>74</v>
      </c>
      <c r="AH89" s="0" t="n">
        <v>1</v>
      </c>
      <c r="AI89" s="0" t="n">
        <f aca="false">AH89/175</f>
        <v>0.00571428571428571</v>
      </c>
      <c r="AJ89" s="0" t="n">
        <f aca="false">AI89*B89</f>
        <v>17.0815485714286</v>
      </c>
      <c r="AK89" s="0" t="n">
        <v>1</v>
      </c>
      <c r="AL89" s="0" t="n">
        <f aca="false">AK89/175</f>
        <v>0.00571428571428571</v>
      </c>
      <c r="AM89" s="0" t="n">
        <f aca="false">AL89*B89</f>
        <v>17.0815485714286</v>
      </c>
      <c r="AN89" s="0" t="n">
        <v>0</v>
      </c>
      <c r="AO89" s="0" t="n">
        <f aca="false">AN89/175</f>
        <v>0</v>
      </c>
      <c r="AP89" s="0" t="n">
        <v>0</v>
      </c>
      <c r="AQ89" s="0" t="n">
        <v>0</v>
      </c>
      <c r="AR89" s="0" t="n">
        <f aca="false">AQ89/120</f>
        <v>0</v>
      </c>
      <c r="AS89" s="0" t="n">
        <f aca="false">AR89*AM89</f>
        <v>0</v>
      </c>
      <c r="AT89" s="1" t="n">
        <v>1</v>
      </c>
      <c r="AU89" s="0" t="n">
        <f aca="false">AT89/174</f>
        <v>0.00574712643678161</v>
      </c>
      <c r="AV89" s="0" t="n">
        <f aca="false">AU89*B89</f>
        <v>17.1797183908046</v>
      </c>
      <c r="AW89" s="1" t="n">
        <v>1</v>
      </c>
      <c r="AX89" s="0" t="n">
        <f aca="false">AW89/174</f>
        <v>0.00574712643678161</v>
      </c>
      <c r="AY89" s="0" t="n">
        <f aca="false">AX89*B89</f>
        <v>17.1797183908046</v>
      </c>
    </row>
    <row r="90" customFormat="false" ht="12.8" hidden="false" customHeight="false" outlineLevel="0" collapsed="false">
      <c r="A90" s="0" t="s">
        <v>381</v>
      </c>
      <c r="B90" s="0" t="n">
        <v>461</v>
      </c>
      <c r="C90" s="1" t="s">
        <v>74</v>
      </c>
      <c r="D90" s="0" t="s">
        <v>74</v>
      </c>
      <c r="E90" s="1" t="s">
        <v>74</v>
      </c>
      <c r="F90" s="1" t="s">
        <v>74</v>
      </c>
      <c r="G90" s="1" t="s">
        <v>74</v>
      </c>
      <c r="H90" s="1" t="s">
        <v>74</v>
      </c>
      <c r="I90" s="17" t="s">
        <v>74</v>
      </c>
      <c r="J90" s="17" t="s">
        <v>74</v>
      </c>
      <c r="K90" s="17" t="s">
        <v>74</v>
      </c>
      <c r="L90" s="1" t="s">
        <v>74</v>
      </c>
      <c r="M90" s="1" t="s">
        <v>74</v>
      </c>
      <c r="N90" s="1" t="s">
        <v>74</v>
      </c>
      <c r="O90" s="1" t="s">
        <v>74</v>
      </c>
      <c r="P90" s="1" t="s">
        <v>74</v>
      </c>
      <c r="Q90" s="1" t="s">
        <v>74</v>
      </c>
      <c r="R90" s="1" t="s">
        <v>74</v>
      </c>
      <c r="S90" s="1" t="s">
        <v>74</v>
      </c>
      <c r="T90" s="1" t="s">
        <v>74</v>
      </c>
      <c r="U90" s="0" t="s">
        <v>74</v>
      </c>
      <c r="V90" s="0" t="s">
        <v>74</v>
      </c>
      <c r="W90" s="0" t="s">
        <v>74</v>
      </c>
      <c r="X90" s="11" t="s">
        <v>74</v>
      </c>
      <c r="Y90" s="11" t="s">
        <v>74</v>
      </c>
      <c r="Z90" s="11" t="s">
        <v>74</v>
      </c>
      <c r="AA90" s="0" t="s">
        <v>74</v>
      </c>
      <c r="AB90" s="0" t="s">
        <v>74</v>
      </c>
      <c r="AC90" s="0" t="s">
        <v>74</v>
      </c>
      <c r="AD90" s="11" t="s">
        <v>74</v>
      </c>
      <c r="AE90" s="11" t="s">
        <v>74</v>
      </c>
      <c r="AF90" s="11" t="s">
        <v>74</v>
      </c>
      <c r="AH90" s="0" t="n">
        <f aca="false">AI90*175</f>
        <v>0.945082912520748</v>
      </c>
      <c r="AI90" s="0" t="n">
        <f aca="false">AJ90/B90</f>
        <v>0.00540047378583285</v>
      </c>
      <c r="AJ90" s="0" t="n">
        <f aca="false">AJ89*0.126/0.8645</f>
        <v>2.48961841526894</v>
      </c>
      <c r="AK90" s="1" t="s">
        <v>74</v>
      </c>
      <c r="AL90" s="1" t="s">
        <v>74</v>
      </c>
      <c r="AM90" s="1" t="s">
        <v>74</v>
      </c>
      <c r="AQ90" s="1" t="s">
        <v>74</v>
      </c>
      <c r="AR90" s="1" t="s">
        <v>74</v>
      </c>
      <c r="AS90" s="1" t="s">
        <v>74</v>
      </c>
      <c r="AT90" s="1" t="s">
        <v>74</v>
      </c>
      <c r="AU90" s="1" t="s">
        <v>74</v>
      </c>
      <c r="AV90" s="1" t="s">
        <v>74</v>
      </c>
      <c r="AW90" s="1" t="s">
        <v>74</v>
      </c>
      <c r="AX90" s="1" t="s">
        <v>74</v>
      </c>
      <c r="AY90" s="1" t="s">
        <v>74</v>
      </c>
    </row>
    <row r="91" customFormat="false" ht="12.8" hidden="false" customHeight="false" outlineLevel="0" collapsed="false">
      <c r="A91" s="0" t="s">
        <v>382</v>
      </c>
      <c r="B91" s="0" t="n">
        <v>32.81</v>
      </c>
      <c r="C91" s="1" t="s">
        <v>74</v>
      </c>
      <c r="D91" s="0" t="s">
        <v>74</v>
      </c>
      <c r="E91" s="1" t="s">
        <v>74</v>
      </c>
      <c r="F91" s="1" t="s">
        <v>74</v>
      </c>
      <c r="G91" s="1" t="s">
        <v>74</v>
      </c>
      <c r="H91" s="1" t="s">
        <v>74</v>
      </c>
      <c r="I91" s="17" t="s">
        <v>74</v>
      </c>
      <c r="J91" s="17" t="s">
        <v>74</v>
      </c>
      <c r="K91" s="17" t="s">
        <v>74</v>
      </c>
      <c r="L91" s="1" t="s">
        <v>74</v>
      </c>
      <c r="M91" s="1" t="s">
        <v>74</v>
      </c>
      <c r="N91" s="1" t="s">
        <v>74</v>
      </c>
      <c r="O91" s="1" t="s">
        <v>74</v>
      </c>
      <c r="P91" s="1" t="s">
        <v>74</v>
      </c>
      <c r="Q91" s="1" t="s">
        <v>74</v>
      </c>
      <c r="R91" s="1" t="s">
        <v>74</v>
      </c>
      <c r="S91" s="1" t="s">
        <v>74</v>
      </c>
      <c r="T91" s="1" t="s">
        <v>74</v>
      </c>
      <c r="U91" s="0" t="s">
        <v>74</v>
      </c>
      <c r="V91" s="0" t="s">
        <v>74</v>
      </c>
      <c r="W91" s="0" t="s">
        <v>74</v>
      </c>
      <c r="X91" s="11" t="s">
        <v>74</v>
      </c>
      <c r="Y91" s="11" t="s">
        <v>74</v>
      </c>
      <c r="Z91" s="11" t="s">
        <v>74</v>
      </c>
      <c r="AA91" s="0" t="s">
        <v>74</v>
      </c>
      <c r="AB91" s="0" t="s">
        <v>74</v>
      </c>
      <c r="AC91" s="0" t="s">
        <v>74</v>
      </c>
      <c r="AD91" s="11" t="s">
        <v>74</v>
      </c>
      <c r="AE91" s="11" t="s">
        <v>74</v>
      </c>
      <c r="AF91" s="11" t="s">
        <v>74</v>
      </c>
      <c r="AH91" s="0" t="n">
        <f aca="false">AI91*175</f>
        <v>1.00119268113782</v>
      </c>
      <c r="AI91" s="0" t="n">
        <f aca="false">AJ91/B91</f>
        <v>0.00572110103507326</v>
      </c>
      <c r="AJ91" s="0" t="n">
        <f aca="false">AJ89*0.0095/0.8645</f>
        <v>0.187709324960754</v>
      </c>
      <c r="AK91" s="1" t="s">
        <v>74</v>
      </c>
      <c r="AL91" s="1" t="s">
        <v>74</v>
      </c>
      <c r="AM91" s="1" t="s">
        <v>74</v>
      </c>
      <c r="AQ91" s="1" t="s">
        <v>74</v>
      </c>
      <c r="AR91" s="1" t="s">
        <v>74</v>
      </c>
      <c r="AS91" s="1" t="s">
        <v>74</v>
      </c>
      <c r="AT91" s="1" t="s">
        <v>74</v>
      </c>
      <c r="AU91" s="1" t="s">
        <v>74</v>
      </c>
      <c r="AV91" s="1" t="s">
        <v>74</v>
      </c>
      <c r="AW91" s="1" t="s">
        <v>74</v>
      </c>
      <c r="AX91" s="1" t="s">
        <v>74</v>
      </c>
      <c r="AY91" s="1" t="s">
        <v>74</v>
      </c>
    </row>
    <row r="92" customFormat="false" ht="12.8" hidden="false" customHeight="false" outlineLevel="0" collapsed="false">
      <c r="A92" s="3" t="s">
        <v>383</v>
      </c>
      <c r="B92" s="0" t="n">
        <f aca="false">(B83*(C83/(C83+C86))+B86*(C86/(C83+C86)))</f>
        <v>2553.0896</v>
      </c>
      <c r="C92" s="1" t="n">
        <v>13</v>
      </c>
      <c r="D92" s="0" t="n">
        <f aca="false">C92/120</f>
        <v>0.108333333333333</v>
      </c>
      <c r="E92" s="0" t="n">
        <f aca="false">D92*B92</f>
        <v>276.584706666667</v>
      </c>
      <c r="F92" s="0" t="n">
        <v>3</v>
      </c>
      <c r="G92" s="0" t="n">
        <f aca="false">F92/120</f>
        <v>0.025</v>
      </c>
      <c r="H92" s="0" t="n">
        <f aca="false">G92*B92</f>
        <v>63.82724</v>
      </c>
      <c r="I92" s="11" t="n">
        <v>3</v>
      </c>
      <c r="J92" s="11" t="n">
        <f aca="false">I92/120</f>
        <v>0.025</v>
      </c>
      <c r="K92" s="11" t="n">
        <f aca="false">J92*B92</f>
        <v>63.82724</v>
      </c>
      <c r="L92" s="0" t="n">
        <v>5</v>
      </c>
      <c r="M92" s="0" t="n">
        <f aca="false">L92/120</f>
        <v>0.0416666666666667</v>
      </c>
      <c r="N92" s="0" t="n">
        <f aca="false">M92*B92</f>
        <v>106.378733333333</v>
      </c>
      <c r="O92" s="0" t="n">
        <v>5</v>
      </c>
      <c r="P92" s="0" t="n">
        <f aca="false">O92/120</f>
        <v>0.0416666666666667</v>
      </c>
      <c r="Q92" s="0" t="n">
        <f aca="false">P92*B92</f>
        <v>106.378733333333</v>
      </c>
      <c r="R92" s="0" t="n">
        <v>5</v>
      </c>
      <c r="S92" s="0" t="n">
        <f aca="false">R92/120</f>
        <v>0.0416666666666667</v>
      </c>
      <c r="T92" s="0" t="n">
        <f aca="false">S92*B92</f>
        <v>106.378733333333</v>
      </c>
      <c r="U92" s="0" t="n">
        <v>3</v>
      </c>
      <c r="V92" s="0" t="n">
        <f aca="false">U92/120</f>
        <v>0.025</v>
      </c>
      <c r="W92" s="0" t="n">
        <f aca="false">V92*B92</f>
        <v>63.82724</v>
      </c>
      <c r="X92" s="11" t="n">
        <v>3</v>
      </c>
      <c r="Y92" s="11" t="n">
        <f aca="false">X92/120</f>
        <v>0.025</v>
      </c>
      <c r="Z92" s="11" t="n">
        <f aca="false">Y92*B92</f>
        <v>63.82724</v>
      </c>
      <c r="AA92" s="0" t="n">
        <v>3</v>
      </c>
      <c r="AB92" s="0" t="n">
        <f aca="false">AA92/120</f>
        <v>0.025</v>
      </c>
      <c r="AC92" s="0" t="n">
        <f aca="false">AB92*B92</f>
        <v>63.82724</v>
      </c>
      <c r="AD92" s="11" t="n">
        <v>3</v>
      </c>
      <c r="AE92" s="11" t="n">
        <f aca="false">AD92/120</f>
        <v>0.025</v>
      </c>
      <c r="AF92" s="11" t="n">
        <f aca="false">AE92*B92</f>
        <v>63.82724</v>
      </c>
      <c r="AH92" s="0" t="n">
        <v>13</v>
      </c>
      <c r="AI92" s="0" t="n">
        <f aca="false">AH92/175</f>
        <v>0.0742857142857143</v>
      </c>
      <c r="AJ92" s="0" t="n">
        <f aca="false">AI92*B92</f>
        <v>189.658084571429</v>
      </c>
      <c r="AK92" s="0" t="n">
        <v>13</v>
      </c>
      <c r="AL92" s="0" t="n">
        <f aca="false">AK92/175</f>
        <v>0.0742857142857143</v>
      </c>
      <c r="AM92" s="0" t="n">
        <f aca="false">AL92*B92</f>
        <v>189.658084571429</v>
      </c>
      <c r="AN92" s="0" t="n">
        <v>3</v>
      </c>
      <c r="AO92" s="0" t="n">
        <f aca="false">AN92/175</f>
        <v>0.0171428571428571</v>
      </c>
      <c r="AP92" s="0" t="n">
        <f aca="false">AO92*B92</f>
        <v>43.7672502857143</v>
      </c>
      <c r="AQ92" s="0" t="n">
        <v>6</v>
      </c>
      <c r="AR92" s="0" t="n">
        <f aca="false">AQ92/120</f>
        <v>0.05</v>
      </c>
      <c r="AS92" s="0" t="n">
        <f aca="false">AR92*AM92</f>
        <v>9.48290422857143</v>
      </c>
      <c r="AT92" s="1" t="n">
        <v>13</v>
      </c>
      <c r="AU92" s="0" t="n">
        <f aca="false">AT92/174</f>
        <v>0.0747126436781609</v>
      </c>
      <c r="AV92" s="0" t="n">
        <f aca="false">AU92*B92</f>
        <v>190.748073563218</v>
      </c>
      <c r="AW92" s="1" t="n">
        <v>13</v>
      </c>
      <c r="AX92" s="0" t="n">
        <f aca="false">AW92/174</f>
        <v>0.0747126436781609</v>
      </c>
      <c r="AY92" s="0" t="n">
        <f aca="false">AX92*B92</f>
        <v>190.748073563218</v>
      </c>
    </row>
    <row r="93" customFormat="false" ht="12.8" hidden="false" customHeight="false" outlineLevel="0" collapsed="false">
      <c r="A93" s="1" t="s">
        <v>384</v>
      </c>
      <c r="B93" s="0" t="n">
        <v>335</v>
      </c>
      <c r="C93" s="1" t="s">
        <v>74</v>
      </c>
      <c r="D93" s="0" t="s">
        <v>74</v>
      </c>
      <c r="E93" s="1" t="s">
        <v>74</v>
      </c>
      <c r="F93" s="1" t="s">
        <v>74</v>
      </c>
      <c r="G93" s="1" t="s">
        <v>74</v>
      </c>
      <c r="H93" s="1" t="s">
        <v>74</v>
      </c>
      <c r="I93" s="17" t="s">
        <v>74</v>
      </c>
      <c r="J93" s="17" t="s">
        <v>74</v>
      </c>
      <c r="K93" s="17" t="s">
        <v>74</v>
      </c>
      <c r="L93" s="1" t="s">
        <v>74</v>
      </c>
      <c r="M93" s="1" t="s">
        <v>74</v>
      </c>
      <c r="N93" s="1" t="s">
        <v>74</v>
      </c>
      <c r="O93" s="0" t="n">
        <f aca="false">P93*120</f>
        <v>7.5056908186341</v>
      </c>
      <c r="P93" s="0" t="n">
        <f aca="false">Q93/B93</f>
        <v>0.0625474234886175</v>
      </c>
      <c r="Q93" s="0" t="n">
        <f aca="false">Q92*0.1625/0.825</f>
        <v>20.9533868686869</v>
      </c>
      <c r="R93" s="0" t="n">
        <f aca="false">S93*120</f>
        <v>7.5056908186341</v>
      </c>
      <c r="S93" s="0" t="n">
        <f aca="false">T93/B93</f>
        <v>0.0625474234886175</v>
      </c>
      <c r="T93" s="0" t="n">
        <f aca="false">T92*0.1625/0.825</f>
        <v>20.9533868686869</v>
      </c>
      <c r="U93" s="0" t="n">
        <f aca="false">V93*120</f>
        <v>4.50341449118046</v>
      </c>
      <c r="V93" s="0" t="n">
        <f aca="false">W93/B93</f>
        <v>0.0375284540931705</v>
      </c>
      <c r="W93" s="0" t="n">
        <f aca="false">W92*0.1625/0.825</f>
        <v>12.5720321212121</v>
      </c>
      <c r="X93" s="11" t="n">
        <f aca="false">Y93*120</f>
        <v>4.50341449118046</v>
      </c>
      <c r="Y93" s="11" t="n">
        <f aca="false">Z93/B93</f>
        <v>0.0375284540931705</v>
      </c>
      <c r="Z93" s="11" t="n">
        <f aca="false">Z92*0.1625/0.825</f>
        <v>12.5720321212121</v>
      </c>
      <c r="AA93" s="0" t="n">
        <f aca="false">AB93*120</f>
        <v>4.50341449118046</v>
      </c>
      <c r="AB93" s="0" t="n">
        <f aca="false">AC93/B93</f>
        <v>0.0375284540931705</v>
      </c>
      <c r="AC93" s="0" t="n">
        <f aca="false">AC92*0.1625/0.825</f>
        <v>12.5720321212121</v>
      </c>
      <c r="AD93" s="11" t="n">
        <f aca="false">AE93*120</f>
        <v>4.50341449118046</v>
      </c>
      <c r="AE93" s="11" t="n">
        <f aca="false">AF93/B93</f>
        <v>0.0375284540931705</v>
      </c>
      <c r="AF93" s="11" t="n">
        <f aca="false">AF92*0.1625/0.825</f>
        <v>12.5720321212121</v>
      </c>
      <c r="AH93" s="0" t="n">
        <f aca="false">AI93*175</f>
        <v>19.5147961284487</v>
      </c>
      <c r="AI93" s="0" t="n">
        <f aca="false">AJ93/B93</f>
        <v>0.111513120733992</v>
      </c>
      <c r="AJ93" s="0" t="n">
        <f aca="false">AJ92*0.1625/0.825</f>
        <v>37.3568954458874</v>
      </c>
      <c r="AK93" s="1" t="s">
        <v>74</v>
      </c>
      <c r="AL93" s="1" t="s">
        <v>74</v>
      </c>
      <c r="AM93" s="1" t="s">
        <v>74</v>
      </c>
      <c r="AQ93" s="1" t="s">
        <v>74</v>
      </c>
      <c r="AR93" s="1" t="s">
        <v>74</v>
      </c>
      <c r="AS93" s="1" t="s">
        <v>74</v>
      </c>
      <c r="AT93" s="1" t="s">
        <v>74</v>
      </c>
      <c r="AU93" s="1" t="s">
        <v>74</v>
      </c>
      <c r="AV93" s="1" t="s">
        <v>74</v>
      </c>
      <c r="AW93" s="1" t="s">
        <v>74</v>
      </c>
      <c r="AX93" s="1" t="s">
        <v>74</v>
      </c>
      <c r="AY93" s="1" t="s">
        <v>74</v>
      </c>
    </row>
    <row r="94" customFormat="false" ht="12.8" hidden="false" customHeight="false" outlineLevel="0" collapsed="false">
      <c r="A94" s="1" t="s">
        <v>385</v>
      </c>
      <c r="B94" s="0" t="n">
        <v>35</v>
      </c>
      <c r="C94" s="1" t="s">
        <v>74</v>
      </c>
      <c r="D94" s="0" t="s">
        <v>74</v>
      </c>
      <c r="E94" s="1" t="s">
        <v>74</v>
      </c>
      <c r="F94" s="1" t="s">
        <v>74</v>
      </c>
      <c r="G94" s="1" t="s">
        <v>74</v>
      </c>
      <c r="H94" s="1" t="s">
        <v>74</v>
      </c>
      <c r="I94" s="17" t="s">
        <v>74</v>
      </c>
      <c r="J94" s="17" t="s">
        <v>74</v>
      </c>
      <c r="K94" s="17" t="s">
        <v>74</v>
      </c>
      <c r="L94" s="1" t="s">
        <v>74</v>
      </c>
      <c r="M94" s="1" t="s">
        <v>74</v>
      </c>
      <c r="N94" s="1" t="s">
        <v>74</v>
      </c>
      <c r="O94" s="0" t="n">
        <f aca="false">P94*120</f>
        <v>5.52616796536797</v>
      </c>
      <c r="P94" s="0" t="n">
        <f aca="false">Q94/B94</f>
        <v>0.0460513997113997</v>
      </c>
      <c r="Q94" s="0" t="n">
        <f aca="false">Q92*0.0125/0.825</f>
        <v>1.61179898989899</v>
      </c>
      <c r="R94" s="0" t="n">
        <f aca="false">S94*120</f>
        <v>5.52616796536797</v>
      </c>
      <c r="S94" s="0" t="n">
        <f aca="false">T94/B94</f>
        <v>0.0460513997113997</v>
      </c>
      <c r="T94" s="0" t="n">
        <f aca="false">T92*0.0125/0.825</f>
        <v>1.61179898989899</v>
      </c>
      <c r="U94" s="0" t="n">
        <f aca="false">V94*120</f>
        <v>3.31570077922078</v>
      </c>
      <c r="V94" s="0" t="n">
        <f aca="false">W94/B94</f>
        <v>0.0276308398268398</v>
      </c>
      <c r="W94" s="0" t="n">
        <f aca="false">W92*0.0125/0.825</f>
        <v>0.967079393939394</v>
      </c>
      <c r="X94" s="11" t="n">
        <f aca="false">Y94*120</f>
        <v>3.31570077922078</v>
      </c>
      <c r="Y94" s="11" t="n">
        <f aca="false">Z94/B94</f>
        <v>0.0276308398268398</v>
      </c>
      <c r="Z94" s="11" t="n">
        <f aca="false">Z92*0.0125/0.825</f>
        <v>0.967079393939394</v>
      </c>
      <c r="AA94" s="0" t="n">
        <f aca="false">AB94*120</f>
        <v>3.31570077922078</v>
      </c>
      <c r="AB94" s="0" t="n">
        <f aca="false">AC94/B94</f>
        <v>0.0276308398268398</v>
      </c>
      <c r="AC94" s="0" t="n">
        <f aca="false">AC92*0.0125/0.825</f>
        <v>0.967079393939394</v>
      </c>
      <c r="AD94" s="11" t="n">
        <f aca="false">AE94*120</f>
        <v>3.31570077922078</v>
      </c>
      <c r="AE94" s="11" t="n">
        <f aca="false">AF94/B94</f>
        <v>0.0276308398268398</v>
      </c>
      <c r="AF94" s="11" t="n">
        <f aca="false">AF92*0.0125/0.825</f>
        <v>0.967079393939394</v>
      </c>
      <c r="AH94" s="0" t="n">
        <f aca="false">AI94*175</f>
        <v>14.3680367099567</v>
      </c>
      <c r="AI94" s="0" t="n">
        <f aca="false">AJ94/B94</f>
        <v>0.0821030669140384</v>
      </c>
      <c r="AJ94" s="0" t="n">
        <f aca="false">AJ92*0.0125/0.825</f>
        <v>2.87360734199134</v>
      </c>
      <c r="AK94" s="1" t="s">
        <v>74</v>
      </c>
      <c r="AL94" s="1" t="s">
        <v>74</v>
      </c>
      <c r="AM94" s="1" t="s">
        <v>74</v>
      </c>
      <c r="AQ94" s="1" t="s">
        <v>74</v>
      </c>
      <c r="AR94" s="1" t="s">
        <v>74</v>
      </c>
      <c r="AS94" s="1" t="s">
        <v>74</v>
      </c>
      <c r="AT94" s="1" t="s">
        <v>74</v>
      </c>
      <c r="AU94" s="1" t="s">
        <v>74</v>
      </c>
      <c r="AV94" s="1" t="s">
        <v>74</v>
      </c>
      <c r="AW94" s="1" t="s">
        <v>74</v>
      </c>
      <c r="AX94" s="1" t="s">
        <v>74</v>
      </c>
      <c r="AY94" s="1" t="s">
        <v>74</v>
      </c>
    </row>
    <row r="95" customFormat="false" ht="12.8" hidden="false" customHeight="false" outlineLevel="0" collapsed="false">
      <c r="A95" s="3" t="s">
        <v>386</v>
      </c>
      <c r="B95" s="0" t="s">
        <v>74</v>
      </c>
      <c r="C95" s="1" t="n">
        <f aca="false">SUM(C83:C92)</f>
        <v>53</v>
      </c>
      <c r="D95" s="0" t="n">
        <f aca="false">C95/120</f>
        <v>0.441666666666667</v>
      </c>
      <c r="E95" s="3" t="n">
        <f aca="false">SUM(E83:E92)</f>
        <v>1057.31309833333</v>
      </c>
      <c r="F95" s="3" t="n">
        <f aca="false">SUM(F83:F84,F86,F89,F92)</f>
        <v>12</v>
      </c>
      <c r="G95" s="1" t="n">
        <f aca="false">F95/120</f>
        <v>0.1</v>
      </c>
      <c r="H95" s="3" t="n">
        <f aca="false">SUM(H83:H84,H86,H89,H92)</f>
        <v>234.17824</v>
      </c>
      <c r="I95" s="16" t="n">
        <f aca="false">SUM(I83:I84,I86,I89,I92)</f>
        <v>17</v>
      </c>
      <c r="J95" s="17" t="n">
        <f aca="false">I95/120</f>
        <v>0.141666666666667</v>
      </c>
      <c r="K95" s="16" t="n">
        <f aca="false">SUM(K83:K84,K86,K89,K92)</f>
        <v>324.609256666667</v>
      </c>
      <c r="L95" s="3" t="n">
        <f aca="false">SUM(L83:L92)</f>
        <v>12</v>
      </c>
      <c r="M95" s="0" t="n">
        <f aca="false">L95/120</f>
        <v>0.1</v>
      </c>
      <c r="N95" s="3" t="n">
        <f aca="false">SUM(N83:N92)</f>
        <v>216.68665</v>
      </c>
      <c r="O95" s="0" t="n">
        <f aca="false">SUM(O83,O92)</f>
        <v>10</v>
      </c>
      <c r="P95" s="0" t="n">
        <f aca="false">O95/120</f>
        <v>0.0833333333333333</v>
      </c>
      <c r="Q95" s="3" t="n">
        <f aca="false">SUM(Q83,Q86,Q92)</f>
        <v>211.103316666667</v>
      </c>
      <c r="R95" s="0" t="n">
        <f aca="false">SUM(R83,R92)</f>
        <v>10</v>
      </c>
      <c r="S95" s="0" t="n">
        <f aca="false">R95/120</f>
        <v>0.0833333333333333</v>
      </c>
      <c r="T95" s="3" t="n">
        <f aca="false">SUM(T83,T86,T92)</f>
        <v>211.103316666667</v>
      </c>
      <c r="U95" s="0" t="n">
        <f aca="false">SUM(U83,U92)</f>
        <v>11</v>
      </c>
      <c r="V95" s="0" t="n">
        <f aca="false">U95/120</f>
        <v>0.0916666666666667</v>
      </c>
      <c r="W95" s="3" t="n">
        <f aca="false">SUM(W83,W86,W92)</f>
        <v>231.386573333333</v>
      </c>
      <c r="X95" s="11" t="n">
        <f aca="false">SUM(X83,X92)</f>
        <v>13</v>
      </c>
      <c r="Y95" s="11" t="n">
        <f aca="false">X95/120</f>
        <v>0.108333333333333</v>
      </c>
      <c r="Z95" s="16" t="n">
        <f aca="false">SUM(Z83,Z86,Z92)</f>
        <v>319.025923333333</v>
      </c>
      <c r="AA95" s="1" t="n">
        <f aca="false">SUM(AA83,AA86,AA92)</f>
        <v>11</v>
      </c>
      <c r="AB95" s="0" t="n">
        <f aca="false">AA95/120</f>
        <v>0.0916666666666667</v>
      </c>
      <c r="AC95" s="3" t="n">
        <f aca="false">SUM(AC83,AC86,AC92)</f>
        <v>231.386573333333</v>
      </c>
      <c r="AD95" s="17" t="n">
        <f aca="false">SUM(AD83,AD86,AD92)</f>
        <v>15</v>
      </c>
      <c r="AE95" s="11" t="n">
        <f aca="false">AD95/120</f>
        <v>0.125</v>
      </c>
      <c r="AF95" s="16" t="n">
        <f aca="false">SUM(AF83,AF86,AF92)</f>
        <v>319.025923333333</v>
      </c>
      <c r="AG95" s="3"/>
      <c r="AH95" s="3" t="n">
        <f aca="false">SUM(AH83,AH86,AH89,AH92)</f>
        <v>74</v>
      </c>
      <c r="AI95" s="1" t="n">
        <f aca="false">AH95/174</f>
        <v>0.425287356321839</v>
      </c>
      <c r="AJ95" s="3" t="n">
        <f aca="false">SUM(AJ83,AJ86,AJ89,AJ92)</f>
        <v>1080.38322742857</v>
      </c>
      <c r="AK95" s="3" t="n">
        <f aca="false">SUM(AK83:AK92)</f>
        <v>81</v>
      </c>
      <c r="AL95" s="0" t="n">
        <f aca="false">AK95/175</f>
        <v>0.462857142857143</v>
      </c>
      <c r="AM95" s="3" t="n">
        <f aca="false">SUM(AM83:AM92)</f>
        <v>1093.78322742857</v>
      </c>
      <c r="AN95" s="0" t="n">
        <f aca="false">SUM(AN83:AN92)</f>
        <v>14</v>
      </c>
      <c r="AO95" s="0" t="n">
        <f aca="false">AN95/175</f>
        <v>0.08</v>
      </c>
      <c r="AP95" s="3" t="n">
        <f aca="false">SUM(AP83:AP92)</f>
        <v>190.627141714286</v>
      </c>
      <c r="AQ95" s="3" t="n">
        <f aca="false">SUM(AQ83:AQ92)</f>
        <v>20</v>
      </c>
      <c r="AR95" s="0" t="n">
        <f aca="false">AQ95/120</f>
        <v>0.166666666666667</v>
      </c>
      <c r="AS95" s="3" t="n">
        <f aca="false">SUM(AS83:AS92)</f>
        <v>90.0106332285714</v>
      </c>
      <c r="AT95" s="1" t="n">
        <f aca="false">SUM(AT83:AT92)</f>
        <v>53</v>
      </c>
      <c r="AU95" s="0" t="n">
        <f aca="false">AT95/174</f>
        <v>0.304597701149425</v>
      </c>
      <c r="AV95" s="3" t="n">
        <f aca="false">SUM(AV83:AV92)</f>
        <v>679.103516091954</v>
      </c>
      <c r="AW95" s="1" t="n">
        <f aca="false">SUM(AW83:AW92)</f>
        <v>53</v>
      </c>
      <c r="AX95" s="0" t="n">
        <f aca="false">AW95/174</f>
        <v>0.304597701149425</v>
      </c>
      <c r="AY95" s="3" t="n">
        <f aca="false">SUM(AY83:AY92)</f>
        <v>679.103516091954</v>
      </c>
    </row>
    <row r="96" customFormat="false" ht="12.8" hidden="false" customHeight="false" outlineLevel="0" collapsed="false">
      <c r="A96" s="3" t="s">
        <v>387</v>
      </c>
      <c r="B96" s="0" t="s">
        <v>74</v>
      </c>
      <c r="C96" s="1" t="s">
        <v>74</v>
      </c>
      <c r="D96" s="1" t="s">
        <v>74</v>
      </c>
      <c r="E96" s="1" t="s">
        <v>74</v>
      </c>
      <c r="F96" s="1" t="s">
        <v>74</v>
      </c>
      <c r="G96" s="1" t="s">
        <v>74</v>
      </c>
      <c r="H96" s="1" t="s">
        <v>74</v>
      </c>
      <c r="I96" s="17" t="s">
        <v>74</v>
      </c>
      <c r="J96" s="17" t="s">
        <v>74</v>
      </c>
      <c r="K96" s="17" t="s">
        <v>74</v>
      </c>
      <c r="L96" s="1" t="s">
        <v>74</v>
      </c>
      <c r="M96" s="1" t="s">
        <v>74</v>
      </c>
      <c r="N96" s="1" t="s">
        <v>74</v>
      </c>
      <c r="O96" s="0" t="n">
        <f aca="false">SUM(O84:O85,O87:O88,O93:O94)</f>
        <v>25.89391543807</v>
      </c>
      <c r="P96" s="0" t="n">
        <f aca="false">O96/120</f>
        <v>0.215782628650584</v>
      </c>
      <c r="Q96" s="3" t="n">
        <f aca="false">SUM(Q84:Q85,Q87:Q88,Q93:Q94)</f>
        <v>44.7794914141414</v>
      </c>
      <c r="R96" s="0" t="n">
        <f aca="false">SUM(R84:R85,R87:R88,R93:R94)</f>
        <v>25.89391543807</v>
      </c>
      <c r="S96" s="0" t="n">
        <f aca="false">R96/120</f>
        <v>0.215782628650584</v>
      </c>
      <c r="T96" s="3" t="n">
        <f aca="false">SUM(T84:T85,T87:T88,T93:T94)</f>
        <v>44.7794914141414</v>
      </c>
      <c r="U96" s="0" t="n">
        <f aca="false">SUM(U84:U85,U87:U88,U93:U94)</f>
        <v>28.39840591691</v>
      </c>
      <c r="V96" s="0" t="n">
        <f aca="false">U96/120</f>
        <v>0.236653382640917</v>
      </c>
      <c r="W96" s="3" t="n">
        <f aca="false">SUM(W84:W85,W87:W88,W93:W94)</f>
        <v>49.0820004040404</v>
      </c>
      <c r="X96" s="11" t="n">
        <f aca="false">SUM(X84:X85,X87:X88,X93:X94)</f>
        <v>37.4356609860785</v>
      </c>
      <c r="Y96" s="11" t="n">
        <f aca="false">X96/120</f>
        <v>0.311963841550654</v>
      </c>
      <c r="Z96" s="16" t="n">
        <f aca="false">SUM(Z84:Z85,Z87:Z88,Z93:Z94)</f>
        <v>65.1384103166424</v>
      </c>
      <c r="AA96" s="0" t="n">
        <f aca="false">SUM(AA84:AA85,AA87:AA88,AA93:AA94)</f>
        <v>28.39840591691</v>
      </c>
      <c r="AB96" s="0" t="n">
        <f aca="false">AA96/120</f>
        <v>0.236653382640917</v>
      </c>
      <c r="AC96" s="3" t="n">
        <f aca="false">SUM(AC84:AC85,AC87:AC88,AC93:AC94)</f>
        <v>49.0820004040404</v>
      </c>
      <c r="AD96" s="11" t="n">
        <f aca="false">SUM(AD84:AD85,AD87:AD88,AD93:AD94)</f>
        <v>37.4356609860785</v>
      </c>
      <c r="AE96" s="11" t="n">
        <f aca="false">AD96/120</f>
        <v>0.311963841550654</v>
      </c>
      <c r="AF96" s="16" t="n">
        <f aca="false">SUM(AF84:AF85,AF87:AF88,AF93:AF94)</f>
        <v>65.1384103166424</v>
      </c>
      <c r="AG96" s="3"/>
      <c r="AH96" s="3" t="n">
        <f aca="false">SUM(AH84:AH85,AH87:AH88,AH90:AH91,AH93:AH94)</f>
        <v>184.538032137493</v>
      </c>
      <c r="AI96" s="3" t="n">
        <f aca="false">AH96/174</f>
        <v>1.06056340308904</v>
      </c>
      <c r="AJ96" s="3" t="n">
        <f aca="false">SUM(AJ84:AJ85,AJ87:AJ88,AJ90:AJ91,AJ93:AJ94)</f>
        <v>220.407723972709</v>
      </c>
      <c r="AK96" s="1" t="s">
        <v>74</v>
      </c>
      <c r="AL96" s="1" t="s">
        <v>74</v>
      </c>
      <c r="AM96" s="1" t="s">
        <v>74</v>
      </c>
      <c r="AP96" s="3"/>
      <c r="AQ96" s="1" t="s">
        <v>74</v>
      </c>
      <c r="AR96" s="1" t="s">
        <v>74</v>
      </c>
      <c r="AS96" s="1" t="s">
        <v>74</v>
      </c>
      <c r="AT96" s="1" t="s">
        <v>74</v>
      </c>
      <c r="AU96" s="1" t="s">
        <v>74</v>
      </c>
      <c r="AV96" s="1" t="s">
        <v>74</v>
      </c>
      <c r="AW96" s="1" t="s">
        <v>74</v>
      </c>
      <c r="AX96" s="1" t="s">
        <v>74</v>
      </c>
      <c r="AY96" s="1" t="s">
        <v>74</v>
      </c>
    </row>
    <row r="97" customFormat="false" ht="12.8" hidden="false" customHeight="false" outlineLevel="0" collapsed="false">
      <c r="A97" s="1" t="s">
        <v>388</v>
      </c>
      <c r="B97" s="0" t="s">
        <v>74</v>
      </c>
      <c r="C97" s="0" t="s">
        <v>74</v>
      </c>
      <c r="D97" s="0" t="s">
        <v>74</v>
      </c>
      <c r="E97" s="0" t="n">
        <f aca="false">SUM(E41,E63,E81)</f>
        <v>12027.7489274567</v>
      </c>
      <c r="H97" s="0" t="n">
        <f aca="false">SUM(H41,H63,H81)</f>
        <v>2828.35692000788</v>
      </c>
      <c r="K97" s="11" t="n">
        <f aca="false">SUM(K41,K63,K81)</f>
        <v>3635.86429897557</v>
      </c>
      <c r="N97" s="0" t="n">
        <f aca="false">SUM(N41,N63,N81)</f>
        <v>3214.84247</v>
      </c>
      <c r="Q97" s="0" t="n">
        <f aca="false">SUM(Q41,Q63:Q64,Q81:Q82)</f>
        <v>3515.62261184397</v>
      </c>
      <c r="T97" s="0" t="n">
        <f aca="false">SUM(T41,T63:T64,T81:T82)</f>
        <v>3515.62261184397</v>
      </c>
      <c r="W97" s="0" t="n">
        <f aca="false">SUM(W41,W63:W64,W81:W82)</f>
        <v>3396.41634628842</v>
      </c>
      <c r="Z97" s="11" t="n">
        <f aca="false">SUM(Z41,Z63:Z64,Z81:Z82)</f>
        <v>4245.49346034279</v>
      </c>
      <c r="AC97" s="0" t="n">
        <f aca="false">SUM(AC41,AC63:AC64,AC81:AC82)</f>
        <v>3396.41634628842</v>
      </c>
      <c r="AF97" s="11" t="n">
        <f aca="false">SUM(AF41,AF63:AF64,AF81:AF82)</f>
        <v>4245.49346034279</v>
      </c>
      <c r="AJ97" s="0" t="n">
        <f aca="false">SUM(AJ41,AJ63:AJ64,AJ81:AJ82)</f>
        <v>10107.1617850632</v>
      </c>
      <c r="AK97" s="0" t="s">
        <v>74</v>
      </c>
      <c r="AL97" s="0" t="s">
        <v>74</v>
      </c>
      <c r="AM97" s="0" t="n">
        <f aca="false">SUM(AM41,AM63,AM81)</f>
        <v>9167.61109272948</v>
      </c>
      <c r="AP97" s="0" t="n">
        <f aca="false">SUM(AP81,AP63,AP41)</f>
        <v>2076.07350133874</v>
      </c>
      <c r="AS97" s="0" t="n">
        <f aca="false">SUM(AS41,AS63,AS81)</f>
        <v>2556.15273851304</v>
      </c>
      <c r="AT97" s="0" t="s">
        <v>74</v>
      </c>
      <c r="AU97" s="0" t="s">
        <v>74</v>
      </c>
      <c r="AV97" s="0" t="n">
        <f aca="false">SUM(AV41,AV63,AV81)</f>
        <v>8279.41716050651</v>
      </c>
      <c r="AW97" s="0" t="s">
        <v>74</v>
      </c>
      <c r="AX97" s="0" t="s">
        <v>74</v>
      </c>
      <c r="AY97" s="0" t="n">
        <f aca="false">SUM(AY41,AY63,AY81)</f>
        <v>8279.41716050651</v>
      </c>
    </row>
    <row r="98" customFormat="false" ht="12.8" hidden="false" customHeight="false" outlineLevel="0" collapsed="false">
      <c r="A98" s="1" t="s">
        <v>389</v>
      </c>
      <c r="B98" s="0" t="s">
        <v>74</v>
      </c>
      <c r="C98" s="0" t="s">
        <v>74</v>
      </c>
      <c r="D98" s="0" t="s">
        <v>74</v>
      </c>
      <c r="E98" s="0" t="n">
        <f aca="false">E95</f>
        <v>1057.31309833333</v>
      </c>
      <c r="H98" s="0" t="n">
        <f aca="false">H95</f>
        <v>234.17824</v>
      </c>
      <c r="K98" s="11" t="n">
        <f aca="false">K95</f>
        <v>324.609256666667</v>
      </c>
      <c r="N98" s="0" t="n">
        <f aca="false">N95</f>
        <v>216.68665</v>
      </c>
      <c r="Q98" s="0" t="n">
        <f aca="false">SUM(Q95:Q96)</f>
        <v>255.882808080808</v>
      </c>
      <c r="T98" s="0" t="n">
        <f aca="false">SUM(T95:T96)</f>
        <v>255.882808080808</v>
      </c>
      <c r="W98" s="0" t="n">
        <f aca="false">SUM(W95:W96)</f>
        <v>280.468573737374</v>
      </c>
      <c r="Z98" s="11" t="n">
        <f aca="false">SUM(Z95:Z96)</f>
        <v>384.164333649976</v>
      </c>
      <c r="AC98" s="0" t="n">
        <f aca="false">SUM(AC95:AC96)</f>
        <v>280.468573737374</v>
      </c>
      <c r="AF98" s="11" t="n">
        <f aca="false">SUM(AF95:AF96)</f>
        <v>384.164333649976</v>
      </c>
      <c r="AJ98" s="0" t="n">
        <f aca="false">SUM(AJ95:AJ96)</f>
        <v>1300.79095140128</v>
      </c>
      <c r="AK98" s="0" t="s">
        <v>74</v>
      </c>
      <c r="AL98" s="0" t="s">
        <v>74</v>
      </c>
      <c r="AM98" s="0" t="n">
        <f aca="false">AM95</f>
        <v>1093.78322742857</v>
      </c>
      <c r="AP98" s="0" t="n">
        <f aca="false">AP95</f>
        <v>190.627141714286</v>
      </c>
      <c r="AS98" s="0" t="n">
        <f aca="false">AS95</f>
        <v>90.0106332285714</v>
      </c>
      <c r="AT98" s="0" t="s">
        <v>74</v>
      </c>
      <c r="AU98" s="0" t="s">
        <v>74</v>
      </c>
      <c r="AV98" s="0" t="n">
        <f aca="false">AV95</f>
        <v>679.103516091954</v>
      </c>
      <c r="AW98" s="0" t="s">
        <v>74</v>
      </c>
      <c r="AX98" s="0" t="s">
        <v>74</v>
      </c>
      <c r="AY98" s="0" t="n">
        <f aca="false">AY95</f>
        <v>679.103516091954</v>
      </c>
    </row>
    <row r="99" customFormat="false" ht="12.8" hidden="false" customHeight="false" outlineLevel="0" collapsed="false">
      <c r="A99" s="0" t="s">
        <v>390</v>
      </c>
      <c r="B99" s="0" t="s">
        <v>74</v>
      </c>
      <c r="C99" s="0" t="s">
        <v>74</v>
      </c>
      <c r="D99" s="0" t="s">
        <v>74</v>
      </c>
      <c r="E99" s="0" t="n">
        <f aca="false">SUM(E3,E8,E9,E16,E41,E63,E81)</f>
        <v>12281.4182334567</v>
      </c>
      <c r="H99" s="0" t="n">
        <f aca="false">SUM(H97,H8,H16,H21)</f>
        <v>2864.69478267455</v>
      </c>
      <c r="K99" s="11" t="n">
        <f aca="false">SUM(K97,K8,K16,K21)</f>
        <v>3717.69661386446</v>
      </c>
      <c r="N99" s="0" t="n">
        <f aca="false">SUM(N97,N3,N8:N9,N16)</f>
        <v>3281.059364</v>
      </c>
      <c r="Q99" s="0" t="n">
        <f aca="false">SUM(Q97,Q3,Q8:Q9,Q16)</f>
        <v>3581.83950584397</v>
      </c>
      <c r="T99" s="0" t="n">
        <f aca="false">SUM(T97,T3,T8:T9,T16)</f>
        <v>4952.99801616758</v>
      </c>
      <c r="W99" s="0" t="n">
        <f aca="false">SUM(W97,W3,W8:W9,W16)</f>
        <v>3430.02800895508</v>
      </c>
      <c r="Z99" s="11" t="n">
        <f aca="false">SUM(Z97,Z3,Z8:Z9,Z16)</f>
        <v>4320.02731967612</v>
      </c>
      <c r="AC99" s="0" t="n">
        <f aca="false">SUM(AC97,AC3,AC8:AC9,AC16)</f>
        <v>4833.79175061202</v>
      </c>
      <c r="AF99" s="11" t="n">
        <f aca="false">SUM(AF97,AF3,AF8:AF9,AF16)</f>
        <v>5682.8688646664</v>
      </c>
      <c r="AK99" s="0" t="s">
        <v>74</v>
      </c>
      <c r="AL99" s="0" t="s">
        <v>74</v>
      </c>
      <c r="AM99" s="0" t="n">
        <f aca="false">SUM(AM97,AM3,AM8:AM9,AM16)</f>
        <v>9369.93750028733</v>
      </c>
      <c r="AP99" s="0" t="n">
        <f aca="false">SUM(AP97,AP16,AP8,AP3)</f>
        <v>2101.81004396731</v>
      </c>
      <c r="AS99" s="0" t="n">
        <f aca="false">SUM(AS97,AS3,AS8,AS9,AS16)</f>
        <v>2603.85448138545</v>
      </c>
      <c r="AT99" s="0" t="s">
        <v>74</v>
      </c>
      <c r="AU99" s="0" t="s">
        <v>74</v>
      </c>
      <c r="AV99" s="0" t="n">
        <f aca="false">SUM(AV3,AV8,AV9,AV16,AV41,AV63,AV81)</f>
        <v>8478.66261132618</v>
      </c>
      <c r="AW99" s="0" t="s">
        <v>74</v>
      </c>
      <c r="AX99" s="0" t="s">
        <v>74</v>
      </c>
      <c r="AY99" s="0" t="n">
        <f aca="false">SUM(AY3,AY8:AY9,AY16,AY41,AY63,AY81)</f>
        <v>8482.90636351009</v>
      </c>
    </row>
    <row r="100" customFormat="false" ht="12.8" hidden="false" customHeight="false" outlineLevel="0" collapsed="false">
      <c r="A100" s="0" t="s">
        <v>391</v>
      </c>
      <c r="B100" s="0" t="s">
        <v>74</v>
      </c>
      <c r="C100" s="0" t="s">
        <v>74</v>
      </c>
      <c r="D100" s="0" t="s">
        <v>74</v>
      </c>
      <c r="E100" s="0" t="n">
        <f aca="false">SUM(E95,E31,E27,E21,E2)</f>
        <v>1183.41939472222</v>
      </c>
      <c r="H100" s="0" t="n">
        <f aca="false">SUM(H98,H2,H21,H27,H31)</f>
        <v>254.091960833333</v>
      </c>
      <c r="K100" s="11" t="n">
        <f aca="false">SUM(K98,K2,K21,K27,K31)</f>
        <v>369.309428888889</v>
      </c>
      <c r="N100" s="0" t="n">
        <f aca="false">SUM(N98,N2,N21,N27,N31)</f>
        <v>242.262818055556</v>
      </c>
      <c r="Q100" s="0" t="n">
        <f aca="false">SUM(Q98,Q2,Q21,Q27,Q31)</f>
        <v>281.458976136364</v>
      </c>
      <c r="T100" s="0" t="n">
        <f aca="false">SUM(T98,T2,T21,T27,T31)</f>
        <v>497.303526079183</v>
      </c>
      <c r="W100" s="0" t="n">
        <f aca="false">SUM(W98,W2,W21,W27,W31)</f>
        <v>300.382294570707</v>
      </c>
      <c r="Z100" s="11" t="n">
        <f aca="false">SUM(Z98,Z2,Z21,Z27,Z31)</f>
        <v>433.605850316642</v>
      </c>
      <c r="AC100" s="0" t="n">
        <f aca="false">SUM(AC98,AC2,AC21,AC27,AC31)</f>
        <v>519.805958402415</v>
      </c>
      <c r="AF100" s="11" t="n">
        <f aca="false">SUM(AF98,AF2,AF21,AF27,AF31)</f>
        <v>638.08505164835</v>
      </c>
      <c r="AK100" s="0" t="s">
        <v>74</v>
      </c>
      <c r="AL100" s="0" t="s">
        <v>74</v>
      </c>
      <c r="AM100" s="0" t="n">
        <f aca="false">SUM(AM98,AM2,AM21,AM27,AM31)</f>
        <v>1238.11147066667</v>
      </c>
      <c r="AP100" s="0" t="n">
        <f aca="false">SUM(AP98,AP31,AP27,AP21,AP2)</f>
        <v>203.755850285714</v>
      </c>
      <c r="AS100" s="0" t="n">
        <f aca="false">SUM(AS98,AS2,AS21,AS27,AS31)</f>
        <v>96.4992954904762</v>
      </c>
      <c r="AT100" s="0" t="s">
        <v>74</v>
      </c>
      <c r="AU100" s="0" t="s">
        <v>74</v>
      </c>
      <c r="AV100" s="0" t="n">
        <f aca="false">SUM(AV95,AV31,AV27,AV21,AV2)</f>
        <v>755.111628591558</v>
      </c>
      <c r="AW100" s="0" t="s">
        <v>74</v>
      </c>
      <c r="AX100" s="0" t="s">
        <v>74</v>
      </c>
      <c r="AY100" s="0" t="n">
        <f aca="false">SUM(AY2,AY21,AY27,AY31,AY95)</f>
        <v>824.261231992337</v>
      </c>
    </row>
    <row r="101" customFormat="false" ht="12.8" hidden="false" customHeight="false" outlineLevel="0" collapsed="false">
      <c r="A101" s="0" t="s">
        <v>392</v>
      </c>
      <c r="T101" s="0" t="n">
        <f aca="false">T99+T21+T27</f>
        <v>5137.85142872848</v>
      </c>
      <c r="AC101" s="0" t="n">
        <f aca="false">AC99+AC21+AC27</f>
        <v>5018.64516317292</v>
      </c>
      <c r="AF101" s="11" t="n">
        <f aca="false">AF99+AF21+AF27</f>
        <v>5867.72227722729</v>
      </c>
    </row>
    <row r="102" customFormat="false" ht="12.8" hidden="false" customHeight="false" outlineLevel="0" collapsed="false">
      <c r="A102" s="0" t="s">
        <v>393</v>
      </c>
      <c r="T102" s="0" t="n">
        <f aca="false">T100-T21-T27</f>
        <v>312.450113518286</v>
      </c>
      <c r="AC102" s="0" t="n">
        <f aca="false">AC100-AC21-AC27</f>
        <v>334.952545841519</v>
      </c>
      <c r="AF102" s="11" t="n">
        <f aca="false">AF100-AF21-AF27</f>
        <v>453.231639087454</v>
      </c>
    </row>
    <row r="103" customFormat="false" ht="12.8" hidden="false" customHeight="false" outlineLevel="0" collapsed="false">
      <c r="A103" s="0" t="s">
        <v>394</v>
      </c>
      <c r="C103" s="0" t="n">
        <f aca="false">SUM(C2:C3,C8,C9,C16,C21,C27,C31)/SUM(C41,C63,C81,C95)</f>
        <v>1.38827838827839</v>
      </c>
      <c r="AC103" s="0" t="s">
        <v>395</v>
      </c>
      <c r="AT103" s="0" t="n">
        <f aca="false">SUM(AT2:AT3,AT8,AT9,AT16,AT21,AT27,AT31)/SUM(AT41,AT63,AT81,AT95)</f>
        <v>1.79540578646391</v>
      </c>
      <c r="AW103" s="0" t="n">
        <f aca="false">SUM(AW2:AW3,AW8,AW9,AW16,AW21,AW27,AW31)/SUM(AW41,AW63,AW81,AW95)</f>
        <v>2.79069837266559</v>
      </c>
    </row>
    <row r="104" customFormat="false" ht="12.8" hidden="false" customHeight="false" outlineLevel="0" collapsed="false">
      <c r="A104" s="0" t="s">
        <v>396</v>
      </c>
      <c r="E104" s="0" t="n">
        <f aca="false">(SUM(E99:E100)-SUM(E97:E98))/SUM(E99:E100)</f>
        <v>0.0282049893861404</v>
      </c>
      <c r="AV104" s="0" t="n">
        <f aca="false">(SUM(AV99:AV100)-SUM(AV97:AV98))/SUM(AV99:AV100)</f>
        <v>0.0298094317846056</v>
      </c>
      <c r="AY104" s="0" t="n">
        <f aca="false">(SUM(AY99:AY100)-SUM(AY97:AY98))/SUM(AY99:AY100)</f>
        <v>0.0374600452099351</v>
      </c>
    </row>
    <row r="105" customFormat="false" ht="12.8" hidden="false" customHeight="false" outlineLevel="0" collapsed="false">
      <c r="B105" s="0" t="s">
        <v>397</v>
      </c>
      <c r="S105" s="0" t="s">
        <v>398</v>
      </c>
      <c r="AB105" s="0" t="s">
        <v>398</v>
      </c>
      <c r="AE105" s="11" t="s">
        <v>398</v>
      </c>
    </row>
    <row r="106" customFormat="false" ht="12.8" hidden="false" customHeight="false" outlineLevel="0" collapsed="false">
      <c r="B106" s="0" t="s">
        <v>399</v>
      </c>
      <c r="S106" s="19" t="n">
        <v>2</v>
      </c>
      <c r="T106" s="0" t="n">
        <f aca="false">T3+T8+T9+T16+T41+T63+T81</f>
        <v>4652.21787432361</v>
      </c>
      <c r="AB106" s="19" t="n">
        <v>2</v>
      </c>
      <c r="AC106" s="0" t="n">
        <f aca="false">AC3+AC8+AC9+AC16+AC41+AC63+AC81</f>
        <v>4495.41665210927</v>
      </c>
      <c r="AE106" s="20" t="n">
        <v>2</v>
      </c>
      <c r="AF106" s="11" t="n">
        <f aca="false">AF3+AF8+AF9+AF16+AF41+AF63+AF81</f>
        <v>5312.48273385473</v>
      </c>
    </row>
    <row r="107" customFormat="false" ht="12.8" hidden="false" customHeight="false" outlineLevel="0" collapsed="false">
      <c r="B107" s="0" t="s">
        <v>400</v>
      </c>
      <c r="S107" s="0" t="n">
        <v>2.5</v>
      </c>
      <c r="T107" s="0" t="e">
        <f aca="false">SUM(#REF!)</f>
        <v>#REF!</v>
      </c>
      <c r="AB107" s="0" t="n">
        <v>2.5</v>
      </c>
      <c r="AC107" s="0" t="e">
        <f aca="false">SUM(#REF!)</f>
        <v>#REF!</v>
      </c>
      <c r="AE107" s="11" t="n">
        <v>2.5</v>
      </c>
      <c r="AF107" s="11" t="e">
        <f aca="false">SUM(#REF!)</f>
        <v>#REF!</v>
      </c>
    </row>
    <row r="108" customFormat="false" ht="12.8" hidden="false" customHeight="false" outlineLevel="0" collapsed="false">
      <c r="B108" s="0" t="s">
        <v>401</v>
      </c>
      <c r="S108" s="0" t="n">
        <v>3</v>
      </c>
      <c r="T108" s="0" t="e">
        <f aca="false">#REF!+#REF!+#REF!+#REF!+#REF!+#REF!</f>
        <v>#REF!</v>
      </c>
      <c r="AB108" s="0" t="n">
        <v>3</v>
      </c>
      <c r="AC108" s="0" t="e">
        <f aca="false">#REF!+#REF!+#REF!+#REF!+#REF!+#REF!</f>
        <v>#REF!</v>
      </c>
      <c r="AE108" s="11" t="n">
        <v>3</v>
      </c>
      <c r="AF108" s="11" t="e">
        <f aca="false">#REF!+#REF!+#REF!+#REF!+#REF!+#REF!</f>
        <v>#REF!</v>
      </c>
    </row>
    <row r="109" customFormat="false" ht="12.8" hidden="false" customHeight="false" outlineLevel="0" collapsed="false">
      <c r="B109" s="0" t="s">
        <v>402</v>
      </c>
      <c r="S109" s="0" t="n">
        <v>3.5</v>
      </c>
      <c r="T109" s="0" t="e">
        <f aca="false">SUM(#REF!)+#REF!+#REF!+#REF!+#REF!+SUM(#REF!)+T21</f>
        <v>#REF!</v>
      </c>
      <c r="AB109" s="0" t="n">
        <v>3.5</v>
      </c>
      <c r="AC109" s="0" t="e">
        <f aca="false">SUM(#REF!)+#REF!+#REF!+#REF!+#REF!+SUM(#REF!)+AC21</f>
        <v>#REF!</v>
      </c>
      <c r="AE109" s="11" t="n">
        <v>3.5</v>
      </c>
      <c r="AF109" s="11" t="e">
        <f aca="false">SUM(#REF!)+#REF!+#REF!+#REF!+#REF!+SUM(#REF!)+AF21</f>
        <v>#REF!</v>
      </c>
    </row>
    <row r="110" customFormat="false" ht="12.8" hidden="false" customHeight="false" outlineLevel="0" collapsed="false">
      <c r="B110" s="0" t="s">
        <v>403</v>
      </c>
      <c r="S110" s="0" t="n">
        <v>4</v>
      </c>
      <c r="T110" s="0" t="e">
        <f aca="false">T95+T31+T27+#REF!+T2+#REF!+#REF!</f>
        <v>#REF!</v>
      </c>
      <c r="AB110" s="0" t="n">
        <v>4</v>
      </c>
      <c r="AC110" s="0" t="e">
        <f aca="false">AC95+AC31+AC27+#REF!+AC2+#REF!+#REF!</f>
        <v>#REF!</v>
      </c>
      <c r="AE110" s="11" t="n">
        <v>4</v>
      </c>
      <c r="AF110" s="11" t="e">
        <f aca="false">AF95+AF31+AF27+#REF!+AF2+#REF!+#REF!</f>
        <v>#REF!</v>
      </c>
    </row>
    <row r="111" customFormat="false" ht="12.8" hidden="false" customHeight="false" outlineLevel="0" collapsed="false">
      <c r="S111" s="0" t="n">
        <v>4.5</v>
      </c>
      <c r="AB111" s="0" t="n">
        <v>4.5</v>
      </c>
      <c r="AE111" s="11" t="n">
        <v>4.5</v>
      </c>
    </row>
    <row r="112" customFormat="false" ht="12.8" hidden="false" customHeight="false" outlineLevel="0" collapsed="false">
      <c r="T112" s="0" t="e">
        <f aca="false">SUM(T106:T107)</f>
        <v>#REF!</v>
      </c>
      <c r="AC112" s="0" t="e">
        <f aca="false">SUM(AC106:AC107)</f>
        <v>#REF!</v>
      </c>
      <c r="AF112" s="11" t="e">
        <f aca="false">SUM(AF106:AF107)</f>
        <v>#REF!</v>
      </c>
    </row>
    <row r="114" customFormat="false" ht="12.8" hidden="false" customHeight="false" outlineLevel="0" collapsed="false">
      <c r="T114" s="0" t="e">
        <f aca="false">SUM(T108:T109)</f>
        <v>#REF!</v>
      </c>
      <c r="AC114" s="0" t="e">
        <f aca="false">SUM(AC108:AC109)</f>
        <v>#REF!</v>
      </c>
      <c r="AF114" s="11" t="e">
        <f aca="false">SUM(AF108:AF109)</f>
        <v>#REF!</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B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F68" activePane="bottomRight" state="frozen"/>
      <selection pane="topLeft" activeCell="A1" activeCellId="0" sqref="A1"/>
      <selection pane="topRight" activeCell="F1" activeCellId="0" sqref="F1"/>
      <selection pane="bottomLeft" activeCell="A68" activeCellId="0" sqref="A68"/>
      <selection pane="bottomRight" activeCell="J86" activeCellId="0" sqref="J86"/>
    </sheetView>
  </sheetViews>
  <sheetFormatPr defaultColWidth="11.53515625" defaultRowHeight="12.8" zeroHeight="false" outlineLevelRow="0" outlineLevelCol="0"/>
  <cols>
    <col collapsed="false" customWidth="true" hidden="false" outlineLevel="0" max="1" min="1" style="0" width="37.14"/>
    <col collapsed="false" customWidth="false" hidden="false" outlineLevel="0" max="11" min="9" style="11" width="11.53"/>
    <col collapsed="false" customWidth="false" hidden="false" outlineLevel="0" max="26" min="24" style="11" width="11.53"/>
    <col collapsed="false" customWidth="false" hidden="false" outlineLevel="0" max="32" min="30" style="11" width="11.53"/>
  </cols>
  <sheetData>
    <row r="1" customFormat="false" ht="12.8" hidden="false" customHeight="false" outlineLevel="0" collapsed="false">
      <c r="A1" s="3" t="s">
        <v>0</v>
      </c>
      <c r="B1" s="3" t="s">
        <v>280</v>
      </c>
      <c r="C1" s="3" t="s">
        <v>281</v>
      </c>
      <c r="D1" s="3" t="s">
        <v>282</v>
      </c>
      <c r="E1" s="3" t="s">
        <v>283</v>
      </c>
      <c r="F1" s="3" t="s">
        <v>284</v>
      </c>
      <c r="G1" s="3" t="s">
        <v>285</v>
      </c>
      <c r="H1" s="3" t="s">
        <v>286</v>
      </c>
      <c r="I1" s="16" t="s">
        <v>287</v>
      </c>
      <c r="J1" s="16" t="s">
        <v>288</v>
      </c>
      <c r="K1" s="16" t="s">
        <v>289</v>
      </c>
      <c r="L1" s="3" t="s">
        <v>290</v>
      </c>
      <c r="M1" s="3" t="s">
        <v>291</v>
      </c>
      <c r="N1" s="3" t="s">
        <v>292</v>
      </c>
      <c r="O1" s="3" t="s">
        <v>293</v>
      </c>
      <c r="P1" s="3" t="s">
        <v>294</v>
      </c>
      <c r="Q1" s="3" t="s">
        <v>295</v>
      </c>
      <c r="R1" s="3" t="s">
        <v>296</v>
      </c>
      <c r="S1" s="3" t="s">
        <v>297</v>
      </c>
      <c r="T1" s="3" t="s">
        <v>298</v>
      </c>
      <c r="U1" s="16" t="s">
        <v>299</v>
      </c>
      <c r="V1" s="16" t="s">
        <v>300</v>
      </c>
      <c r="W1" s="16" t="s">
        <v>301</v>
      </c>
      <c r="X1" s="16" t="s">
        <v>302</v>
      </c>
      <c r="Y1" s="16" t="s">
        <v>303</v>
      </c>
      <c r="Z1" s="16" t="s">
        <v>304</v>
      </c>
      <c r="AA1" s="16" t="s">
        <v>305</v>
      </c>
      <c r="AB1" s="16" t="s">
        <v>306</v>
      </c>
      <c r="AC1" s="16" t="s">
        <v>307</v>
      </c>
      <c r="AD1" s="16" t="s">
        <v>308</v>
      </c>
      <c r="AE1" s="16" t="s">
        <v>309</v>
      </c>
      <c r="AF1" s="16" t="s">
        <v>310</v>
      </c>
      <c r="AH1" s="3" t="s">
        <v>314</v>
      </c>
      <c r="AI1" s="3" t="s">
        <v>315</v>
      </c>
      <c r="AJ1" s="3" t="s">
        <v>316</v>
      </c>
      <c r="AK1" s="3" t="s">
        <v>311</v>
      </c>
      <c r="AL1" s="3" t="s">
        <v>312</v>
      </c>
      <c r="AM1" s="3" t="s">
        <v>313</v>
      </c>
      <c r="AN1" s="3" t="s">
        <v>320</v>
      </c>
      <c r="AO1" s="3" t="s">
        <v>321</v>
      </c>
      <c r="AP1" s="3" t="s">
        <v>322</v>
      </c>
      <c r="AT1" s="3" t="s">
        <v>317</v>
      </c>
      <c r="AU1" s="3" t="s">
        <v>318</v>
      </c>
      <c r="AV1" s="3" t="s">
        <v>319</v>
      </c>
      <c r="AW1" s="3" t="s">
        <v>323</v>
      </c>
      <c r="AX1" s="3" t="s">
        <v>324</v>
      </c>
      <c r="AY1" s="3" t="s">
        <v>325</v>
      </c>
      <c r="AZ1" s="3" t="s">
        <v>326</v>
      </c>
      <c r="BA1" s="3" t="s">
        <v>327</v>
      </c>
      <c r="BB1" s="3" t="s">
        <v>328</v>
      </c>
    </row>
    <row r="2" customFormat="false" ht="12.8" hidden="false" customHeight="false" outlineLevel="0" collapsed="false">
      <c r="A2" s="0" t="s">
        <v>329</v>
      </c>
      <c r="B2" s="0" t="n">
        <v>250</v>
      </c>
      <c r="C2" s="0" t="n">
        <v>31</v>
      </c>
      <c r="D2" s="0" t="n">
        <f aca="false">C2/1950</f>
        <v>0.0158974358974359</v>
      </c>
      <c r="E2" s="3" t="n">
        <f aca="false">D2*B2</f>
        <v>3.97435897435897</v>
      </c>
      <c r="F2" s="0" t="n">
        <v>6</v>
      </c>
      <c r="G2" s="1" t="n">
        <f aca="false">F2/1950</f>
        <v>0.00307692307692308</v>
      </c>
      <c r="H2" s="1" t="n">
        <f aca="false">G2*B2</f>
        <v>0.769230769230769</v>
      </c>
      <c r="I2" s="11" t="n">
        <v>13</v>
      </c>
      <c r="J2" s="17" t="n">
        <f aca="false">I2/1950</f>
        <v>0.00666666666666667</v>
      </c>
      <c r="K2" s="17" t="n">
        <f aca="false">J2*B2</f>
        <v>1.66666666666667</v>
      </c>
      <c r="L2" s="0" t="n">
        <v>7</v>
      </c>
      <c r="M2" s="0" t="n">
        <f aca="false">L2/1950</f>
        <v>0.00358974358974359</v>
      </c>
      <c r="N2" s="3" t="n">
        <f aca="false">M2*B2</f>
        <v>0.897435897435898</v>
      </c>
      <c r="O2" s="0" t="n">
        <v>7</v>
      </c>
      <c r="P2" s="0" t="n">
        <f aca="false">O2/1950</f>
        <v>0.00358974358974359</v>
      </c>
      <c r="Q2" s="3" t="n">
        <f aca="false">P2*B2</f>
        <v>0.897435897435898</v>
      </c>
      <c r="R2" s="0" t="n">
        <v>7</v>
      </c>
      <c r="S2" s="0" t="n">
        <f aca="false">R2/1950</f>
        <v>0.00358974358974359</v>
      </c>
      <c r="T2" s="3" t="n">
        <f aca="false">S2*B2</f>
        <v>0.897435897435898</v>
      </c>
      <c r="U2" s="0" t="n">
        <v>6</v>
      </c>
      <c r="V2" s="0" t="n">
        <f aca="false">U2/1950</f>
        <v>0.00307692307692308</v>
      </c>
      <c r="W2" s="3" t="n">
        <f aca="false">V2*B2</f>
        <v>0.769230769230769</v>
      </c>
      <c r="X2" s="11" t="n">
        <v>13</v>
      </c>
      <c r="Y2" s="11" t="n">
        <f aca="false">X2/1950</f>
        <v>0.00666666666666667</v>
      </c>
      <c r="Z2" s="16" t="n">
        <f aca="false">Y2*B2</f>
        <v>1.66666666666667</v>
      </c>
      <c r="AA2" s="0" t="n">
        <v>6</v>
      </c>
      <c r="AB2" s="0" t="n">
        <f aca="false">AA2/1950</f>
        <v>0.00307692307692308</v>
      </c>
      <c r="AC2" s="3" t="n">
        <f aca="false">AB2*B2</f>
        <v>0.769230769230769</v>
      </c>
      <c r="AD2" s="11" t="n">
        <v>13</v>
      </c>
      <c r="AE2" s="11" t="n">
        <f aca="false">AD2/1950</f>
        <v>0.00666666666666667</v>
      </c>
      <c r="AF2" s="16" t="n">
        <f aca="false">AE2*B2</f>
        <v>1.66666666666667</v>
      </c>
      <c r="AH2" s="0" t="n">
        <v>31</v>
      </c>
      <c r="AI2" s="0" t="n">
        <f aca="false">AH2/1950</f>
        <v>0.0158974358974359</v>
      </c>
      <c r="AJ2" s="0" t="n">
        <f aca="false">AI2*B2</f>
        <v>3.97435897435897</v>
      </c>
      <c r="AK2" s="0" t="n">
        <v>31</v>
      </c>
      <c r="AL2" s="0" t="n">
        <f aca="false">AK2/1950</f>
        <v>0.0158974358974359</v>
      </c>
      <c r="AM2" s="3" t="n">
        <f aca="false">AL2*B2</f>
        <v>3.97435897435897</v>
      </c>
      <c r="AN2" s="0" t="n">
        <v>9</v>
      </c>
      <c r="AO2" s="0" t="n">
        <f aca="false">AN2/1950</f>
        <v>0.00461538461538462</v>
      </c>
      <c r="AP2" s="0" t="n">
        <f aca="false">AO2*B2</f>
        <v>1.15384615384615</v>
      </c>
      <c r="AT2" s="0" t="n">
        <v>6</v>
      </c>
      <c r="AU2" s="0" t="n">
        <f aca="false">AT2/1950</f>
        <v>0.00307692307692308</v>
      </c>
      <c r="AV2" s="3" t="n">
        <f aca="false">AU2*B2</f>
        <v>0.769230769230769</v>
      </c>
      <c r="AW2" s="0" t="n">
        <v>31</v>
      </c>
      <c r="AX2" s="0" t="n">
        <f aca="false">AW2/1950</f>
        <v>0.0158974358974359</v>
      </c>
      <c r="AY2" s="3" t="n">
        <f aca="false">AX2*B2</f>
        <v>3.97435897435897</v>
      </c>
      <c r="AZ2" s="0" t="n">
        <v>31</v>
      </c>
      <c r="BA2" s="0" t="n">
        <f aca="false">AZ2/1950</f>
        <v>0.0158974358974359</v>
      </c>
      <c r="BB2" s="3" t="n">
        <f aca="false">BA2*B2</f>
        <v>3.97435897435897</v>
      </c>
    </row>
    <row r="3" customFormat="false" ht="12.8" hidden="false" customHeight="false" outlineLevel="0" collapsed="false">
      <c r="A3" s="0" t="s">
        <v>10</v>
      </c>
      <c r="B3" s="0" t="n">
        <v>13</v>
      </c>
      <c r="C3" s="3" t="n">
        <v>46</v>
      </c>
      <c r="D3" s="0" t="n">
        <f aca="false">C3/1950</f>
        <v>0.0235897435897436</v>
      </c>
      <c r="E3" s="3" t="n">
        <f aca="false">D3*B3</f>
        <v>0.306666666666667</v>
      </c>
      <c r="F3" s="0" t="n">
        <v>4</v>
      </c>
      <c r="G3" s="1" t="n">
        <f aca="false">F3/1950</f>
        <v>0.00205128205128205</v>
      </c>
      <c r="H3" s="1" t="n">
        <f aca="false">G3*B3</f>
        <v>0.0266666666666667</v>
      </c>
      <c r="I3" s="11" t="n">
        <v>4</v>
      </c>
      <c r="J3" s="17" t="n">
        <f aca="false">I3/1950</f>
        <v>0.00205128205128205</v>
      </c>
      <c r="K3" s="17" t="n">
        <f aca="false">J3*B3</f>
        <v>0.0266666666666667</v>
      </c>
      <c r="L3" s="0" t="n">
        <v>1</v>
      </c>
      <c r="M3" s="0" t="n">
        <f aca="false">L3/1950</f>
        <v>0.000512820512820513</v>
      </c>
      <c r="N3" s="3" t="n">
        <f aca="false">M3*B3</f>
        <v>0.00666666666666667</v>
      </c>
      <c r="O3" s="0" t="n">
        <v>1</v>
      </c>
      <c r="P3" s="0" t="n">
        <f aca="false">O3/1950</f>
        <v>0.000512820512820513</v>
      </c>
      <c r="Q3" s="3" t="n">
        <f aca="false">P3*B3</f>
        <v>0.00666666666666667</v>
      </c>
      <c r="R3" s="1" t="n">
        <f aca="false">S3*1950</f>
        <v>1020.41976540541</v>
      </c>
      <c r="S3" s="1" t="n">
        <f aca="false">10^(-0.64815*LOG(B3*1000)+3.59605)*120/1950</f>
        <v>0.523292187387389</v>
      </c>
      <c r="T3" s="3" t="n">
        <f aca="false">S3*B3</f>
        <v>6.80279843603605</v>
      </c>
      <c r="U3" s="0" t="n">
        <v>4</v>
      </c>
      <c r="V3" s="0" t="n">
        <f aca="false">U3/1950</f>
        <v>0.00205128205128205</v>
      </c>
      <c r="W3" s="3" t="n">
        <f aca="false">V3*B3</f>
        <v>0.0266666666666667</v>
      </c>
      <c r="X3" s="11" t="n">
        <v>4</v>
      </c>
      <c r="Y3" s="11" t="n">
        <f aca="false">X3/1950</f>
        <v>0.00205128205128205</v>
      </c>
      <c r="Z3" s="17" t="n">
        <f aca="false">Y3*B3</f>
        <v>0.0266666666666667</v>
      </c>
      <c r="AA3" s="1" t="n">
        <f aca="false">AB3*1950</f>
        <v>1020.41976540541</v>
      </c>
      <c r="AB3" s="1" t="n">
        <f aca="false">10^(-0.64815*LOG(B3*1000)+3.59605)*120/1950</f>
        <v>0.523292187387389</v>
      </c>
      <c r="AC3" s="3" t="n">
        <f aca="false">AB3*B3</f>
        <v>6.80279843603605</v>
      </c>
      <c r="AD3" s="17" t="n">
        <f aca="false">AE3*1950</f>
        <v>1020.41976540541</v>
      </c>
      <c r="AE3" s="17" t="n">
        <f aca="false">10^(-0.64815*LOG(B3*1000)+3.59605)*120/1950</f>
        <v>0.523292187387389</v>
      </c>
      <c r="AF3" s="16" t="n">
        <f aca="false">AE3*B3</f>
        <v>6.80279843603605</v>
      </c>
      <c r="AH3" s="1" t="n">
        <f aca="false">(C3*C8/61)+26</f>
        <v>306.524590163934</v>
      </c>
      <c r="AI3" s="0" t="n">
        <f aca="false">AH3/1950</f>
        <v>0.157192097519966</v>
      </c>
      <c r="AJ3" s="0" t="n">
        <f aca="false">AI3*B3</f>
        <v>2.04349726775956</v>
      </c>
      <c r="AK3" s="1" t="n">
        <f aca="false">(C3*C8/61)+26</f>
        <v>306.524590163934</v>
      </c>
      <c r="AL3" s="0" t="n">
        <f aca="false">AK3/1950</f>
        <v>0.157192097519966</v>
      </c>
      <c r="AM3" s="3" t="n">
        <f aca="false">AL3*B3</f>
        <v>2.04349726775956</v>
      </c>
      <c r="AN3" s="0" t="n">
        <v>5</v>
      </c>
      <c r="AO3" s="0" t="n">
        <f aca="false">AN3/1950</f>
        <v>0.00256410256410256</v>
      </c>
      <c r="AP3" s="0" t="n">
        <f aca="false">AO3*B3</f>
        <v>0.0333333333333333</v>
      </c>
      <c r="AT3" s="0" t="n">
        <v>4</v>
      </c>
      <c r="AU3" s="0" t="n">
        <f aca="false">AT3/1950</f>
        <v>0.00205128205128205</v>
      </c>
      <c r="AV3" s="3" t="n">
        <f aca="false">AU3*B3</f>
        <v>0.0266666666666667</v>
      </c>
      <c r="AW3" s="0" t="n">
        <f aca="false">C3*C8/61</f>
        <v>280.524590163934</v>
      </c>
      <c r="AX3" s="0" t="n">
        <f aca="false">AW3/1950</f>
        <v>0.143858764186633</v>
      </c>
      <c r="AY3" s="3" t="n">
        <f aca="false">AX3*B3</f>
        <v>1.87016393442623</v>
      </c>
      <c r="AZ3" s="1" t="n">
        <f aca="false">(C3*C8/61)+26</f>
        <v>306.524590163934</v>
      </c>
      <c r="BA3" s="0" t="n">
        <f aca="false">AZ3/1950</f>
        <v>0.157192097519966</v>
      </c>
      <c r="BB3" s="3" t="n">
        <f aca="false">BA3*B3</f>
        <v>2.04349726775956</v>
      </c>
    </row>
    <row r="4" customFormat="false" ht="12.8" hidden="false" customHeight="false" outlineLevel="0" collapsed="false">
      <c r="A4" s="0" t="s">
        <v>18</v>
      </c>
      <c r="B4" s="0" t="n">
        <v>25.13456</v>
      </c>
      <c r="C4" s="0" t="n">
        <v>85</v>
      </c>
      <c r="D4" s="0" t="n">
        <f aca="false">C4/1950</f>
        <v>0.0435897435897436</v>
      </c>
      <c r="E4" s="1" t="n">
        <f aca="false">D4*B4</f>
        <v>1.09560902564103</v>
      </c>
      <c r="F4" s="0" t="n">
        <v>2</v>
      </c>
      <c r="G4" s="1" t="n">
        <f aca="false">F4/1950</f>
        <v>0.00102564102564103</v>
      </c>
      <c r="H4" s="1" t="n">
        <f aca="false">G4*B4</f>
        <v>0.0257790358974359</v>
      </c>
      <c r="I4" s="11" t="n">
        <v>9</v>
      </c>
      <c r="J4" s="17" t="n">
        <f aca="false">I4/1950</f>
        <v>0.00461538461538462</v>
      </c>
      <c r="K4" s="17" t="n">
        <f aca="false">J4*B4</f>
        <v>0.116005661538462</v>
      </c>
      <c r="L4" s="0" t="n">
        <v>32</v>
      </c>
      <c r="M4" s="0" t="n">
        <f aca="false">L4/1950</f>
        <v>0.0164102564102564</v>
      </c>
      <c r="N4" s="0" t="n">
        <f aca="false">M4*B4</f>
        <v>0.412464574358974</v>
      </c>
      <c r="O4" s="0" t="n">
        <v>32</v>
      </c>
      <c r="P4" s="0" t="n">
        <f aca="false">O4/1950</f>
        <v>0.0164102564102564</v>
      </c>
      <c r="Q4" s="1" t="n">
        <f aca="false">P4*B4</f>
        <v>0.412464574358974</v>
      </c>
      <c r="R4" s="1" t="n">
        <f aca="false">S4*1950</f>
        <v>665.572564127297</v>
      </c>
      <c r="S4" s="1" t="n">
        <f aca="false">10^(-0.64815*LOG(B4*1000)+3.59605)*120/1950</f>
        <v>0.341319263655024</v>
      </c>
      <c r="T4" s="1" t="n">
        <f aca="false">S4*B4</f>
        <v>8.57890951149302</v>
      </c>
      <c r="U4" s="0" t="n">
        <v>2</v>
      </c>
      <c r="V4" s="0" t="n">
        <f aca="false">U4/1950</f>
        <v>0.00102564102564103</v>
      </c>
      <c r="W4" s="1" t="n">
        <f aca="false">V4*B4</f>
        <v>0.0257790358974359</v>
      </c>
      <c r="X4" s="11" t="n">
        <v>9</v>
      </c>
      <c r="Y4" s="11" t="n">
        <f aca="false">X4/1950</f>
        <v>0.00461538461538462</v>
      </c>
      <c r="Z4" s="17" t="n">
        <f aca="false">Y4*B4</f>
        <v>0.116005661538462</v>
      </c>
      <c r="AA4" s="1" t="n">
        <f aca="false">AB4*1950</f>
        <v>665.572564127297</v>
      </c>
      <c r="AB4" s="1" t="n">
        <f aca="false">10^(-0.64815*LOG(B4*1000)+3.59605)*120/1950</f>
        <v>0.341319263655024</v>
      </c>
      <c r="AC4" s="1" t="n">
        <f aca="false">AB4*B4</f>
        <v>8.57890951149302</v>
      </c>
      <c r="AD4" s="17" t="n">
        <f aca="false">AE4*1950</f>
        <v>665.572564127297</v>
      </c>
      <c r="AE4" s="17" t="n">
        <f aca="false">10^(-0.64815*LOG(B4*1000)+3.59605)*120/1950</f>
        <v>0.341319263655024</v>
      </c>
      <c r="AF4" s="17" t="n">
        <f aca="false">AE4*B4</f>
        <v>8.57890951149302</v>
      </c>
      <c r="AH4" s="0" t="n">
        <v>85</v>
      </c>
      <c r="AI4" s="0" t="n">
        <f aca="false">AH4/1950</f>
        <v>0.0435897435897436</v>
      </c>
      <c r="AJ4" s="0" t="n">
        <f aca="false">AI4*B4</f>
        <v>1.09560902564103</v>
      </c>
      <c r="AK4" s="0" t="n">
        <v>85</v>
      </c>
      <c r="AL4" s="0" t="n">
        <f aca="false">AK4/1950</f>
        <v>0.0435897435897436</v>
      </c>
      <c r="AM4" s="0" t="n">
        <f aca="false">AL4*B4</f>
        <v>1.09560902564103</v>
      </c>
      <c r="AN4" s="0" t="n">
        <v>6</v>
      </c>
      <c r="AO4" s="0" t="n">
        <f aca="false">AN4/1950</f>
        <v>0.00307692307692308</v>
      </c>
      <c r="AP4" s="0" t="n">
        <f aca="false">AO4*B4</f>
        <v>0.0773371076923077</v>
      </c>
      <c r="AT4" s="0" t="n">
        <v>1</v>
      </c>
      <c r="AU4" s="0" t="n">
        <f aca="false">AT4/1950</f>
        <v>0.000512820512820513</v>
      </c>
      <c r="AV4" s="0" t="n">
        <f aca="false">AU4*B4</f>
        <v>0.012889517948718</v>
      </c>
      <c r="AW4" s="0" t="n">
        <v>85</v>
      </c>
      <c r="AX4" s="0" t="n">
        <f aca="false">AW4/1950</f>
        <v>0.0435897435897436</v>
      </c>
      <c r="AY4" s="1" t="n">
        <f aca="false">AX4*B4</f>
        <v>1.09560902564103</v>
      </c>
      <c r="AZ4" s="0" t="n">
        <v>85</v>
      </c>
      <c r="BA4" s="0" t="n">
        <f aca="false">AZ4/1950</f>
        <v>0.0435897435897436</v>
      </c>
      <c r="BB4" s="1" t="n">
        <f aca="false">BA4*B4</f>
        <v>1.09560902564103</v>
      </c>
    </row>
    <row r="5" customFormat="false" ht="12.8" hidden="false" customHeight="false" outlineLevel="0" collapsed="false">
      <c r="A5" s="0" t="s">
        <v>43</v>
      </c>
      <c r="B5" s="0" t="n">
        <v>13</v>
      </c>
      <c r="C5" s="0" t="n">
        <v>32</v>
      </c>
      <c r="D5" s="0" t="n">
        <f aca="false">C5/1950</f>
        <v>0.0164102564102564</v>
      </c>
      <c r="E5" s="0" t="n">
        <f aca="false">D5*B5</f>
        <v>0.213333333333333</v>
      </c>
      <c r="F5" s="0" t="n">
        <v>1</v>
      </c>
      <c r="G5" s="1" t="n">
        <f aca="false">F5/1950</f>
        <v>0.000512820512820513</v>
      </c>
      <c r="H5" s="1" t="n">
        <f aca="false">G5*B5</f>
        <v>0.00666666666666667</v>
      </c>
      <c r="I5" s="11" t="n">
        <v>1</v>
      </c>
      <c r="J5" s="17" t="n">
        <f aca="false">I5/1950</f>
        <v>0.000512820512820513</v>
      </c>
      <c r="K5" s="17" t="n">
        <f aca="false">J5*B5</f>
        <v>0.00666666666666667</v>
      </c>
      <c r="L5" s="0" t="n">
        <v>2</v>
      </c>
      <c r="M5" s="0" t="n">
        <f aca="false">L5/1950</f>
        <v>0.00102564102564103</v>
      </c>
      <c r="N5" s="0" t="n">
        <f aca="false">M5*B5</f>
        <v>0.0133333333333333</v>
      </c>
      <c r="O5" s="0" t="n">
        <v>2</v>
      </c>
      <c r="P5" s="0" t="n">
        <f aca="false">O5/1950</f>
        <v>0.00102564102564103</v>
      </c>
      <c r="Q5" s="1" t="n">
        <f aca="false">P5*B5</f>
        <v>0.0133333333333333</v>
      </c>
      <c r="R5" s="1" t="n">
        <f aca="false">S5*1950</f>
        <v>1020.41976540541</v>
      </c>
      <c r="S5" s="1" t="n">
        <f aca="false">10^(-0.64815*LOG(B5*1000)+3.59605)*120/1950</f>
        <v>0.523292187387389</v>
      </c>
      <c r="T5" s="1" t="n">
        <f aca="false">S5*B5</f>
        <v>6.80279843603605</v>
      </c>
      <c r="U5" s="0" t="n">
        <v>1</v>
      </c>
      <c r="V5" s="0" t="n">
        <f aca="false">U5/1950</f>
        <v>0.000512820512820513</v>
      </c>
      <c r="W5" s="1" t="n">
        <f aca="false">V5*B5</f>
        <v>0.00666666666666667</v>
      </c>
      <c r="X5" s="11" t="n">
        <v>1</v>
      </c>
      <c r="Y5" s="11" t="n">
        <f aca="false">X5/1950</f>
        <v>0.000512820512820513</v>
      </c>
      <c r="Z5" s="17" t="n">
        <f aca="false">Y5*B5</f>
        <v>0.00666666666666667</v>
      </c>
      <c r="AA5" s="1" t="n">
        <f aca="false">AB5*1950</f>
        <v>1020.41976540541</v>
      </c>
      <c r="AB5" s="1" t="n">
        <f aca="false">10^(-0.64815*LOG(B5*1000)+3.59605)*120/1950</f>
        <v>0.523292187387389</v>
      </c>
      <c r="AC5" s="1" t="n">
        <f aca="false">AB5*B5</f>
        <v>6.80279843603605</v>
      </c>
      <c r="AD5" s="17" t="n">
        <f aca="false">AE5*1950</f>
        <v>1020.41976540541</v>
      </c>
      <c r="AE5" s="17" t="n">
        <f aca="false">10^(-0.64815*LOG(B5*1000)+3.59605)*120/1950</f>
        <v>0.523292187387389</v>
      </c>
      <c r="AF5" s="17" t="n">
        <f aca="false">AE5*B5</f>
        <v>6.80279843603605</v>
      </c>
      <c r="AH5" s="0" t="n">
        <v>32</v>
      </c>
      <c r="AI5" s="0" t="n">
        <f aca="false">AH5/1950</f>
        <v>0.0164102564102564</v>
      </c>
      <c r="AJ5" s="0" t="n">
        <f aca="false">AI5*B5</f>
        <v>0.213333333333333</v>
      </c>
      <c r="AK5" s="0" t="n">
        <v>32</v>
      </c>
      <c r="AL5" s="0" t="n">
        <f aca="false">AK5/1950</f>
        <v>0.0164102564102564</v>
      </c>
      <c r="AM5" s="0" t="n">
        <f aca="false">AL5*B5</f>
        <v>0.213333333333333</v>
      </c>
      <c r="AN5" s="0" t="n">
        <v>0</v>
      </c>
      <c r="AO5" s="0" t="n">
        <f aca="false">AN5/1950</f>
        <v>0</v>
      </c>
      <c r="AP5" s="0" t="n">
        <f aca="false">AO5*B5</f>
        <v>0</v>
      </c>
      <c r="AT5" s="0" t="n">
        <v>1</v>
      </c>
      <c r="AU5" s="0" t="n">
        <f aca="false">AT5/1950</f>
        <v>0.000512820512820513</v>
      </c>
      <c r="AV5" s="0" t="n">
        <f aca="false">AU5*B5</f>
        <v>0.00666666666666667</v>
      </c>
      <c r="AW5" s="0" t="n">
        <v>32</v>
      </c>
      <c r="AX5" s="0" t="n">
        <f aca="false">AW5/1950</f>
        <v>0.0164102564102564</v>
      </c>
      <c r="AY5" s="0" t="n">
        <f aca="false">AX5*B5</f>
        <v>0.213333333333333</v>
      </c>
      <c r="AZ5" s="0" t="n">
        <v>32</v>
      </c>
      <c r="BA5" s="0" t="n">
        <f aca="false">AZ5/1950</f>
        <v>0.0164102564102564</v>
      </c>
      <c r="BB5" s="1" t="n">
        <f aca="false">BA5*B5</f>
        <v>0.213333333333333</v>
      </c>
    </row>
    <row r="6" customFormat="false" ht="12.8" hidden="false" customHeight="false" outlineLevel="0" collapsed="false">
      <c r="A6" s="0" t="s">
        <v>330</v>
      </c>
      <c r="B6" s="0" t="n">
        <v>13</v>
      </c>
      <c r="C6" s="0" t="n">
        <v>1</v>
      </c>
      <c r="D6" s="0" t="n">
        <f aca="false">C6/1950</f>
        <v>0.000512820512820513</v>
      </c>
      <c r="E6" s="0" t="n">
        <f aca="false">D6*B6</f>
        <v>0.00666666666666667</v>
      </c>
      <c r="F6" s="0" t="n">
        <v>0</v>
      </c>
      <c r="G6" s="1" t="n">
        <v>0</v>
      </c>
      <c r="H6" s="1" t="n">
        <v>0</v>
      </c>
      <c r="I6" s="11" t="n">
        <v>0</v>
      </c>
      <c r="J6" s="17" t="n">
        <v>0</v>
      </c>
      <c r="K6" s="17" t="n">
        <f aca="false">J6*B6</f>
        <v>0</v>
      </c>
      <c r="L6" s="0" t="n">
        <v>0</v>
      </c>
      <c r="M6" s="0" t="n">
        <v>0</v>
      </c>
      <c r="N6" s="0" t="n">
        <v>0</v>
      </c>
      <c r="O6" s="0" t="n">
        <v>0</v>
      </c>
      <c r="P6" s="0" t="n">
        <v>0</v>
      </c>
      <c r="Q6" s="1" t="n">
        <v>0</v>
      </c>
      <c r="R6" s="1" t="n">
        <f aca="false">S6*1950</f>
        <v>1020.41976540541</v>
      </c>
      <c r="S6" s="1" t="n">
        <f aca="false">10^(-0.64815*LOG(B6*1000)+3.59605)*120/1950</f>
        <v>0.523292187387389</v>
      </c>
      <c r="T6" s="1" t="n">
        <f aca="false">S6*B6</f>
        <v>6.80279843603605</v>
      </c>
      <c r="U6" s="0" t="n">
        <v>0</v>
      </c>
      <c r="V6" s="0" t="n">
        <v>0</v>
      </c>
      <c r="W6" s="1" t="n">
        <v>0</v>
      </c>
      <c r="X6" s="11" t="n">
        <v>0</v>
      </c>
      <c r="Y6" s="11" t="n">
        <v>0</v>
      </c>
      <c r="Z6" s="17" t="n">
        <f aca="false">Y6*B6</f>
        <v>0</v>
      </c>
      <c r="AA6" s="1" t="n">
        <f aca="false">AB6*1950</f>
        <v>1020.41976540541</v>
      </c>
      <c r="AB6" s="1" t="n">
        <f aca="false">10^(-0.64815*LOG(B6*1000)+3.59605)*120/1950</f>
        <v>0.523292187387389</v>
      </c>
      <c r="AC6" s="1" t="n">
        <f aca="false">AB6*B6</f>
        <v>6.80279843603605</v>
      </c>
      <c r="AD6" s="17" t="n">
        <f aca="false">AE6*1950</f>
        <v>1020.41976540541</v>
      </c>
      <c r="AE6" s="17" t="n">
        <f aca="false">10^(-0.64815*LOG(B6*1000)+3.59605)*120/1950</f>
        <v>0.523292187387389</v>
      </c>
      <c r="AF6" s="17" t="n">
        <f aca="false">AE6*B6</f>
        <v>6.80279843603605</v>
      </c>
      <c r="BB6" s="1"/>
    </row>
    <row r="7" customFormat="false" ht="12.8" hidden="false" customHeight="false" outlineLevel="0" collapsed="false">
      <c r="A7" s="3" t="s">
        <v>331</v>
      </c>
      <c r="B7" s="0" t="n">
        <f aca="false">AVERAGE(B4:B5)</f>
        <v>19.06728</v>
      </c>
      <c r="C7" s="3" t="n">
        <v>254</v>
      </c>
      <c r="D7" s="0" t="n">
        <f aca="false">C7/1950</f>
        <v>0.13025641025641</v>
      </c>
      <c r="E7" s="0" t="n">
        <f aca="false">D7*B7</f>
        <v>2.48363544615385</v>
      </c>
      <c r="F7" s="0" t="n">
        <v>5</v>
      </c>
      <c r="G7" s="1" t="n">
        <f aca="false">F7/1950</f>
        <v>0.00256410256410256</v>
      </c>
      <c r="H7" s="1" t="n">
        <f aca="false">G7*B7</f>
        <v>0.0488904615384615</v>
      </c>
      <c r="I7" s="11" t="n">
        <v>11</v>
      </c>
      <c r="J7" s="17" t="n">
        <f aca="false">I7/1950</f>
        <v>0.00564102564102564</v>
      </c>
      <c r="K7" s="17" t="n">
        <f aca="false">J7*B7</f>
        <v>0.107559015384615</v>
      </c>
      <c r="L7" s="0" t="n">
        <v>12</v>
      </c>
      <c r="M7" s="0" t="n">
        <f aca="false">L7/1950</f>
        <v>0.00615384615384615</v>
      </c>
      <c r="N7" s="0" t="n">
        <f aca="false">M7*B7</f>
        <v>0.117337107692308</v>
      </c>
      <c r="O7" s="0" t="n">
        <v>12</v>
      </c>
      <c r="P7" s="0" t="n">
        <f aca="false">O7/1950</f>
        <v>0.00615384615384615</v>
      </c>
      <c r="Q7" s="1" t="n">
        <f aca="false">P7*B7</f>
        <v>0.117337107692308</v>
      </c>
      <c r="R7" s="1" t="s">
        <v>74</v>
      </c>
      <c r="S7" s="1" t="s">
        <v>74</v>
      </c>
      <c r="T7" s="1" t="s">
        <v>74</v>
      </c>
      <c r="U7" s="0" t="n">
        <v>5</v>
      </c>
      <c r="V7" s="0" t="n">
        <f aca="false">U7/1950</f>
        <v>0.00256410256410256</v>
      </c>
      <c r="W7" s="1" t="n">
        <f aca="false">V7*B7</f>
        <v>0.0488904615384615</v>
      </c>
      <c r="X7" s="11" t="n">
        <v>11</v>
      </c>
      <c r="Y7" s="11" t="n">
        <f aca="false">X7/1950</f>
        <v>0.00564102564102564</v>
      </c>
      <c r="Z7" s="17" t="n">
        <f aca="false">Y7*B7</f>
        <v>0.107559015384615</v>
      </c>
      <c r="AA7" s="1" t="s">
        <v>74</v>
      </c>
      <c r="AB7" s="1" t="s">
        <v>74</v>
      </c>
      <c r="AC7" s="1" t="s">
        <v>74</v>
      </c>
      <c r="AD7" s="17" t="s">
        <v>74</v>
      </c>
      <c r="AE7" s="17" t="s">
        <v>74</v>
      </c>
      <c r="AF7" s="17" t="s">
        <v>74</v>
      </c>
      <c r="AH7" s="0" t="n">
        <v>276</v>
      </c>
      <c r="AI7" s="0" t="n">
        <f aca="false">AH7/1950</f>
        <v>0.141538461538462</v>
      </c>
      <c r="AJ7" s="0" t="n">
        <f aca="false">AI7*B7</f>
        <v>2.69875347692308</v>
      </c>
      <c r="AK7" s="0" t="n">
        <v>276</v>
      </c>
      <c r="AL7" s="0" t="n">
        <f aca="false">AK7/1950</f>
        <v>0.141538461538462</v>
      </c>
      <c r="AM7" s="0" t="n">
        <f aca="false">AL7*B7</f>
        <v>2.69875347692308</v>
      </c>
      <c r="AN7" s="0" t="n">
        <v>12</v>
      </c>
      <c r="AO7" s="0" t="n">
        <f aca="false">AN7/1950</f>
        <v>0.00615384615384615</v>
      </c>
      <c r="AP7" s="0" t="n">
        <f aca="false">AO7*B7</f>
        <v>0.117337107692308</v>
      </c>
      <c r="AT7" s="0" t="n">
        <v>5</v>
      </c>
      <c r="AU7" s="0" t="n">
        <f aca="false">AT7/1950</f>
        <v>0.00256410256410256</v>
      </c>
      <c r="AV7" s="0" t="n">
        <f aca="false">AU7*B7</f>
        <v>0.0488904615384615</v>
      </c>
      <c r="AW7" s="0" t="n">
        <v>255</v>
      </c>
      <c r="AX7" s="0" t="n">
        <f aca="false">AW7/1950</f>
        <v>0.130769230769231</v>
      </c>
      <c r="AY7" s="0" t="n">
        <f aca="false">AX7*B7</f>
        <v>2.49341353846154</v>
      </c>
      <c r="AZ7" s="0" t="n">
        <v>276</v>
      </c>
      <c r="BA7" s="0" t="n">
        <f aca="false">AZ7/1950</f>
        <v>0.141538461538462</v>
      </c>
      <c r="BB7" s="1" t="n">
        <f aca="false">BA7*B7</f>
        <v>2.69875347692308</v>
      </c>
    </row>
    <row r="8" customFormat="false" ht="12.8" hidden="false" customHeight="false" outlineLevel="0" collapsed="false">
      <c r="A8" s="3" t="s">
        <v>332</v>
      </c>
      <c r="B8" s="0" t="s">
        <v>74</v>
      </c>
      <c r="C8" s="3" t="n">
        <v>372</v>
      </c>
      <c r="D8" s="0" t="n">
        <f aca="false">C8/1950</f>
        <v>0.190769230769231</v>
      </c>
      <c r="E8" s="3" t="n">
        <f aca="false">SUM(E4:E7)</f>
        <v>3.79924447179487</v>
      </c>
      <c r="F8" s="0" t="n">
        <v>7</v>
      </c>
      <c r="G8" s="1" t="n">
        <f aca="false">F8/1950</f>
        <v>0.00358974358974359</v>
      </c>
      <c r="H8" s="3" t="n">
        <f aca="false">SUM(H4:H7)</f>
        <v>0.0813361641025641</v>
      </c>
      <c r="I8" s="11" t="n">
        <f aca="false">SUM(I4:I7)</f>
        <v>21</v>
      </c>
      <c r="J8" s="17" t="n">
        <f aca="false">I8/1950</f>
        <v>0.0107692307692308</v>
      </c>
      <c r="K8" s="16" t="n">
        <f aca="false">SUM(K4:K7)</f>
        <v>0.230231343589744</v>
      </c>
      <c r="L8" s="3" t="n">
        <f aca="false">SUM(L4:L7)</f>
        <v>46</v>
      </c>
      <c r="M8" s="0" t="n">
        <f aca="false">L8/1950</f>
        <v>0.0235897435897436</v>
      </c>
      <c r="N8" s="3" t="n">
        <f aca="false">SUM(N4:N7)</f>
        <v>0.543135015384615</v>
      </c>
      <c r="O8" s="3" t="n">
        <f aca="false">SUM(O4:O7)</f>
        <v>46</v>
      </c>
      <c r="P8" s="0" t="n">
        <f aca="false">O8/1950</f>
        <v>0.0235897435897436</v>
      </c>
      <c r="Q8" s="3" t="n">
        <f aca="false">SUM(Q4:Q7)</f>
        <v>0.543135015384615</v>
      </c>
      <c r="R8" s="3"/>
      <c r="S8" s="1" t="n">
        <f aca="false">SUM(S4:S7)</f>
        <v>1.3879036384298</v>
      </c>
      <c r="T8" s="3" t="n">
        <f aca="false">SUM(T4:T7)</f>
        <v>22.1845063835651</v>
      </c>
      <c r="U8" s="0" t="n">
        <v>7</v>
      </c>
      <c r="V8" s="0" t="n">
        <f aca="false">U8/1950</f>
        <v>0.00358974358974359</v>
      </c>
      <c r="W8" s="3" t="n">
        <f aca="false">SUM(W4:W7)</f>
        <v>0.0813361641025641</v>
      </c>
      <c r="X8" s="11" t="n">
        <f aca="false">SUM(X4:X7)</f>
        <v>21</v>
      </c>
      <c r="Y8" s="11" t="n">
        <f aca="false">X8/1950</f>
        <v>0.0107692307692308</v>
      </c>
      <c r="Z8" s="16" t="n">
        <f aca="false">SUM(Z4:Z7)</f>
        <v>0.230231343589744</v>
      </c>
      <c r="AA8" s="1"/>
      <c r="AB8" s="1" t="n">
        <f aca="false">SUM(AB4:AB7)</f>
        <v>1.3879036384298</v>
      </c>
      <c r="AC8" s="3" t="n">
        <f aca="false">SUM(AC4:AC7)</f>
        <v>22.1845063835651</v>
      </c>
      <c r="AD8" s="17"/>
      <c r="AE8" s="17" t="n">
        <f aca="false">SUM(AE4:AE7)</f>
        <v>1.3879036384298</v>
      </c>
      <c r="AF8" s="16" t="n">
        <f aca="false">SUM(AF4:AF7)</f>
        <v>22.1845063835651</v>
      </c>
      <c r="AH8" s="1" t="n">
        <f aca="false">AW8+21</f>
        <v>393</v>
      </c>
      <c r="AI8" s="0" t="n">
        <f aca="false">AH8/1950</f>
        <v>0.201538461538462</v>
      </c>
      <c r="AJ8" s="3" t="n">
        <f aca="false">SUM(AJ4:AJ7)</f>
        <v>4.00769583589744</v>
      </c>
      <c r="AK8" s="1" t="n">
        <f aca="false">AZ8+21</f>
        <v>414</v>
      </c>
      <c r="AL8" s="0" t="n">
        <f aca="false">AK8/1950</f>
        <v>0.212307692307692</v>
      </c>
      <c r="AM8" s="3" t="n">
        <f aca="false">SUM(AM4:AM7)</f>
        <v>4.00769583589744</v>
      </c>
      <c r="AN8" s="3" t="n">
        <f aca="false">SUM(AN4:AN7)</f>
        <v>18</v>
      </c>
      <c r="AO8" s="0" t="n">
        <f aca="false">AN8/1950</f>
        <v>0.00923076923076923</v>
      </c>
      <c r="AP8" s="3" t="n">
        <f aca="false">SUM(AP4:AP7)</f>
        <v>0.194674215384615</v>
      </c>
      <c r="AT8" s="0" t="n">
        <v>7</v>
      </c>
      <c r="AU8" s="0" t="n">
        <f aca="false">AT8/1950</f>
        <v>0.00358974358974359</v>
      </c>
      <c r="AV8" s="3" t="n">
        <f aca="false">SUM(AV4:AV7)</f>
        <v>0.0684466461538462</v>
      </c>
      <c r="AW8" s="0" t="n">
        <v>372</v>
      </c>
      <c r="AX8" s="0" t="n">
        <f aca="false">AW8/1950</f>
        <v>0.190769230769231</v>
      </c>
      <c r="AY8" s="3" t="n">
        <f aca="false">SUM(AY4:AY7)</f>
        <v>3.8023558974359</v>
      </c>
      <c r="AZ8" s="1" t="n">
        <f aca="false">C8+21</f>
        <v>393</v>
      </c>
      <c r="BA8" s="0" t="n">
        <f aca="false">AZ8/1950</f>
        <v>0.201538461538462</v>
      </c>
      <c r="BB8" s="3" t="n">
        <f aca="false">SUM(BB4:BB7)</f>
        <v>4.00769583589744</v>
      </c>
    </row>
    <row r="9" customFormat="false" ht="12.8" hidden="false" customHeight="false" outlineLevel="0" collapsed="false">
      <c r="A9" s="0" t="s">
        <v>54</v>
      </c>
      <c r="B9" s="0" t="n">
        <v>130</v>
      </c>
      <c r="C9" s="1" t="n">
        <v>2</v>
      </c>
      <c r="D9" s="0" t="n">
        <f aca="false">C9/1950</f>
        <v>0.00102564102564103</v>
      </c>
      <c r="E9" s="3" t="n">
        <f aca="false">D9*B9</f>
        <v>0.133333333333333</v>
      </c>
      <c r="F9" s="0" t="n">
        <v>0</v>
      </c>
      <c r="G9" s="1" t="n">
        <f aca="false">F9/1950</f>
        <v>0</v>
      </c>
      <c r="H9" s="0" t="n">
        <f aca="false">G9*B9</f>
        <v>0</v>
      </c>
      <c r="I9" s="11" t="n">
        <v>0</v>
      </c>
      <c r="J9" s="17" t="n">
        <f aca="false">I9/1950</f>
        <v>0</v>
      </c>
      <c r="K9" s="11" t="n">
        <f aca="false">J9*B9</f>
        <v>0</v>
      </c>
      <c r="L9" s="0" t="n">
        <v>1</v>
      </c>
      <c r="M9" s="0" t="n">
        <f aca="false">L9/1950</f>
        <v>0.000512820512820513</v>
      </c>
      <c r="N9" s="3" t="n">
        <f aca="false">M9*B9</f>
        <v>0.0666666666666667</v>
      </c>
      <c r="O9" s="0" t="n">
        <v>1</v>
      </c>
      <c r="P9" s="0" t="n">
        <f aca="false">O9/1950</f>
        <v>0.000512820512820513</v>
      </c>
      <c r="Q9" s="3" t="n">
        <f aca="false">P9*B9</f>
        <v>0.0666666666666667</v>
      </c>
      <c r="R9" s="0" t="n">
        <f aca="false">S9*1950</f>
        <v>229.418725221012</v>
      </c>
      <c r="S9" s="1" t="n">
        <f aca="false">10^(-0.64815*LOG(B9*1000)+3.59605)*120/1950</f>
        <v>0.117650628318468</v>
      </c>
      <c r="T9" s="3" t="n">
        <f aca="false">S9*B9</f>
        <v>15.2945816814008</v>
      </c>
      <c r="U9" s="0" t="n">
        <v>0</v>
      </c>
      <c r="V9" s="0" t="n">
        <f aca="false">U9/1950</f>
        <v>0</v>
      </c>
      <c r="W9" s="3" t="n">
        <f aca="false">V9*B9</f>
        <v>0</v>
      </c>
      <c r="X9" s="11" t="n">
        <v>0</v>
      </c>
      <c r="Y9" s="11" t="n">
        <f aca="false">X9/1950</f>
        <v>0</v>
      </c>
      <c r="Z9" s="16" t="n">
        <f aca="false">Y9*B9</f>
        <v>0</v>
      </c>
      <c r="AA9" s="0" t="n">
        <f aca="false">AB9*1950</f>
        <v>229.418725221012</v>
      </c>
      <c r="AB9" s="1" t="n">
        <f aca="false">10^(-0.64815*LOG(B9*1000)+3.59605)*120/1950</f>
        <v>0.117650628318468</v>
      </c>
      <c r="AC9" s="3" t="n">
        <f aca="false">AB9*B9</f>
        <v>15.2945816814008</v>
      </c>
      <c r="AD9" s="11" t="n">
        <f aca="false">AE9*1950</f>
        <v>229.418725221012</v>
      </c>
      <c r="AE9" s="17" t="n">
        <f aca="false">10^(-0.64815*LOG(B9*1000)+3.59605)*120/1950</f>
        <v>0.117650628318468</v>
      </c>
      <c r="AF9" s="16" t="n">
        <f aca="false">AE9*B9</f>
        <v>15.2945816814008</v>
      </c>
      <c r="AH9" s="0" t="n">
        <f aca="false">C9*C8/61</f>
        <v>12.1967213114754</v>
      </c>
      <c r="AI9" s="0" t="n">
        <f aca="false">AH9/1950</f>
        <v>0.0062547288776797</v>
      </c>
      <c r="AJ9" s="1" t="n">
        <f aca="false">AI9*B9</f>
        <v>0.813114754098361</v>
      </c>
      <c r="AK9" s="0" t="n">
        <f aca="false">C9*C8/61</f>
        <v>12.1967213114754</v>
      </c>
      <c r="AL9" s="0" t="n">
        <f aca="false">AK9/1950</f>
        <v>0.0062547288776797</v>
      </c>
      <c r="AM9" s="0" t="n">
        <f aca="false">AL9*B9</f>
        <v>0.813114754098361</v>
      </c>
      <c r="AN9" s="0" t="n">
        <v>0</v>
      </c>
      <c r="AO9" s="0" t="n">
        <f aca="false">AN9/1950</f>
        <v>0</v>
      </c>
      <c r="AP9" s="0" t="n">
        <f aca="false">AO9*B9</f>
        <v>0</v>
      </c>
      <c r="AT9" s="0" t="n">
        <v>0</v>
      </c>
      <c r="AU9" s="0" t="n">
        <f aca="false">AT9/1950</f>
        <v>0</v>
      </c>
      <c r="AV9" s="0" t="n">
        <v>0</v>
      </c>
      <c r="AW9" s="0" t="n">
        <f aca="false">C9*C8/61</f>
        <v>12.1967213114754</v>
      </c>
      <c r="AX9" s="0" t="n">
        <f aca="false">AW9/1950</f>
        <v>0.0062547288776797</v>
      </c>
      <c r="AY9" s="3" t="n">
        <f aca="false">AX9*B9</f>
        <v>0.813114754098361</v>
      </c>
      <c r="AZ9" s="0" t="n">
        <f aca="false">C9*C8/61</f>
        <v>12.1967213114754</v>
      </c>
      <c r="BA9" s="0" t="n">
        <f aca="false">AZ9/1950</f>
        <v>0.0062547288776797</v>
      </c>
      <c r="BB9" s="3" t="n">
        <f aca="false">BA9*B9</f>
        <v>0.813114754098361</v>
      </c>
    </row>
    <row r="10" customFormat="false" ht="12.8" hidden="false" customHeight="false" outlineLevel="0" collapsed="false">
      <c r="A10" s="0" t="s">
        <v>65</v>
      </c>
      <c r="B10" s="0" t="n">
        <v>178.508</v>
      </c>
      <c r="C10" s="1" t="n">
        <v>5</v>
      </c>
      <c r="D10" s="0" t="n">
        <f aca="false">C10/1950</f>
        <v>0.00256410256410256</v>
      </c>
      <c r="E10" s="0" t="n">
        <f aca="false">D10*B10</f>
        <v>0.457712820512821</v>
      </c>
      <c r="F10" s="0" t="n">
        <v>1</v>
      </c>
      <c r="G10" s="1" t="n">
        <f aca="false">F10/1950</f>
        <v>0.000512820512820513</v>
      </c>
      <c r="H10" s="0" t="n">
        <f aca="false">G10*B10</f>
        <v>0.0915425641025641</v>
      </c>
      <c r="I10" s="11" t="n">
        <v>1</v>
      </c>
      <c r="J10" s="17" t="n">
        <f aca="false">I10/1950</f>
        <v>0.000512820512820513</v>
      </c>
      <c r="K10" s="11" t="n">
        <f aca="false">J10*B10</f>
        <v>0.0915425641025641</v>
      </c>
      <c r="L10" s="0" t="n">
        <v>1</v>
      </c>
      <c r="M10" s="0" t="n">
        <f aca="false">L10/1950</f>
        <v>0.000512820512820513</v>
      </c>
      <c r="N10" s="0" t="n">
        <f aca="false">M10*B10</f>
        <v>0.0915425641025641</v>
      </c>
      <c r="O10" s="0" t="n">
        <v>1</v>
      </c>
      <c r="P10" s="0" t="n">
        <f aca="false">O10/1950</f>
        <v>0.000512820512820513</v>
      </c>
      <c r="Q10" s="0" t="n">
        <f aca="false">P10*B10</f>
        <v>0.0915425641025641</v>
      </c>
      <c r="R10" s="0" t="n">
        <f aca="false">S10*1950</f>
        <v>186.796750942474</v>
      </c>
      <c r="S10" s="1" t="n">
        <f aca="false">10^(-0.64815*LOG(B10*1000)+3.59605)*120/1950</f>
        <v>0.0957932056115252</v>
      </c>
      <c r="T10" s="1" t="n">
        <f aca="false">S10*B10</f>
        <v>17.0998535473021</v>
      </c>
      <c r="U10" s="0" t="n">
        <v>1</v>
      </c>
      <c r="V10" s="0" t="n">
        <f aca="false">U10/1950</f>
        <v>0.000512820512820513</v>
      </c>
      <c r="W10" s="0" t="n">
        <f aca="false">V10*B10</f>
        <v>0.0915425641025641</v>
      </c>
      <c r="X10" s="11" t="n">
        <v>1</v>
      </c>
      <c r="Y10" s="11" t="n">
        <f aca="false">X10/1950</f>
        <v>0.000512820512820513</v>
      </c>
      <c r="Z10" s="11" t="n">
        <f aca="false">Y10*B10</f>
        <v>0.0915425641025641</v>
      </c>
      <c r="AA10" s="0" t="n">
        <f aca="false">AB10*1950</f>
        <v>186.796750942474</v>
      </c>
      <c r="AB10" s="1" t="n">
        <f aca="false">10^(-0.64815*LOG(B10*1000)+3.59605)*120/1950</f>
        <v>0.0957932056115252</v>
      </c>
      <c r="AC10" s="1" t="n">
        <f aca="false">AB10*B10</f>
        <v>17.0998535473021</v>
      </c>
      <c r="AD10" s="11" t="n">
        <f aca="false">AE10*1950</f>
        <v>186.796750942474</v>
      </c>
      <c r="AE10" s="17" t="n">
        <f aca="false">10^(-0.64815*LOG(B10*1000)+3.59605)*120/1950</f>
        <v>0.0957932056115252</v>
      </c>
      <c r="AF10" s="17" t="n">
        <f aca="false">AE10*B10</f>
        <v>17.0998535473021</v>
      </c>
      <c r="AH10" s="1" t="n">
        <v>5</v>
      </c>
      <c r="AI10" s="0" t="n">
        <f aca="false">AH10/1950</f>
        <v>0.00256410256410256</v>
      </c>
      <c r="AJ10" s="1" t="n">
        <f aca="false">AI10*B10</f>
        <v>0.457712820512821</v>
      </c>
      <c r="AK10" s="1" t="n">
        <v>5</v>
      </c>
      <c r="AL10" s="0" t="n">
        <f aca="false">AK10/1950</f>
        <v>0.00256410256410256</v>
      </c>
      <c r="AM10" s="0" t="n">
        <f aca="false">AL10*B10</f>
        <v>0.457712820512821</v>
      </c>
      <c r="AN10" s="0" t="n">
        <v>1</v>
      </c>
      <c r="AO10" s="0" t="n">
        <f aca="false">AN10/1950</f>
        <v>0.000512820512820513</v>
      </c>
      <c r="AP10" s="0" t="n">
        <f aca="false">AO10*B10</f>
        <v>0.0915425641025641</v>
      </c>
      <c r="AT10" s="0" t="n">
        <v>1</v>
      </c>
      <c r="AU10" s="0" t="n">
        <f aca="false">AT10/1950</f>
        <v>0.000512820512820513</v>
      </c>
      <c r="AV10" s="0" t="n">
        <f aca="false">AU10*B10</f>
        <v>0.0915425641025641</v>
      </c>
      <c r="AW10" s="1" t="n">
        <v>5</v>
      </c>
      <c r="AX10" s="0" t="n">
        <f aca="false">AW10/1950</f>
        <v>0.00256410256410256</v>
      </c>
      <c r="AY10" s="0" t="n">
        <f aca="false">(AX10*B10)</f>
        <v>0.457712820512821</v>
      </c>
      <c r="AZ10" s="1" t="n">
        <v>5</v>
      </c>
      <c r="BA10" s="0" t="n">
        <f aca="false">AZ10/1950</f>
        <v>0.00256410256410256</v>
      </c>
      <c r="BB10" s="0" t="n">
        <f aca="false">BA10*B10</f>
        <v>0.457712820512821</v>
      </c>
    </row>
    <row r="11" customFormat="false" ht="12.8" hidden="false" customHeight="false" outlineLevel="0" collapsed="false">
      <c r="A11" s="0" t="s">
        <v>88</v>
      </c>
      <c r="B11" s="0" t="n">
        <v>178.508</v>
      </c>
      <c r="C11" s="1" t="n">
        <v>9</v>
      </c>
      <c r="D11" s="0" t="n">
        <f aca="false">C11/1950</f>
        <v>0.00461538461538462</v>
      </c>
      <c r="E11" s="0" t="n">
        <f aca="false">D11*B11</f>
        <v>0.823883076923077</v>
      </c>
      <c r="F11" s="0" t="n">
        <v>1</v>
      </c>
      <c r="G11" s="1" t="n">
        <f aca="false">F11/1950</f>
        <v>0.000512820512820513</v>
      </c>
      <c r="H11" s="0" t="n">
        <f aca="false">G11*B11</f>
        <v>0.0915425641025641</v>
      </c>
      <c r="I11" s="11" t="n">
        <v>2</v>
      </c>
      <c r="J11" s="17" t="n">
        <f aca="false">I11/1950</f>
        <v>0.00102564102564103</v>
      </c>
      <c r="K11" s="11" t="n">
        <f aca="false">J11*B11</f>
        <v>0.183085128205128</v>
      </c>
      <c r="L11" s="0" t="n">
        <v>1</v>
      </c>
      <c r="M11" s="0" t="n">
        <f aca="false">L11/1950</f>
        <v>0.000512820512820513</v>
      </c>
      <c r="N11" s="0" t="n">
        <f aca="false">M11*B11</f>
        <v>0.0915425641025641</v>
      </c>
      <c r="O11" s="0" t="n">
        <v>1</v>
      </c>
      <c r="P11" s="0" t="n">
        <f aca="false">O11/1950</f>
        <v>0.000512820512820513</v>
      </c>
      <c r="Q11" s="0" t="n">
        <f aca="false">P11*B11</f>
        <v>0.0915425641025641</v>
      </c>
      <c r="R11" s="0" t="n">
        <f aca="false">S11*1950</f>
        <v>186.796750942474</v>
      </c>
      <c r="S11" s="1" t="n">
        <f aca="false">10^(-0.64815*LOG(B11*1000)+3.59605)*120/1950</f>
        <v>0.0957932056115252</v>
      </c>
      <c r="T11" s="1" t="n">
        <f aca="false">S11*B11</f>
        <v>17.0998535473021</v>
      </c>
      <c r="U11" s="0" t="n">
        <v>1</v>
      </c>
      <c r="V11" s="0" t="n">
        <f aca="false">U11/1950</f>
        <v>0.000512820512820513</v>
      </c>
      <c r="W11" s="0" t="n">
        <f aca="false">V11*B11</f>
        <v>0.0915425641025641</v>
      </c>
      <c r="X11" s="11" t="n">
        <v>2</v>
      </c>
      <c r="Y11" s="11" t="n">
        <f aca="false">X11/1950</f>
        <v>0.00102564102564103</v>
      </c>
      <c r="Z11" s="11" t="n">
        <f aca="false">Y11*B11</f>
        <v>0.183085128205128</v>
      </c>
      <c r="AA11" s="0" t="n">
        <f aca="false">AB11*1950</f>
        <v>186.796750942474</v>
      </c>
      <c r="AB11" s="1" t="n">
        <f aca="false">10^(-0.64815*LOG(B11*1000)+3.59605)*120/1950</f>
        <v>0.0957932056115252</v>
      </c>
      <c r="AC11" s="1" t="n">
        <f aca="false">AB11*B11</f>
        <v>17.0998535473021</v>
      </c>
      <c r="AD11" s="11" t="n">
        <f aca="false">AE11*1950</f>
        <v>186.796750942474</v>
      </c>
      <c r="AE11" s="17" t="n">
        <f aca="false">10^(-0.64815*LOG(B11*1000)+3.59605)*120/1950</f>
        <v>0.0957932056115252</v>
      </c>
      <c r="AF11" s="17" t="n">
        <f aca="false">AE11*B11</f>
        <v>17.0998535473021</v>
      </c>
      <c r="AH11" s="1" t="n">
        <v>9</v>
      </c>
      <c r="AI11" s="0" t="n">
        <f aca="false">AH11/1950</f>
        <v>0.00461538461538462</v>
      </c>
      <c r="AJ11" s="1" t="n">
        <f aca="false">AI11*B11</f>
        <v>0.823883076923077</v>
      </c>
      <c r="AK11" s="1" t="n">
        <v>9</v>
      </c>
      <c r="AL11" s="0" t="n">
        <f aca="false">AK11/1950</f>
        <v>0.00461538461538462</v>
      </c>
      <c r="AM11" s="0" t="n">
        <f aca="false">AL11*B11</f>
        <v>0.823883076923077</v>
      </c>
      <c r="AN11" s="0" t="n">
        <v>2</v>
      </c>
      <c r="AO11" s="0" t="n">
        <f aca="false">AN11/1950</f>
        <v>0.00102564102564103</v>
      </c>
      <c r="AP11" s="0" t="n">
        <f aca="false">AO11*B11</f>
        <v>0.183085128205128</v>
      </c>
      <c r="AT11" s="0" t="n">
        <v>0</v>
      </c>
      <c r="AU11" s="0" t="n">
        <f aca="false">AT11/1950</f>
        <v>0</v>
      </c>
      <c r="AV11" s="0" t="n">
        <v>0</v>
      </c>
      <c r="AW11" s="1" t="n">
        <v>9</v>
      </c>
      <c r="AX11" s="0" t="n">
        <f aca="false">AW11/1950</f>
        <v>0.00461538461538462</v>
      </c>
      <c r="AY11" s="0" t="n">
        <f aca="false">(AX11*B11)</f>
        <v>0.823883076923077</v>
      </c>
      <c r="AZ11" s="1" t="n">
        <v>9</v>
      </c>
      <c r="BA11" s="0" t="n">
        <f aca="false">AZ11/1950</f>
        <v>0.00461538461538462</v>
      </c>
      <c r="BB11" s="0" t="n">
        <f aca="false">BA11*B11</f>
        <v>0.823883076923077</v>
      </c>
    </row>
    <row r="12" customFormat="false" ht="12.8" hidden="false" customHeight="false" outlineLevel="0" collapsed="false">
      <c r="A12" s="0" t="s">
        <v>103</v>
      </c>
      <c r="B12" s="0" t="n">
        <v>120.26</v>
      </c>
      <c r="C12" s="1" t="n">
        <v>1</v>
      </c>
      <c r="D12" s="0" t="n">
        <f aca="false">C12/1950</f>
        <v>0.000512820512820513</v>
      </c>
      <c r="E12" s="0" t="n">
        <f aca="false">D12*B12</f>
        <v>0.0616717948717949</v>
      </c>
      <c r="F12" s="0" t="n">
        <v>1</v>
      </c>
      <c r="G12" s="1" t="n">
        <f aca="false">F12/1950</f>
        <v>0.000512820512820513</v>
      </c>
      <c r="H12" s="0" t="n">
        <f aca="false">G12*B12</f>
        <v>0.0616717948717949</v>
      </c>
      <c r="I12" s="11" t="n">
        <v>0</v>
      </c>
      <c r="J12" s="17" t="n">
        <f aca="false">I12/1950</f>
        <v>0</v>
      </c>
      <c r="K12" s="11" t="n">
        <f aca="false">J12*B12</f>
        <v>0</v>
      </c>
      <c r="L12" s="0" t="n">
        <v>0</v>
      </c>
      <c r="M12" s="0" t="n">
        <f aca="false">L12/1950</f>
        <v>0</v>
      </c>
      <c r="N12" s="0" t="n">
        <f aca="false">M12*B12</f>
        <v>0</v>
      </c>
      <c r="O12" s="0" t="n">
        <v>0</v>
      </c>
      <c r="P12" s="0" t="n">
        <f aca="false">O12/1950</f>
        <v>0</v>
      </c>
      <c r="Q12" s="0" t="n">
        <f aca="false">P12*B12</f>
        <v>0</v>
      </c>
      <c r="R12" s="0" t="n">
        <f aca="false">S12*1950</f>
        <v>26.8107017303937</v>
      </c>
      <c r="S12" s="1" t="n">
        <f aca="false">10^(-0.64815*LOG(B12*1000)+3.59605)*120/1950*1/9</f>
        <v>0.0137490778104583</v>
      </c>
      <c r="T12" s="1" t="n">
        <f aca="false">S12*B12</f>
        <v>1.65346409748572</v>
      </c>
      <c r="U12" s="0" t="n">
        <v>1</v>
      </c>
      <c r="V12" s="0" t="n">
        <f aca="false">U12/1950</f>
        <v>0.000512820512820513</v>
      </c>
      <c r="W12" s="0" t="n">
        <f aca="false">V12*B12</f>
        <v>0.0616717948717949</v>
      </c>
      <c r="X12" s="11" t="n">
        <v>0</v>
      </c>
      <c r="Y12" s="11" t="n">
        <f aca="false">X12/1950</f>
        <v>0</v>
      </c>
      <c r="Z12" s="11" t="n">
        <f aca="false">Y12*B12</f>
        <v>0</v>
      </c>
      <c r="AA12" s="0" t="n">
        <f aca="false">AB12*1950</f>
        <v>26.8107017303937</v>
      </c>
      <c r="AB12" s="1" t="n">
        <f aca="false">10^(-0.64815*LOG(B12*1000)+3.59605)*120/1950*1/9</f>
        <v>0.0137490778104583</v>
      </c>
      <c r="AC12" s="1" t="n">
        <f aca="false">AB12*B12</f>
        <v>1.65346409748572</v>
      </c>
      <c r="AD12" s="11" t="n">
        <f aca="false">AE12*1950</f>
        <v>26.8107017303937</v>
      </c>
      <c r="AE12" s="17" t="n">
        <f aca="false">10^(-0.64815*LOG(B12*1000)+3.59605)*120/1950*1/9</f>
        <v>0.0137490778104583</v>
      </c>
      <c r="AF12" s="17" t="n">
        <f aca="false">AE12*B12</f>
        <v>1.65346409748572</v>
      </c>
      <c r="AH12" s="1" t="n">
        <v>1</v>
      </c>
      <c r="AI12" s="0" t="n">
        <f aca="false">AH12/1950</f>
        <v>0.000512820512820513</v>
      </c>
      <c r="AJ12" s="1" t="n">
        <f aca="false">AI12*B12</f>
        <v>0.0616717948717949</v>
      </c>
      <c r="AK12" s="1" t="n">
        <v>1</v>
      </c>
      <c r="AL12" s="0" t="n">
        <f aca="false">AK12/1950</f>
        <v>0.000512820512820513</v>
      </c>
      <c r="AM12" s="0" t="n">
        <f aca="false">AL12*B12</f>
        <v>0.0616717948717949</v>
      </c>
      <c r="AN12" s="0" t="n">
        <v>1</v>
      </c>
      <c r="AO12" s="0" t="n">
        <f aca="false">AN12/1950</f>
        <v>0.000512820512820513</v>
      </c>
      <c r="AP12" s="0" t="n">
        <f aca="false">AO12*B12</f>
        <v>0.0616717948717949</v>
      </c>
      <c r="AT12" s="0" t="n">
        <v>1</v>
      </c>
      <c r="AU12" s="0" t="n">
        <f aca="false">AT12/1950</f>
        <v>0.000512820512820513</v>
      </c>
      <c r="AV12" s="0" t="n">
        <f aca="false">AU12*B12</f>
        <v>0.0616717948717949</v>
      </c>
      <c r="AW12" s="1" t="n">
        <v>1</v>
      </c>
      <c r="AX12" s="0" t="n">
        <f aca="false">AW12/1950</f>
        <v>0.000512820512820513</v>
      </c>
      <c r="AY12" s="0" t="n">
        <f aca="false">(AX12*B12)</f>
        <v>0.0616717948717949</v>
      </c>
      <c r="AZ12" s="1" t="n">
        <v>1</v>
      </c>
      <c r="BA12" s="0" t="n">
        <f aca="false">AZ12/1950</f>
        <v>0.000512820512820513</v>
      </c>
      <c r="BB12" s="0" t="n">
        <f aca="false">BA12*B12</f>
        <v>0.0616717948717949</v>
      </c>
    </row>
    <row r="13" customFormat="false" ht="12.8" hidden="false" customHeight="false" outlineLevel="0" collapsed="false">
      <c r="A13" s="0" t="s">
        <v>333</v>
      </c>
      <c r="B13" s="0" t="n">
        <v>131</v>
      </c>
      <c r="C13" s="1" t="n">
        <v>2</v>
      </c>
      <c r="D13" s="0" t="n">
        <f aca="false">C13/1950</f>
        <v>0.00102564102564103</v>
      </c>
      <c r="E13" s="0" t="n">
        <f aca="false">D13*B13</f>
        <v>0.134358974358974</v>
      </c>
      <c r="F13" s="0" t="n">
        <v>0</v>
      </c>
      <c r="G13" s="1" t="n">
        <f aca="false">F13/1950</f>
        <v>0</v>
      </c>
      <c r="H13" s="0" t="n">
        <f aca="false">G13*B13</f>
        <v>0</v>
      </c>
      <c r="I13" s="11" t="n">
        <v>0</v>
      </c>
      <c r="J13" s="17" t="n">
        <f aca="false">I13/1950</f>
        <v>0</v>
      </c>
      <c r="K13" s="11" t="n">
        <f aca="false">J13*B13</f>
        <v>0</v>
      </c>
      <c r="L13" s="0" t="n">
        <v>0</v>
      </c>
      <c r="M13" s="0" t="n">
        <f aca="false">L13/1950</f>
        <v>0</v>
      </c>
      <c r="N13" s="0" t="n">
        <f aca="false">M13*B13</f>
        <v>0</v>
      </c>
      <c r="O13" s="0" t="n">
        <v>0</v>
      </c>
      <c r="P13" s="0" t="n">
        <f aca="false">O13/1950</f>
        <v>0</v>
      </c>
      <c r="Q13" s="0" t="n">
        <f aca="false">P13*B13</f>
        <v>0</v>
      </c>
      <c r="R13" s="0" t="n">
        <f aca="false">S13*1950</f>
        <v>50.7293551742217</v>
      </c>
      <c r="S13" s="1" t="n">
        <f aca="false">10^(-0.64815*LOG(B13*1000)+3.59605)*120/1950*2/9</f>
        <v>0.0260150539354983</v>
      </c>
      <c r="T13" s="1" t="n">
        <f aca="false">S13*B13</f>
        <v>3.40797206555028</v>
      </c>
      <c r="U13" s="0" t="n">
        <v>0</v>
      </c>
      <c r="V13" s="0" t="n">
        <f aca="false">U13/1950</f>
        <v>0</v>
      </c>
      <c r="W13" s="0" t="n">
        <f aca="false">V13*B13</f>
        <v>0</v>
      </c>
      <c r="X13" s="11" t="n">
        <v>0</v>
      </c>
      <c r="Y13" s="11" t="n">
        <f aca="false">X13/1950</f>
        <v>0</v>
      </c>
      <c r="Z13" s="11" t="n">
        <f aca="false">Y13*B13</f>
        <v>0</v>
      </c>
      <c r="AA13" s="0" t="n">
        <f aca="false">AB13*1950</f>
        <v>50.7293551742217</v>
      </c>
      <c r="AB13" s="1" t="n">
        <f aca="false">10^(-0.64815*LOG(B13*1000)+3.59605)*120/1950*2/9</f>
        <v>0.0260150539354983</v>
      </c>
      <c r="AC13" s="1" t="n">
        <f aca="false">AB13*B13</f>
        <v>3.40797206555028</v>
      </c>
      <c r="AD13" s="11" t="n">
        <f aca="false">AE13*1950</f>
        <v>50.7293551742217</v>
      </c>
      <c r="AE13" s="17" t="n">
        <f aca="false">10^(-0.64815*LOG(B13*1000)+3.59605)*120/1950*2/9</f>
        <v>0.0260150539354983</v>
      </c>
      <c r="AF13" s="17" t="n">
        <f aca="false">AE13*B13</f>
        <v>3.40797206555028</v>
      </c>
      <c r="AH13" s="1" t="n">
        <v>2</v>
      </c>
      <c r="AI13" s="0" t="n">
        <f aca="false">AH13/1950</f>
        <v>0.00102564102564103</v>
      </c>
      <c r="AJ13" s="1" t="n">
        <f aca="false">AI13*B13</f>
        <v>0.134358974358974</v>
      </c>
      <c r="AK13" s="1" t="n">
        <v>2</v>
      </c>
      <c r="AL13" s="0" t="n">
        <f aca="false">AK13/1950</f>
        <v>0.00102564102564103</v>
      </c>
      <c r="AM13" s="0" t="n">
        <f aca="false">AL13*B13</f>
        <v>0.134358974358974</v>
      </c>
      <c r="AN13" s="0" t="n">
        <v>0</v>
      </c>
      <c r="AO13" s="0" t="n">
        <f aca="false">AN13/1950</f>
        <v>0</v>
      </c>
      <c r="AP13" s="0" t="n">
        <f aca="false">AO13*B13</f>
        <v>0</v>
      </c>
      <c r="AT13" s="0" t="n">
        <v>0</v>
      </c>
      <c r="AU13" s="0" t="n">
        <f aca="false">AT13/1950</f>
        <v>0</v>
      </c>
      <c r="AV13" s="0" t="n">
        <v>0</v>
      </c>
      <c r="AW13" s="1" t="n">
        <v>2</v>
      </c>
      <c r="AX13" s="0" t="n">
        <f aca="false">AW13/1950</f>
        <v>0.00102564102564103</v>
      </c>
      <c r="AY13" s="0" t="n">
        <f aca="false">(AX13*B13)</f>
        <v>0.134358974358974</v>
      </c>
      <c r="AZ13" s="1" t="n">
        <v>2</v>
      </c>
      <c r="BA13" s="0" t="n">
        <f aca="false">AZ13/1950</f>
        <v>0.00102564102564103</v>
      </c>
      <c r="BB13" s="0" t="n">
        <f aca="false">BA13*B13</f>
        <v>0.134358974358974</v>
      </c>
    </row>
    <row r="14" customFormat="false" ht="12.8" hidden="false" customHeight="false" outlineLevel="0" collapsed="false">
      <c r="A14" s="0" t="s">
        <v>334</v>
      </c>
      <c r="B14" s="0" t="n">
        <v>370</v>
      </c>
      <c r="C14" s="1" t="n">
        <v>2</v>
      </c>
      <c r="D14" s="0" t="n">
        <f aca="false">C14/1950</f>
        <v>0.00102564102564103</v>
      </c>
      <c r="E14" s="0" t="n">
        <f aca="false">D14*B14</f>
        <v>0.379487179487179</v>
      </c>
      <c r="F14" s="0" t="n">
        <v>0</v>
      </c>
      <c r="G14" s="1" t="n">
        <f aca="false">F14/1950</f>
        <v>0</v>
      </c>
      <c r="H14" s="0" t="n">
        <f aca="false">G14*B14</f>
        <v>0</v>
      </c>
      <c r="I14" s="11" t="n">
        <v>0</v>
      </c>
      <c r="J14" s="17" t="n">
        <f aca="false">I14/1950</f>
        <v>0</v>
      </c>
      <c r="K14" s="11" t="n">
        <f aca="false">J14*B14</f>
        <v>0</v>
      </c>
      <c r="L14" s="0" t="n">
        <v>0</v>
      </c>
      <c r="M14" s="0" t="n">
        <f aca="false">L14/1950</f>
        <v>0</v>
      </c>
      <c r="N14" s="0" t="n">
        <f aca="false">M14*B14</f>
        <v>0</v>
      </c>
      <c r="O14" s="0" t="n">
        <v>0</v>
      </c>
      <c r="P14" s="0" t="n">
        <f aca="false">O14/1950</f>
        <v>0</v>
      </c>
      <c r="Q14" s="0" t="n">
        <f aca="false">P14*B14</f>
        <v>0</v>
      </c>
      <c r="R14" s="0" t="n">
        <f aca="false">S14*1950</f>
        <v>25.8814607823795</v>
      </c>
      <c r="S14" s="1" t="n">
        <f aca="false">10^(-0.64815*LOG(B14*1000)+3.59605)*120/1950*2/9</f>
        <v>0.0132725439909638</v>
      </c>
      <c r="T14" s="1" t="n">
        <f aca="false">S14*B14</f>
        <v>4.91084127665662</v>
      </c>
      <c r="U14" s="0" t="n">
        <v>0</v>
      </c>
      <c r="V14" s="0" t="n">
        <f aca="false">U14/1950</f>
        <v>0</v>
      </c>
      <c r="W14" s="0" t="n">
        <f aca="false">V14*B14</f>
        <v>0</v>
      </c>
      <c r="X14" s="11" t="n">
        <v>0</v>
      </c>
      <c r="Y14" s="11" t="n">
        <f aca="false">X14/1950</f>
        <v>0</v>
      </c>
      <c r="Z14" s="11" t="n">
        <f aca="false">Y14*B14</f>
        <v>0</v>
      </c>
      <c r="AA14" s="0" t="n">
        <f aca="false">AB14*1950</f>
        <v>25.8814607823795</v>
      </c>
      <c r="AB14" s="1" t="n">
        <f aca="false">10^(-0.64815*LOG(B14*1000)+3.59605)*120/1950*2/9</f>
        <v>0.0132725439909638</v>
      </c>
      <c r="AC14" s="1" t="n">
        <f aca="false">AB14*B14</f>
        <v>4.91084127665662</v>
      </c>
      <c r="AD14" s="11" t="n">
        <f aca="false">AE14*1950</f>
        <v>25.8814607823795</v>
      </c>
      <c r="AE14" s="17" t="n">
        <f aca="false">10^(-0.64815*LOG(B14*1000)+3.59605)*120/1950*2/9</f>
        <v>0.0132725439909638</v>
      </c>
      <c r="AF14" s="17" t="n">
        <f aca="false">AE14*B14</f>
        <v>4.91084127665662</v>
      </c>
      <c r="AH14" s="1" t="n">
        <v>2</v>
      </c>
      <c r="AI14" s="0" t="n">
        <f aca="false">AH14/1950</f>
        <v>0.00102564102564103</v>
      </c>
      <c r="AJ14" s="1" t="n">
        <f aca="false">AI14*B14</f>
        <v>0.379487179487179</v>
      </c>
      <c r="AK14" s="1" t="n">
        <v>2</v>
      </c>
      <c r="AL14" s="0" t="n">
        <f aca="false">AK14/1950</f>
        <v>0.00102564102564103</v>
      </c>
      <c r="AM14" s="0" t="n">
        <f aca="false">AL14*B14</f>
        <v>0.379487179487179</v>
      </c>
      <c r="AN14" s="0" t="n">
        <v>0</v>
      </c>
      <c r="AO14" s="0" t="n">
        <f aca="false">AN14/1950</f>
        <v>0</v>
      </c>
      <c r="AP14" s="0" t="n">
        <f aca="false">AO14*B14</f>
        <v>0</v>
      </c>
      <c r="AT14" s="0" t="n">
        <v>1</v>
      </c>
      <c r="AU14" s="0" t="n">
        <f aca="false">AT14/1950</f>
        <v>0.000512820512820513</v>
      </c>
      <c r="AV14" s="0" t="n">
        <f aca="false">AU14*B14</f>
        <v>0.18974358974359</v>
      </c>
      <c r="AW14" s="1" t="n">
        <v>2</v>
      </c>
      <c r="AX14" s="0" t="n">
        <f aca="false">AW14/1950</f>
        <v>0.00102564102564103</v>
      </c>
      <c r="AY14" s="0" t="n">
        <f aca="false">(AX14*B14)</f>
        <v>0.379487179487179</v>
      </c>
      <c r="AZ14" s="1" t="n">
        <v>2</v>
      </c>
      <c r="BA14" s="0" t="n">
        <f aca="false">AZ14/1950</f>
        <v>0.00102564102564103</v>
      </c>
      <c r="BB14" s="0" t="n">
        <f aca="false">BA14*B14</f>
        <v>0.379487179487179</v>
      </c>
    </row>
    <row r="15" customFormat="false" ht="12.8" hidden="false" customHeight="false" outlineLevel="0" collapsed="false">
      <c r="A15" s="3" t="s">
        <v>335</v>
      </c>
      <c r="B15" s="0" t="n">
        <f aca="false">AVERAGE(B10:B13)</f>
        <v>152.069</v>
      </c>
      <c r="C15" s="1" t="n">
        <v>122</v>
      </c>
      <c r="D15" s="0" t="n">
        <f aca="false">C15/1950</f>
        <v>0.0625641025641026</v>
      </c>
      <c r="E15" s="0" t="n">
        <f aca="false">D15*B15</f>
        <v>9.51406051282051</v>
      </c>
      <c r="F15" s="0" t="n">
        <v>22</v>
      </c>
      <c r="G15" s="1" t="n">
        <f aca="false">F15/1950</f>
        <v>0.0112820512820513</v>
      </c>
      <c r="H15" s="0" t="n">
        <f aca="false">G15*B15</f>
        <v>1.71565025641026</v>
      </c>
      <c r="I15" s="11" t="n">
        <v>52</v>
      </c>
      <c r="J15" s="17" t="n">
        <f aca="false">I15/1950</f>
        <v>0.0266666666666667</v>
      </c>
      <c r="K15" s="11" t="n">
        <f aca="false">J15*B15</f>
        <v>4.05517333333333</v>
      </c>
      <c r="L15" s="0" t="n">
        <v>42</v>
      </c>
      <c r="M15" s="0" t="n">
        <f aca="false">L15/1950</f>
        <v>0.0215384615384615</v>
      </c>
      <c r="N15" s="0" t="n">
        <f aca="false">M15*B15</f>
        <v>3.27533230769231</v>
      </c>
      <c r="O15" s="0" t="n">
        <v>42</v>
      </c>
      <c r="P15" s="0" t="n">
        <f aca="false">O15/1950</f>
        <v>0.0215384615384615</v>
      </c>
      <c r="Q15" s="0" t="n">
        <f aca="false">P15*B15</f>
        <v>3.27533230769231</v>
      </c>
      <c r="R15" s="1" t="s">
        <v>74</v>
      </c>
      <c r="S15" s="1" t="s">
        <v>74</v>
      </c>
      <c r="T15" s="1" t="s">
        <v>74</v>
      </c>
      <c r="U15" s="0" t="n">
        <v>22</v>
      </c>
      <c r="V15" s="0" t="n">
        <f aca="false">U15/1950</f>
        <v>0.0112820512820513</v>
      </c>
      <c r="W15" s="0" t="n">
        <f aca="false">V15*B15</f>
        <v>1.71565025641026</v>
      </c>
      <c r="X15" s="11" t="n">
        <v>52</v>
      </c>
      <c r="Y15" s="11" t="n">
        <f aca="false">X15/1950</f>
        <v>0.0266666666666667</v>
      </c>
      <c r="Z15" s="11" t="n">
        <f aca="false">Y15*B15</f>
        <v>4.05517333333333</v>
      </c>
      <c r="AA15" s="1" t="s">
        <v>74</v>
      </c>
      <c r="AB15" s="1" t="s">
        <v>74</v>
      </c>
      <c r="AC15" s="1" t="s">
        <v>74</v>
      </c>
      <c r="AD15" s="17" t="s">
        <v>74</v>
      </c>
      <c r="AE15" s="17" t="s">
        <v>74</v>
      </c>
      <c r="AF15" s="17" t="s">
        <v>74</v>
      </c>
      <c r="AH15" s="1" t="n">
        <f aca="false">93+28</f>
        <v>121</v>
      </c>
      <c r="AI15" s="0" t="n">
        <f aca="false">AH15/1950</f>
        <v>0.0620512820512821</v>
      </c>
      <c r="AJ15" s="1" t="n">
        <f aca="false">AI15*B15</f>
        <v>9.43607641025641</v>
      </c>
      <c r="AK15" s="1" t="n">
        <f aca="false">93+28</f>
        <v>121</v>
      </c>
      <c r="AL15" s="0" t="n">
        <f aca="false">AK15/1950</f>
        <v>0.0620512820512821</v>
      </c>
      <c r="AM15" s="0" t="n">
        <f aca="false">AL15*B15</f>
        <v>9.43607641025641</v>
      </c>
      <c r="AN15" s="0" t="n">
        <v>49</v>
      </c>
      <c r="AO15" s="0" t="n">
        <f aca="false">AN15/1950</f>
        <v>0.0251282051282051</v>
      </c>
      <c r="AP15" s="0" t="n">
        <f aca="false">AO15*B15</f>
        <v>3.82122102564103</v>
      </c>
      <c r="AT15" s="0" t="n">
        <v>24</v>
      </c>
      <c r="AU15" s="0" t="n">
        <f aca="false">AT15/1950</f>
        <v>0.0123076923076923</v>
      </c>
      <c r="AV15" s="0" t="n">
        <f aca="false">AU15*B15</f>
        <v>1.87161846153846</v>
      </c>
      <c r="AW15" s="1" t="n">
        <f aca="false">93+28</f>
        <v>121</v>
      </c>
      <c r="AX15" s="0" t="n">
        <f aca="false">AW15/1950</f>
        <v>0.0620512820512821</v>
      </c>
      <c r="AY15" s="0" t="n">
        <f aca="false">(AX15*B15)</f>
        <v>9.43607641025641</v>
      </c>
      <c r="AZ15" s="1" t="n">
        <f aca="false">93+28</f>
        <v>121</v>
      </c>
      <c r="BA15" s="0" t="n">
        <f aca="false">AZ15/1950</f>
        <v>0.0620512820512821</v>
      </c>
      <c r="BB15" s="0" t="n">
        <f aca="false">BA15*B15</f>
        <v>9.43607641025641</v>
      </c>
    </row>
    <row r="16" customFormat="false" ht="12.8" hidden="false" customHeight="false" outlineLevel="0" collapsed="false">
      <c r="A16" s="3" t="s">
        <v>336</v>
      </c>
      <c r="B16" s="0" t="s">
        <v>74</v>
      </c>
      <c r="C16" s="1" t="n">
        <f aca="false">SUM(C10:C15)</f>
        <v>141</v>
      </c>
      <c r="D16" s="0" t="n">
        <f aca="false">C16/1950</f>
        <v>0.0723076923076923</v>
      </c>
      <c r="E16" s="3" t="n">
        <f aca="false">SUM(E10:E15)</f>
        <v>11.3711743589744</v>
      </c>
      <c r="F16" s="0" t="n">
        <f aca="false">SUM(F10:F15)</f>
        <v>25</v>
      </c>
      <c r="G16" s="1" t="n">
        <f aca="false">F16/1950</f>
        <v>0.0128205128205128</v>
      </c>
      <c r="H16" s="3" t="n">
        <f aca="false">SUM(H10:H15)</f>
        <v>1.96040717948718</v>
      </c>
      <c r="I16" s="11" t="n">
        <f aca="false">SUM(I10:I15)</f>
        <v>55</v>
      </c>
      <c r="J16" s="17" t="n">
        <f aca="false">I16/1950</f>
        <v>0.0282051282051282</v>
      </c>
      <c r="K16" s="16" t="n">
        <f aca="false">SUM(K10:K15)</f>
        <v>4.32980102564103</v>
      </c>
      <c r="L16" s="3" t="n">
        <f aca="false">SUM(L10:L15)</f>
        <v>44</v>
      </c>
      <c r="M16" s="0" t="n">
        <f aca="false">L16/1950</f>
        <v>0.0225641025641026</v>
      </c>
      <c r="N16" s="3" t="n">
        <f aca="false">SUM(N10:N15)</f>
        <v>3.45841743589744</v>
      </c>
      <c r="O16" s="3" t="n">
        <f aca="false">SUM(O10:O15)</f>
        <v>44</v>
      </c>
      <c r="P16" s="0" t="n">
        <f aca="false">O16/1950</f>
        <v>0.0225641025641026</v>
      </c>
      <c r="Q16" s="3" t="n">
        <f aca="false">SUM(Q10:Q15)</f>
        <v>3.45841743589744</v>
      </c>
      <c r="R16" s="3"/>
      <c r="S16" s="1" t="n">
        <f aca="false">SUM(S10:S15)</f>
        <v>0.244623086959971</v>
      </c>
      <c r="T16" s="3" t="n">
        <f aca="false">SUM(T10:T15)</f>
        <v>44.1719845342969</v>
      </c>
      <c r="U16" s="0" t="n">
        <f aca="false">SUM(U10:U15)</f>
        <v>25</v>
      </c>
      <c r="V16" s="0" t="n">
        <f aca="false">U16/1950</f>
        <v>0.0128205128205128</v>
      </c>
      <c r="W16" s="3" t="n">
        <f aca="false">SUM(W10:W15)</f>
        <v>1.96040717948718</v>
      </c>
      <c r="X16" s="11" t="n">
        <f aca="false">SUM(X10:X15)</f>
        <v>55</v>
      </c>
      <c r="Y16" s="11" t="n">
        <f aca="false">X16/1950</f>
        <v>0.0282051282051282</v>
      </c>
      <c r="Z16" s="16" t="n">
        <f aca="false">SUM(Z10:Z15)</f>
        <v>4.32980102564103</v>
      </c>
      <c r="AA16" s="3"/>
      <c r="AB16" s="1" t="n">
        <f aca="false">SUM(AB10:AB15)</f>
        <v>0.244623086959971</v>
      </c>
      <c r="AC16" s="3" t="n">
        <f aca="false">SUM(AC10:AC15)</f>
        <v>44.1719845342969</v>
      </c>
      <c r="AD16" s="16"/>
      <c r="AE16" s="17" t="n">
        <f aca="false">SUM(AE10:AE15)</f>
        <v>0.244623086959971</v>
      </c>
      <c r="AF16" s="16" t="n">
        <f aca="false">SUM(AF10:AF15)</f>
        <v>44.1719845342969</v>
      </c>
      <c r="AH16" s="1" t="n">
        <f aca="false">SUM(AH10:AH15)</f>
        <v>140</v>
      </c>
      <c r="AI16" s="0" t="n">
        <f aca="false">AH16/1950</f>
        <v>0.0717948717948718</v>
      </c>
      <c r="AJ16" s="3" t="n">
        <f aca="false">SUM(AJ10:AJ15)</f>
        <v>11.2931902564103</v>
      </c>
      <c r="AK16" s="1" t="n">
        <f aca="false">SUM(AK10:AK15)</f>
        <v>140</v>
      </c>
      <c r="AL16" s="0" t="n">
        <f aca="false">AK16/1950</f>
        <v>0.0717948717948718</v>
      </c>
      <c r="AM16" s="3" t="n">
        <f aca="false">SUM(AM10:AM15)</f>
        <v>11.2931902564103</v>
      </c>
      <c r="AN16" s="3" t="n">
        <f aca="false">SUM((AN10:AN15))</f>
        <v>53</v>
      </c>
      <c r="AO16" s="0" t="n">
        <f aca="false">AN16/1950</f>
        <v>0.0271794871794872</v>
      </c>
      <c r="AP16" s="3" t="n">
        <f aca="false">SUM(AP10:AP15)</f>
        <v>4.15752051282051</v>
      </c>
      <c r="AT16" s="0" t="n">
        <f aca="false">SUM(AT10:AT15)</f>
        <v>27</v>
      </c>
      <c r="AU16" s="0" t="n">
        <f aca="false">AT16/1950</f>
        <v>0.0138461538461538</v>
      </c>
      <c r="AV16" s="3" t="n">
        <f aca="false">SUM(AV10:AV15)</f>
        <v>2.21457641025641</v>
      </c>
      <c r="AW16" s="1" t="n">
        <f aca="false">SUM(AW10:AW15)</f>
        <v>140</v>
      </c>
      <c r="AX16" s="0" t="n">
        <f aca="false">AW16/1950</f>
        <v>0.0717948717948718</v>
      </c>
      <c r="AY16" s="3" t="n">
        <f aca="false">SUM(AY10:AY15)</f>
        <v>11.2931902564103</v>
      </c>
      <c r="AZ16" s="1" t="n">
        <f aca="false">SUM(AZ10:AZ15)</f>
        <v>140</v>
      </c>
      <c r="BA16" s="0" t="n">
        <f aca="false">AZ16/1950</f>
        <v>0.0717948717948718</v>
      </c>
      <c r="BB16" s="3" t="n">
        <f aca="false">SUM(BB10:BB15)</f>
        <v>11.2931902564103</v>
      </c>
    </row>
    <row r="17" customFormat="false" ht="12.8" hidden="false" customHeight="false" outlineLevel="0" collapsed="false">
      <c r="A17" s="0" t="s">
        <v>114</v>
      </c>
      <c r="B17" s="0" t="n">
        <v>96</v>
      </c>
      <c r="C17" s="1" t="n">
        <v>13</v>
      </c>
      <c r="D17" s="0" t="n">
        <f aca="false">C17/1950</f>
        <v>0.00666666666666667</v>
      </c>
      <c r="E17" s="0" t="n">
        <f aca="false">D17*B17</f>
        <v>0.64</v>
      </c>
      <c r="F17" s="0" t="n">
        <v>1</v>
      </c>
      <c r="G17" s="1" t="n">
        <f aca="false">F17/1950</f>
        <v>0.000512820512820513</v>
      </c>
      <c r="H17" s="0" t="n">
        <f aca="false">G17*B17</f>
        <v>0.0492307692307692</v>
      </c>
      <c r="I17" s="11" t="n">
        <v>4</v>
      </c>
      <c r="J17" s="17" t="n">
        <f aca="false">I17/1950</f>
        <v>0.00205128205128205</v>
      </c>
      <c r="K17" s="11" t="n">
        <f aca="false">J17*B17</f>
        <v>0.196923076923077</v>
      </c>
      <c r="L17" s="0" t="n">
        <v>3</v>
      </c>
      <c r="M17" s="0" t="n">
        <f aca="false">L17/1950</f>
        <v>0.00153846153846154</v>
      </c>
      <c r="N17" s="0" t="n">
        <f aca="false">M17*B17</f>
        <v>0.147692307692308</v>
      </c>
      <c r="O17" s="0" t="n">
        <v>3</v>
      </c>
      <c r="P17" s="0" t="n">
        <f aca="false">O17/1950</f>
        <v>0.00153846153846154</v>
      </c>
      <c r="Q17" s="0" t="n">
        <f aca="false">P17*B17</f>
        <v>0.147692307692308</v>
      </c>
      <c r="R17" s="0" t="n">
        <f aca="false">S17*1950</f>
        <v>63.3890066383426</v>
      </c>
      <c r="S17" s="1" t="n">
        <f aca="false">10^(-0.2771673)*120/1950</f>
        <v>0.0325071828914578</v>
      </c>
      <c r="T17" s="0" t="n">
        <f aca="false">S17*B17</f>
        <v>3.12068955757995</v>
      </c>
      <c r="U17" s="0" t="n">
        <v>1</v>
      </c>
      <c r="V17" s="0" t="n">
        <f aca="false">U17/1950</f>
        <v>0.000512820512820513</v>
      </c>
      <c r="W17" s="0" t="n">
        <f aca="false">V17*B17</f>
        <v>0.0492307692307692</v>
      </c>
      <c r="X17" s="11" t="n">
        <v>4</v>
      </c>
      <c r="Y17" s="11" t="n">
        <f aca="false">X17/1950</f>
        <v>0.00205128205128205</v>
      </c>
      <c r="Z17" s="11" t="n">
        <f aca="false">Y17*B17</f>
        <v>0.196923076923077</v>
      </c>
      <c r="AA17" s="0" t="n">
        <f aca="false">AB17*1950</f>
        <v>63.3890066383426</v>
      </c>
      <c r="AB17" s="1" t="n">
        <f aca="false">10^(-0.2771673)*120/1950</f>
        <v>0.0325071828914578</v>
      </c>
      <c r="AC17" s="0" t="n">
        <f aca="false">AB17*B17</f>
        <v>3.12068955757995</v>
      </c>
      <c r="AD17" s="11" t="n">
        <f aca="false">AE17*1950</f>
        <v>63.3890066383426</v>
      </c>
      <c r="AE17" s="17" t="n">
        <f aca="false">10^(-0.2771673)*120/1950</f>
        <v>0.0325071828914578</v>
      </c>
      <c r="AF17" s="11" t="n">
        <f aca="false">AE17*B17</f>
        <v>3.12068955757995</v>
      </c>
      <c r="AH17" s="1" t="n">
        <v>12</v>
      </c>
      <c r="AI17" s="0" t="n">
        <f aca="false">AH17/1950</f>
        <v>0.00615384615384615</v>
      </c>
      <c r="AJ17" s="0" t="n">
        <f aca="false">AI17*B17</f>
        <v>0.590769230769231</v>
      </c>
      <c r="AK17" s="1" t="n">
        <v>12</v>
      </c>
      <c r="AL17" s="0" t="n">
        <f aca="false">AK17/1950</f>
        <v>0.00615384615384615</v>
      </c>
      <c r="AM17" s="0" t="n">
        <f aca="false">AL17*B17</f>
        <v>0.590769230769231</v>
      </c>
      <c r="AN17" s="0" t="n">
        <v>2</v>
      </c>
      <c r="AO17" s="0" t="n">
        <f aca="false">AN17/1950</f>
        <v>0.00102564102564103</v>
      </c>
      <c r="AP17" s="0" t="n">
        <f aca="false">AO17*B17</f>
        <v>0.0984615384615385</v>
      </c>
      <c r="AT17" s="0" t="n">
        <v>1</v>
      </c>
      <c r="AU17" s="0" t="n">
        <f aca="false">AT17/1950</f>
        <v>0.000512820512820513</v>
      </c>
      <c r="AV17" s="0" t="n">
        <f aca="false">AU17*B17</f>
        <v>0.0492307692307692</v>
      </c>
      <c r="AW17" s="1" t="n">
        <v>12</v>
      </c>
      <c r="AX17" s="0" t="n">
        <f aca="false">AW17/1950</f>
        <v>0.00615384615384615</v>
      </c>
      <c r="AY17" s="0" t="n">
        <f aca="false">AX17*B17</f>
        <v>0.590769230769231</v>
      </c>
      <c r="AZ17" s="1" t="n">
        <v>12</v>
      </c>
      <c r="BA17" s="0" t="n">
        <f aca="false">AZ17/1950</f>
        <v>0.00615384615384615</v>
      </c>
      <c r="BB17" s="0" t="n">
        <f aca="false">BA17*B17</f>
        <v>0.590769230769231</v>
      </c>
    </row>
    <row r="18" customFormat="false" ht="12.8" hidden="false" customHeight="false" outlineLevel="0" collapsed="false">
      <c r="A18" s="0" t="s">
        <v>107</v>
      </c>
      <c r="B18" s="0" t="n">
        <v>63.872</v>
      </c>
      <c r="C18" s="1" t="n">
        <v>14</v>
      </c>
      <c r="D18" s="0" t="n">
        <f aca="false">C18/1950</f>
        <v>0.00717948717948718</v>
      </c>
      <c r="E18" s="0" t="n">
        <f aca="false">D18*B18</f>
        <v>0.458568205128205</v>
      </c>
      <c r="F18" s="0" t="n">
        <v>1</v>
      </c>
      <c r="G18" s="1" t="n">
        <f aca="false">F18/1950</f>
        <v>0.000512820512820513</v>
      </c>
      <c r="H18" s="0" t="n">
        <f aca="false">G18*B18</f>
        <v>0.0327548717948718</v>
      </c>
      <c r="I18" s="11" t="n">
        <v>4</v>
      </c>
      <c r="J18" s="17" t="n">
        <f aca="false">I18/1950</f>
        <v>0.00205128205128205</v>
      </c>
      <c r="K18" s="11" t="n">
        <f aca="false">J18*B18</f>
        <v>0.131019487179487</v>
      </c>
      <c r="L18" s="0" t="n">
        <v>5</v>
      </c>
      <c r="M18" s="0" t="n">
        <f aca="false">L18/1950</f>
        <v>0.00256410256410256</v>
      </c>
      <c r="N18" s="0" t="n">
        <f aca="false">M18*B18</f>
        <v>0.163774358974359</v>
      </c>
      <c r="O18" s="0" t="n">
        <v>5</v>
      </c>
      <c r="P18" s="0" t="n">
        <f aca="false">O18/1950</f>
        <v>0.00256410256410256</v>
      </c>
      <c r="Q18" s="0" t="n">
        <f aca="false">P18*B18</f>
        <v>0.163774358974359</v>
      </c>
      <c r="R18" s="0" t="n">
        <f aca="false">S18*1950</f>
        <v>86.0621806451367</v>
      </c>
      <c r="S18" s="1" t="n">
        <f aca="false">10^(-0.1443689)*120/1950</f>
        <v>0.0441344516128906</v>
      </c>
      <c r="T18" s="0" t="n">
        <f aca="false">S18*B18</f>
        <v>2.81895569341855</v>
      </c>
      <c r="U18" s="0" t="n">
        <v>1</v>
      </c>
      <c r="V18" s="0" t="n">
        <f aca="false">U18/1950</f>
        <v>0.000512820512820513</v>
      </c>
      <c r="W18" s="0" t="n">
        <f aca="false">V18*B18</f>
        <v>0.0327548717948718</v>
      </c>
      <c r="X18" s="11" t="n">
        <v>4</v>
      </c>
      <c r="Y18" s="11" t="n">
        <f aca="false">X18/1950</f>
        <v>0.00205128205128205</v>
      </c>
      <c r="Z18" s="11" t="n">
        <f aca="false">Y18*B18</f>
        <v>0.131019487179487</v>
      </c>
      <c r="AA18" s="0" t="n">
        <f aca="false">AB18*1950</f>
        <v>86.0621806451367</v>
      </c>
      <c r="AB18" s="1" t="n">
        <f aca="false">10^(-0.1443689)*120/1950</f>
        <v>0.0441344516128906</v>
      </c>
      <c r="AC18" s="0" t="n">
        <f aca="false">AB18*B18</f>
        <v>2.81895569341855</v>
      </c>
      <c r="AD18" s="11" t="n">
        <f aca="false">AE18*1950</f>
        <v>86.0621806451367</v>
      </c>
      <c r="AE18" s="17" t="n">
        <f aca="false">10^(-0.1443689)*120/1950</f>
        <v>0.0441344516128906</v>
      </c>
      <c r="AF18" s="11" t="n">
        <f aca="false">AE18*B18</f>
        <v>2.81895569341855</v>
      </c>
      <c r="AH18" s="1" t="n">
        <v>14</v>
      </c>
      <c r="AI18" s="0" t="n">
        <f aca="false">AH18/1950</f>
        <v>0.00717948717948718</v>
      </c>
      <c r="AJ18" s="0" t="n">
        <f aca="false">AI18*B18</f>
        <v>0.458568205128205</v>
      </c>
      <c r="AK18" s="1" t="n">
        <v>14</v>
      </c>
      <c r="AL18" s="0" t="n">
        <f aca="false">AK18/1950</f>
        <v>0.00717948717948718</v>
      </c>
      <c r="AM18" s="0" t="n">
        <f aca="false">AL18*B18</f>
        <v>0.458568205128205</v>
      </c>
      <c r="AN18" s="0" t="n">
        <v>2</v>
      </c>
      <c r="AO18" s="0" t="n">
        <f aca="false">AN18/1950</f>
        <v>0.00102564102564103</v>
      </c>
      <c r="AP18" s="0" t="n">
        <f aca="false">AO18*B18</f>
        <v>0.0655097435897436</v>
      </c>
      <c r="AT18" s="0" t="n">
        <v>1</v>
      </c>
      <c r="AU18" s="0" t="n">
        <f aca="false">AT18/1950</f>
        <v>0.000512820512820513</v>
      </c>
      <c r="AV18" s="0" t="n">
        <f aca="false">AU18*B18</f>
        <v>0.0327548717948718</v>
      </c>
      <c r="AW18" s="1" t="n">
        <v>14</v>
      </c>
      <c r="AX18" s="0" t="n">
        <f aca="false">AW18/1950</f>
        <v>0.00717948717948718</v>
      </c>
      <c r="AY18" s="0" t="n">
        <f aca="false">AX18*B18</f>
        <v>0.458568205128205</v>
      </c>
      <c r="AZ18" s="1" t="n">
        <v>14</v>
      </c>
      <c r="BA18" s="0" t="n">
        <f aca="false">AZ18/1950</f>
        <v>0.00717948717948718</v>
      </c>
      <c r="BB18" s="0" t="n">
        <f aca="false">BA18*B18</f>
        <v>0.458568205128205</v>
      </c>
    </row>
    <row r="19" customFormat="false" ht="12.8" hidden="false" customHeight="false" outlineLevel="0" collapsed="false">
      <c r="A19" s="0" t="s">
        <v>337</v>
      </c>
      <c r="B19" s="0" t="n">
        <v>19.8</v>
      </c>
      <c r="C19" s="1" t="n">
        <v>20</v>
      </c>
      <c r="D19" s="0" t="n">
        <f aca="false">C19/1950</f>
        <v>0.0102564102564103</v>
      </c>
      <c r="E19" s="0" t="n">
        <f aca="false">D19*B19</f>
        <v>0.203076923076923</v>
      </c>
      <c r="F19" s="0" t="n">
        <v>2</v>
      </c>
      <c r="G19" s="1" t="n">
        <f aca="false">F19/1950</f>
        <v>0.00102564102564103</v>
      </c>
      <c r="H19" s="0" t="n">
        <f aca="false">G19*B19</f>
        <v>0.0203076923076923</v>
      </c>
      <c r="I19" s="11" t="n">
        <v>7</v>
      </c>
      <c r="J19" s="17" t="n">
        <f aca="false">I19/1950</f>
        <v>0.00358974358974359</v>
      </c>
      <c r="K19" s="11" t="n">
        <f aca="false">J19*B19</f>
        <v>0.0710769230769231</v>
      </c>
      <c r="L19" s="0" t="n">
        <v>5</v>
      </c>
      <c r="M19" s="0" t="n">
        <f aca="false">L19/1950</f>
        <v>0.00256410256410256</v>
      </c>
      <c r="N19" s="0" t="n">
        <f aca="false">M19*B19</f>
        <v>0.0507692307692308</v>
      </c>
      <c r="O19" s="0" t="n">
        <v>5</v>
      </c>
      <c r="P19" s="0" t="n">
        <f aca="false">O19/1950</f>
        <v>0.00256410256410256</v>
      </c>
      <c r="Q19" s="0" t="n">
        <f aca="false">P19*B19</f>
        <v>0.0507692307692308</v>
      </c>
      <c r="R19" s="0" t="n">
        <f aca="false">S19*1950</f>
        <v>205.512265145836</v>
      </c>
      <c r="S19" s="1" t="n">
        <f aca="false">10^(0.2336565)*120/1950</f>
        <v>0.105390905202993</v>
      </c>
      <c r="T19" s="0" t="n">
        <f aca="false">S19*B19</f>
        <v>2.08673992301926</v>
      </c>
      <c r="U19" s="0" t="n">
        <v>2</v>
      </c>
      <c r="V19" s="0" t="n">
        <f aca="false">U19/1950</f>
        <v>0.00102564102564103</v>
      </c>
      <c r="W19" s="0" t="n">
        <f aca="false">V19*B19</f>
        <v>0.0203076923076923</v>
      </c>
      <c r="X19" s="11" t="n">
        <v>7</v>
      </c>
      <c r="Y19" s="11" t="n">
        <f aca="false">X19/1950</f>
        <v>0.00358974358974359</v>
      </c>
      <c r="Z19" s="11" t="n">
        <f aca="false">Y19*B19</f>
        <v>0.0710769230769231</v>
      </c>
      <c r="AA19" s="0" t="n">
        <f aca="false">AB19*1950</f>
        <v>205.512265145836</v>
      </c>
      <c r="AB19" s="1" t="n">
        <f aca="false">10^(0.2336565)*120/1950</f>
        <v>0.105390905202993</v>
      </c>
      <c r="AC19" s="0" t="n">
        <f aca="false">AB19*B19</f>
        <v>2.08673992301926</v>
      </c>
      <c r="AD19" s="11" t="n">
        <f aca="false">AE19*1950</f>
        <v>205.512265145836</v>
      </c>
      <c r="AE19" s="17" t="n">
        <f aca="false">10^(0.2336565)*120/1950</f>
        <v>0.105390905202993</v>
      </c>
      <c r="AF19" s="11" t="n">
        <f aca="false">AE19*B19</f>
        <v>2.08673992301926</v>
      </c>
      <c r="AH19" s="1" t="n">
        <v>18</v>
      </c>
      <c r="AI19" s="0" t="n">
        <f aca="false">AH19/1950</f>
        <v>0.00923076923076923</v>
      </c>
      <c r="AJ19" s="0" t="n">
        <f aca="false">AI19*B19</f>
        <v>0.182769230769231</v>
      </c>
      <c r="AK19" s="1" t="n">
        <v>18</v>
      </c>
      <c r="AL19" s="0" t="n">
        <f aca="false">AK19/1950</f>
        <v>0.00923076923076923</v>
      </c>
      <c r="AM19" s="0" t="n">
        <f aca="false">AL19*B19</f>
        <v>0.182769230769231</v>
      </c>
      <c r="AN19" s="0" t="n">
        <v>5</v>
      </c>
      <c r="AO19" s="0" t="n">
        <f aca="false">AN19/1950</f>
        <v>0.00256410256410256</v>
      </c>
      <c r="AP19" s="0" t="n">
        <f aca="false">AO19*B19</f>
        <v>0.0507692307692308</v>
      </c>
      <c r="AT19" s="0" t="n">
        <v>2</v>
      </c>
      <c r="AU19" s="0" t="n">
        <f aca="false">AT19/1950</f>
        <v>0.00102564102564103</v>
      </c>
      <c r="AV19" s="0" t="n">
        <f aca="false">AU19*B19</f>
        <v>0.0203076923076923</v>
      </c>
      <c r="AW19" s="1" t="n">
        <v>18</v>
      </c>
      <c r="AX19" s="0" t="n">
        <f aca="false">AW19/1950</f>
        <v>0.00923076923076923</v>
      </c>
      <c r="AY19" s="0" t="n">
        <f aca="false">AX19*B19</f>
        <v>0.182769230769231</v>
      </c>
      <c r="AZ19" s="1" t="n">
        <v>18</v>
      </c>
      <c r="BA19" s="0" t="n">
        <f aca="false">AZ19/1950</f>
        <v>0.00923076923076923</v>
      </c>
      <c r="BB19" s="0" t="n">
        <f aca="false">BA19*B19</f>
        <v>0.182769230769231</v>
      </c>
    </row>
    <row r="20" customFormat="false" ht="12.8" hidden="false" customHeight="false" outlineLevel="0" collapsed="false">
      <c r="A20" s="3" t="s">
        <v>338</v>
      </c>
      <c r="B20" s="0" t="n">
        <f aca="false">AVERAGE(B17:B19)</f>
        <v>59.8906666666667</v>
      </c>
      <c r="C20" s="1" t="n">
        <v>25</v>
      </c>
      <c r="D20" s="0" t="n">
        <f aca="false">C20/1950</f>
        <v>0.0128205128205128</v>
      </c>
      <c r="E20" s="0" t="n">
        <f aca="false">D20*B20</f>
        <v>0.76782905982906</v>
      </c>
      <c r="F20" s="0" t="n">
        <v>3</v>
      </c>
      <c r="G20" s="1" t="n">
        <f aca="false">F20/1950</f>
        <v>0.00153846153846154</v>
      </c>
      <c r="H20" s="0" t="n">
        <f aca="false">G20*B20</f>
        <v>0.0921394871794872</v>
      </c>
      <c r="I20" s="11" t="n">
        <v>12</v>
      </c>
      <c r="J20" s="17" t="n">
        <f aca="false">I20/1950</f>
        <v>0.00615384615384615</v>
      </c>
      <c r="K20" s="11" t="n">
        <f aca="false">J20*B20</f>
        <v>0.368557948717949</v>
      </c>
      <c r="L20" s="0" t="n">
        <v>1</v>
      </c>
      <c r="M20" s="0" t="n">
        <f aca="false">L20/1950</f>
        <v>0.000512820512820513</v>
      </c>
      <c r="N20" s="0" t="n">
        <f aca="false">M20*B20</f>
        <v>0.0307131623931624</v>
      </c>
      <c r="O20" s="0" t="n">
        <v>1</v>
      </c>
      <c r="P20" s="0" t="n">
        <f aca="false">O20/1950</f>
        <v>0.000512820512820513</v>
      </c>
      <c r="Q20" s="0" t="n">
        <f aca="false">P20*B20</f>
        <v>0.0307131623931624</v>
      </c>
      <c r="R20" s="1" t="s">
        <v>74</v>
      </c>
      <c r="S20" s="1" t="s">
        <v>74</v>
      </c>
      <c r="T20" s="1" t="s">
        <v>74</v>
      </c>
      <c r="U20" s="0" t="n">
        <v>3</v>
      </c>
      <c r="V20" s="0" t="n">
        <f aca="false">U20/1950</f>
        <v>0.00153846153846154</v>
      </c>
      <c r="W20" s="0" t="n">
        <f aca="false">V20*B20</f>
        <v>0.0921394871794872</v>
      </c>
      <c r="X20" s="11" t="n">
        <v>12</v>
      </c>
      <c r="Y20" s="11" t="n">
        <f aca="false">X20/1950</f>
        <v>0.00615384615384615</v>
      </c>
      <c r="Z20" s="11" t="n">
        <f aca="false">Y20*B20</f>
        <v>0.368557948717949</v>
      </c>
      <c r="AA20" s="1" t="s">
        <v>74</v>
      </c>
      <c r="AB20" s="1" t="s">
        <v>74</v>
      </c>
      <c r="AC20" s="1" t="s">
        <v>74</v>
      </c>
      <c r="AD20" s="17" t="s">
        <v>74</v>
      </c>
      <c r="AE20" s="17" t="s">
        <v>74</v>
      </c>
      <c r="AF20" s="17" t="s">
        <v>74</v>
      </c>
      <c r="AH20" s="1" t="n">
        <v>28</v>
      </c>
      <c r="AI20" s="0" t="n">
        <f aca="false">AH20/1950</f>
        <v>0.0143589743589744</v>
      </c>
      <c r="AJ20" s="0" t="n">
        <f aca="false">AI20*B20</f>
        <v>0.859968547008547</v>
      </c>
      <c r="AK20" s="1" t="n">
        <v>28</v>
      </c>
      <c r="AL20" s="0" t="n">
        <f aca="false">AK20/1950</f>
        <v>0.0143589743589744</v>
      </c>
      <c r="AM20" s="0" t="n">
        <f aca="false">AL20*B20</f>
        <v>0.859968547008547</v>
      </c>
      <c r="AN20" s="0" t="n">
        <v>12</v>
      </c>
      <c r="AO20" s="0" t="n">
        <f aca="false">AN20/1950</f>
        <v>0.00615384615384615</v>
      </c>
      <c r="AP20" s="0" t="n">
        <f aca="false">AO20*B20</f>
        <v>0.368557948717949</v>
      </c>
      <c r="AT20" s="0" t="n">
        <v>3</v>
      </c>
      <c r="AU20" s="0" t="n">
        <f aca="false">AT20/1950</f>
        <v>0.00153846153846154</v>
      </c>
      <c r="AV20" s="0" t="n">
        <f aca="false">AU20*B20</f>
        <v>0.0921394871794872</v>
      </c>
      <c r="AW20" s="1" t="n">
        <v>28</v>
      </c>
      <c r="AX20" s="0" t="n">
        <f aca="false">AW20/1950</f>
        <v>0.0143589743589744</v>
      </c>
      <c r="AY20" s="0" t="n">
        <f aca="false">AX20*B20</f>
        <v>0.859968547008547</v>
      </c>
      <c r="AZ20" s="1" t="n">
        <v>28</v>
      </c>
      <c r="BA20" s="0" t="n">
        <f aca="false">AZ20/1950</f>
        <v>0.0143589743589744</v>
      </c>
      <c r="BB20" s="0" t="n">
        <f aca="false">BA20*B20</f>
        <v>0.859968547008547</v>
      </c>
    </row>
    <row r="21" customFormat="false" ht="12.8" hidden="false" customHeight="false" outlineLevel="0" collapsed="false">
      <c r="A21" s="3" t="s">
        <v>339</v>
      </c>
      <c r="B21" s="0" t="s">
        <v>74</v>
      </c>
      <c r="C21" s="1" t="n">
        <f aca="false">SUM(C17:C20)</f>
        <v>72</v>
      </c>
      <c r="D21" s="0" t="n">
        <f aca="false">C21/1950</f>
        <v>0.0369230769230769</v>
      </c>
      <c r="E21" s="3" t="n">
        <f aca="false">SUM(E17:E20)</f>
        <v>2.06947418803419</v>
      </c>
      <c r="F21" s="0" t="n">
        <f aca="false">SUM(F17:F20)</f>
        <v>7</v>
      </c>
      <c r="G21" s="1" t="n">
        <f aca="false">F21/1950</f>
        <v>0.00358974358974359</v>
      </c>
      <c r="H21" s="3" t="n">
        <f aca="false">SUM(H17:H20)</f>
        <v>0.194432820512821</v>
      </c>
      <c r="I21" s="11" t="n">
        <f aca="false">SUM(I17:I20)</f>
        <v>27</v>
      </c>
      <c r="J21" s="17" t="n">
        <f aca="false">I21/1950</f>
        <v>0.0138461538461538</v>
      </c>
      <c r="K21" s="16" t="n">
        <f aca="false">SUM(K17:K20)</f>
        <v>0.767577435897436</v>
      </c>
      <c r="L21" s="3" t="n">
        <f aca="false">SUM(L17:L20)</f>
        <v>14</v>
      </c>
      <c r="M21" s="0" t="n">
        <f aca="false">L21/1950</f>
        <v>0.00717948717948718</v>
      </c>
      <c r="N21" s="3" t="n">
        <f aca="false">SUM(N17:N20)</f>
        <v>0.39294905982906</v>
      </c>
      <c r="O21" s="3" t="n">
        <f aca="false">SUM(O17:O20)</f>
        <v>14</v>
      </c>
      <c r="P21" s="0" t="n">
        <f aca="false">O21/1950</f>
        <v>0.00717948717948718</v>
      </c>
      <c r="Q21" s="3" t="n">
        <f aca="false">SUM(Q17:Q20)</f>
        <v>0.39294905982906</v>
      </c>
      <c r="R21" s="3"/>
      <c r="S21" s="1" t="n">
        <f aca="false">SUM(S17:S20)</f>
        <v>0.182032539707341</v>
      </c>
      <c r="T21" s="3" t="n">
        <f aca="false">SUM(T17:T20)</f>
        <v>8.02638517401776</v>
      </c>
      <c r="U21" s="0" t="n">
        <f aca="false">SUM(U17:U20)</f>
        <v>7</v>
      </c>
      <c r="V21" s="0" t="n">
        <f aca="false">U21/1950</f>
        <v>0.00358974358974359</v>
      </c>
      <c r="W21" s="3" t="n">
        <f aca="false">SUM(W17:W20)</f>
        <v>0.194432820512821</v>
      </c>
      <c r="X21" s="11" t="n">
        <f aca="false">SUM(X17:X20)</f>
        <v>27</v>
      </c>
      <c r="Y21" s="11" t="n">
        <f aca="false">X21/1950</f>
        <v>0.0138461538461538</v>
      </c>
      <c r="Z21" s="16" t="n">
        <f aca="false">SUM(Z17:Z20)</f>
        <v>0.767577435897436</v>
      </c>
      <c r="AA21" s="3"/>
      <c r="AB21" s="1" t="n">
        <f aca="false">SUM(AB17:AB20)</f>
        <v>0.182032539707341</v>
      </c>
      <c r="AC21" s="3" t="n">
        <f aca="false">SUM(AC17:AC20)</f>
        <v>8.02638517401776</v>
      </c>
      <c r="AD21" s="16"/>
      <c r="AE21" s="17" t="n">
        <f aca="false">SUM(AE17:AE20)</f>
        <v>0.182032539707341</v>
      </c>
      <c r="AF21" s="16" t="n">
        <f aca="false">SUM(AF17:AF20)</f>
        <v>8.02638517401776</v>
      </c>
      <c r="AH21" s="3" t="n">
        <f aca="false">SUM(AH17:AH20)</f>
        <v>72</v>
      </c>
      <c r="AI21" s="0" t="n">
        <f aca="false">AH21/1950</f>
        <v>0.0369230769230769</v>
      </c>
      <c r="AJ21" s="3" t="n">
        <f aca="false">SUM(AJ17:AJ20)</f>
        <v>2.09207521367521</v>
      </c>
      <c r="AK21" s="3" t="n">
        <f aca="false">SUM(AK17:AK20)</f>
        <v>72</v>
      </c>
      <c r="AL21" s="0" t="n">
        <f aca="false">AK21/1950</f>
        <v>0.0369230769230769</v>
      </c>
      <c r="AM21" s="3" t="n">
        <f aca="false">SUM(AM17:AM20)</f>
        <v>2.09207521367521</v>
      </c>
      <c r="AN21" s="3" t="n">
        <f aca="false">SUM(AN17:AN20)</f>
        <v>21</v>
      </c>
      <c r="AO21" s="0" t="n">
        <f aca="false">AN21/1950</f>
        <v>0.0107692307692308</v>
      </c>
      <c r="AP21" s="3" t="n">
        <f aca="false">SUM(AP17:AP20)</f>
        <v>0.583298461538462</v>
      </c>
      <c r="AT21" s="0" t="n">
        <f aca="false">SUM(AT17:AT20)</f>
        <v>7</v>
      </c>
      <c r="AU21" s="0" t="n">
        <f aca="false">AT21/1950</f>
        <v>0.00358974358974359</v>
      </c>
      <c r="AV21" s="3" t="n">
        <f aca="false">SUM(AV17:AV20)</f>
        <v>0.194432820512821</v>
      </c>
      <c r="AW21" s="1" t="n">
        <f aca="false">SUM(AW17:AW20)</f>
        <v>72</v>
      </c>
      <c r="AX21" s="0" t="n">
        <f aca="false">AW21/1950</f>
        <v>0.0369230769230769</v>
      </c>
      <c r="AY21" s="3" t="n">
        <f aca="false">SUM(AY17:AY20)</f>
        <v>2.09207521367521</v>
      </c>
      <c r="AZ21" s="1" t="n">
        <f aca="false">SUM(AZ17:AZ20)</f>
        <v>72</v>
      </c>
      <c r="BA21" s="0" t="n">
        <f aca="false">AZ21/1950</f>
        <v>0.0369230769230769</v>
      </c>
      <c r="BB21" s="3" t="n">
        <f aca="false">SUM(BB17:BB20)</f>
        <v>2.09207521367521</v>
      </c>
    </row>
    <row r="22" customFormat="false" ht="12.8" hidden="false" customHeight="false" outlineLevel="0" collapsed="false">
      <c r="A22" s="0" t="s">
        <v>340</v>
      </c>
      <c r="B22" s="0" t="n">
        <v>10.3284</v>
      </c>
      <c r="C22" s="0" t="n">
        <v>1</v>
      </c>
      <c r="D22" s="0" t="n">
        <f aca="false">C22/1950</f>
        <v>0.000512820512820513</v>
      </c>
      <c r="E22" s="0" t="n">
        <f aca="false">D22*B22</f>
        <v>0.00529661538461539</v>
      </c>
      <c r="F22" s="0" t="n">
        <v>0</v>
      </c>
      <c r="G22" s="1" t="n">
        <f aca="false">F22/1950</f>
        <v>0</v>
      </c>
      <c r="H22" s="0" t="n">
        <f aca="false">G22*B22</f>
        <v>0</v>
      </c>
      <c r="I22" s="11" t="n">
        <v>0</v>
      </c>
      <c r="J22" s="17" t="n">
        <f aca="false">I22/1950</f>
        <v>0</v>
      </c>
      <c r="K22" s="11" t="n">
        <f aca="false">J22*B22</f>
        <v>0</v>
      </c>
      <c r="L22" s="0" t="n">
        <v>0</v>
      </c>
      <c r="M22" s="0" t="n">
        <f aca="false">L22/1950</f>
        <v>0</v>
      </c>
      <c r="N22" s="0" t="n">
        <f aca="false">M22*B22</f>
        <v>0</v>
      </c>
      <c r="O22" s="0" t="n">
        <v>0</v>
      </c>
      <c r="P22" s="0" t="n">
        <f aca="false">O22/1950</f>
        <v>0</v>
      </c>
      <c r="Q22" s="0" t="n">
        <f aca="false">P22*B22</f>
        <v>0</v>
      </c>
      <c r="R22" s="0" t="n">
        <f aca="false">S22*1950</f>
        <v>20.019836379398</v>
      </c>
      <c r="S22" s="0" t="n">
        <f aca="false">S26*26/(26+26+19+3+47)</f>
        <v>0.0102665827586656</v>
      </c>
      <c r="T22" s="0" t="n">
        <f aca="false">S22*B22</f>
        <v>0.106037373364602</v>
      </c>
      <c r="U22" s="0" t="n">
        <v>0</v>
      </c>
      <c r="V22" s="0" t="n">
        <f aca="false">U22/1950</f>
        <v>0</v>
      </c>
      <c r="W22" s="0" t="n">
        <f aca="false">V22*B22</f>
        <v>0</v>
      </c>
      <c r="X22" s="11" t="n">
        <v>0</v>
      </c>
      <c r="Y22" s="11" t="n">
        <f aca="false">X22/1950</f>
        <v>0</v>
      </c>
      <c r="Z22" s="11" t="n">
        <f aca="false">Y22*B22</f>
        <v>0</v>
      </c>
      <c r="AA22" s="0" t="n">
        <f aca="false">AB22*1950</f>
        <v>20.019836379398</v>
      </c>
      <c r="AB22" s="0" t="n">
        <f aca="false">AB26*26/(26+26+19+3+47)</f>
        <v>0.0102665827586656</v>
      </c>
      <c r="AC22" s="0" t="n">
        <f aca="false">AB22*B22</f>
        <v>0.106037373364602</v>
      </c>
      <c r="AD22" s="11" t="n">
        <f aca="false">AE22*1950</f>
        <v>20.019836379398</v>
      </c>
      <c r="AE22" s="11" t="n">
        <f aca="false">AE26*26/(26+26+19+3+47)</f>
        <v>0.0102665827586656</v>
      </c>
      <c r="AF22" s="11" t="n">
        <f aca="false">AE22*B22</f>
        <v>0.106037373364602</v>
      </c>
      <c r="AH22" s="0" t="n">
        <v>27</v>
      </c>
      <c r="AI22" s="0" t="n">
        <f aca="false">AH22/1950</f>
        <v>0.0138461538461538</v>
      </c>
      <c r="AJ22" s="0" t="n">
        <f aca="false">AI22*B22</f>
        <v>0.143008615384615</v>
      </c>
      <c r="AK22" s="0" t="n">
        <v>27</v>
      </c>
      <c r="AL22" s="0" t="n">
        <f aca="false">AK22/1950</f>
        <v>0.0138461538461538</v>
      </c>
      <c r="AM22" s="0" t="n">
        <f aca="false">AL22*B22</f>
        <v>0.143008615384615</v>
      </c>
      <c r="AW22" s="0" t="n">
        <v>1</v>
      </c>
      <c r="AX22" s="0" t="n">
        <f aca="false">AW22/1950</f>
        <v>0.000512820512820513</v>
      </c>
      <c r="AY22" s="0" t="n">
        <f aca="false">AX22*B22</f>
        <v>0.00529661538461539</v>
      </c>
      <c r="AZ22" s="0" t="n">
        <v>27</v>
      </c>
      <c r="BA22" s="0" t="n">
        <f aca="false">AZ22/1950</f>
        <v>0.0138461538461538</v>
      </c>
      <c r="BB22" s="0" t="n">
        <f aca="false">BA22*B22</f>
        <v>0.143008615384615</v>
      </c>
    </row>
    <row r="23" customFormat="false" ht="12.8" hidden="false" customHeight="false" outlineLevel="0" collapsed="false">
      <c r="A23" s="0" t="s">
        <v>341</v>
      </c>
      <c r="B23" s="0" t="n">
        <v>10.1954</v>
      </c>
      <c r="C23" s="1" t="n">
        <v>0</v>
      </c>
      <c r="D23" s="0" t="n">
        <f aca="false">C23/1950</f>
        <v>0</v>
      </c>
      <c r="E23" s="0" t="n">
        <f aca="false">D23*B23</f>
        <v>0</v>
      </c>
      <c r="F23" s="0" t="n">
        <v>0</v>
      </c>
      <c r="G23" s="1" t="n">
        <f aca="false">F23/1950</f>
        <v>0</v>
      </c>
      <c r="H23" s="0" t="n">
        <f aca="false">G23*B23</f>
        <v>0</v>
      </c>
      <c r="I23" s="11" t="n">
        <v>0</v>
      </c>
      <c r="J23" s="17" t="n">
        <f aca="false">I23/1950</f>
        <v>0</v>
      </c>
      <c r="K23" s="11" t="n">
        <f aca="false">J23*B23</f>
        <v>0</v>
      </c>
      <c r="L23" s="0" t="n">
        <v>0</v>
      </c>
      <c r="M23" s="0" t="n">
        <f aca="false">L23/1950</f>
        <v>0</v>
      </c>
      <c r="N23" s="0" t="n">
        <f aca="false">M23*B23</f>
        <v>0</v>
      </c>
      <c r="O23" s="0" t="n">
        <v>0</v>
      </c>
      <c r="P23" s="0" t="n">
        <f aca="false">O23/1950</f>
        <v>0</v>
      </c>
      <c r="Q23" s="0" t="n">
        <f aca="false">P23*B23</f>
        <v>0</v>
      </c>
      <c r="R23" s="0" t="n">
        <f aca="false">S23*1950</f>
        <v>20.019836379398</v>
      </c>
      <c r="S23" s="0" t="n">
        <f aca="false">S26*26/(26+26+19+3+47)</f>
        <v>0.0102665827586656</v>
      </c>
      <c r="T23" s="0" t="n">
        <f aca="false">S23*B23</f>
        <v>0.1046719178577</v>
      </c>
      <c r="U23" s="0" t="n">
        <v>0</v>
      </c>
      <c r="V23" s="0" t="n">
        <f aca="false">U23/1950</f>
        <v>0</v>
      </c>
      <c r="W23" s="0" t="n">
        <f aca="false">V23*B23</f>
        <v>0</v>
      </c>
      <c r="X23" s="11" t="n">
        <v>0</v>
      </c>
      <c r="Y23" s="11" t="n">
        <f aca="false">X23/1950</f>
        <v>0</v>
      </c>
      <c r="Z23" s="11" t="n">
        <f aca="false">Y23*B23</f>
        <v>0</v>
      </c>
      <c r="AA23" s="0" t="n">
        <f aca="false">AB23*1950</f>
        <v>20.019836379398</v>
      </c>
      <c r="AB23" s="0" t="n">
        <f aca="false">AB26*26/(26+26+19+3+47)</f>
        <v>0.0102665827586656</v>
      </c>
      <c r="AC23" s="0" t="n">
        <f aca="false">AB23*B23</f>
        <v>0.1046719178577</v>
      </c>
      <c r="AD23" s="11" t="n">
        <f aca="false">AE23*1950</f>
        <v>20.019836379398</v>
      </c>
      <c r="AE23" s="11" t="n">
        <f aca="false">AE26*26/(26+26+19+3+47)</f>
        <v>0.0102665827586656</v>
      </c>
      <c r="AF23" s="11" t="n">
        <f aca="false">AE23*B23</f>
        <v>0.1046719178577</v>
      </c>
      <c r="AH23" s="0" t="n">
        <v>26</v>
      </c>
      <c r="AI23" s="0" t="n">
        <f aca="false">AH23/1950</f>
        <v>0.0133333333333333</v>
      </c>
      <c r="AJ23" s="0" t="n">
        <f aca="false">AI23*B23</f>
        <v>0.135938666666667</v>
      </c>
      <c r="AK23" s="0" t="n">
        <v>26</v>
      </c>
      <c r="AL23" s="0" t="n">
        <f aca="false">AK23/1950</f>
        <v>0.0133333333333333</v>
      </c>
      <c r="AM23" s="0" t="n">
        <f aca="false">AL23*B23</f>
        <v>0.135938666666667</v>
      </c>
      <c r="AN23" s="0" t="n">
        <f aca="false">10*(16/(9+16+2))</f>
        <v>5.92592592592593</v>
      </c>
      <c r="AO23" s="0" t="n">
        <f aca="false">AN23/1950</f>
        <v>0.00303893637226971</v>
      </c>
      <c r="AP23" s="0" t="n">
        <f aca="false">AO23*B23</f>
        <v>0.0309831718898386</v>
      </c>
      <c r="AT23" s="0" t="n">
        <f aca="false">5*(2/(4+2+1))</f>
        <v>1.42857142857143</v>
      </c>
      <c r="AU23" s="0" t="n">
        <f aca="false">AT23/1950</f>
        <v>0.000732600732600733</v>
      </c>
      <c r="AV23" s="0" t="n">
        <f aca="false">AU23*B23</f>
        <v>0.00746915750915751</v>
      </c>
      <c r="AW23" s="1" t="n">
        <v>0</v>
      </c>
      <c r="AX23" s="0" t="n">
        <f aca="false">AW23/1950</f>
        <v>0</v>
      </c>
      <c r="AY23" s="0" t="n">
        <f aca="false">AX23*B23</f>
        <v>0</v>
      </c>
      <c r="AZ23" s="0" t="n">
        <v>26</v>
      </c>
      <c r="BA23" s="0" t="n">
        <f aca="false">AZ23/1950</f>
        <v>0.0133333333333333</v>
      </c>
      <c r="BB23" s="0" t="n">
        <f aca="false">BA23*B23</f>
        <v>0.135938666666667</v>
      </c>
    </row>
    <row r="24" customFormat="false" ht="12.8" hidden="false" customHeight="false" outlineLevel="0" collapsed="false">
      <c r="A24" s="0" t="s">
        <v>342</v>
      </c>
      <c r="B24" s="0" t="n">
        <v>45</v>
      </c>
      <c r="C24" s="1" t="n">
        <v>0</v>
      </c>
      <c r="D24" s="0" t="n">
        <f aca="false">C24/1950</f>
        <v>0</v>
      </c>
      <c r="E24" s="0" t="n">
        <f aca="false">D24*B24</f>
        <v>0</v>
      </c>
      <c r="F24" s="0" t="n">
        <v>0</v>
      </c>
      <c r="G24" s="1" t="n">
        <f aca="false">F24/1950</f>
        <v>0</v>
      </c>
      <c r="H24" s="0" t="n">
        <f aca="false">G24*B24</f>
        <v>0</v>
      </c>
      <c r="I24" s="11" t="n">
        <v>0</v>
      </c>
      <c r="J24" s="17" t="n">
        <f aca="false">I24/1950</f>
        <v>0</v>
      </c>
      <c r="K24" s="11" t="n">
        <f aca="false">J24*B24</f>
        <v>0</v>
      </c>
      <c r="L24" s="0" t="n">
        <v>0</v>
      </c>
      <c r="M24" s="0" t="n">
        <f aca="false">L24/1950</f>
        <v>0</v>
      </c>
      <c r="N24" s="0" t="n">
        <f aca="false">M24*B24</f>
        <v>0</v>
      </c>
      <c r="O24" s="0" t="n">
        <v>0</v>
      </c>
      <c r="P24" s="0" t="n">
        <f aca="false">O24/1950</f>
        <v>0</v>
      </c>
      <c r="Q24" s="0" t="n">
        <f aca="false">P24*B24</f>
        <v>0</v>
      </c>
      <c r="R24" s="0" t="n">
        <f aca="false">S24*1950</f>
        <v>14.6298804310985</v>
      </c>
      <c r="S24" s="0" t="n">
        <f aca="false">S26*19/(26+26+19+3+47)</f>
        <v>0.00750250278517873</v>
      </c>
      <c r="T24" s="0" t="n">
        <f aca="false">S24*B24</f>
        <v>0.337612625333043</v>
      </c>
      <c r="U24" s="0" t="n">
        <v>0</v>
      </c>
      <c r="V24" s="0" t="n">
        <f aca="false">U24/1950</f>
        <v>0</v>
      </c>
      <c r="W24" s="0" t="n">
        <f aca="false">V24*B24</f>
        <v>0</v>
      </c>
      <c r="X24" s="11" t="n">
        <v>0</v>
      </c>
      <c r="Y24" s="11" t="n">
        <f aca="false">X24/1950</f>
        <v>0</v>
      </c>
      <c r="Z24" s="11" t="n">
        <f aca="false">Y24*B24</f>
        <v>0</v>
      </c>
      <c r="AA24" s="0" t="n">
        <f aca="false">AB24*1950</f>
        <v>14.6298804310985</v>
      </c>
      <c r="AB24" s="0" t="n">
        <f aca="false">AB26*19/(26+26+19+3+47)</f>
        <v>0.00750250278517873</v>
      </c>
      <c r="AC24" s="0" t="n">
        <f aca="false">AB24*B24</f>
        <v>0.337612625333043</v>
      </c>
      <c r="AD24" s="11" t="n">
        <f aca="false">AE24*1950</f>
        <v>14.6298804310985</v>
      </c>
      <c r="AE24" s="11" t="n">
        <f aca="false">AE26*19/(26+26+19+3+47)</f>
        <v>0.00750250278517873</v>
      </c>
      <c r="AF24" s="11" t="n">
        <f aca="false">AE24*B24</f>
        <v>0.337612625333043</v>
      </c>
      <c r="AH24" s="0" t="n">
        <v>19</v>
      </c>
      <c r="AI24" s="0" t="n">
        <f aca="false">AH24/1950</f>
        <v>0.00974358974358974</v>
      </c>
      <c r="AJ24" s="0" t="n">
        <f aca="false">AI24*B24</f>
        <v>0.438461538461538</v>
      </c>
      <c r="AK24" s="0" t="n">
        <v>19</v>
      </c>
      <c r="AL24" s="0" t="n">
        <f aca="false">AK24/1950</f>
        <v>0.00974358974358974</v>
      </c>
      <c r="AM24" s="0" t="n">
        <f aca="false">AL24*B24</f>
        <v>0.438461538461538</v>
      </c>
      <c r="AN24" s="0" t="n">
        <f aca="false">2*(2/(9+16+2))</f>
        <v>0.148148148148148</v>
      </c>
      <c r="AO24" s="0" t="n">
        <f aca="false">AN24/1950</f>
        <v>7.59734093067426E-005</v>
      </c>
      <c r="AP24" s="0" t="n">
        <f aca="false">AO24*B24</f>
        <v>0.00341880341880342</v>
      </c>
      <c r="AT24" s="0" t="n">
        <f aca="false">5*(1/(4+2+1))</f>
        <v>0.714285714285714</v>
      </c>
      <c r="AU24" s="0" t="n">
        <f aca="false">AT24/1950</f>
        <v>0.000366300366300366</v>
      </c>
      <c r="AV24" s="0" t="n">
        <f aca="false">AU24*B24</f>
        <v>0.0164835164835165</v>
      </c>
      <c r="AW24" s="1" t="n">
        <v>0</v>
      </c>
      <c r="AX24" s="0" t="n">
        <f aca="false">AW24/1950</f>
        <v>0</v>
      </c>
      <c r="AY24" s="0" t="n">
        <f aca="false">AX24*B24</f>
        <v>0</v>
      </c>
      <c r="AZ24" s="0" t="n">
        <v>19</v>
      </c>
      <c r="BA24" s="0" t="n">
        <f aca="false">AZ24/1950</f>
        <v>0.00974358974358974</v>
      </c>
      <c r="BB24" s="0" t="n">
        <f aca="false">BA24*B24</f>
        <v>0.438461538461538</v>
      </c>
    </row>
    <row r="25" customFormat="false" ht="12.8" hidden="false" customHeight="false" outlineLevel="0" collapsed="false">
      <c r="A25" s="0" t="s">
        <v>343</v>
      </c>
      <c r="B25" s="0" t="n">
        <v>47.3759</v>
      </c>
      <c r="C25" s="1" t="n">
        <v>0</v>
      </c>
      <c r="D25" s="0" t="n">
        <f aca="false">C25/1950</f>
        <v>0</v>
      </c>
      <c r="E25" s="0" t="n">
        <f aca="false">D25*B25</f>
        <v>0</v>
      </c>
      <c r="F25" s="0" t="n">
        <v>0</v>
      </c>
      <c r="G25" s="1" t="n">
        <f aca="false">F25/1950</f>
        <v>0</v>
      </c>
      <c r="H25" s="0" t="n">
        <f aca="false">G25*B25</f>
        <v>0</v>
      </c>
      <c r="I25" s="11" t="n">
        <v>0</v>
      </c>
      <c r="J25" s="17" t="n">
        <f aca="false">I25/1950</f>
        <v>0</v>
      </c>
      <c r="K25" s="11" t="n">
        <f aca="false">J25*B25</f>
        <v>0</v>
      </c>
      <c r="L25" s="0" t="n">
        <v>0</v>
      </c>
      <c r="M25" s="0" t="n">
        <f aca="false">L25/1950</f>
        <v>0</v>
      </c>
      <c r="N25" s="0" t="n">
        <f aca="false">M25*B25</f>
        <v>0</v>
      </c>
      <c r="O25" s="0" t="n">
        <v>0</v>
      </c>
      <c r="P25" s="0" t="n">
        <f aca="false">O25/1950</f>
        <v>0</v>
      </c>
      <c r="Q25" s="0" t="n">
        <f aca="false">P25*B25</f>
        <v>0</v>
      </c>
      <c r="R25" s="0" t="n">
        <f aca="false">S25*1950</f>
        <v>2.30998112069977</v>
      </c>
      <c r="S25" s="0" t="n">
        <f aca="false">S26*3/(26+26+19+3+47)</f>
        <v>0.00118460570292296</v>
      </c>
      <c r="T25" s="0" t="n">
        <f aca="false">S25*B25</f>
        <v>0.0561217613211077</v>
      </c>
      <c r="U25" s="0" t="n">
        <v>0</v>
      </c>
      <c r="V25" s="0" t="n">
        <f aca="false">U25/1950</f>
        <v>0</v>
      </c>
      <c r="W25" s="0" t="n">
        <f aca="false">V25*B25</f>
        <v>0</v>
      </c>
      <c r="X25" s="11" t="n">
        <v>0</v>
      </c>
      <c r="Y25" s="11" t="n">
        <f aca="false">X25/1950</f>
        <v>0</v>
      </c>
      <c r="Z25" s="11" t="n">
        <f aca="false">Y25*B25</f>
        <v>0</v>
      </c>
      <c r="AA25" s="0" t="n">
        <f aca="false">AB25*1950</f>
        <v>2.30998112069977</v>
      </c>
      <c r="AB25" s="0" t="n">
        <f aca="false">AB26*3/(26+26+19+3+47)</f>
        <v>0.00118460570292296</v>
      </c>
      <c r="AC25" s="0" t="n">
        <f aca="false">AB25*B25</f>
        <v>0.0561217613211077</v>
      </c>
      <c r="AD25" s="11" t="n">
        <f aca="false">AE25*1950</f>
        <v>2.30998112069977</v>
      </c>
      <c r="AE25" s="11" t="n">
        <f aca="false">AE26*3/(26+26+19+3+47)</f>
        <v>0.00118460570292296</v>
      </c>
      <c r="AF25" s="11" t="n">
        <f aca="false">AE25*B25</f>
        <v>0.0561217613211077</v>
      </c>
      <c r="AH25" s="0" t="n">
        <v>3</v>
      </c>
      <c r="AI25" s="0" t="n">
        <f aca="false">AH25/1950</f>
        <v>0.00153846153846154</v>
      </c>
      <c r="AJ25" s="0" t="n">
        <f aca="false">AI25*B25</f>
        <v>0.072886</v>
      </c>
      <c r="AK25" s="0" t="n">
        <v>3</v>
      </c>
      <c r="AL25" s="0" t="n">
        <f aca="false">AK25/1950</f>
        <v>0.00153846153846154</v>
      </c>
      <c r="AM25" s="0" t="n">
        <f aca="false">AL25*B25</f>
        <v>0.072886</v>
      </c>
      <c r="AN25" s="0" t="n">
        <v>0</v>
      </c>
      <c r="AO25" s="0" t="n">
        <f aca="false">AN25/1950</f>
        <v>0</v>
      </c>
      <c r="AP25" s="0" t="n">
        <f aca="false">AO25*B25</f>
        <v>0</v>
      </c>
      <c r="AT25" s="0" t="n">
        <v>0</v>
      </c>
      <c r="AU25" s="0" t="n">
        <f aca="false">AT25/1950</f>
        <v>0</v>
      </c>
      <c r="AV25" s="0" t="n">
        <v>0</v>
      </c>
      <c r="AW25" s="1" t="n">
        <v>0</v>
      </c>
      <c r="AX25" s="0" t="n">
        <f aca="false">AW25/1950</f>
        <v>0</v>
      </c>
      <c r="AY25" s="0" t="n">
        <f aca="false">AX25*B25</f>
        <v>0</v>
      </c>
      <c r="AZ25" s="0" t="n">
        <v>3</v>
      </c>
      <c r="BA25" s="0" t="n">
        <f aca="false">AZ25/1950</f>
        <v>0.00153846153846154</v>
      </c>
      <c r="BB25" s="0" t="n">
        <f aca="false">BA25*B25</f>
        <v>0.072886</v>
      </c>
    </row>
    <row r="26" customFormat="false" ht="12.8" hidden="false" customHeight="false" outlineLevel="0" collapsed="false">
      <c r="A26" s="0" t="s">
        <v>127</v>
      </c>
      <c r="B26" s="0" t="n">
        <v>57.447</v>
      </c>
      <c r="C26" s="1" t="n">
        <v>41</v>
      </c>
      <c r="D26" s="0" t="n">
        <f aca="false">C26/1950</f>
        <v>0.021025641025641</v>
      </c>
      <c r="E26" s="0" t="n">
        <f aca="false">D26*B26</f>
        <v>1.20786</v>
      </c>
      <c r="F26" s="0" t="n">
        <v>6</v>
      </c>
      <c r="G26" s="1" t="n">
        <f aca="false">F26/1950</f>
        <v>0.00307692307692308</v>
      </c>
      <c r="H26" s="0" t="n">
        <f aca="false">G26*B26</f>
        <v>0.17676</v>
      </c>
      <c r="I26" s="11" t="n">
        <v>14</v>
      </c>
      <c r="J26" s="17" t="n">
        <f aca="false">I26/1950</f>
        <v>0.00717948717948718</v>
      </c>
      <c r="K26" s="11" t="n">
        <f aca="false">J26*B26</f>
        <v>0.41244</v>
      </c>
      <c r="L26" s="0" t="n">
        <v>7</v>
      </c>
      <c r="M26" s="0" t="n">
        <f aca="false">L26/1950</f>
        <v>0.00358974358974359</v>
      </c>
      <c r="N26" s="0" t="n">
        <f aca="false">M26*B26</f>
        <v>0.20622</v>
      </c>
      <c r="O26" s="0" t="n">
        <v>7</v>
      </c>
      <c r="P26" s="0" t="n">
        <f aca="false">O26/1950</f>
        <v>0.00358974358974359</v>
      </c>
      <c r="Q26" s="0" t="n">
        <f aca="false">P26*B26</f>
        <v>0.20622</v>
      </c>
      <c r="R26" s="0" t="n">
        <f aca="false">S26*1950</f>
        <v>93.1692385348906</v>
      </c>
      <c r="S26" s="1" t="n">
        <f aca="false">10^(-0.1099087)*120/1950</f>
        <v>0.0477790966845593</v>
      </c>
      <c r="T26" s="0" t="n">
        <f aca="false">S26*B26</f>
        <v>2.74476576723788</v>
      </c>
      <c r="U26" s="0" t="n">
        <v>6</v>
      </c>
      <c r="V26" s="0" t="n">
        <f aca="false">U26/1950</f>
        <v>0.00307692307692308</v>
      </c>
      <c r="W26" s="0" t="n">
        <f aca="false">V26*B26</f>
        <v>0.17676</v>
      </c>
      <c r="X26" s="11" t="n">
        <v>14</v>
      </c>
      <c r="Y26" s="11" t="n">
        <f aca="false">X26/1950</f>
        <v>0.00717948717948718</v>
      </c>
      <c r="Z26" s="11" t="n">
        <f aca="false">Y26*B26</f>
        <v>0.41244</v>
      </c>
      <c r="AA26" s="0" t="n">
        <f aca="false">AB26*1950</f>
        <v>93.1692385348906</v>
      </c>
      <c r="AB26" s="1" t="n">
        <f aca="false">10^(-0.1099087)*120/1950</f>
        <v>0.0477790966845593</v>
      </c>
      <c r="AC26" s="0" t="n">
        <f aca="false">AB26*B26</f>
        <v>2.74476576723788</v>
      </c>
      <c r="AD26" s="11" t="n">
        <f aca="false">AE26*1950</f>
        <v>93.1692385348906</v>
      </c>
      <c r="AE26" s="17" t="n">
        <f aca="false">10^(-0.1099087)*120/1950</f>
        <v>0.0477790966845593</v>
      </c>
      <c r="AF26" s="11" t="n">
        <f aca="false">AE26*B26</f>
        <v>2.74476576723788</v>
      </c>
      <c r="AH26" s="0" t="n">
        <v>88</v>
      </c>
      <c r="AI26" s="0" t="n">
        <f aca="false">AH26/1950</f>
        <v>0.0451282051282051</v>
      </c>
      <c r="AJ26" s="0" t="n">
        <f aca="false">AI26*B26</f>
        <v>2.59248</v>
      </c>
      <c r="AK26" s="0" t="n">
        <v>88</v>
      </c>
      <c r="AL26" s="0" t="n">
        <f aca="false">AK26/1950</f>
        <v>0.0451282051282051</v>
      </c>
      <c r="AM26" s="0" t="n">
        <f aca="false">AL26*B26</f>
        <v>2.59248</v>
      </c>
      <c r="AN26" s="0" t="n">
        <f aca="false">2+10*(9/(9+16+2))</f>
        <v>5.33333333333333</v>
      </c>
      <c r="AO26" s="0" t="n">
        <f aca="false">AN26/1950</f>
        <v>0.00273504273504274</v>
      </c>
      <c r="AP26" s="0" t="n">
        <f aca="false">AO26*B26</f>
        <v>0.15712</v>
      </c>
      <c r="AT26" s="0" t="n">
        <f aca="false">1+(5*(4/(4+2+1)))</f>
        <v>3.85714285714286</v>
      </c>
      <c r="AU26" s="0" t="n">
        <f aca="false">AT26/1950</f>
        <v>0.00197802197802198</v>
      </c>
      <c r="AV26" s="0" t="n">
        <f aca="false">AU26*B26</f>
        <v>0.113631428571429</v>
      </c>
      <c r="AW26" s="1" t="n">
        <v>41</v>
      </c>
      <c r="AX26" s="0" t="n">
        <f aca="false">AW26/1950</f>
        <v>0.021025641025641</v>
      </c>
      <c r="AY26" s="0" t="n">
        <f aca="false">AX26*B26</f>
        <v>1.20786</v>
      </c>
      <c r="AZ26" s="0" t="n">
        <v>88</v>
      </c>
      <c r="BA26" s="0" t="n">
        <f aca="false">AZ26/1950</f>
        <v>0.0451282051282051</v>
      </c>
      <c r="BB26" s="0" t="n">
        <f aca="false">BA26*B26</f>
        <v>2.59248</v>
      </c>
    </row>
    <row r="27" customFormat="false" ht="12.8" hidden="false" customHeight="false" outlineLevel="0" collapsed="false">
      <c r="A27" s="3" t="s">
        <v>344</v>
      </c>
      <c r="B27" s="0" t="s">
        <v>74</v>
      </c>
      <c r="C27" s="1" t="n">
        <f aca="false">SUM(C22:C26)</f>
        <v>42</v>
      </c>
      <c r="D27" s="0" t="n">
        <f aca="false">C27/1950</f>
        <v>0.0215384615384615</v>
      </c>
      <c r="E27" s="3" t="n">
        <f aca="false">SUM(E22:E26)</f>
        <v>1.21315661538462</v>
      </c>
      <c r="F27" s="0" t="n">
        <f aca="false">SUM(F22:F25)</f>
        <v>0</v>
      </c>
      <c r="G27" s="1" t="n">
        <f aca="false">F27/1950</f>
        <v>0</v>
      </c>
      <c r="H27" s="3" t="n">
        <f aca="false">SUM(H24:H26)</f>
        <v>0.17676</v>
      </c>
      <c r="I27" s="11" t="n">
        <f aca="false">SUM(I22:I25)</f>
        <v>0</v>
      </c>
      <c r="J27" s="17" t="n">
        <f aca="false">I27/1950</f>
        <v>0</v>
      </c>
      <c r="K27" s="16" t="n">
        <f aca="false">SUM(K24:K26)</f>
        <v>0.41244</v>
      </c>
      <c r="L27" s="3" t="n">
        <f aca="false">SUM(L22:L26)</f>
        <v>7</v>
      </c>
      <c r="M27" s="0" t="n">
        <f aca="false">L27/1950</f>
        <v>0.00358974358974359</v>
      </c>
      <c r="N27" s="3" t="n">
        <f aca="false">SUM(N22:N26)</f>
        <v>0.20622</v>
      </c>
      <c r="O27" s="3" t="n">
        <f aca="false">SUM(O22:O26)</f>
        <v>7</v>
      </c>
      <c r="P27" s="0" t="n">
        <f aca="false">O27/1950</f>
        <v>0.00358974358974359</v>
      </c>
      <c r="Q27" s="3" t="n">
        <f aca="false">SUM(Q22:Q26)</f>
        <v>0.20622</v>
      </c>
      <c r="R27" s="3"/>
      <c r="S27" s="1" t="n">
        <f aca="false">SUM(S22:S26)</f>
        <v>0.0769993706899922</v>
      </c>
      <c r="T27" s="3" t="n">
        <f aca="false">SUM(T22:T26)</f>
        <v>3.34920944511433</v>
      </c>
      <c r="U27" s="0" t="n">
        <f aca="false">SUM(U22:U25)</f>
        <v>0</v>
      </c>
      <c r="V27" s="0" t="n">
        <f aca="false">U27/1950</f>
        <v>0</v>
      </c>
      <c r="W27" s="3" t="n">
        <f aca="false">SUM(W22:W26)</f>
        <v>0.17676</v>
      </c>
      <c r="X27" s="11" t="n">
        <f aca="false">SUM(X22:X25)</f>
        <v>0</v>
      </c>
      <c r="Y27" s="11" t="n">
        <f aca="false">X27/1950</f>
        <v>0</v>
      </c>
      <c r="Z27" s="16" t="n">
        <f aca="false">SUM(Z22:Z26)</f>
        <v>0.41244</v>
      </c>
      <c r="AA27" s="3"/>
      <c r="AB27" s="1" t="n">
        <f aca="false">SUM(AB22:AB26)</f>
        <v>0.0769993706899922</v>
      </c>
      <c r="AC27" s="3" t="n">
        <f aca="false">SUM(AC22:AC26)</f>
        <v>3.34920944511433</v>
      </c>
      <c r="AD27" s="16"/>
      <c r="AE27" s="17" t="n">
        <f aca="false">SUM(AE22:AE26)</f>
        <v>0.0769993706899922</v>
      </c>
      <c r="AF27" s="16" t="n">
        <f aca="false">SUM(AF22:AF26)</f>
        <v>3.34920944511433</v>
      </c>
      <c r="AH27" s="3" t="n">
        <f aca="false">SUM(AH22:AH25)</f>
        <v>75</v>
      </c>
      <c r="AI27" s="0" t="n">
        <f aca="false">AH27/1950</f>
        <v>0.0384615384615385</v>
      </c>
      <c r="AJ27" s="3" t="n">
        <f aca="false">SUM(AJ22:AJ25)</f>
        <v>0.790294820512821</v>
      </c>
      <c r="AK27" s="3" t="n">
        <f aca="false">SUM(AK22:AK25)</f>
        <v>75</v>
      </c>
      <c r="AL27" s="0" t="n">
        <f aca="false">AK27/1950</f>
        <v>0.0384615384615385</v>
      </c>
      <c r="AM27" s="3" t="n">
        <f aca="false">SUM(AM22:AM25)</f>
        <v>0.790294820512821</v>
      </c>
      <c r="AN27" s="3" t="n">
        <f aca="false">SUM(AN22:AN25)</f>
        <v>6.07407407407407</v>
      </c>
      <c r="AO27" s="0" t="n">
        <f aca="false">AN27/1950</f>
        <v>0.00311490978157645</v>
      </c>
      <c r="AP27" s="3" t="n">
        <f aca="false">SUM(AP22:AP25)</f>
        <v>0.034401975308642</v>
      </c>
      <c r="AT27" s="0" t="n">
        <f aca="false">SUM(AT22:AT25)</f>
        <v>2.14285714285714</v>
      </c>
      <c r="AU27" s="0" t="n">
        <f aca="false">AT27/1950</f>
        <v>0.0010989010989011</v>
      </c>
      <c r="AV27" s="3" t="n">
        <f aca="false">SUM(AV22:AV25)</f>
        <v>0.023952673992674</v>
      </c>
      <c r="AW27" s="1" t="n">
        <f aca="false">SUM(AW22:AW26)</f>
        <v>42</v>
      </c>
      <c r="AX27" s="0" t="n">
        <f aca="false">AW27/1950</f>
        <v>0.0215384615384615</v>
      </c>
      <c r="AY27" s="3" t="n">
        <f aca="false">SUM(AY22:AY26)</f>
        <v>1.21315661538462</v>
      </c>
      <c r="AZ27" s="1" t="n">
        <f aca="false">SUM(AZ22:AZ25)</f>
        <v>75</v>
      </c>
      <c r="BA27" s="0" t="n">
        <f aca="false">AZ27/1950</f>
        <v>0.0384615384615385</v>
      </c>
      <c r="BB27" s="3" t="n">
        <f aca="false">SUM(BB22:BB25)</f>
        <v>0.790294820512821</v>
      </c>
    </row>
    <row r="28" customFormat="false" ht="12.8" hidden="false" customHeight="false" outlineLevel="0" collapsed="false">
      <c r="A28" s="0" t="s">
        <v>151</v>
      </c>
      <c r="B28" s="0" t="n">
        <v>15.06</v>
      </c>
      <c r="C28" s="1" t="n">
        <v>3</v>
      </c>
      <c r="D28" s="0" t="n">
        <f aca="false">C28/1950</f>
        <v>0.00153846153846154</v>
      </c>
      <c r="E28" s="0" t="n">
        <f aca="false">D28*B28</f>
        <v>0.0231692307692308</v>
      </c>
      <c r="F28" s="0" t="n">
        <v>1</v>
      </c>
      <c r="G28" s="1" t="n">
        <f aca="false">F28/1950</f>
        <v>0.000512820512820513</v>
      </c>
      <c r="H28" s="0" t="n">
        <f aca="false">G28*B28</f>
        <v>0.00772307692307692</v>
      </c>
      <c r="I28" s="11" t="n">
        <v>0</v>
      </c>
      <c r="J28" s="17" t="n">
        <f aca="false">I28/1950</f>
        <v>0</v>
      </c>
      <c r="K28" s="11" t="n">
        <f aca="false">J28*B28</f>
        <v>0</v>
      </c>
      <c r="L28" s="0" t="n">
        <v>0</v>
      </c>
      <c r="M28" s="0" t="n">
        <f aca="false">L28/1950</f>
        <v>0</v>
      </c>
      <c r="N28" s="0" t="n">
        <f aca="false">M28*B28</f>
        <v>0</v>
      </c>
      <c r="O28" s="0" t="n">
        <v>0</v>
      </c>
      <c r="P28" s="0" t="n">
        <f aca="false">O28/1950</f>
        <v>0</v>
      </c>
      <c r="Q28" s="0" t="n">
        <f aca="false">P28*B28</f>
        <v>0</v>
      </c>
      <c r="R28" s="0" t="n">
        <f aca="false">S28*1950</f>
        <v>57.4532632283883</v>
      </c>
      <c r="S28" s="0" t="n">
        <f aca="false">S29*3/10</f>
        <v>0.029463211911994</v>
      </c>
      <c r="T28" s="0" t="n">
        <f aca="false">S28*B28</f>
        <v>0.44371597139463</v>
      </c>
      <c r="U28" s="0" t="n">
        <v>1</v>
      </c>
      <c r="V28" s="0" t="n">
        <f aca="false">U28/1950</f>
        <v>0.000512820512820513</v>
      </c>
      <c r="W28" s="0" t="n">
        <f aca="false">V28*B28</f>
        <v>0.00772307692307692</v>
      </c>
      <c r="X28" s="11" t="n">
        <v>0</v>
      </c>
      <c r="Y28" s="11" t="n">
        <f aca="false">X28/1950</f>
        <v>0</v>
      </c>
      <c r="Z28" s="11" t="n">
        <f aca="false">Y28*B28</f>
        <v>0</v>
      </c>
      <c r="AA28" s="0" t="n">
        <f aca="false">AB28*1950</f>
        <v>57.4532632283883</v>
      </c>
      <c r="AB28" s="0" t="n">
        <f aca="false">AB29*3/10</f>
        <v>0.029463211911994</v>
      </c>
      <c r="AC28" s="0" t="n">
        <f aca="false">AB28*B28</f>
        <v>0.44371597139463</v>
      </c>
      <c r="AD28" s="11" t="n">
        <f aca="false">AE28*1950</f>
        <v>57.4532632283883</v>
      </c>
      <c r="AE28" s="11" t="n">
        <f aca="false">AE29*3/10</f>
        <v>0.029463211911994</v>
      </c>
      <c r="AF28" s="11" t="n">
        <f aca="false">AE28*B28</f>
        <v>0.44371597139463</v>
      </c>
      <c r="AH28" s="0" t="n">
        <v>43</v>
      </c>
      <c r="AI28" s="0" t="n">
        <f aca="false">AH28/1950</f>
        <v>0.0220512820512821</v>
      </c>
      <c r="AJ28" s="0" t="n">
        <f aca="false">AI28*B28</f>
        <v>0.332092307692308</v>
      </c>
      <c r="AK28" s="0" t="n">
        <v>43</v>
      </c>
      <c r="AL28" s="0" t="n">
        <f aca="false">AK28/1950</f>
        <v>0.0220512820512821</v>
      </c>
      <c r="AM28" s="0" t="n">
        <f aca="false">AL28*B28</f>
        <v>0.332092307692308</v>
      </c>
      <c r="AN28" s="0" t="n">
        <v>1</v>
      </c>
      <c r="AO28" s="0" t="n">
        <f aca="false">AN28/1950</f>
        <v>0.000512820512820513</v>
      </c>
      <c r="AP28" s="0" t="n">
        <f aca="false">AO28*B28</f>
        <v>0.00772307692307692</v>
      </c>
      <c r="AT28" s="0" t="n">
        <v>1</v>
      </c>
      <c r="AU28" s="0" t="n">
        <f aca="false">AT28/1950</f>
        <v>0.000512820512820513</v>
      </c>
      <c r="AV28" s="0" t="n">
        <f aca="false">AU28*B28</f>
        <v>0.00772307692307692</v>
      </c>
      <c r="AW28" s="1" t="n">
        <v>3</v>
      </c>
      <c r="AX28" s="0" t="n">
        <f aca="false">AW28/1950</f>
        <v>0.00153846153846154</v>
      </c>
      <c r="AY28" s="0" t="n">
        <f aca="false">AX28*B28</f>
        <v>0.0231692307692308</v>
      </c>
      <c r="AZ28" s="0" t="n">
        <v>43</v>
      </c>
      <c r="BA28" s="0" t="n">
        <f aca="false">AZ28/1950</f>
        <v>0.0220512820512821</v>
      </c>
      <c r="BB28" s="0" t="n">
        <f aca="false">BA28*B28</f>
        <v>0.332092307692308</v>
      </c>
    </row>
    <row r="29" customFormat="false" ht="12.8" hidden="false" customHeight="false" outlineLevel="0" collapsed="false">
      <c r="A29" s="0" t="s">
        <v>133</v>
      </c>
      <c r="B29" s="0" t="n">
        <v>21.789</v>
      </c>
      <c r="C29" s="1" t="n">
        <v>11</v>
      </c>
      <c r="D29" s="0" t="n">
        <f aca="false">C29/1950</f>
        <v>0.00564102564102564</v>
      </c>
      <c r="E29" s="0" t="n">
        <f aca="false">D29*B29</f>
        <v>0.122912307692308</v>
      </c>
      <c r="F29" s="0" t="n">
        <v>1</v>
      </c>
      <c r="G29" s="1" t="n">
        <f aca="false">F29/1950</f>
        <v>0.000512820512820513</v>
      </c>
      <c r="H29" s="0" t="n">
        <f aca="false">G29*B29</f>
        <v>0.0111738461538462</v>
      </c>
      <c r="I29" s="11" t="n">
        <v>4</v>
      </c>
      <c r="J29" s="17" t="n">
        <f aca="false">I29/1950</f>
        <v>0.00205128205128205</v>
      </c>
      <c r="K29" s="11" t="n">
        <f aca="false">J29*B29</f>
        <v>0.0446953846153846</v>
      </c>
      <c r="L29" s="0" t="n">
        <v>1</v>
      </c>
      <c r="M29" s="0" t="n">
        <f aca="false">L29/1950</f>
        <v>0.000512820512820513</v>
      </c>
      <c r="N29" s="0" t="n">
        <f aca="false">M29*B29</f>
        <v>0.0111738461538462</v>
      </c>
      <c r="O29" s="0" t="n">
        <v>1</v>
      </c>
      <c r="P29" s="0" t="n">
        <f aca="false">O29/1950</f>
        <v>0.000512820512820513</v>
      </c>
      <c r="Q29" s="0" t="n">
        <f aca="false">P29*B29</f>
        <v>0.0111738461538462</v>
      </c>
      <c r="R29" s="0" t="n">
        <f aca="false">S29*1950</f>
        <v>191.510877427961</v>
      </c>
      <c r="S29" s="1" t="n">
        <f aca="false">10^(0.2030122)*120/1950</f>
        <v>0.0982107063733134</v>
      </c>
      <c r="T29" s="0" t="n">
        <f aca="false">S29*B29</f>
        <v>2.13991308116813</v>
      </c>
      <c r="U29" s="0" t="n">
        <v>1</v>
      </c>
      <c r="V29" s="0" t="n">
        <f aca="false">U29/1950</f>
        <v>0.000512820512820513</v>
      </c>
      <c r="W29" s="0" t="n">
        <f aca="false">V29*B29</f>
        <v>0.0111738461538462</v>
      </c>
      <c r="X29" s="11" t="n">
        <v>4</v>
      </c>
      <c r="Y29" s="11" t="n">
        <f aca="false">X29/1950</f>
        <v>0.00205128205128205</v>
      </c>
      <c r="Z29" s="11" t="n">
        <f aca="false">Y29*B29</f>
        <v>0.0446953846153846</v>
      </c>
      <c r="AA29" s="0" t="n">
        <f aca="false">AB29*1950</f>
        <v>191.510877427961</v>
      </c>
      <c r="AB29" s="1" t="n">
        <f aca="false">10^(0.2030122)*120/1950</f>
        <v>0.0982107063733134</v>
      </c>
      <c r="AC29" s="0" t="n">
        <f aca="false">AB29*B29</f>
        <v>2.13991308116813</v>
      </c>
      <c r="AD29" s="11" t="n">
        <f aca="false">AE29*1950</f>
        <v>191.510877427961</v>
      </c>
      <c r="AE29" s="17" t="n">
        <f aca="false">10^(0.2030122)*120/1950</f>
        <v>0.0982107063733134</v>
      </c>
      <c r="AF29" s="11" t="n">
        <f aca="false">AE29*B29</f>
        <v>2.13991308116813</v>
      </c>
      <c r="AH29" s="0" t="n">
        <v>446</v>
      </c>
      <c r="AI29" s="0" t="n">
        <f aca="false">AH29/1950</f>
        <v>0.228717948717949</v>
      </c>
      <c r="AJ29" s="0" t="n">
        <f aca="false">AI29*B29</f>
        <v>4.98353538461539</v>
      </c>
      <c r="AK29" s="0" t="n">
        <v>446</v>
      </c>
      <c r="AL29" s="0" t="n">
        <f aca="false">AK29/1950</f>
        <v>0.228717948717949</v>
      </c>
      <c r="AM29" s="0" t="n">
        <f aca="false">AL29*B29</f>
        <v>4.98353538461539</v>
      </c>
      <c r="AN29" s="0" t="n">
        <v>3</v>
      </c>
      <c r="AO29" s="0" t="n">
        <f aca="false">AN29/1950</f>
        <v>0.00153846153846154</v>
      </c>
      <c r="AP29" s="0" t="n">
        <f aca="false">AO29*B29</f>
        <v>0.0335215384615385</v>
      </c>
      <c r="AT29" s="0" t="n">
        <v>1</v>
      </c>
      <c r="AU29" s="0" t="n">
        <f aca="false">AT29/1950</f>
        <v>0.000512820512820513</v>
      </c>
      <c r="AV29" s="0" t="n">
        <f aca="false">AU29*B29</f>
        <v>0.0111738461538462</v>
      </c>
      <c r="AW29" s="1" t="n">
        <v>11</v>
      </c>
      <c r="AX29" s="0" t="n">
        <f aca="false">AW29/1950</f>
        <v>0.00564102564102564</v>
      </c>
      <c r="AY29" s="0" t="n">
        <f aca="false">AX29*B29</f>
        <v>0.122912307692308</v>
      </c>
      <c r="AZ29" s="0" t="n">
        <v>446</v>
      </c>
      <c r="BA29" s="0" t="n">
        <f aca="false">AZ29/1950</f>
        <v>0.228717948717949</v>
      </c>
      <c r="BB29" s="0" t="n">
        <f aca="false">BA29*B29</f>
        <v>4.98353538461539</v>
      </c>
    </row>
    <row r="30" customFormat="false" ht="12.8" hidden="false" customHeight="false" outlineLevel="0" collapsed="false">
      <c r="A30" s="3" t="s">
        <v>345</v>
      </c>
      <c r="B30" s="0" t="n">
        <f aca="false">AVERAGE(B28:B29)</f>
        <v>18.4245</v>
      </c>
      <c r="C30" s="1" t="n">
        <v>39</v>
      </c>
      <c r="D30" s="0" t="n">
        <f aca="false">C30/1950</f>
        <v>0.02</v>
      </c>
      <c r="E30" s="0" t="n">
        <f aca="false">D30*B30</f>
        <v>0.36849</v>
      </c>
      <c r="F30" s="0" t="n">
        <v>7</v>
      </c>
      <c r="G30" s="1" t="n">
        <f aca="false">F30/1950</f>
        <v>0.00358974358974359</v>
      </c>
      <c r="H30" s="0" t="n">
        <f aca="false">G30*B30</f>
        <v>0.0661392307692308</v>
      </c>
      <c r="I30" s="11" t="n">
        <v>16</v>
      </c>
      <c r="J30" s="17" t="n">
        <f aca="false">I30/1950</f>
        <v>0.00820512820512821</v>
      </c>
      <c r="K30" s="11" t="n">
        <f aca="false">J30*B30</f>
        <v>0.151175384615385</v>
      </c>
      <c r="L30" s="0" t="n">
        <v>7</v>
      </c>
      <c r="M30" s="0" t="n">
        <f aca="false">L30/1950</f>
        <v>0.00358974358974359</v>
      </c>
      <c r="N30" s="0" t="n">
        <f aca="false">M30*B30</f>
        <v>0.0661392307692308</v>
      </c>
      <c r="O30" s="0" t="n">
        <v>7</v>
      </c>
      <c r="P30" s="0" t="n">
        <f aca="false">O30/1950</f>
        <v>0.00358974358974359</v>
      </c>
      <c r="Q30" s="0" t="n">
        <f aca="false">P30*B30</f>
        <v>0.0661392307692308</v>
      </c>
      <c r="R30" s="1" t="s">
        <v>74</v>
      </c>
      <c r="S30" s="1" t="s">
        <v>74</v>
      </c>
      <c r="T30" s="1" t="s">
        <v>74</v>
      </c>
      <c r="U30" s="0" t="n">
        <v>7</v>
      </c>
      <c r="V30" s="0" t="n">
        <f aca="false">U30/1950</f>
        <v>0.00358974358974359</v>
      </c>
      <c r="W30" s="0" t="n">
        <f aca="false">V30*B30</f>
        <v>0.0661392307692308</v>
      </c>
      <c r="X30" s="11" t="n">
        <v>16</v>
      </c>
      <c r="Y30" s="11" t="n">
        <f aca="false">X30/1950</f>
        <v>0.00820512820512821</v>
      </c>
      <c r="Z30" s="11" t="n">
        <f aca="false">Y30*B30</f>
        <v>0.151175384615385</v>
      </c>
      <c r="AA30" s="1" t="s">
        <v>74</v>
      </c>
      <c r="AB30" s="1" t="s">
        <v>74</v>
      </c>
      <c r="AC30" s="1" t="s">
        <v>74</v>
      </c>
      <c r="AD30" s="17" t="s">
        <v>74</v>
      </c>
      <c r="AE30" s="17" t="s">
        <v>74</v>
      </c>
      <c r="AF30" s="17" t="s">
        <v>74</v>
      </c>
      <c r="AH30" s="0" t="n">
        <v>39</v>
      </c>
      <c r="AI30" s="0" t="n">
        <f aca="false">AH30/1950</f>
        <v>0.02</v>
      </c>
      <c r="AJ30" s="0" t="n">
        <f aca="false">AI30*B30</f>
        <v>0.36849</v>
      </c>
      <c r="AK30" s="0" t="n">
        <v>39</v>
      </c>
      <c r="AL30" s="0" t="n">
        <f aca="false">AK30/1950</f>
        <v>0.02</v>
      </c>
      <c r="AM30" s="0" t="n">
        <f aca="false">AL30*B30</f>
        <v>0.36849</v>
      </c>
      <c r="AN30" s="0" t="n">
        <v>15</v>
      </c>
      <c r="AO30" s="0" t="n">
        <f aca="false">AN30/1950</f>
        <v>0.00769230769230769</v>
      </c>
      <c r="AP30" s="0" t="n">
        <f aca="false">AO30*B30</f>
        <v>0.141726923076923</v>
      </c>
      <c r="AT30" s="0" t="n">
        <v>2</v>
      </c>
      <c r="AU30" s="0" t="n">
        <f aca="false">AT30/1950</f>
        <v>0.00102564102564103</v>
      </c>
      <c r="AV30" s="0" t="n">
        <f aca="false">AU30*B30</f>
        <v>0.0188969230769231</v>
      </c>
      <c r="AW30" s="1" t="n">
        <v>39</v>
      </c>
      <c r="AX30" s="0" t="n">
        <f aca="false">AW30/1950</f>
        <v>0.02</v>
      </c>
      <c r="AY30" s="0" t="n">
        <f aca="false">AX30*B30</f>
        <v>0.36849</v>
      </c>
      <c r="AZ30" s="0" t="n">
        <v>39</v>
      </c>
      <c r="BA30" s="0" t="n">
        <f aca="false">AZ30/1950</f>
        <v>0.02</v>
      </c>
      <c r="BB30" s="0" t="n">
        <f aca="false">BA30*B30</f>
        <v>0.36849</v>
      </c>
    </row>
    <row r="31" customFormat="false" ht="12.8" hidden="false" customHeight="false" outlineLevel="0" collapsed="false">
      <c r="A31" s="3" t="s">
        <v>346</v>
      </c>
      <c r="B31" s="0" t="s">
        <v>74</v>
      </c>
      <c r="C31" s="1" t="n">
        <f aca="false">SUM(C28:C30)</f>
        <v>53</v>
      </c>
      <c r="D31" s="0" t="n">
        <f aca="false">C31/1950</f>
        <v>0.0271794871794872</v>
      </c>
      <c r="E31" s="3" t="n">
        <f aca="false">SUM(E28:E30)</f>
        <v>0.514571538461539</v>
      </c>
      <c r="F31" s="0" t="n">
        <f aca="false">SUM(F28:F30)</f>
        <v>9</v>
      </c>
      <c r="G31" s="1" t="n">
        <f aca="false">F31/1950</f>
        <v>0.00461538461538462</v>
      </c>
      <c r="H31" s="3" t="n">
        <f aca="false">SUM(H28:H30)</f>
        <v>0.0850361538461538</v>
      </c>
      <c r="I31" s="11" t="n">
        <f aca="false">SUM(I28:I30)</f>
        <v>20</v>
      </c>
      <c r="J31" s="17" t="n">
        <f aca="false">I31/1950</f>
        <v>0.0102564102564103</v>
      </c>
      <c r="K31" s="16" t="n">
        <f aca="false">SUM(K28:K30)</f>
        <v>0.195870769230769</v>
      </c>
      <c r="L31" s="3" t="n">
        <f aca="false">SUM(L28:L30)</f>
        <v>8</v>
      </c>
      <c r="M31" s="0" t="n">
        <f aca="false">L31/1950</f>
        <v>0.0041025641025641</v>
      </c>
      <c r="N31" s="3" t="n">
        <f aca="false">SUM(N28:N30)</f>
        <v>0.0773130769230769</v>
      </c>
      <c r="O31" s="3" t="n">
        <f aca="false">SUM(O28:O30)</f>
        <v>8</v>
      </c>
      <c r="P31" s="0" t="n">
        <f aca="false">O31/1950</f>
        <v>0.0041025641025641</v>
      </c>
      <c r="Q31" s="3" t="n">
        <f aca="false">SUM(Q28:Q30)</f>
        <v>0.0773130769230769</v>
      </c>
      <c r="R31" s="3"/>
      <c r="S31" s="1" t="n">
        <f aca="false">SUM(S28:S30)</f>
        <v>0.127673918285307</v>
      </c>
      <c r="T31" s="3" t="n">
        <f aca="false">SUM(T28:T30)</f>
        <v>2.58362905256276</v>
      </c>
      <c r="U31" s="0" t="n">
        <f aca="false">SUM(U28:U30)</f>
        <v>9</v>
      </c>
      <c r="V31" s="0" t="n">
        <f aca="false">U31/1950</f>
        <v>0.00461538461538462</v>
      </c>
      <c r="W31" s="3" t="n">
        <f aca="false">SUM(W28:W30)</f>
        <v>0.0850361538461538</v>
      </c>
      <c r="X31" s="11" t="n">
        <f aca="false">SUM(X28:X30)</f>
        <v>20</v>
      </c>
      <c r="Y31" s="11" t="n">
        <f aca="false">X31/1950</f>
        <v>0.0102564102564103</v>
      </c>
      <c r="Z31" s="16" t="n">
        <f aca="false">SUM(Z28:Z30)</f>
        <v>0.195870769230769</v>
      </c>
      <c r="AB31" s="1" t="n">
        <f aca="false">SUM(AB28:AB30)</f>
        <v>0.127673918285307</v>
      </c>
      <c r="AC31" s="3" t="n">
        <f aca="false">SUM(AC28:AC30)</f>
        <v>2.58362905256276</v>
      </c>
      <c r="AD31" s="16"/>
      <c r="AE31" s="17" t="n">
        <f aca="false">SUM(AE28:AE30)</f>
        <v>0.127673918285307</v>
      </c>
      <c r="AF31" s="16" t="n">
        <f aca="false">SUM(AF28:AF30)</f>
        <v>2.58362905256276</v>
      </c>
      <c r="AH31" s="3" t="n">
        <f aca="false">SUM(AH28:AH30)</f>
        <v>528</v>
      </c>
      <c r="AI31" s="0" t="n">
        <f aca="false">AH31/1950</f>
        <v>0.270769230769231</v>
      </c>
      <c r="AJ31" s="3" t="n">
        <f aca="false">SUM(AJ28:AJ30)</f>
        <v>5.68411769230769</v>
      </c>
      <c r="AK31" s="3" t="n">
        <f aca="false">SUM(AK28:AK30)</f>
        <v>528</v>
      </c>
      <c r="AL31" s="0" t="n">
        <f aca="false">AK31/1950</f>
        <v>0.270769230769231</v>
      </c>
      <c r="AM31" s="3" t="n">
        <f aca="false">SUM(AM28:AM30)</f>
        <v>5.68411769230769</v>
      </c>
      <c r="AN31" s="3" t="n">
        <f aca="false">SUM(AN28:AN30)</f>
        <v>19</v>
      </c>
      <c r="AO31" s="0" t="n">
        <f aca="false">AN31/1950</f>
        <v>0.00974358974358974</v>
      </c>
      <c r="AP31" s="3" t="n">
        <f aca="false">SUM(AP28:AP30)</f>
        <v>0.182971538461539</v>
      </c>
      <c r="AT31" s="0" t="n">
        <f aca="false">SUM(AT28:AT30)</f>
        <v>4</v>
      </c>
      <c r="AU31" s="0" t="n">
        <f aca="false">AT31/1950</f>
        <v>0.00205128205128205</v>
      </c>
      <c r="AV31" s="3" t="n">
        <f aca="false">SUM(AV28:AV30)</f>
        <v>0.0377938461538462</v>
      </c>
      <c r="AW31" s="1" t="n">
        <f aca="false">SUM(AW28:AW30)</f>
        <v>53</v>
      </c>
      <c r="AX31" s="0" t="n">
        <f aca="false">AW31/1950</f>
        <v>0.0271794871794872</v>
      </c>
      <c r="AY31" s="3" t="n">
        <f aca="false">SUM(AY28:AY30)</f>
        <v>0.514571538461539</v>
      </c>
      <c r="AZ31" s="1" t="n">
        <f aca="false">SUM(AZ28:AZ30)</f>
        <v>528</v>
      </c>
      <c r="BA31" s="0" t="n">
        <f aca="false">AZ31/1950</f>
        <v>0.270769230769231</v>
      </c>
      <c r="BB31" s="3" t="n">
        <f aca="false">SUM(BB28:BB30)</f>
        <v>5.68411769230769</v>
      </c>
    </row>
    <row r="32" customFormat="false" ht="12.8" hidden="false" customHeight="false" outlineLevel="0" collapsed="false">
      <c r="A32" s="0" t="s">
        <v>171</v>
      </c>
      <c r="B32" s="0" t="n">
        <v>1617.9</v>
      </c>
      <c r="C32" s="1" t="n">
        <v>20</v>
      </c>
      <c r="D32" s="0" t="n">
        <f aca="false">C32/1950</f>
        <v>0.0102564102564103</v>
      </c>
      <c r="E32" s="0" t="n">
        <f aca="false">D32*B32</f>
        <v>16.5938461538462</v>
      </c>
      <c r="F32" s="0" t="n">
        <v>5</v>
      </c>
      <c r="G32" s="1" t="n">
        <f aca="false">F32/1950</f>
        <v>0.00256410256410256</v>
      </c>
      <c r="H32" s="0" t="n">
        <f aca="false">G32*B32</f>
        <v>4.14846153846154</v>
      </c>
      <c r="I32" s="11" t="n">
        <v>5</v>
      </c>
      <c r="J32" s="17" t="n">
        <f aca="false">I32/1950</f>
        <v>0.00256410256410256</v>
      </c>
      <c r="K32" s="11" t="n">
        <f aca="false">J32*B32</f>
        <v>4.14846153846154</v>
      </c>
      <c r="L32" s="0" t="n">
        <v>3</v>
      </c>
      <c r="M32" s="0" t="n">
        <f aca="false">L32/1950</f>
        <v>0.00153846153846154</v>
      </c>
      <c r="N32" s="0" t="n">
        <f aca="false">M32*B32</f>
        <v>2.48907692307692</v>
      </c>
      <c r="O32" s="0" t="n">
        <v>3</v>
      </c>
      <c r="P32" s="0" t="n">
        <f aca="false">O32/1950</f>
        <v>0.00153846153846154</v>
      </c>
      <c r="Q32" s="0" t="n">
        <f aca="false">P32*B32</f>
        <v>2.48907692307692</v>
      </c>
      <c r="R32" s="0" t="n">
        <v>3</v>
      </c>
      <c r="S32" s="0" t="n">
        <f aca="false">R32/1950</f>
        <v>0.00153846153846154</v>
      </c>
      <c r="T32" s="0" t="n">
        <f aca="false">S32*B32</f>
        <v>2.48907692307692</v>
      </c>
      <c r="U32" s="0" t="n">
        <v>5</v>
      </c>
      <c r="V32" s="0" t="n">
        <f aca="false">U32/1950</f>
        <v>0.00256410256410256</v>
      </c>
      <c r="W32" s="0" t="n">
        <f aca="false">V32*B32</f>
        <v>4.14846153846154</v>
      </c>
      <c r="X32" s="11" t="n">
        <v>5</v>
      </c>
      <c r="Y32" s="11" t="n">
        <f aca="false">X32/1950</f>
        <v>0.00256410256410256</v>
      </c>
      <c r="Z32" s="11" t="n">
        <f aca="false">Y32*B32</f>
        <v>4.14846153846154</v>
      </c>
      <c r="AA32" s="0" t="n">
        <v>5</v>
      </c>
      <c r="AB32" s="1" t="n">
        <f aca="false">AA32/1950</f>
        <v>0.00256410256410256</v>
      </c>
      <c r="AC32" s="0" t="n">
        <f aca="false">AB32*B32</f>
        <v>4.14846153846154</v>
      </c>
      <c r="AD32" s="11" t="n">
        <v>5</v>
      </c>
      <c r="AE32" s="17" t="n">
        <f aca="false">AD32/1950</f>
        <v>0.00256410256410256</v>
      </c>
      <c r="AF32" s="11" t="n">
        <f aca="false">AE32*B32</f>
        <v>4.14846153846154</v>
      </c>
      <c r="AH32" s="0" t="n">
        <v>20</v>
      </c>
      <c r="AI32" s="0" t="n">
        <f aca="false">AH32/1950</f>
        <v>0.0102564102564103</v>
      </c>
      <c r="AJ32" s="0" t="n">
        <f aca="false">AI32*B32</f>
        <v>16.5938461538462</v>
      </c>
      <c r="AK32" s="0" t="n">
        <v>20</v>
      </c>
      <c r="AL32" s="0" t="n">
        <f aca="false">AK32/1950</f>
        <v>0.0102564102564103</v>
      </c>
      <c r="AM32" s="0" t="n">
        <f aca="false">AL32*B32</f>
        <v>16.5938461538462</v>
      </c>
      <c r="AN32" s="0" t="n">
        <v>6</v>
      </c>
      <c r="AO32" s="0" t="n">
        <f aca="false">AN32/1950</f>
        <v>0.00307692307692308</v>
      </c>
      <c r="AP32" s="0" t="n">
        <f aca="false">AO32*B32</f>
        <v>4.97815384615385</v>
      </c>
      <c r="AT32" s="0" t="n">
        <v>6</v>
      </c>
      <c r="AU32" s="0" t="n">
        <f aca="false">AT32/1950</f>
        <v>0.00307692307692308</v>
      </c>
      <c r="AV32" s="0" t="n">
        <f aca="false">AU32*B32</f>
        <v>4.97815384615385</v>
      </c>
      <c r="AW32" s="1" t="n">
        <v>20</v>
      </c>
      <c r="AX32" s="0" t="n">
        <f aca="false">AW32/1950</f>
        <v>0.0102564102564103</v>
      </c>
      <c r="AY32" s="0" t="n">
        <f aca="false">AX32*B32</f>
        <v>16.5938461538462</v>
      </c>
      <c r="AZ32" s="1" t="n">
        <v>20</v>
      </c>
      <c r="BA32" s="0" t="n">
        <f aca="false">AZ32/1950</f>
        <v>0.0102564102564103</v>
      </c>
      <c r="BB32" s="0" t="n">
        <f aca="false">BA32*B32</f>
        <v>16.5938461538462</v>
      </c>
    </row>
    <row r="33" customFormat="false" ht="12.8" hidden="false" customHeight="false" outlineLevel="0" collapsed="false">
      <c r="A33" s="0" t="s">
        <v>173</v>
      </c>
      <c r="B33" s="0" t="n">
        <v>2374.58</v>
      </c>
      <c r="C33" s="1" t="n">
        <v>1</v>
      </c>
      <c r="D33" s="0" t="n">
        <f aca="false">C33/1950</f>
        <v>0.000512820512820513</v>
      </c>
      <c r="E33" s="0" t="n">
        <f aca="false">D33*B33</f>
        <v>1.21773333333333</v>
      </c>
      <c r="F33" s="0" t="n">
        <v>0</v>
      </c>
      <c r="G33" s="1" t="n">
        <f aca="false">F33/1950</f>
        <v>0</v>
      </c>
      <c r="H33" s="0" t="n">
        <f aca="false">G33*B33</f>
        <v>0</v>
      </c>
      <c r="I33" s="11" t="n">
        <v>0</v>
      </c>
      <c r="J33" s="17" t="n">
        <f aca="false">I33/1950</f>
        <v>0</v>
      </c>
      <c r="K33" s="11" t="n">
        <f aca="false">J33*B33</f>
        <v>0</v>
      </c>
      <c r="L33" s="0" t="n">
        <v>0</v>
      </c>
      <c r="M33" s="0" t="n">
        <f aca="false">L33/1950</f>
        <v>0</v>
      </c>
      <c r="N33" s="0" t="n">
        <f aca="false">M33*B33</f>
        <v>0</v>
      </c>
      <c r="O33" s="0" t="n">
        <v>0</v>
      </c>
      <c r="P33" s="0" t="n">
        <f aca="false">O33/1950</f>
        <v>0</v>
      </c>
      <c r="Q33" s="0" t="n">
        <f aca="false">P33*B33</f>
        <v>0</v>
      </c>
      <c r="R33" s="0" t="n">
        <v>0</v>
      </c>
      <c r="S33" s="0" t="n">
        <f aca="false">R33/1950</f>
        <v>0</v>
      </c>
      <c r="T33" s="0" t="n">
        <f aca="false">S33*B33</f>
        <v>0</v>
      </c>
      <c r="U33" s="0" t="n">
        <v>0</v>
      </c>
      <c r="V33" s="0" t="n">
        <f aca="false">U33/1950</f>
        <v>0</v>
      </c>
      <c r="W33" s="0" t="n">
        <f aca="false">V33*B33</f>
        <v>0</v>
      </c>
      <c r="X33" s="11" t="n">
        <v>0</v>
      </c>
      <c r="Y33" s="11" t="n">
        <f aca="false">X33/1950</f>
        <v>0</v>
      </c>
      <c r="Z33" s="11" t="n">
        <f aca="false">Y33*B33</f>
        <v>0</v>
      </c>
      <c r="AA33" s="0" t="n">
        <v>0</v>
      </c>
      <c r="AB33" s="1" t="n">
        <f aca="false">AA33/1950</f>
        <v>0</v>
      </c>
      <c r="AC33" s="0" t="n">
        <f aca="false">AB33*B33</f>
        <v>0</v>
      </c>
      <c r="AD33" s="11" t="n">
        <v>0</v>
      </c>
      <c r="AE33" s="17" t="n">
        <f aca="false">AD33/1950</f>
        <v>0</v>
      </c>
      <c r="AF33" s="11" t="n">
        <f aca="false">AE33*B33</f>
        <v>0</v>
      </c>
      <c r="AH33" s="0" t="n">
        <v>1</v>
      </c>
      <c r="AI33" s="0" t="n">
        <f aca="false">AH33/1950</f>
        <v>0.000512820512820513</v>
      </c>
      <c r="AJ33" s="0" t="n">
        <f aca="false">AI33*B33</f>
        <v>1.21773333333333</v>
      </c>
      <c r="AK33" s="0" t="n">
        <v>1</v>
      </c>
      <c r="AL33" s="0" t="n">
        <f aca="false">AK33/1950</f>
        <v>0.000512820512820513</v>
      </c>
      <c r="AM33" s="0" t="n">
        <f aca="false">AL33*B33</f>
        <v>1.21773333333333</v>
      </c>
      <c r="AN33" s="0" t="n">
        <v>0</v>
      </c>
      <c r="AO33" s="0" t="n">
        <f aca="false">AN33/1950</f>
        <v>0</v>
      </c>
      <c r="AP33" s="0" t="n">
        <f aca="false">AO33*B33</f>
        <v>0</v>
      </c>
      <c r="AT33" s="0" t="n">
        <v>0</v>
      </c>
      <c r="AU33" s="0" t="n">
        <f aca="false">AT33/1950</f>
        <v>0</v>
      </c>
      <c r="AV33" s="0" t="n">
        <v>0</v>
      </c>
      <c r="AW33" s="1" t="n">
        <v>1</v>
      </c>
      <c r="AX33" s="0" t="n">
        <f aca="false">AW33/1950</f>
        <v>0.000512820512820513</v>
      </c>
      <c r="AY33" s="0" t="n">
        <f aca="false">AX33*B33</f>
        <v>1.21773333333333</v>
      </c>
      <c r="AZ33" s="1" t="n">
        <v>1</v>
      </c>
      <c r="BA33" s="0" t="n">
        <f aca="false">AZ33/1950</f>
        <v>0.000512820512820513</v>
      </c>
      <c r="BB33" s="0" t="n">
        <f aca="false">BA33*B33</f>
        <v>1.21773333333333</v>
      </c>
    </row>
    <row r="34" customFormat="false" ht="12.8" hidden="false" customHeight="false" outlineLevel="0" collapsed="false">
      <c r="A34" s="0" t="s">
        <v>179</v>
      </c>
      <c r="B34" s="0" t="n">
        <v>2194.89</v>
      </c>
      <c r="C34" s="1" t="n">
        <v>2</v>
      </c>
      <c r="D34" s="0" t="n">
        <f aca="false">C34/1950</f>
        <v>0.00102564102564103</v>
      </c>
      <c r="E34" s="0" t="n">
        <f aca="false">D34*B34</f>
        <v>2.25116923076923</v>
      </c>
      <c r="F34" s="0" t="n">
        <v>1</v>
      </c>
      <c r="G34" s="1" t="n">
        <f aca="false">F34/1950</f>
        <v>0.000512820512820513</v>
      </c>
      <c r="H34" s="0" t="n">
        <f aca="false">G34*B34</f>
        <v>1.12558461538462</v>
      </c>
      <c r="I34" s="11" t="n">
        <v>0</v>
      </c>
      <c r="J34" s="17" t="n">
        <f aca="false">I34/1950</f>
        <v>0</v>
      </c>
      <c r="K34" s="11" t="n">
        <f aca="false">J34*B34</f>
        <v>0</v>
      </c>
      <c r="L34" s="0" t="n">
        <v>0</v>
      </c>
      <c r="M34" s="0" t="n">
        <f aca="false">L34/1950</f>
        <v>0</v>
      </c>
      <c r="N34" s="0" t="n">
        <f aca="false">M34*B34</f>
        <v>0</v>
      </c>
      <c r="O34" s="0" t="n">
        <v>0</v>
      </c>
      <c r="P34" s="0" t="n">
        <f aca="false">O34/1950</f>
        <v>0</v>
      </c>
      <c r="Q34" s="0" t="n">
        <f aca="false">P34*B34</f>
        <v>0</v>
      </c>
      <c r="R34" s="0" t="n">
        <v>0</v>
      </c>
      <c r="S34" s="0" t="n">
        <f aca="false">R34/1950</f>
        <v>0</v>
      </c>
      <c r="T34" s="0" t="n">
        <f aca="false">S34*B34</f>
        <v>0</v>
      </c>
      <c r="U34" s="0" t="n">
        <v>1</v>
      </c>
      <c r="V34" s="0" t="n">
        <f aca="false">U34/1950</f>
        <v>0.000512820512820513</v>
      </c>
      <c r="W34" s="0" t="n">
        <f aca="false">V34*B34</f>
        <v>1.12558461538462</v>
      </c>
      <c r="X34" s="11" t="n">
        <v>0</v>
      </c>
      <c r="Y34" s="11" t="n">
        <f aca="false">X34/1950</f>
        <v>0</v>
      </c>
      <c r="Z34" s="11" t="n">
        <f aca="false">Y34*B34</f>
        <v>0</v>
      </c>
      <c r="AA34" s="0" t="n">
        <v>1</v>
      </c>
      <c r="AB34" s="1" t="n">
        <f aca="false">AA34/1950</f>
        <v>0.000512820512820513</v>
      </c>
      <c r="AC34" s="0" t="n">
        <f aca="false">AB34*B34</f>
        <v>1.12558461538462</v>
      </c>
      <c r="AD34" s="11" t="n">
        <v>0</v>
      </c>
      <c r="AE34" s="17" t="n">
        <f aca="false">AD34/1950</f>
        <v>0</v>
      </c>
      <c r="AF34" s="11" t="n">
        <f aca="false">AE34*B34</f>
        <v>0</v>
      </c>
      <c r="AH34" s="0" t="n">
        <v>2</v>
      </c>
      <c r="AI34" s="0" t="n">
        <f aca="false">AH34/1950</f>
        <v>0.00102564102564103</v>
      </c>
      <c r="AJ34" s="0" t="n">
        <f aca="false">AI34*B34</f>
        <v>2.25116923076923</v>
      </c>
      <c r="AK34" s="0" t="n">
        <v>2</v>
      </c>
      <c r="AL34" s="0" t="n">
        <f aca="false">AK34/1950</f>
        <v>0.00102564102564103</v>
      </c>
      <c r="AM34" s="0" t="n">
        <f aca="false">AL34*B34</f>
        <v>2.25116923076923</v>
      </c>
      <c r="AN34" s="0" t="n">
        <v>1</v>
      </c>
      <c r="AO34" s="0" t="n">
        <f aca="false">AN34/1950</f>
        <v>0.000512820512820513</v>
      </c>
      <c r="AP34" s="0" t="n">
        <f aca="false">AO34*B34</f>
        <v>1.12558461538462</v>
      </c>
      <c r="AT34" s="0" t="n">
        <v>1</v>
      </c>
      <c r="AU34" s="0" t="n">
        <f aca="false">AT34/1950</f>
        <v>0.000512820512820513</v>
      </c>
      <c r="AV34" s="0" t="n">
        <f aca="false">AU34*B34</f>
        <v>1.12558461538462</v>
      </c>
      <c r="AW34" s="1" t="n">
        <v>2</v>
      </c>
      <c r="AX34" s="0" t="n">
        <f aca="false">AW34/1950</f>
        <v>0.00102564102564103</v>
      </c>
      <c r="AY34" s="0" t="n">
        <f aca="false">AX34*B34</f>
        <v>2.25116923076923</v>
      </c>
      <c r="AZ34" s="1" t="n">
        <v>2</v>
      </c>
      <c r="BA34" s="0" t="n">
        <f aca="false">AZ34/1950</f>
        <v>0.00102564102564103</v>
      </c>
      <c r="BB34" s="0" t="n">
        <f aca="false">BA34*B34</f>
        <v>2.25116923076923</v>
      </c>
    </row>
    <row r="35" customFormat="false" ht="12.8" hidden="false" customHeight="false" outlineLevel="0" collapsed="false">
      <c r="A35" s="0" t="s">
        <v>182</v>
      </c>
      <c r="B35" s="0" t="n">
        <v>2300</v>
      </c>
      <c r="C35" s="1" t="n">
        <v>2</v>
      </c>
      <c r="D35" s="0" t="n">
        <f aca="false">C35/1950</f>
        <v>0.00102564102564103</v>
      </c>
      <c r="E35" s="0" t="n">
        <f aca="false">D35*B35</f>
        <v>2.35897435897436</v>
      </c>
      <c r="F35" s="0" t="n">
        <v>0</v>
      </c>
      <c r="G35" s="1" t="n">
        <f aca="false">F35/1950</f>
        <v>0</v>
      </c>
      <c r="H35" s="0" t="n">
        <f aca="false">G35*B35</f>
        <v>0</v>
      </c>
      <c r="I35" s="11" t="n">
        <v>0</v>
      </c>
      <c r="J35" s="17" t="n">
        <f aca="false">I35/1950</f>
        <v>0</v>
      </c>
      <c r="K35" s="11" t="n">
        <f aca="false">J35*B35</f>
        <v>0</v>
      </c>
      <c r="L35" s="0" t="n">
        <v>0</v>
      </c>
      <c r="M35" s="0" t="n">
        <f aca="false">L35/1950</f>
        <v>0</v>
      </c>
      <c r="N35" s="0" t="n">
        <f aca="false">M35*B35</f>
        <v>0</v>
      </c>
      <c r="O35" s="0" t="n">
        <v>0</v>
      </c>
      <c r="P35" s="0" t="n">
        <f aca="false">O35/1950</f>
        <v>0</v>
      </c>
      <c r="Q35" s="0" t="n">
        <f aca="false">P35*B35</f>
        <v>0</v>
      </c>
      <c r="R35" s="0" t="n">
        <v>0</v>
      </c>
      <c r="S35" s="0" t="n">
        <f aca="false">R35/1950</f>
        <v>0</v>
      </c>
      <c r="T35" s="0" t="n">
        <f aca="false">S35*B35</f>
        <v>0</v>
      </c>
      <c r="U35" s="0" t="n">
        <v>0</v>
      </c>
      <c r="V35" s="0" t="n">
        <f aca="false">U35/1950</f>
        <v>0</v>
      </c>
      <c r="W35" s="0" t="n">
        <f aca="false">V35*B35</f>
        <v>0</v>
      </c>
      <c r="X35" s="11" t="n">
        <v>0</v>
      </c>
      <c r="Y35" s="11" t="n">
        <f aca="false">X35/1950</f>
        <v>0</v>
      </c>
      <c r="Z35" s="11" t="n">
        <f aca="false">Y35*B35</f>
        <v>0</v>
      </c>
      <c r="AA35" s="0" t="n">
        <v>0</v>
      </c>
      <c r="AB35" s="1" t="n">
        <f aca="false">AA35/1950</f>
        <v>0</v>
      </c>
      <c r="AC35" s="0" t="n">
        <f aca="false">AB35*B35</f>
        <v>0</v>
      </c>
      <c r="AD35" s="11" t="n">
        <v>0</v>
      </c>
      <c r="AE35" s="17" t="n">
        <f aca="false">AD35/1950</f>
        <v>0</v>
      </c>
      <c r="AF35" s="11" t="n">
        <f aca="false">AE35*B35</f>
        <v>0</v>
      </c>
      <c r="AH35" s="0" t="n">
        <v>2</v>
      </c>
      <c r="AI35" s="0" t="n">
        <f aca="false">AH35/1950</f>
        <v>0.00102564102564103</v>
      </c>
      <c r="AJ35" s="0" t="n">
        <f aca="false">AI35*B35</f>
        <v>2.35897435897436</v>
      </c>
      <c r="AK35" s="0" t="n">
        <v>2</v>
      </c>
      <c r="AL35" s="0" t="n">
        <f aca="false">AK35/1950</f>
        <v>0.00102564102564103</v>
      </c>
      <c r="AM35" s="0" t="n">
        <f aca="false">AL35*B35</f>
        <v>2.35897435897436</v>
      </c>
      <c r="AN35" s="0" t="n">
        <v>0</v>
      </c>
      <c r="AO35" s="0" t="n">
        <f aca="false">AN35/1950</f>
        <v>0</v>
      </c>
      <c r="AP35" s="0" t="n">
        <f aca="false">AO35*B35</f>
        <v>0</v>
      </c>
      <c r="AT35" s="0" t="n">
        <v>0</v>
      </c>
      <c r="AU35" s="0" t="n">
        <f aca="false">AT35/1950</f>
        <v>0</v>
      </c>
      <c r="AV35" s="0" t="n">
        <v>0</v>
      </c>
      <c r="AW35" s="1" t="n">
        <v>2</v>
      </c>
      <c r="AX35" s="0" t="n">
        <f aca="false">AW35/1950</f>
        <v>0.00102564102564103</v>
      </c>
      <c r="AY35" s="0" t="n">
        <f aca="false">AX35*B35</f>
        <v>2.35897435897436</v>
      </c>
      <c r="AZ35" s="1" t="n">
        <v>2</v>
      </c>
      <c r="BA35" s="0" t="n">
        <f aca="false">AZ35/1950</f>
        <v>0.00102564102564103</v>
      </c>
      <c r="BB35" s="0" t="n">
        <f aca="false">BA35*B35</f>
        <v>2.35897435897436</v>
      </c>
    </row>
    <row r="36" customFormat="false" ht="12.8" hidden="false" customHeight="false" outlineLevel="0" collapsed="false">
      <c r="A36" s="3" t="s">
        <v>347</v>
      </c>
      <c r="B36" s="0" t="n">
        <f aca="false">AVERAGE(B32:B35)</f>
        <v>2121.8425</v>
      </c>
      <c r="C36" s="1" t="n">
        <v>16</v>
      </c>
      <c r="D36" s="0" t="n">
        <f aca="false">C36/1950</f>
        <v>0.00820512820512821</v>
      </c>
      <c r="E36" s="0" t="n">
        <f aca="false">D36*B36</f>
        <v>17.4099897435897</v>
      </c>
      <c r="F36" s="0" t="n">
        <v>5</v>
      </c>
      <c r="G36" s="1" t="n">
        <f aca="false">F36/1950</f>
        <v>0.00256410256410256</v>
      </c>
      <c r="H36" s="0" t="n">
        <f aca="false">G36*B36</f>
        <v>5.44062179487179</v>
      </c>
      <c r="I36" s="11" t="n">
        <v>3</v>
      </c>
      <c r="J36" s="17" t="n">
        <f aca="false">I36/1950</f>
        <v>0.00153846153846154</v>
      </c>
      <c r="K36" s="11" t="n">
        <f aca="false">J36*B36</f>
        <v>3.26437307692308</v>
      </c>
      <c r="L36" s="0" t="n">
        <v>4</v>
      </c>
      <c r="M36" s="0" t="n">
        <f aca="false">L36/1950</f>
        <v>0.00205128205128205</v>
      </c>
      <c r="N36" s="0" t="n">
        <f aca="false">M36*B36</f>
        <v>4.35249743589744</v>
      </c>
      <c r="O36" s="0" t="n">
        <v>4</v>
      </c>
      <c r="P36" s="0" t="n">
        <f aca="false">O36/1950</f>
        <v>0.00205128205128205</v>
      </c>
      <c r="Q36" s="0" t="n">
        <f aca="false">P36*B36</f>
        <v>4.35249743589744</v>
      </c>
      <c r="R36" s="0" t="n">
        <v>4</v>
      </c>
      <c r="S36" s="0" t="n">
        <f aca="false">R36/1950</f>
        <v>0.00205128205128205</v>
      </c>
      <c r="T36" s="0" t="n">
        <f aca="false">S36*B36</f>
        <v>4.35249743589744</v>
      </c>
      <c r="U36" s="0" t="n">
        <v>5</v>
      </c>
      <c r="V36" s="0" t="n">
        <f aca="false">U36/1950</f>
        <v>0.00256410256410256</v>
      </c>
      <c r="W36" s="0" t="n">
        <f aca="false">V36*B36</f>
        <v>5.44062179487179</v>
      </c>
      <c r="X36" s="11" t="n">
        <v>5</v>
      </c>
      <c r="Y36" s="11" t="n">
        <f aca="false">X36/1950</f>
        <v>0.00256410256410256</v>
      </c>
      <c r="Z36" s="11" t="n">
        <f aca="false">Y36*B36</f>
        <v>5.44062179487179</v>
      </c>
      <c r="AA36" s="0" t="n">
        <v>5</v>
      </c>
      <c r="AB36" s="1" t="n">
        <f aca="false">AA36/1950</f>
        <v>0.00256410256410256</v>
      </c>
      <c r="AC36" s="0" t="n">
        <f aca="false">AB36*B36</f>
        <v>5.44062179487179</v>
      </c>
      <c r="AD36" s="11" t="n">
        <v>5</v>
      </c>
      <c r="AE36" s="17" t="n">
        <f aca="false">AD36/1950</f>
        <v>0.00256410256410256</v>
      </c>
      <c r="AF36" s="11" t="n">
        <f aca="false">AE36*B36</f>
        <v>5.44062179487179</v>
      </c>
      <c r="AH36" s="0" t="n">
        <v>22</v>
      </c>
      <c r="AI36" s="0" t="n">
        <f aca="false">AH36/1950</f>
        <v>0.0112820512820513</v>
      </c>
      <c r="AJ36" s="0" t="n">
        <f aca="false">AI36*B36</f>
        <v>23.9387358974359</v>
      </c>
      <c r="AK36" s="0" t="n">
        <v>22</v>
      </c>
      <c r="AL36" s="0" t="n">
        <f aca="false">AK36/1950</f>
        <v>0.0112820512820513</v>
      </c>
      <c r="AM36" s="0" t="n">
        <f aca="false">AL36*B36</f>
        <v>23.9387358974359</v>
      </c>
      <c r="AN36" s="0" t="n">
        <v>3</v>
      </c>
      <c r="AO36" s="0" t="n">
        <f aca="false">AN36/1950</f>
        <v>0.00153846153846154</v>
      </c>
      <c r="AP36" s="0" t="n">
        <f aca="false">AO36*B36</f>
        <v>3.26437307692308</v>
      </c>
      <c r="AT36" s="0" t="n">
        <v>5</v>
      </c>
      <c r="AU36" s="0" t="n">
        <f aca="false">AT36/1950</f>
        <v>0.00256410256410256</v>
      </c>
      <c r="AV36" s="0" t="n">
        <f aca="false">AU36*B36</f>
        <v>5.44062179487179</v>
      </c>
      <c r="AW36" s="1" t="n">
        <v>16</v>
      </c>
      <c r="AX36" s="0" t="n">
        <f aca="false">AW36/1950</f>
        <v>0.00820512820512821</v>
      </c>
      <c r="AY36" s="0" t="n">
        <f aca="false">AX36*B36</f>
        <v>17.4099897435897</v>
      </c>
      <c r="AZ36" s="1" t="n">
        <v>16</v>
      </c>
      <c r="BA36" s="0" t="n">
        <f aca="false">AZ36/1950</f>
        <v>0.00820512820512821</v>
      </c>
      <c r="BB36" s="0" t="n">
        <f aca="false">BA36*B36</f>
        <v>17.4099897435897</v>
      </c>
    </row>
    <row r="37" customFormat="false" ht="12.8" hidden="false" customHeight="false" outlineLevel="0" collapsed="false">
      <c r="A37" s="0" t="s">
        <v>183</v>
      </c>
      <c r="B37" s="0" t="n">
        <v>3180.67</v>
      </c>
      <c r="C37" s="1" t="n">
        <v>10</v>
      </c>
      <c r="D37" s="0" t="n">
        <f aca="false">C37/1950</f>
        <v>0.00512820512820513</v>
      </c>
      <c r="E37" s="0" t="n">
        <f aca="false">D37*B37</f>
        <v>16.3111282051282</v>
      </c>
      <c r="F37" s="0" t="n">
        <v>3</v>
      </c>
      <c r="G37" s="1" t="n">
        <f aca="false">F37/1950</f>
        <v>0.00153846153846154</v>
      </c>
      <c r="H37" s="0" t="n">
        <f aca="false">G37*B37</f>
        <v>4.89333846153846</v>
      </c>
      <c r="I37" s="11" t="n">
        <v>2</v>
      </c>
      <c r="J37" s="17" t="n">
        <f aca="false">I37/1950</f>
        <v>0.00102564102564103</v>
      </c>
      <c r="K37" s="11" t="n">
        <f aca="false">J37*B37</f>
        <v>3.26222564102564</v>
      </c>
      <c r="L37" s="0" t="n">
        <v>2</v>
      </c>
      <c r="M37" s="0" t="n">
        <f aca="false">L37/1950</f>
        <v>0.00102564102564103</v>
      </c>
      <c r="N37" s="0" t="n">
        <f aca="false">M37*B37</f>
        <v>3.26222564102564</v>
      </c>
      <c r="O37" s="0" t="n">
        <v>2</v>
      </c>
      <c r="P37" s="0" t="n">
        <f aca="false">O37/1950</f>
        <v>0.00102564102564103</v>
      </c>
      <c r="Q37" s="0" t="n">
        <f aca="false">P37*B37</f>
        <v>3.26222564102564</v>
      </c>
      <c r="R37" s="0" t="n">
        <v>2</v>
      </c>
      <c r="S37" s="0" t="n">
        <f aca="false">R37/1950</f>
        <v>0.00102564102564103</v>
      </c>
      <c r="T37" s="0" t="n">
        <f aca="false">S37*B37</f>
        <v>3.26222564102564</v>
      </c>
      <c r="U37" s="0" t="n">
        <v>3</v>
      </c>
      <c r="V37" s="0" t="n">
        <f aca="false">U37/1950</f>
        <v>0.00153846153846154</v>
      </c>
      <c r="W37" s="0" t="n">
        <f aca="false">V37*B37</f>
        <v>4.89333846153846</v>
      </c>
      <c r="X37" s="11" t="n">
        <v>3</v>
      </c>
      <c r="Y37" s="11" t="n">
        <f aca="false">X37/1950</f>
        <v>0.00153846153846154</v>
      </c>
      <c r="Z37" s="11" t="n">
        <f aca="false">Y37*B37</f>
        <v>4.89333846153846</v>
      </c>
      <c r="AA37" s="0" t="n">
        <v>3</v>
      </c>
      <c r="AB37" s="1" t="n">
        <f aca="false">AA37/1950</f>
        <v>0.00153846153846154</v>
      </c>
      <c r="AC37" s="0" t="n">
        <f aca="false">AB37*B37</f>
        <v>4.89333846153846</v>
      </c>
      <c r="AD37" s="11" t="n">
        <v>3</v>
      </c>
      <c r="AE37" s="17" t="n">
        <f aca="false">AD37/1950</f>
        <v>0.00153846153846154</v>
      </c>
      <c r="AF37" s="11" t="n">
        <f aca="false">AE37*B37</f>
        <v>4.89333846153846</v>
      </c>
      <c r="AH37" s="0" t="n">
        <v>11</v>
      </c>
      <c r="AI37" s="0" t="n">
        <f aca="false">AH37/1950</f>
        <v>0.00564102564102564</v>
      </c>
      <c r="AJ37" s="0" t="n">
        <f aca="false">AI37*B37</f>
        <v>17.942241025641</v>
      </c>
      <c r="AK37" s="0" t="n">
        <v>11</v>
      </c>
      <c r="AL37" s="0" t="n">
        <f aca="false">AK37/1950</f>
        <v>0.00564102564102564</v>
      </c>
      <c r="AM37" s="0" t="n">
        <f aca="false">AL37*B37</f>
        <v>17.942241025641</v>
      </c>
      <c r="AN37" s="0" t="n">
        <v>5</v>
      </c>
      <c r="AO37" s="0" t="n">
        <f aca="false">AN37/1950</f>
        <v>0.00256410256410256</v>
      </c>
      <c r="AP37" s="0" t="n">
        <f aca="false">AO37*B37</f>
        <v>8.1555641025641</v>
      </c>
      <c r="AT37" s="0" t="n">
        <v>3</v>
      </c>
      <c r="AU37" s="0" t="n">
        <f aca="false">AT37/1950</f>
        <v>0.00153846153846154</v>
      </c>
      <c r="AV37" s="0" t="n">
        <f aca="false">AU37*B37</f>
        <v>4.89333846153846</v>
      </c>
      <c r="AW37" s="1" t="n">
        <v>10</v>
      </c>
      <c r="AX37" s="0" t="n">
        <f aca="false">AW37/1950</f>
        <v>0.00512820512820513</v>
      </c>
      <c r="AY37" s="0" t="n">
        <f aca="false">AX37*B37</f>
        <v>16.3111282051282</v>
      </c>
      <c r="AZ37" s="1" t="n">
        <v>10</v>
      </c>
      <c r="BA37" s="0" t="n">
        <f aca="false">AZ37/1950</f>
        <v>0.00512820512820513</v>
      </c>
      <c r="BB37" s="0" t="n">
        <f aca="false">BA37*B37</f>
        <v>16.3111282051282</v>
      </c>
    </row>
    <row r="38" customFormat="false" ht="12.8" hidden="false" customHeight="false" outlineLevel="0" collapsed="false">
      <c r="A38" s="0" t="s">
        <v>189</v>
      </c>
      <c r="B38" s="0" t="n">
        <v>1486.424</v>
      </c>
      <c r="C38" s="1" t="n">
        <v>4</v>
      </c>
      <c r="D38" s="0" t="n">
        <f aca="false">C38/1950</f>
        <v>0.00205128205128205</v>
      </c>
      <c r="E38" s="0" t="n">
        <f aca="false">D38*B38</f>
        <v>3.04907487179487</v>
      </c>
      <c r="F38" s="0" t="n">
        <v>0</v>
      </c>
      <c r="G38" s="1" t="n">
        <f aca="false">F38/1950</f>
        <v>0</v>
      </c>
      <c r="H38" s="0" t="n">
        <f aca="false">G38*B38</f>
        <v>0</v>
      </c>
      <c r="I38" s="11" t="n">
        <v>3</v>
      </c>
      <c r="J38" s="17" t="n">
        <f aca="false">I38/1950</f>
        <v>0.00153846153846154</v>
      </c>
      <c r="K38" s="11" t="n">
        <f aca="false">J38*B38</f>
        <v>2.28680615384615</v>
      </c>
      <c r="L38" s="0" t="n">
        <v>6</v>
      </c>
      <c r="M38" s="0" t="n">
        <f aca="false">L38/1950</f>
        <v>0.00307692307692308</v>
      </c>
      <c r="N38" s="0" t="n">
        <f aca="false">M38*B38</f>
        <v>4.57361230769231</v>
      </c>
      <c r="O38" s="0" t="n">
        <v>6</v>
      </c>
      <c r="P38" s="0" t="n">
        <f aca="false">O38/1950</f>
        <v>0.00307692307692308</v>
      </c>
      <c r="Q38" s="0" t="n">
        <f aca="false">P38*B38</f>
        <v>4.57361230769231</v>
      </c>
      <c r="R38" s="0" t="n">
        <v>6</v>
      </c>
      <c r="S38" s="0" t="n">
        <f aca="false">R38/1950</f>
        <v>0.00307692307692308</v>
      </c>
      <c r="T38" s="0" t="n">
        <f aca="false">S38*B38</f>
        <v>4.57361230769231</v>
      </c>
      <c r="U38" s="0" t="n">
        <v>0</v>
      </c>
      <c r="V38" s="0" t="n">
        <f aca="false">U38/1950</f>
        <v>0</v>
      </c>
      <c r="W38" s="0" t="n">
        <f aca="false">V38*B38</f>
        <v>0</v>
      </c>
      <c r="X38" s="11" t="n">
        <v>3</v>
      </c>
      <c r="Y38" s="11" t="n">
        <f aca="false">X38/1950</f>
        <v>0.00153846153846154</v>
      </c>
      <c r="Z38" s="11" t="n">
        <f aca="false">Y38*B38</f>
        <v>2.28680615384615</v>
      </c>
      <c r="AA38" s="0" t="n">
        <v>0</v>
      </c>
      <c r="AB38" s="1" t="n">
        <f aca="false">AA38/1950</f>
        <v>0</v>
      </c>
      <c r="AC38" s="0" t="n">
        <f aca="false">AB38*B38</f>
        <v>0</v>
      </c>
      <c r="AD38" s="11" t="n">
        <v>3</v>
      </c>
      <c r="AE38" s="17" t="n">
        <f aca="false">AD38/1950</f>
        <v>0.00153846153846154</v>
      </c>
      <c r="AF38" s="11" t="n">
        <f aca="false">AE38*B38</f>
        <v>2.28680615384615</v>
      </c>
      <c r="AH38" s="0" t="n">
        <v>5</v>
      </c>
      <c r="AI38" s="0" t="n">
        <f aca="false">AH38/1950</f>
        <v>0.00256410256410256</v>
      </c>
      <c r="AJ38" s="0" t="n">
        <f aca="false">AI38*B38</f>
        <v>3.81134358974359</v>
      </c>
      <c r="AK38" s="0" t="n">
        <v>5</v>
      </c>
      <c r="AL38" s="0" t="n">
        <f aca="false">AK38/1950</f>
        <v>0.00256410256410256</v>
      </c>
      <c r="AM38" s="0" t="n">
        <f aca="false">AL38*B38</f>
        <v>3.81134358974359</v>
      </c>
      <c r="AN38" s="0" t="n">
        <v>0</v>
      </c>
      <c r="AO38" s="0" t="n">
        <f aca="false">AN38/1950</f>
        <v>0</v>
      </c>
      <c r="AP38" s="0" t="n">
        <f aca="false">AO38*B38</f>
        <v>0</v>
      </c>
      <c r="AT38" s="0" t="n">
        <v>0</v>
      </c>
      <c r="AU38" s="0" t="n">
        <f aca="false">AT38/1950</f>
        <v>0</v>
      </c>
      <c r="AV38" s="0" t="n">
        <v>0</v>
      </c>
      <c r="AW38" s="1" t="n">
        <v>4</v>
      </c>
      <c r="AX38" s="0" t="n">
        <f aca="false">AW38/1950</f>
        <v>0.00205128205128205</v>
      </c>
      <c r="AY38" s="0" t="n">
        <f aca="false">AX38*B38</f>
        <v>3.04907487179487</v>
      </c>
      <c r="AZ38" s="1" t="n">
        <v>4</v>
      </c>
      <c r="BA38" s="0" t="n">
        <f aca="false">AZ38/1950</f>
        <v>0.00205128205128205</v>
      </c>
      <c r="BB38" s="0" t="n">
        <f aca="false">BA38*B38</f>
        <v>3.04907487179487</v>
      </c>
    </row>
    <row r="39" customFormat="false" ht="12.8" hidden="false" customHeight="false" outlineLevel="0" collapsed="false">
      <c r="A39" s="3" t="s">
        <v>348</v>
      </c>
      <c r="B39" s="0" t="n">
        <f aca="false">AVERAGE(B37:B38)</f>
        <v>2333.547</v>
      </c>
      <c r="C39" s="1" t="n">
        <v>6</v>
      </c>
      <c r="D39" s="0" t="n">
        <f aca="false">C39/1950</f>
        <v>0.00307692307692308</v>
      </c>
      <c r="E39" s="0" t="n">
        <f aca="false">D39*B39</f>
        <v>7.18014461538462</v>
      </c>
      <c r="F39" s="0" t="n">
        <v>0</v>
      </c>
      <c r="G39" s="1" t="n">
        <f aca="false">F39/1950</f>
        <v>0</v>
      </c>
      <c r="H39" s="0" t="n">
        <f aca="false">G39*B39</f>
        <v>0</v>
      </c>
      <c r="I39" s="11" t="n">
        <v>4</v>
      </c>
      <c r="J39" s="17" t="n">
        <f aca="false">I39/1950</f>
        <v>0.00205128205128205</v>
      </c>
      <c r="K39" s="11" t="n">
        <f aca="false">J39*B39</f>
        <v>4.78676307692308</v>
      </c>
      <c r="L39" s="0" t="n">
        <v>3</v>
      </c>
      <c r="M39" s="0" t="n">
        <f aca="false">L39/1950</f>
        <v>0.00153846153846154</v>
      </c>
      <c r="N39" s="0" t="n">
        <f aca="false">M39*B39</f>
        <v>3.59007230769231</v>
      </c>
      <c r="O39" s="0" t="n">
        <v>3</v>
      </c>
      <c r="P39" s="0" t="n">
        <f aca="false">O39/1950</f>
        <v>0.00153846153846154</v>
      </c>
      <c r="Q39" s="0" t="n">
        <f aca="false">P39*B39</f>
        <v>3.59007230769231</v>
      </c>
      <c r="R39" s="0" t="n">
        <v>3</v>
      </c>
      <c r="S39" s="0" t="n">
        <f aca="false">R39/1950</f>
        <v>0.00153846153846154</v>
      </c>
      <c r="T39" s="0" t="n">
        <f aca="false">S39*B39</f>
        <v>3.59007230769231</v>
      </c>
      <c r="U39" s="0" t="n">
        <v>0</v>
      </c>
      <c r="V39" s="0" t="n">
        <f aca="false">U39/1950</f>
        <v>0</v>
      </c>
      <c r="W39" s="0" t="n">
        <f aca="false">V39*B39</f>
        <v>0</v>
      </c>
      <c r="X39" s="11" t="n">
        <v>5</v>
      </c>
      <c r="Y39" s="11" t="n">
        <f aca="false">X39/1950</f>
        <v>0.00256410256410256</v>
      </c>
      <c r="Z39" s="11" t="n">
        <f aca="false">Y39*B39</f>
        <v>5.98345384615385</v>
      </c>
      <c r="AA39" s="0" t="n">
        <v>0</v>
      </c>
      <c r="AB39" s="1" t="n">
        <f aca="false">AA39/1950</f>
        <v>0</v>
      </c>
      <c r="AC39" s="0" t="n">
        <f aca="false">AB39*B39</f>
        <v>0</v>
      </c>
      <c r="AD39" s="11" t="n">
        <v>5</v>
      </c>
      <c r="AE39" s="17" t="n">
        <f aca="false">AD39/1950</f>
        <v>0.00256410256410256</v>
      </c>
      <c r="AF39" s="11" t="n">
        <f aca="false">AE39*B39</f>
        <v>5.98345384615385</v>
      </c>
      <c r="AH39" s="0" t="n">
        <v>8</v>
      </c>
      <c r="AI39" s="0" t="n">
        <f aca="false">AH39/1950</f>
        <v>0.0041025641025641</v>
      </c>
      <c r="AJ39" s="0" t="n">
        <f aca="false">AI39*B39</f>
        <v>9.57352615384616</v>
      </c>
      <c r="AK39" s="0" t="n">
        <v>8</v>
      </c>
      <c r="AL39" s="0" t="n">
        <f aca="false">AK39/1950</f>
        <v>0.0041025641025641</v>
      </c>
      <c r="AM39" s="0" t="n">
        <f aca="false">AL39*B39</f>
        <v>9.57352615384616</v>
      </c>
      <c r="AN39" s="0" t="n">
        <v>3</v>
      </c>
      <c r="AO39" s="0" t="n">
        <f aca="false">AN39/1950</f>
        <v>0.00153846153846154</v>
      </c>
      <c r="AP39" s="0" t="n">
        <f aca="false">AO39*B39</f>
        <v>3.59007230769231</v>
      </c>
      <c r="AT39" s="0" t="n">
        <v>0</v>
      </c>
      <c r="AU39" s="0" t="n">
        <f aca="false">AT39/1950</f>
        <v>0</v>
      </c>
      <c r="AV39" s="0" t="n">
        <v>0</v>
      </c>
      <c r="AW39" s="1" t="n">
        <v>6</v>
      </c>
      <c r="AX39" s="0" t="n">
        <f aca="false">AW39/1950</f>
        <v>0.00307692307692308</v>
      </c>
      <c r="AY39" s="0" t="n">
        <f aca="false">AX39*B39</f>
        <v>7.18014461538462</v>
      </c>
      <c r="AZ39" s="1" t="n">
        <v>6</v>
      </c>
      <c r="BA39" s="0" t="n">
        <f aca="false">AZ39/1950</f>
        <v>0.00307692307692308</v>
      </c>
      <c r="BB39" s="0" t="n">
        <f aca="false">BA39*B39</f>
        <v>7.18014461538462</v>
      </c>
    </row>
    <row r="40" customFormat="false" ht="12.8" hidden="false" customHeight="false" outlineLevel="0" collapsed="false">
      <c r="A40" s="3" t="s">
        <v>349</v>
      </c>
      <c r="B40" s="0" t="n">
        <f aca="false">AVERAGE(B32:B35,B37:B38)</f>
        <v>2192.41066666667</v>
      </c>
      <c r="C40" s="1" t="n">
        <v>2</v>
      </c>
      <c r="D40" s="0" t="n">
        <f aca="false">C40/1950</f>
        <v>0.00102564102564103</v>
      </c>
      <c r="E40" s="0" t="n">
        <f aca="false">D40*B40</f>
        <v>2.24862632478632</v>
      </c>
      <c r="F40" s="0" t="n">
        <v>0</v>
      </c>
      <c r="G40" s="1" t="n">
        <f aca="false">F40/1950</f>
        <v>0</v>
      </c>
      <c r="H40" s="0" t="n">
        <f aca="false">G40*B40</f>
        <v>0</v>
      </c>
      <c r="I40" s="11" t="n">
        <v>0</v>
      </c>
      <c r="J40" s="17" t="n">
        <f aca="false">I40/1950</f>
        <v>0</v>
      </c>
      <c r="K40" s="11" t="n">
        <f aca="false">J40*B40</f>
        <v>0</v>
      </c>
      <c r="L40" s="0" t="n">
        <v>1</v>
      </c>
      <c r="M40" s="0" t="n">
        <f aca="false">L40/1950</f>
        <v>0.000512820512820513</v>
      </c>
      <c r="N40" s="0" t="n">
        <f aca="false">M40*B40</f>
        <v>1.12431316239316</v>
      </c>
      <c r="O40" s="0" t="n">
        <v>1</v>
      </c>
      <c r="P40" s="0" t="n">
        <f aca="false">O40/1950</f>
        <v>0.000512820512820513</v>
      </c>
      <c r="Q40" s="0" t="n">
        <f aca="false">P40*B40</f>
        <v>1.12431316239316</v>
      </c>
      <c r="R40" s="0" t="n">
        <v>1</v>
      </c>
      <c r="S40" s="0" t="n">
        <f aca="false">R40/1950</f>
        <v>0.000512820512820513</v>
      </c>
      <c r="T40" s="0" t="n">
        <f aca="false">S40*B40</f>
        <v>1.12431316239316</v>
      </c>
      <c r="U40" s="0" t="n">
        <v>0</v>
      </c>
      <c r="V40" s="0" t="n">
        <f aca="false">U40/1950</f>
        <v>0</v>
      </c>
      <c r="W40" s="0" t="n">
        <f aca="false">V40*B40</f>
        <v>0</v>
      </c>
      <c r="X40" s="11" t="n">
        <v>0</v>
      </c>
      <c r="Y40" s="11" t="n">
        <f aca="false">X40/1950</f>
        <v>0</v>
      </c>
      <c r="Z40" s="11" t="n">
        <f aca="false">Y40*B40</f>
        <v>0</v>
      </c>
      <c r="AA40" s="0" t="n">
        <v>0</v>
      </c>
      <c r="AB40" s="1" t="n">
        <f aca="false">AA40/1950</f>
        <v>0</v>
      </c>
      <c r="AC40" s="0" t="n">
        <f aca="false">AB40*B40</f>
        <v>0</v>
      </c>
      <c r="AD40" s="11" t="n">
        <v>0</v>
      </c>
      <c r="AE40" s="17" t="n">
        <f aca="false">AD40/1950</f>
        <v>0</v>
      </c>
      <c r="AF40" s="11" t="n">
        <f aca="false">AE40*B40</f>
        <v>0</v>
      </c>
      <c r="AH40" s="0" t="n">
        <v>2</v>
      </c>
      <c r="AI40" s="0" t="n">
        <f aca="false">AH40/1950</f>
        <v>0.00102564102564103</v>
      </c>
      <c r="AJ40" s="0" t="n">
        <f aca="false">AI40*B40</f>
        <v>2.24862632478632</v>
      </c>
      <c r="AK40" s="0" t="n">
        <v>2</v>
      </c>
      <c r="AL40" s="0" t="n">
        <f aca="false">AK40/1950</f>
        <v>0.00102564102564103</v>
      </c>
      <c r="AM40" s="0" t="n">
        <f aca="false">AL40*B40</f>
        <v>2.24862632478632</v>
      </c>
      <c r="AN40" s="0" t="n">
        <v>0</v>
      </c>
      <c r="AO40" s="0" t="n">
        <f aca="false">AN40/1950</f>
        <v>0</v>
      </c>
      <c r="AP40" s="0" t="n">
        <f aca="false">AO40*B40</f>
        <v>0</v>
      </c>
      <c r="AT40" s="0" t="n">
        <v>0</v>
      </c>
      <c r="AU40" s="0" t="n">
        <f aca="false">AT40/1950</f>
        <v>0</v>
      </c>
      <c r="AV40" s="0" t="n">
        <v>0</v>
      </c>
      <c r="AW40" s="1" t="n">
        <v>2</v>
      </c>
      <c r="AX40" s="0" t="n">
        <f aca="false">AW40/1950</f>
        <v>0.00102564102564103</v>
      </c>
      <c r="AY40" s="0" t="n">
        <f aca="false">AX40*B40</f>
        <v>2.24862632478632</v>
      </c>
      <c r="AZ40" s="1" t="n">
        <v>2</v>
      </c>
      <c r="BA40" s="0" t="n">
        <f aca="false">AZ40/1950</f>
        <v>0.00102564102564103</v>
      </c>
      <c r="BB40" s="0" t="n">
        <f aca="false">BA40*B40</f>
        <v>2.24862632478632</v>
      </c>
    </row>
    <row r="41" customFormat="false" ht="12.8" hidden="false" customHeight="false" outlineLevel="0" collapsed="false">
      <c r="A41" s="3" t="s">
        <v>350</v>
      </c>
      <c r="B41" s="0" t="s">
        <v>74</v>
      </c>
      <c r="C41" s="3" t="n">
        <f aca="false">SUM(C32:C40)</f>
        <v>63</v>
      </c>
      <c r="D41" s="0" t="n">
        <f aca="false">C41/1950</f>
        <v>0.0323076923076923</v>
      </c>
      <c r="E41" s="3" t="n">
        <f aca="false">SUM(E32:E40)</f>
        <v>68.6206868376068</v>
      </c>
      <c r="F41" s="1" t="n">
        <f aca="false">SUM(F32:F40)</f>
        <v>14</v>
      </c>
      <c r="G41" s="1" t="n">
        <f aca="false">F41/1950</f>
        <v>0.00717948717948718</v>
      </c>
      <c r="H41" s="3" t="n">
        <f aca="false">SUM(H32:H40)</f>
        <v>15.6080064102564</v>
      </c>
      <c r="I41" s="17" t="n">
        <f aca="false">SUM(I32:I40)</f>
        <v>17</v>
      </c>
      <c r="J41" s="17" t="n">
        <f aca="false">I41/1950</f>
        <v>0.00871794871794872</v>
      </c>
      <c r="K41" s="16" t="n">
        <f aca="false">SUM(K32:K40)</f>
        <v>17.7486294871795</v>
      </c>
      <c r="L41" s="3" t="n">
        <f aca="false">SUM(L32:L40)</f>
        <v>19</v>
      </c>
      <c r="M41" s="0" t="n">
        <f aca="false">L41/1950</f>
        <v>0.00974358974358974</v>
      </c>
      <c r="N41" s="3" t="n">
        <f aca="false">SUM(N32:N40)</f>
        <v>19.3917977777778</v>
      </c>
      <c r="O41" s="3" t="n">
        <f aca="false">SUM(O32:O40)</f>
        <v>19</v>
      </c>
      <c r="P41" s="0" t="n">
        <f aca="false">O41/1950</f>
        <v>0.00974358974358974</v>
      </c>
      <c r="Q41" s="3" t="n">
        <f aca="false">SUM(Q32:Q40)</f>
        <v>19.3917977777778</v>
      </c>
      <c r="R41" s="3" t="n">
        <f aca="false">SUM(R32:R40)</f>
        <v>19</v>
      </c>
      <c r="S41" s="0" t="n">
        <f aca="false">R41/1950</f>
        <v>0.00974358974358974</v>
      </c>
      <c r="T41" s="3" t="n">
        <f aca="false">SUM(T32:T40)</f>
        <v>19.3917977777778</v>
      </c>
      <c r="U41" s="0" t="n">
        <f aca="false">SUM(U32:U40)</f>
        <v>14</v>
      </c>
      <c r="V41" s="0" t="n">
        <f aca="false">U41/1950</f>
        <v>0.00717948717948718</v>
      </c>
      <c r="W41" s="3" t="n">
        <f aca="false">SUM(W32:W40)</f>
        <v>15.6080064102564</v>
      </c>
      <c r="X41" s="11" t="n">
        <f aca="false">SUM(X32:X40)</f>
        <v>21</v>
      </c>
      <c r="Y41" s="11" t="n">
        <f aca="false">X41/1950</f>
        <v>0.0107692307692308</v>
      </c>
      <c r="Z41" s="16" t="n">
        <f aca="false">SUM(Z32:Z40)</f>
        <v>22.7526817948718</v>
      </c>
      <c r="AA41" s="0" t="n">
        <f aca="false">SUM(AA32:AA40)</f>
        <v>14</v>
      </c>
      <c r="AB41" s="1" t="n">
        <f aca="false">SUM(AB32:AB40)</f>
        <v>0.00717948717948718</v>
      </c>
      <c r="AC41" s="3" t="n">
        <f aca="false">SUM(AC32:AC40)</f>
        <v>15.6080064102564</v>
      </c>
      <c r="AD41" s="11" t="n">
        <f aca="false">SUM(AD32:AD40)</f>
        <v>21</v>
      </c>
      <c r="AE41" s="17" t="n">
        <f aca="false">SUM(AE32:AE40)</f>
        <v>0.0107692307692308</v>
      </c>
      <c r="AF41" s="16" t="n">
        <f aca="false">SUM(AF32:AF40)</f>
        <v>22.7526817948718</v>
      </c>
      <c r="AH41" s="3" t="n">
        <f aca="false">SUM(AH32:AH40)</f>
        <v>73</v>
      </c>
      <c r="AI41" s="0" t="n">
        <f aca="false">AH41/1950</f>
        <v>0.0374358974358974</v>
      </c>
      <c r="AJ41" s="3" t="n">
        <f aca="false">SUM(AJ32:AJ40)</f>
        <v>79.9361960683761</v>
      </c>
      <c r="AK41" s="3" t="n">
        <f aca="false">SUM(AK32:AK40)</f>
        <v>73</v>
      </c>
      <c r="AL41" s="0" t="n">
        <f aca="false">AK41/1950</f>
        <v>0.0374358974358974</v>
      </c>
      <c r="AM41" s="3" t="n">
        <f aca="false">SUM(AM32:AM40)</f>
        <v>79.9361960683761</v>
      </c>
      <c r="AN41" s="3" t="n">
        <f aca="false">SUM(AN32:AN40)</f>
        <v>18</v>
      </c>
      <c r="AO41" s="0" t="n">
        <f aca="false">AN41/1950</f>
        <v>0.00923076923076923</v>
      </c>
      <c r="AP41" s="3" t="n">
        <f aca="false">SUM(AP32:AP40)</f>
        <v>21.1137479487179</v>
      </c>
      <c r="AT41" s="0" t="n">
        <f aca="false">SUM(AT32:AT40)</f>
        <v>15</v>
      </c>
      <c r="AU41" s="0" t="n">
        <f aca="false">AT41/1950</f>
        <v>0.00769230769230769</v>
      </c>
      <c r="AV41" s="3" t="n">
        <f aca="false">SUM(AV32:AV40)</f>
        <v>16.4376987179487</v>
      </c>
      <c r="AW41" s="3" t="n">
        <f aca="false">SUM(AW32:AW40)</f>
        <v>63</v>
      </c>
      <c r="AX41" s="0" t="n">
        <f aca="false">AW41/1950</f>
        <v>0.0323076923076923</v>
      </c>
      <c r="AY41" s="3" t="n">
        <f aca="false">SUM(AY32:AY40)</f>
        <v>68.6206868376068</v>
      </c>
      <c r="AZ41" s="3" t="n">
        <f aca="false">SUM(AZ32:AZ40)</f>
        <v>63</v>
      </c>
      <c r="BA41" s="0" t="n">
        <f aca="false">AZ41/1950</f>
        <v>0.0323076923076923</v>
      </c>
      <c r="BB41" s="3" t="n">
        <f aca="false">SUM(BB32:BB40)</f>
        <v>68.6206868376068</v>
      </c>
    </row>
    <row r="42" customFormat="false" ht="12.8" hidden="false" customHeight="false" outlineLevel="0" collapsed="false">
      <c r="A42" s="0" t="s">
        <v>194</v>
      </c>
      <c r="B42" s="0" t="n">
        <v>3515.045</v>
      </c>
      <c r="C42" s="1" t="n">
        <v>29</v>
      </c>
      <c r="D42" s="0" t="n">
        <f aca="false">C42/1950</f>
        <v>0.0148717948717949</v>
      </c>
      <c r="E42" s="0" t="n">
        <f aca="false">D42*B42</f>
        <v>52.2750282051282</v>
      </c>
      <c r="F42" s="0" t="n">
        <v>9</v>
      </c>
      <c r="G42" s="1" t="n">
        <f aca="false">F42/1950</f>
        <v>0.00461538461538462</v>
      </c>
      <c r="H42" s="0" t="n">
        <f aca="false">G42*B42</f>
        <v>16.2232846153846</v>
      </c>
      <c r="I42" s="11" t="n">
        <v>7</v>
      </c>
      <c r="J42" s="17" t="n">
        <f aca="false">I42/1950</f>
        <v>0.00358974358974359</v>
      </c>
      <c r="K42" s="11" t="n">
        <f aca="false">J42*B42</f>
        <v>12.6181102564103</v>
      </c>
      <c r="L42" s="0" t="n">
        <v>1</v>
      </c>
      <c r="M42" s="0" t="n">
        <f aca="false">L42/1950</f>
        <v>0.000512820512820513</v>
      </c>
      <c r="N42" s="0" t="n">
        <f aca="false">M42*B42</f>
        <v>1.80258717948718</v>
      </c>
      <c r="O42" s="0" t="n">
        <v>1</v>
      </c>
      <c r="P42" s="0" t="n">
        <f aca="false">O42/1950</f>
        <v>0.000512820512820513</v>
      </c>
      <c r="Q42" s="0" t="n">
        <f aca="false">P42*B42</f>
        <v>1.80258717948718</v>
      </c>
      <c r="R42" s="0" t="n">
        <v>1</v>
      </c>
      <c r="S42" s="0" t="n">
        <f aca="false">R42/1950</f>
        <v>0.000512820512820513</v>
      </c>
      <c r="T42" s="0" t="n">
        <f aca="false">S42*B42</f>
        <v>1.80258717948718</v>
      </c>
      <c r="U42" s="0" t="n">
        <v>9</v>
      </c>
      <c r="V42" s="0" t="n">
        <f aca="false">U42/1950</f>
        <v>0.00461538461538462</v>
      </c>
      <c r="W42" s="0" t="n">
        <f aca="false">V42*B42</f>
        <v>16.2232846153846</v>
      </c>
      <c r="X42" s="11" t="n">
        <v>7</v>
      </c>
      <c r="Y42" s="11" t="n">
        <f aca="false">X42/1950</f>
        <v>0.00358974358974359</v>
      </c>
      <c r="Z42" s="11" t="n">
        <f aca="false">Y42*B42</f>
        <v>12.6181102564103</v>
      </c>
      <c r="AA42" s="11" t="n">
        <v>9</v>
      </c>
      <c r="AB42" s="1" t="n">
        <f aca="false">AA42/1950</f>
        <v>0.00461538461538462</v>
      </c>
      <c r="AC42" s="0" t="n">
        <f aca="false">AB42*B42</f>
        <v>16.2232846153846</v>
      </c>
      <c r="AD42" s="11" t="n">
        <v>7</v>
      </c>
      <c r="AE42" s="17" t="n">
        <f aca="false">AD42/1950</f>
        <v>0.00358974358974359</v>
      </c>
      <c r="AF42" s="11" t="n">
        <f aca="false">AE42*B42</f>
        <v>12.6181102564103</v>
      </c>
      <c r="AH42" s="0" t="n">
        <v>29</v>
      </c>
      <c r="AI42" s="0" t="n">
        <f aca="false">AH42/1950</f>
        <v>0.0148717948717949</v>
      </c>
      <c r="AJ42" s="0" t="n">
        <f aca="false">AI42*B42</f>
        <v>52.2750282051282</v>
      </c>
      <c r="AK42" s="0" t="n">
        <v>29</v>
      </c>
      <c r="AL42" s="0" t="n">
        <f aca="false">AK42/1950</f>
        <v>0.0148717948717949</v>
      </c>
      <c r="AM42" s="0" t="n">
        <f aca="false">AL42*B42</f>
        <v>52.2750282051282</v>
      </c>
      <c r="AN42" s="0" t="n">
        <v>17</v>
      </c>
      <c r="AO42" s="0" t="n">
        <f aca="false">AN42/1950</f>
        <v>0.00871794871794872</v>
      </c>
      <c r="AP42" s="0" t="n">
        <f aca="false">AO42*B42</f>
        <v>30.6439820512821</v>
      </c>
      <c r="AT42" s="0" t="n">
        <v>8</v>
      </c>
      <c r="AU42" s="0" t="n">
        <f aca="false">AT42/1950</f>
        <v>0.0041025641025641</v>
      </c>
      <c r="AV42" s="0" t="n">
        <f aca="false">AU42*B42</f>
        <v>14.4206974358974</v>
      </c>
      <c r="AW42" s="1" t="n">
        <v>29</v>
      </c>
      <c r="AX42" s="0" t="n">
        <f aca="false">AW42/1950</f>
        <v>0.0148717948717949</v>
      </c>
      <c r="AY42" s="0" t="n">
        <f aca="false">AX42*B42</f>
        <v>52.2750282051282</v>
      </c>
      <c r="AZ42" s="1" t="n">
        <v>29</v>
      </c>
      <c r="BA42" s="0" t="n">
        <f aca="false">AZ42/1950</f>
        <v>0.0148717948717949</v>
      </c>
      <c r="BB42" s="0" t="n">
        <f aca="false">BA42*B42</f>
        <v>52.2750282051282</v>
      </c>
    </row>
    <row r="43" customFormat="false" ht="12.8" hidden="false" customHeight="false" outlineLevel="0" collapsed="false">
      <c r="A43" s="0" t="s">
        <v>197</v>
      </c>
      <c r="B43" s="0" t="n">
        <v>2928.647</v>
      </c>
      <c r="C43" s="1" t="n">
        <v>8</v>
      </c>
      <c r="D43" s="0" t="n">
        <f aca="false">C43/1950</f>
        <v>0.0041025641025641</v>
      </c>
      <c r="E43" s="0" t="n">
        <f aca="false">D43*B43</f>
        <v>12.0149620512821</v>
      </c>
      <c r="F43" s="0" t="n">
        <v>1</v>
      </c>
      <c r="G43" s="1" t="n">
        <f aca="false">F43/1950</f>
        <v>0.000512820512820513</v>
      </c>
      <c r="H43" s="0" t="n">
        <f aca="false">G43*B43</f>
        <v>1.50187025641026</v>
      </c>
      <c r="I43" s="11" t="n">
        <v>5</v>
      </c>
      <c r="J43" s="17" t="n">
        <f aca="false">I43/1950</f>
        <v>0.00256410256410256</v>
      </c>
      <c r="K43" s="11" t="n">
        <f aca="false">J43*B43</f>
        <v>7.50935128205128</v>
      </c>
      <c r="L43" s="0" t="n">
        <v>0</v>
      </c>
      <c r="M43" s="0" t="n">
        <f aca="false">L43/1950</f>
        <v>0</v>
      </c>
      <c r="N43" s="0" t="n">
        <f aca="false">M43*B43</f>
        <v>0</v>
      </c>
      <c r="O43" s="0" t="n">
        <v>0</v>
      </c>
      <c r="P43" s="0" t="n">
        <f aca="false">O43/1950</f>
        <v>0</v>
      </c>
      <c r="Q43" s="0" t="n">
        <f aca="false">P43*B43</f>
        <v>0</v>
      </c>
      <c r="R43" s="0" t="n">
        <v>0</v>
      </c>
      <c r="S43" s="0" t="n">
        <f aca="false">R43/1950</f>
        <v>0</v>
      </c>
      <c r="T43" s="0" t="n">
        <f aca="false">S43*B43</f>
        <v>0</v>
      </c>
      <c r="U43" s="0" t="n">
        <v>1</v>
      </c>
      <c r="V43" s="0" t="n">
        <f aca="false">U43/1950</f>
        <v>0.000512820512820513</v>
      </c>
      <c r="W43" s="0" t="n">
        <f aca="false">V43*B43</f>
        <v>1.50187025641026</v>
      </c>
      <c r="X43" s="11" t="n">
        <v>5</v>
      </c>
      <c r="Y43" s="11" t="n">
        <f aca="false">X43/1950</f>
        <v>0.00256410256410256</v>
      </c>
      <c r="Z43" s="11" t="n">
        <f aca="false">Y43*B43</f>
        <v>7.50935128205128</v>
      </c>
      <c r="AA43" s="0" t="n">
        <v>1</v>
      </c>
      <c r="AB43" s="1" t="n">
        <f aca="false">AA43/1950</f>
        <v>0.000512820512820513</v>
      </c>
      <c r="AC43" s="0" t="n">
        <f aca="false">AB43*B43</f>
        <v>1.50187025641026</v>
      </c>
      <c r="AD43" s="11" t="n">
        <v>5</v>
      </c>
      <c r="AE43" s="17" t="n">
        <f aca="false">AD43/1950</f>
        <v>0.00256410256410256</v>
      </c>
      <c r="AF43" s="11" t="n">
        <f aca="false">AE43*B43</f>
        <v>7.50935128205128</v>
      </c>
      <c r="AH43" s="0" t="n">
        <v>8</v>
      </c>
      <c r="AI43" s="0" t="n">
        <f aca="false">AH43/1950</f>
        <v>0.0041025641025641</v>
      </c>
      <c r="AJ43" s="0" t="n">
        <f aca="false">AI43*B43</f>
        <v>12.0149620512821</v>
      </c>
      <c r="AK43" s="0" t="n">
        <v>8</v>
      </c>
      <c r="AL43" s="0" t="n">
        <f aca="false">AK43/1950</f>
        <v>0.0041025641025641</v>
      </c>
      <c r="AM43" s="0" t="n">
        <f aca="false">AL43*B43</f>
        <v>12.0149620512821</v>
      </c>
      <c r="AN43" s="0" t="n">
        <v>6</v>
      </c>
      <c r="AO43" s="0" t="n">
        <f aca="false">AN43/1950</f>
        <v>0.00307692307692308</v>
      </c>
      <c r="AP43" s="0" t="n">
        <f aca="false">AO43*B43</f>
        <v>9.01122153846154</v>
      </c>
      <c r="AT43" s="0" t="n">
        <v>1</v>
      </c>
      <c r="AU43" s="0" t="n">
        <f aca="false">AT43/1950</f>
        <v>0.000512820512820513</v>
      </c>
      <c r="AV43" s="0" t="n">
        <f aca="false">AU43*B43</f>
        <v>1.50187025641026</v>
      </c>
      <c r="AW43" s="1" t="n">
        <v>8</v>
      </c>
      <c r="AX43" s="0" t="n">
        <f aca="false">AW43/1950</f>
        <v>0.0041025641025641</v>
      </c>
      <c r="AY43" s="0" t="n">
        <f aca="false">AX43*B43</f>
        <v>12.0149620512821</v>
      </c>
      <c r="AZ43" s="1" t="n">
        <v>8</v>
      </c>
      <c r="BA43" s="0" t="n">
        <f aca="false">AZ43/1950</f>
        <v>0.0041025641025641</v>
      </c>
      <c r="BB43" s="0" t="n">
        <f aca="false">BA43*B43</f>
        <v>12.0149620512821</v>
      </c>
    </row>
    <row r="44" customFormat="false" ht="12.8" hidden="false" customHeight="false" outlineLevel="0" collapsed="false">
      <c r="A44" s="1" t="s">
        <v>201</v>
      </c>
      <c r="B44" s="0" t="n">
        <f aca="false">AVERAGE(B42:B43)</f>
        <v>3221.846</v>
      </c>
      <c r="C44" s="1" t="n">
        <v>10</v>
      </c>
      <c r="D44" s="0" t="n">
        <f aca="false">C44/1950</f>
        <v>0.00512820512820513</v>
      </c>
      <c r="E44" s="0" t="n">
        <f aca="false">D44*B44</f>
        <v>16.5222871794872</v>
      </c>
      <c r="F44" s="0" t="n">
        <v>4</v>
      </c>
      <c r="G44" s="1" t="n">
        <f aca="false">F44/1950</f>
        <v>0.00205128205128205</v>
      </c>
      <c r="H44" s="0" t="n">
        <f aca="false">G44*B44</f>
        <v>6.60891487179487</v>
      </c>
      <c r="I44" s="11" t="n">
        <v>1</v>
      </c>
      <c r="J44" s="17" t="n">
        <f aca="false">I44/1950</f>
        <v>0.000512820512820513</v>
      </c>
      <c r="K44" s="11" t="n">
        <f aca="false">J44*B44</f>
        <v>1.65222871794872</v>
      </c>
      <c r="L44" s="0" t="n">
        <v>1</v>
      </c>
      <c r="M44" s="0" t="n">
        <f aca="false">L44/1950</f>
        <v>0.000512820512820513</v>
      </c>
      <c r="N44" s="0" t="n">
        <f aca="false">M44*B44</f>
        <v>1.65222871794872</v>
      </c>
      <c r="O44" s="0" t="n">
        <v>1</v>
      </c>
      <c r="P44" s="0" t="n">
        <f aca="false">O44/1950</f>
        <v>0.000512820512820513</v>
      </c>
      <c r="Q44" s="0" t="n">
        <f aca="false">P44*B44</f>
        <v>1.65222871794872</v>
      </c>
      <c r="R44" s="0" t="n">
        <v>1</v>
      </c>
      <c r="S44" s="0" t="n">
        <f aca="false">R44/1950</f>
        <v>0.000512820512820513</v>
      </c>
      <c r="T44" s="0" t="n">
        <f aca="false">S44*B44</f>
        <v>1.65222871794872</v>
      </c>
      <c r="U44" s="0" t="n">
        <v>4</v>
      </c>
      <c r="V44" s="0" t="n">
        <f aca="false">U44/1950</f>
        <v>0.00205128205128205</v>
      </c>
      <c r="W44" s="0" t="n">
        <f aca="false">V44*B44</f>
        <v>6.60891487179487</v>
      </c>
      <c r="X44" s="11" t="n">
        <v>1</v>
      </c>
      <c r="Y44" s="11" t="n">
        <f aca="false">X44/1950</f>
        <v>0.000512820512820513</v>
      </c>
      <c r="Z44" s="11" t="n">
        <f aca="false">Y44*B44</f>
        <v>1.65222871794872</v>
      </c>
      <c r="AA44" s="0" t="n">
        <v>4</v>
      </c>
      <c r="AB44" s="1" t="n">
        <f aca="false">AA44/1950</f>
        <v>0.00205128205128205</v>
      </c>
      <c r="AC44" s="0" t="n">
        <f aca="false">AB44*B44</f>
        <v>6.60891487179487</v>
      </c>
      <c r="AD44" s="11" t="n">
        <v>1</v>
      </c>
      <c r="AE44" s="17" t="n">
        <f aca="false">AD44/1950</f>
        <v>0.000512820512820513</v>
      </c>
      <c r="AF44" s="11" t="n">
        <f aca="false">AE44*B44</f>
        <v>1.65222871794872</v>
      </c>
      <c r="AH44" s="0" t="n">
        <v>12</v>
      </c>
      <c r="AI44" s="0" t="n">
        <f aca="false">AH44/1950</f>
        <v>0.00615384615384615</v>
      </c>
      <c r="AJ44" s="0" t="n">
        <f aca="false">AI44*B44</f>
        <v>19.8267446153846</v>
      </c>
      <c r="AK44" s="0" t="n">
        <v>12</v>
      </c>
      <c r="AL44" s="0" t="n">
        <f aca="false">AK44/1950</f>
        <v>0.00615384615384615</v>
      </c>
      <c r="AM44" s="0" t="n">
        <f aca="false">AL44*B44</f>
        <v>19.8267446153846</v>
      </c>
      <c r="AN44" s="0" t="n">
        <v>5</v>
      </c>
      <c r="AO44" s="0" t="n">
        <f aca="false">AN44/1950</f>
        <v>0.00256410256410256</v>
      </c>
      <c r="AP44" s="0" t="n">
        <f aca="false">AO44*B44</f>
        <v>8.26114358974359</v>
      </c>
      <c r="AT44" s="0" t="n">
        <v>4</v>
      </c>
      <c r="AU44" s="0" t="n">
        <f aca="false">AT44/1950</f>
        <v>0.00205128205128205</v>
      </c>
      <c r="AV44" s="0" t="n">
        <f aca="false">AU44*B44</f>
        <v>6.60891487179487</v>
      </c>
      <c r="AW44" s="1" t="n">
        <v>10</v>
      </c>
      <c r="AX44" s="0" t="n">
        <f aca="false">AW44/1950</f>
        <v>0.00512820512820513</v>
      </c>
      <c r="AY44" s="0" t="n">
        <f aca="false">AX44*B44</f>
        <v>16.5222871794872</v>
      </c>
      <c r="AZ44" s="1" t="n">
        <v>10</v>
      </c>
      <c r="BA44" s="0" t="n">
        <f aca="false">AZ44/1950</f>
        <v>0.00512820512820513</v>
      </c>
      <c r="BB44" s="0" t="n">
        <f aca="false">BA44*B44</f>
        <v>16.5222871794872</v>
      </c>
    </row>
    <row r="45" customFormat="false" ht="12.8" hidden="false" customHeight="false" outlineLevel="0" collapsed="false">
      <c r="A45" s="1" t="s">
        <v>351</v>
      </c>
      <c r="B45" s="0" t="n">
        <v>500</v>
      </c>
      <c r="C45" s="1" t="n">
        <v>1</v>
      </c>
      <c r="D45" s="0" t="n">
        <f aca="false">C45/1950</f>
        <v>0.000512820512820513</v>
      </c>
      <c r="E45" s="0" t="n">
        <f aca="false">D45*B45</f>
        <v>0.256410256410256</v>
      </c>
      <c r="F45" s="0" t="n">
        <v>0</v>
      </c>
      <c r="G45" s="1" t="n">
        <f aca="false">F45/1950</f>
        <v>0</v>
      </c>
      <c r="H45" s="0" t="n">
        <f aca="false">G45*B45</f>
        <v>0</v>
      </c>
      <c r="I45" s="11" t="n">
        <v>0</v>
      </c>
      <c r="J45" s="17" t="n">
        <f aca="false">I45/1950</f>
        <v>0</v>
      </c>
      <c r="K45" s="11" t="n">
        <f aca="false">J45*B45</f>
        <v>0</v>
      </c>
      <c r="L45" s="0" t="n">
        <v>1</v>
      </c>
      <c r="M45" s="0" t="n">
        <f aca="false">L45/1950</f>
        <v>0.000512820512820513</v>
      </c>
      <c r="N45" s="0" t="n">
        <f aca="false">M45*B45</f>
        <v>0.256410256410256</v>
      </c>
      <c r="O45" s="0" t="n">
        <v>1</v>
      </c>
      <c r="P45" s="0" t="n">
        <f aca="false">O45/1950</f>
        <v>0.000512820512820513</v>
      </c>
      <c r="Q45" s="0" t="n">
        <f aca="false">P45*B45</f>
        <v>0.256410256410256</v>
      </c>
      <c r="R45" s="0" t="n">
        <v>1</v>
      </c>
      <c r="S45" s="0" t="n">
        <f aca="false">R45/1950</f>
        <v>0.000512820512820513</v>
      </c>
      <c r="T45" s="0" t="n">
        <f aca="false">S45*B45</f>
        <v>0.256410256410256</v>
      </c>
      <c r="U45" s="0" t="n">
        <v>0</v>
      </c>
      <c r="V45" s="0" t="n">
        <f aca="false">U45/1950</f>
        <v>0</v>
      </c>
      <c r="W45" s="0" t="n">
        <f aca="false">V45*B45</f>
        <v>0</v>
      </c>
      <c r="X45" s="11" t="n">
        <v>0</v>
      </c>
      <c r="Y45" s="11" t="n">
        <f aca="false">X45/1950</f>
        <v>0</v>
      </c>
      <c r="Z45" s="11" t="n">
        <f aca="false">Y45*B45</f>
        <v>0</v>
      </c>
      <c r="AA45" s="0" t="n">
        <v>0</v>
      </c>
      <c r="AB45" s="1" t="n">
        <f aca="false">AA45/1950</f>
        <v>0</v>
      </c>
      <c r="AC45" s="0" t="n">
        <f aca="false">AB45*B45</f>
        <v>0</v>
      </c>
      <c r="AD45" s="11" t="n">
        <v>0</v>
      </c>
      <c r="AE45" s="17" t="n">
        <f aca="false">AD45/1950</f>
        <v>0</v>
      </c>
      <c r="AF45" s="11" t="n">
        <f aca="false">AE45*B45</f>
        <v>0</v>
      </c>
      <c r="AH45" s="0" t="n">
        <f aca="false">SUM(AH42:AH44)</f>
        <v>49</v>
      </c>
      <c r="AI45" s="0" t="n">
        <f aca="false">AH45/1950</f>
        <v>0.0251282051282051</v>
      </c>
      <c r="AJ45" s="3" t="n">
        <f aca="false">SUM(AJ42:AJ44)</f>
        <v>84.1167348717949</v>
      </c>
      <c r="AK45" s="0" t="n">
        <f aca="false">SUM(AK42:AK44)</f>
        <v>49</v>
      </c>
      <c r="AL45" s="0" t="n">
        <f aca="false">AK45/1950</f>
        <v>0.0251282051282051</v>
      </c>
      <c r="AM45" s="3" t="n">
        <f aca="false">SUM(AM42:AM44)</f>
        <v>84.1167348717949</v>
      </c>
      <c r="AN45" s="3" t="n">
        <f aca="false">SUM(AN42:AN44)</f>
        <v>28</v>
      </c>
      <c r="AO45" s="0" t="n">
        <f aca="false">AN45/1950</f>
        <v>0.0143589743589744</v>
      </c>
      <c r="AP45" s="3" t="n">
        <f aca="false">SUM(AP42:AP44)</f>
        <v>47.9163471794872</v>
      </c>
      <c r="AW45" s="1"/>
      <c r="AZ45" s="1"/>
    </row>
    <row r="46" customFormat="false" ht="12.8" hidden="false" customHeight="false" outlineLevel="0" collapsed="false">
      <c r="A46" s="18" t="s">
        <v>352</v>
      </c>
      <c r="B46" s="0" t="s">
        <v>74</v>
      </c>
      <c r="C46" s="1" t="n">
        <f aca="false">SUM(C42:C44)</f>
        <v>47</v>
      </c>
      <c r="D46" s="0" t="n">
        <f aca="false">C46/1950</f>
        <v>0.0241025641025641</v>
      </c>
      <c r="E46" s="0" t="n">
        <f aca="false">SUM(E42:E44)</f>
        <v>80.8122774358974</v>
      </c>
      <c r="F46" s="1" t="n">
        <f aca="false">SUM(F42:F44)</f>
        <v>14</v>
      </c>
      <c r="G46" s="1" t="n">
        <f aca="false">F46/1950</f>
        <v>0.00717948717948718</v>
      </c>
      <c r="H46" s="3" t="n">
        <f aca="false">SUM(H42:H44)</f>
        <v>24.3340697435897</v>
      </c>
      <c r="I46" s="17" t="n">
        <f aca="false">SUM(I42:I44)</f>
        <v>13</v>
      </c>
      <c r="J46" s="17" t="n">
        <f aca="false">I46/1950</f>
        <v>0.00666666666666667</v>
      </c>
      <c r="K46" s="16" t="n">
        <f aca="false">SUM(K42:K44)</f>
        <v>21.7796902564103</v>
      </c>
      <c r="L46" s="3" t="n">
        <f aca="false">SUM(L42:L45)</f>
        <v>3</v>
      </c>
      <c r="M46" s="0" t="n">
        <f aca="false">L46/1950</f>
        <v>0.00153846153846154</v>
      </c>
      <c r="N46" s="3" t="n">
        <f aca="false">SUM(N42:N45)</f>
        <v>3.71122615384615</v>
      </c>
      <c r="O46" s="3" t="n">
        <f aca="false">SUM(O42:O45)</f>
        <v>3</v>
      </c>
      <c r="P46" s="0" t="n">
        <f aca="false">O46/1950</f>
        <v>0.00153846153846154</v>
      </c>
      <c r="Q46" s="3" t="n">
        <f aca="false">SUM(Q42:Q45)</f>
        <v>3.71122615384615</v>
      </c>
      <c r="R46" s="3" t="n">
        <f aca="false">SUM(R42:R45)</f>
        <v>3</v>
      </c>
      <c r="S46" s="0" t="n">
        <f aca="false">R46/1950</f>
        <v>0.00153846153846154</v>
      </c>
      <c r="T46" s="3" t="n">
        <f aca="false">SUM(T42:T45)</f>
        <v>3.71122615384615</v>
      </c>
      <c r="U46" s="0" t="n">
        <f aca="false">SUM(U42:U44)</f>
        <v>14</v>
      </c>
      <c r="V46" s="0" t="n">
        <f aca="false">U46/1950</f>
        <v>0.00717948717948718</v>
      </c>
      <c r="W46" s="3" t="n">
        <f aca="false">SUM(W42:W44)</f>
        <v>24.3340697435897</v>
      </c>
      <c r="X46" s="11" t="n">
        <f aca="false">SUM(X42:X44)</f>
        <v>13</v>
      </c>
      <c r="Y46" s="11" t="n">
        <f aca="false">X46/1950</f>
        <v>0.00666666666666667</v>
      </c>
      <c r="Z46" s="16" t="n">
        <f aca="false">SUM(Z42:Z44)</f>
        <v>21.7796902564103</v>
      </c>
      <c r="AA46" s="0" t="n">
        <f aca="false">SUM(AA42:AA44)</f>
        <v>14</v>
      </c>
      <c r="AB46" s="1" t="n">
        <f aca="false">SUM(AB42:AB44)</f>
        <v>0.00717948717948718</v>
      </c>
      <c r="AC46" s="3" t="n">
        <f aca="false">SUM(AC42:AC44)</f>
        <v>24.3340697435897</v>
      </c>
      <c r="AD46" s="11" t="n">
        <f aca="false">SUM(AD42:AD44)</f>
        <v>13</v>
      </c>
      <c r="AE46" s="17" t="n">
        <f aca="false">SUM(AE42:AE44)</f>
        <v>0.00666666666666667</v>
      </c>
      <c r="AF46" s="16" t="n">
        <f aca="false">SUM(AF42:AF44)</f>
        <v>21.7796902564103</v>
      </c>
      <c r="AH46" s="0" t="n">
        <v>4</v>
      </c>
      <c r="AI46" s="0" t="n">
        <f aca="false">AH46/1950</f>
        <v>0.00205128205128205</v>
      </c>
      <c r="AJ46" s="0" t="n">
        <f aca="false">AI46*B47</f>
        <v>7.76485128205128</v>
      </c>
      <c r="AK46" s="0" t="n">
        <v>4</v>
      </c>
      <c r="AL46" s="0" t="n">
        <f aca="false">AK46/1950</f>
        <v>0.00205128205128205</v>
      </c>
      <c r="AM46" s="0" t="n">
        <f aca="false">AL46*B47</f>
        <v>7.76485128205128</v>
      </c>
      <c r="AN46" s="0" t="n">
        <v>4</v>
      </c>
      <c r="AO46" s="0" t="n">
        <f aca="false">AN46/1950</f>
        <v>0.00205128205128205</v>
      </c>
      <c r="AP46" s="0" t="n">
        <f aca="false">AO46*B47</f>
        <v>7.76485128205128</v>
      </c>
      <c r="AT46" s="0" t="n">
        <f aca="false">SUM(AT42:AT44)</f>
        <v>13</v>
      </c>
      <c r="AU46" s="0" t="n">
        <f aca="false">AT46/1950</f>
        <v>0.00666666666666667</v>
      </c>
      <c r="AV46" s="3" t="n">
        <f aca="false">SUM(AV42:AV44)</f>
        <v>22.5314825641026</v>
      </c>
      <c r="AW46" s="1" t="n">
        <f aca="false">SUM(AW42:AW44)</f>
        <v>47</v>
      </c>
      <c r="AX46" s="0" t="n">
        <f aca="false">AW46/1950</f>
        <v>0.0241025641025641</v>
      </c>
      <c r="AY46" s="0" t="n">
        <f aca="false">SUM(AY42:AY44)</f>
        <v>80.8122774358974</v>
      </c>
      <c r="AZ46" s="1" t="n">
        <f aca="false">SUM(AZ42:AZ44)</f>
        <v>47</v>
      </c>
      <c r="BA46" s="0" t="n">
        <f aca="false">AZ46/1950</f>
        <v>0.0241025641025641</v>
      </c>
      <c r="BB46" s="0" t="n">
        <f aca="false">SUM(BB42:BB44)</f>
        <v>80.8122774358974</v>
      </c>
    </row>
    <row r="47" customFormat="false" ht="12.8" hidden="false" customHeight="false" outlineLevel="0" collapsed="false">
      <c r="A47" s="0" t="s">
        <v>203</v>
      </c>
      <c r="B47" s="0" t="n">
        <v>3785.365</v>
      </c>
      <c r="C47" s="1" t="n">
        <v>4</v>
      </c>
      <c r="D47" s="0" t="n">
        <f aca="false">C47/1950</f>
        <v>0.00205128205128205</v>
      </c>
      <c r="E47" s="0" t="n">
        <f aca="false">D47*B47</f>
        <v>7.76485128205128</v>
      </c>
      <c r="F47" s="0" t="n">
        <v>1</v>
      </c>
      <c r="G47" s="1" t="n">
        <f aca="false">F47/1950</f>
        <v>0.000512820512820513</v>
      </c>
      <c r="H47" s="0" t="n">
        <f aca="false">G47*B47</f>
        <v>1.94121282051282</v>
      </c>
      <c r="I47" s="11" t="n">
        <v>4</v>
      </c>
      <c r="J47" s="17" t="n">
        <f aca="false">I47/1950</f>
        <v>0.00205128205128205</v>
      </c>
      <c r="K47" s="11" t="n">
        <f aca="false">J47*B47</f>
        <v>7.76485128205128</v>
      </c>
      <c r="L47" s="0" t="n">
        <v>2</v>
      </c>
      <c r="M47" s="0" t="n">
        <f aca="false">L47/1950</f>
        <v>0.00102564102564103</v>
      </c>
      <c r="N47" s="0" t="n">
        <f aca="false">M47*B47</f>
        <v>3.88242564102564</v>
      </c>
      <c r="O47" s="0" t="n">
        <v>2</v>
      </c>
      <c r="P47" s="0" t="n">
        <f aca="false">O47/1950</f>
        <v>0.00102564102564103</v>
      </c>
      <c r="Q47" s="0" t="n">
        <f aca="false">P47*B47</f>
        <v>3.88242564102564</v>
      </c>
      <c r="R47" s="0" t="n">
        <v>2</v>
      </c>
      <c r="S47" s="0" t="n">
        <f aca="false">R47/1950</f>
        <v>0.00102564102564103</v>
      </c>
      <c r="T47" s="0" t="n">
        <f aca="false">S47*B47</f>
        <v>3.88242564102564</v>
      </c>
      <c r="U47" s="0" t="n">
        <v>1</v>
      </c>
      <c r="V47" s="0" t="n">
        <f aca="false">U47/1950</f>
        <v>0.000512820512820513</v>
      </c>
      <c r="W47" s="0" t="n">
        <f aca="false">V47*B47</f>
        <v>1.94121282051282</v>
      </c>
      <c r="X47" s="11" t="n">
        <v>4</v>
      </c>
      <c r="Y47" s="11" t="n">
        <f aca="false">X47/1950</f>
        <v>0.00205128205128205</v>
      </c>
      <c r="Z47" s="11" t="n">
        <f aca="false">Y47*B47</f>
        <v>7.76485128205128</v>
      </c>
      <c r="AA47" s="0" t="n">
        <v>1</v>
      </c>
      <c r="AB47" s="1" t="n">
        <f aca="false">AA47/1950</f>
        <v>0.000512820512820513</v>
      </c>
      <c r="AC47" s="0" t="n">
        <f aca="false">AB47*B47</f>
        <v>1.94121282051282</v>
      </c>
      <c r="AD47" s="11" t="n">
        <v>4</v>
      </c>
      <c r="AE47" s="17" t="n">
        <f aca="false">AD47/1950</f>
        <v>0.00205128205128205</v>
      </c>
      <c r="AF47" s="11" t="n">
        <f aca="false">AE47*B47</f>
        <v>7.76485128205128</v>
      </c>
      <c r="AH47" s="0" t="n">
        <v>2</v>
      </c>
      <c r="AI47" s="0" t="n">
        <f aca="false">AH47/1950</f>
        <v>0.00102564102564103</v>
      </c>
      <c r="AJ47" s="0" t="n">
        <f aca="false">AI47*B48</f>
        <v>0.512820512820513</v>
      </c>
      <c r="AK47" s="0" t="n">
        <v>2</v>
      </c>
      <c r="AL47" s="0" t="n">
        <f aca="false">AK47/1950</f>
        <v>0.00102564102564103</v>
      </c>
      <c r="AM47" s="0" t="n">
        <f aca="false">AL47*B48</f>
        <v>0.512820512820513</v>
      </c>
      <c r="AN47" s="0" t="n">
        <v>1</v>
      </c>
      <c r="AO47" s="0" t="n">
        <f aca="false">AN47/1950</f>
        <v>0.000512820512820513</v>
      </c>
      <c r="AP47" s="0" t="n">
        <f aca="false">AO47*B48</f>
        <v>0.256410256410256</v>
      </c>
      <c r="AT47" s="0" t="n">
        <v>1</v>
      </c>
      <c r="AU47" s="0" t="n">
        <f aca="false">AT47/1950</f>
        <v>0.000512820512820513</v>
      </c>
      <c r="AV47" s="0" t="n">
        <f aca="false">AU47*B47</f>
        <v>1.94121282051282</v>
      </c>
      <c r="AW47" s="1" t="n">
        <v>4</v>
      </c>
      <c r="AX47" s="0" t="n">
        <f aca="false">AW47/1950</f>
        <v>0.00205128205128205</v>
      </c>
      <c r="AY47" s="0" t="n">
        <f aca="false">AX47*B47</f>
        <v>7.76485128205128</v>
      </c>
      <c r="AZ47" s="1" t="n">
        <v>4</v>
      </c>
      <c r="BA47" s="0" t="n">
        <f aca="false">AZ47/1950</f>
        <v>0.00205128205128205</v>
      </c>
      <c r="BB47" s="0" t="n">
        <f aca="false">BA47*B47</f>
        <v>7.76485128205128</v>
      </c>
    </row>
    <row r="48" customFormat="false" ht="12.8" hidden="false" customHeight="false" outlineLevel="0" collapsed="false">
      <c r="A48" s="0" t="s">
        <v>353</v>
      </c>
      <c r="B48" s="0" t="n">
        <v>500</v>
      </c>
      <c r="C48" s="1" t="n">
        <v>1</v>
      </c>
      <c r="D48" s="0" t="n">
        <f aca="false">C48/1950</f>
        <v>0.000512820512820513</v>
      </c>
      <c r="E48" s="0" t="n">
        <f aca="false">D48*B48</f>
        <v>0.256410256410256</v>
      </c>
      <c r="F48" s="0" t="n">
        <v>0</v>
      </c>
      <c r="G48" s="1" t="n">
        <f aca="false">F48/1950</f>
        <v>0</v>
      </c>
      <c r="H48" s="0" t="n">
        <f aca="false">G48*B48</f>
        <v>0</v>
      </c>
      <c r="I48" s="11" t="n">
        <v>0</v>
      </c>
      <c r="J48" s="17" t="n">
        <f aca="false">I48/1950</f>
        <v>0</v>
      </c>
      <c r="K48" s="11" t="n">
        <f aca="false">J48*B48</f>
        <v>0</v>
      </c>
      <c r="L48" s="0" t="n">
        <v>0</v>
      </c>
      <c r="M48" s="0" t="n">
        <f aca="false">L48/1950</f>
        <v>0</v>
      </c>
      <c r="N48" s="0" t="n">
        <f aca="false">M48*B48</f>
        <v>0</v>
      </c>
      <c r="O48" s="0" t="n">
        <v>0</v>
      </c>
      <c r="P48" s="0" t="n">
        <f aca="false">O48/1950</f>
        <v>0</v>
      </c>
      <c r="Q48" s="0" t="n">
        <f aca="false">P48*B48</f>
        <v>0</v>
      </c>
      <c r="R48" s="0" t="n">
        <v>0</v>
      </c>
      <c r="S48" s="0" t="n">
        <f aca="false">R48/1950</f>
        <v>0</v>
      </c>
      <c r="T48" s="0" t="n">
        <f aca="false">S48*B48</f>
        <v>0</v>
      </c>
      <c r="U48" s="0" t="n">
        <v>0</v>
      </c>
      <c r="V48" s="0" t="n">
        <f aca="false">U48/1950</f>
        <v>0</v>
      </c>
      <c r="W48" s="0" t="n">
        <f aca="false">V48*B48</f>
        <v>0</v>
      </c>
      <c r="X48" s="11" t="n">
        <v>0</v>
      </c>
      <c r="Y48" s="11" t="n">
        <f aca="false">X48/1950</f>
        <v>0</v>
      </c>
      <c r="Z48" s="11" t="n">
        <f aca="false">Y48*B48</f>
        <v>0</v>
      </c>
      <c r="AA48" s="0" t="n">
        <v>0</v>
      </c>
      <c r="AB48" s="1" t="n">
        <f aca="false">AA48/1950</f>
        <v>0</v>
      </c>
      <c r="AC48" s="0" t="n">
        <f aca="false">AB48*B48</f>
        <v>0</v>
      </c>
      <c r="AD48" s="11" t="n">
        <v>0</v>
      </c>
      <c r="AE48" s="17" t="n">
        <f aca="false">AD48/1950</f>
        <v>0</v>
      </c>
      <c r="AF48" s="11" t="n">
        <f aca="false">AE48*B48</f>
        <v>0</v>
      </c>
      <c r="AH48" s="0" t="n">
        <v>22</v>
      </c>
      <c r="AI48" s="0" t="n">
        <f aca="false">AH48/1950</f>
        <v>0.0112820512820513</v>
      </c>
      <c r="AJ48" s="0" t="n">
        <f aca="false">AI48*B50</f>
        <v>37.227149948718</v>
      </c>
      <c r="AK48" s="0" t="n">
        <v>22</v>
      </c>
      <c r="AL48" s="0" t="n">
        <f aca="false">AK48/1950</f>
        <v>0.0112820512820513</v>
      </c>
      <c r="AM48" s="0" t="n">
        <f aca="false">AL48*B50</f>
        <v>37.227149948718</v>
      </c>
      <c r="AN48" s="0" t="n">
        <v>0</v>
      </c>
      <c r="AO48" s="0" t="n">
        <f aca="false">AN48/1950</f>
        <v>0</v>
      </c>
      <c r="AP48" s="0" t="n">
        <f aca="false">AO48*B50</f>
        <v>0</v>
      </c>
      <c r="AT48" s="0" t="n">
        <v>0</v>
      </c>
      <c r="AU48" s="0" t="n">
        <f aca="false">AT48/1950</f>
        <v>0</v>
      </c>
      <c r="AV48" s="0" t="n">
        <f aca="false">AU48/174</f>
        <v>0</v>
      </c>
      <c r="AW48" s="1" t="n">
        <v>1</v>
      </c>
      <c r="AX48" s="0" t="n">
        <f aca="false">AW48/1950</f>
        <v>0.000512820512820513</v>
      </c>
      <c r="AY48" s="0" t="n">
        <f aca="false">AX48*B48</f>
        <v>0.256410256410256</v>
      </c>
      <c r="AZ48" s="1" t="n">
        <v>1</v>
      </c>
      <c r="BA48" s="0" t="n">
        <f aca="false">AZ48/1950</f>
        <v>0.000512820512820513</v>
      </c>
      <c r="BB48" s="0" t="n">
        <f aca="false">BA48*B48</f>
        <v>0.256410256410256</v>
      </c>
    </row>
    <row r="49" customFormat="false" ht="12.8" hidden="false" customHeight="false" outlineLevel="0" collapsed="false">
      <c r="A49" s="0" t="s">
        <v>210</v>
      </c>
      <c r="B49" s="0" t="n">
        <v>4442.3925</v>
      </c>
      <c r="C49" s="0" t="n">
        <v>3</v>
      </c>
      <c r="D49" s="0" t="n">
        <f aca="false">C49/1950</f>
        <v>0.00153846153846154</v>
      </c>
      <c r="E49" s="0" t="n">
        <f aca="false">D49*B49</f>
        <v>6.83445</v>
      </c>
      <c r="F49" s="0" t="n">
        <v>0</v>
      </c>
      <c r="G49" s="1" t="n">
        <f aca="false">F49/1950</f>
        <v>0</v>
      </c>
      <c r="H49" s="0" t="n">
        <f aca="false">G49*B49</f>
        <v>0</v>
      </c>
      <c r="I49" s="11" t="n">
        <v>0</v>
      </c>
      <c r="J49" s="17" t="n">
        <f aca="false">I49/1950</f>
        <v>0</v>
      </c>
      <c r="K49" s="11" t="n">
        <f aca="false">J49*B49</f>
        <v>0</v>
      </c>
      <c r="L49" s="0" t="n">
        <v>1</v>
      </c>
      <c r="M49" s="0" t="n">
        <f aca="false">L49/1950</f>
        <v>0.000512820512820513</v>
      </c>
      <c r="N49" s="0" t="n">
        <f aca="false">M49*B49</f>
        <v>2.27815</v>
      </c>
      <c r="O49" s="0" t="n">
        <v>1</v>
      </c>
      <c r="P49" s="0" t="n">
        <f aca="false">O49/1950</f>
        <v>0.000512820512820513</v>
      </c>
      <c r="Q49" s="0" t="n">
        <f aca="false">P49*B49</f>
        <v>2.27815</v>
      </c>
      <c r="R49" s="0" t="n">
        <v>1</v>
      </c>
      <c r="S49" s="0" t="n">
        <f aca="false">R49/1950</f>
        <v>0.000512820512820513</v>
      </c>
      <c r="T49" s="0" t="n">
        <f aca="false">S49*B49</f>
        <v>2.27815</v>
      </c>
      <c r="U49" s="0" t="n">
        <v>0</v>
      </c>
      <c r="V49" s="0" t="n">
        <v>0</v>
      </c>
      <c r="W49" s="0" t="n">
        <v>0</v>
      </c>
      <c r="X49" s="11" t="n">
        <v>0</v>
      </c>
      <c r="Y49" s="11" t="n">
        <v>0</v>
      </c>
      <c r="Z49" s="11" t="n">
        <f aca="false">Y49*B49</f>
        <v>0</v>
      </c>
      <c r="AA49" s="0" t="n">
        <v>0</v>
      </c>
      <c r="AB49" s="1" t="n">
        <v>0</v>
      </c>
      <c r="AC49" s="0" t="n">
        <v>0</v>
      </c>
      <c r="AD49" s="11" t="n">
        <v>0</v>
      </c>
      <c r="AE49" s="17" t="n">
        <v>0</v>
      </c>
      <c r="AF49" s="11" t="n">
        <f aca="false">AE49*B49</f>
        <v>0</v>
      </c>
      <c r="AW49" s="1"/>
      <c r="AZ49" s="1"/>
    </row>
    <row r="50" customFormat="false" ht="12.8" hidden="false" customHeight="false" outlineLevel="0" collapsed="false">
      <c r="A50" s="0" t="s">
        <v>206</v>
      </c>
      <c r="B50" s="0" t="n">
        <v>3299.6792</v>
      </c>
      <c r="C50" s="1" t="n">
        <v>18</v>
      </c>
      <c r="D50" s="0" t="n">
        <f aca="false">C50/1950</f>
        <v>0.00923076923076923</v>
      </c>
      <c r="E50" s="0" t="n">
        <f aca="false">D50*B50</f>
        <v>30.4585772307692</v>
      </c>
      <c r="F50" s="0" t="n">
        <v>0</v>
      </c>
      <c r="G50" s="1" t="n">
        <f aca="false">F50/1950</f>
        <v>0</v>
      </c>
      <c r="H50" s="0" t="n">
        <f aca="false">G50*B50</f>
        <v>0</v>
      </c>
      <c r="I50" s="11" t="n">
        <v>0</v>
      </c>
      <c r="J50" s="17" t="n">
        <f aca="false">I50/1950</f>
        <v>0</v>
      </c>
      <c r="K50" s="11" t="n">
        <f aca="false">J50*B50</f>
        <v>0</v>
      </c>
      <c r="L50" s="0" t="n">
        <v>10</v>
      </c>
      <c r="M50" s="0" t="n">
        <f aca="false">L50/1950</f>
        <v>0.00512820512820513</v>
      </c>
      <c r="N50" s="0" t="n">
        <f aca="false">M50*B50</f>
        <v>16.9214317948718</v>
      </c>
      <c r="O50" s="0" t="n">
        <v>10</v>
      </c>
      <c r="P50" s="0" t="n">
        <f aca="false">O50/1950</f>
        <v>0.00512820512820513</v>
      </c>
      <c r="Q50" s="0" t="n">
        <f aca="false">P50*B50</f>
        <v>16.9214317948718</v>
      </c>
      <c r="R50" s="0" t="n">
        <v>10</v>
      </c>
      <c r="S50" s="0" t="n">
        <f aca="false">R50/1950</f>
        <v>0.00512820512820513</v>
      </c>
      <c r="T50" s="0" t="n">
        <f aca="false">S50*B50</f>
        <v>16.9214317948718</v>
      </c>
      <c r="U50" s="0" t="n">
        <v>0</v>
      </c>
      <c r="V50" s="0" t="n">
        <f aca="false">U50/1950</f>
        <v>0</v>
      </c>
      <c r="W50" s="0" t="n">
        <f aca="false">V50*B50</f>
        <v>0</v>
      </c>
      <c r="X50" s="11" t="n">
        <v>0</v>
      </c>
      <c r="Y50" s="11" t="n">
        <f aca="false">X50/1950</f>
        <v>0</v>
      </c>
      <c r="Z50" s="11" t="n">
        <f aca="false">Y50*B50</f>
        <v>0</v>
      </c>
      <c r="AA50" s="0" t="n">
        <v>0</v>
      </c>
      <c r="AB50" s="1" t="n">
        <f aca="false">AA50/1950</f>
        <v>0</v>
      </c>
      <c r="AC50" s="0" t="n">
        <f aca="false">AB50*B50</f>
        <v>0</v>
      </c>
      <c r="AD50" s="11" t="n">
        <v>0</v>
      </c>
      <c r="AE50" s="17" t="n">
        <f aca="false">AD50/1950</f>
        <v>0</v>
      </c>
      <c r="AF50" s="11" t="n">
        <f aca="false">AE50*B50</f>
        <v>0</v>
      </c>
      <c r="AH50" s="0" t="n">
        <v>1</v>
      </c>
      <c r="AI50" s="0" t="n">
        <f aca="false">AH50/1950</f>
        <v>0.000512820512820513</v>
      </c>
      <c r="AJ50" s="0" t="n">
        <f aca="false">AI50*B51</f>
        <v>0.256410256410256</v>
      </c>
      <c r="AK50" s="0" t="n">
        <v>1</v>
      </c>
      <c r="AL50" s="0" t="n">
        <f aca="false">AK50/1950</f>
        <v>0.000512820512820513</v>
      </c>
      <c r="AM50" s="0" t="n">
        <f aca="false">AL50*B51</f>
        <v>0.256410256410256</v>
      </c>
      <c r="AN50" s="0" t="n">
        <v>0</v>
      </c>
      <c r="AO50" s="0" t="n">
        <f aca="false">AN50/1950</f>
        <v>0</v>
      </c>
      <c r="AP50" s="0" t="n">
        <f aca="false">AO50*B51</f>
        <v>0</v>
      </c>
      <c r="AT50" s="0" t="n">
        <v>0</v>
      </c>
      <c r="AU50" s="0" t="n">
        <f aca="false">AT50/1950</f>
        <v>0</v>
      </c>
      <c r="AV50" s="0" t="n">
        <f aca="false">AU50/174</f>
        <v>0</v>
      </c>
      <c r="AW50" s="1" t="n">
        <v>22</v>
      </c>
      <c r="AX50" s="0" t="n">
        <f aca="false">AW50/1950</f>
        <v>0.0112820512820513</v>
      </c>
      <c r="AY50" s="0" t="n">
        <f aca="false">AX50*B50</f>
        <v>37.227149948718</v>
      </c>
      <c r="AZ50" s="1" t="n">
        <v>22</v>
      </c>
      <c r="BA50" s="0" t="n">
        <f aca="false">AZ50/1950</f>
        <v>0.0112820512820513</v>
      </c>
      <c r="BB50" s="0" t="n">
        <f aca="false">BA50*B50</f>
        <v>37.227149948718</v>
      </c>
    </row>
    <row r="51" customFormat="false" ht="12.8" hidden="false" customHeight="false" outlineLevel="0" collapsed="false">
      <c r="A51" s="0" t="s">
        <v>354</v>
      </c>
      <c r="B51" s="0" t="n">
        <v>500</v>
      </c>
      <c r="C51" s="1" t="n">
        <v>1</v>
      </c>
      <c r="D51" s="0" t="n">
        <f aca="false">C51/1950</f>
        <v>0.000512820512820513</v>
      </c>
      <c r="E51" s="0" t="n">
        <f aca="false">D51*B51</f>
        <v>0.256410256410256</v>
      </c>
      <c r="F51" s="0" t="n">
        <v>0</v>
      </c>
      <c r="G51" s="1" t="n">
        <f aca="false">F51/1950</f>
        <v>0</v>
      </c>
      <c r="H51" s="0" t="n">
        <f aca="false">G51*B51</f>
        <v>0</v>
      </c>
      <c r="I51" s="11" t="n">
        <v>0</v>
      </c>
      <c r="J51" s="17" t="n">
        <f aca="false">I51/1950</f>
        <v>0</v>
      </c>
      <c r="K51" s="11" t="n">
        <f aca="false">J51*B51</f>
        <v>0</v>
      </c>
      <c r="L51" s="0" t="n">
        <v>1</v>
      </c>
      <c r="M51" s="0" t="n">
        <f aca="false">L51/1950</f>
        <v>0.000512820512820513</v>
      </c>
      <c r="N51" s="0" t="n">
        <f aca="false">M51*B51</f>
        <v>0.256410256410256</v>
      </c>
      <c r="O51" s="0" t="n">
        <v>1</v>
      </c>
      <c r="P51" s="0" t="n">
        <f aca="false">O51/1950</f>
        <v>0.000512820512820513</v>
      </c>
      <c r="Q51" s="0" t="n">
        <f aca="false">P51*B51</f>
        <v>0.256410256410256</v>
      </c>
      <c r="R51" s="0" t="n">
        <v>1</v>
      </c>
      <c r="S51" s="0" t="n">
        <f aca="false">R51/1950</f>
        <v>0.000512820512820513</v>
      </c>
      <c r="T51" s="0" t="n">
        <f aca="false">S51*B51</f>
        <v>0.256410256410256</v>
      </c>
      <c r="U51" s="0" t="n">
        <v>0</v>
      </c>
      <c r="V51" s="0" t="n">
        <f aca="false">U51/1950</f>
        <v>0</v>
      </c>
      <c r="W51" s="0" t="n">
        <f aca="false">V51*B51</f>
        <v>0</v>
      </c>
      <c r="X51" s="11" t="n">
        <v>0</v>
      </c>
      <c r="Y51" s="11" t="n">
        <f aca="false">X51/1950</f>
        <v>0</v>
      </c>
      <c r="Z51" s="11" t="n">
        <f aca="false">Y51*B51</f>
        <v>0</v>
      </c>
      <c r="AA51" s="0" t="n">
        <v>0</v>
      </c>
      <c r="AB51" s="1" t="n">
        <f aca="false">AA51/1950</f>
        <v>0</v>
      </c>
      <c r="AC51" s="0" t="n">
        <f aca="false">AB51*B51</f>
        <v>0</v>
      </c>
      <c r="AD51" s="11" t="n">
        <v>0</v>
      </c>
      <c r="AE51" s="17" t="n">
        <f aca="false">AD51/1950</f>
        <v>0</v>
      </c>
      <c r="AF51" s="11" t="n">
        <f aca="false">AE51*B51</f>
        <v>0</v>
      </c>
      <c r="AH51" s="0" t="n">
        <v>1</v>
      </c>
      <c r="AI51" s="0" t="n">
        <f aca="false">AH51/1950</f>
        <v>0.000512820512820513</v>
      </c>
      <c r="AJ51" s="0" t="n">
        <f aca="false">AI51*B52</f>
        <v>1.58565487179487</v>
      </c>
      <c r="AK51" s="0" t="n">
        <v>1</v>
      </c>
      <c r="AL51" s="0" t="n">
        <f aca="false">AK51/1950</f>
        <v>0.000512820512820513</v>
      </c>
      <c r="AM51" s="0" t="n">
        <f aca="false">AL51*B52</f>
        <v>1.58565487179487</v>
      </c>
      <c r="AN51" s="0" t="n">
        <v>0</v>
      </c>
      <c r="AO51" s="0" t="n">
        <f aca="false">AN51/1950</f>
        <v>0</v>
      </c>
      <c r="AP51" s="0" t="n">
        <f aca="false">AO51*B52</f>
        <v>0</v>
      </c>
      <c r="AT51" s="0" t="n">
        <v>0</v>
      </c>
      <c r="AU51" s="0" t="n">
        <f aca="false">AT51/1950</f>
        <v>0</v>
      </c>
      <c r="AV51" s="0" t="n">
        <f aca="false">AU51/174</f>
        <v>0</v>
      </c>
      <c r="AW51" s="1" t="n">
        <v>1</v>
      </c>
      <c r="AX51" s="0" t="n">
        <f aca="false">AW51/1950</f>
        <v>0.000512820512820513</v>
      </c>
      <c r="AY51" s="0" t="n">
        <f aca="false">AX51*B51</f>
        <v>0.256410256410256</v>
      </c>
      <c r="AZ51" s="1" t="n">
        <v>1</v>
      </c>
      <c r="BA51" s="0" t="n">
        <f aca="false">AZ51/1950</f>
        <v>0.000512820512820513</v>
      </c>
      <c r="BB51" s="0" t="n">
        <f aca="false">BA51*B51</f>
        <v>0.256410256410256</v>
      </c>
    </row>
    <row r="52" customFormat="false" ht="12.8" hidden="false" customHeight="false" outlineLevel="0" collapsed="false">
      <c r="A52" s="0" t="s">
        <v>213</v>
      </c>
      <c r="B52" s="0" t="n">
        <v>3092.027</v>
      </c>
      <c r="C52" s="1" t="n">
        <v>1</v>
      </c>
      <c r="D52" s="0" t="n">
        <f aca="false">C52/1950</f>
        <v>0.000512820512820513</v>
      </c>
      <c r="E52" s="0" t="n">
        <f aca="false">D52*B52</f>
        <v>1.58565487179487</v>
      </c>
      <c r="F52" s="0" t="n">
        <v>0</v>
      </c>
      <c r="G52" s="1" t="n">
        <f aca="false">F52/1950</f>
        <v>0</v>
      </c>
      <c r="H52" s="0" t="n">
        <f aca="false">G52*B52</f>
        <v>0</v>
      </c>
      <c r="I52" s="11" t="n">
        <v>0</v>
      </c>
      <c r="J52" s="17" t="n">
        <f aca="false">I52/1950</f>
        <v>0</v>
      </c>
      <c r="K52" s="11" t="n">
        <f aca="false">J52*B52</f>
        <v>0</v>
      </c>
      <c r="L52" s="0" t="n">
        <v>0</v>
      </c>
      <c r="M52" s="0" t="n">
        <f aca="false">L52/1950</f>
        <v>0</v>
      </c>
      <c r="N52" s="0" t="n">
        <f aca="false">M52*B52</f>
        <v>0</v>
      </c>
      <c r="O52" s="0" t="n">
        <v>0</v>
      </c>
      <c r="P52" s="0" t="n">
        <f aca="false">O52/1950</f>
        <v>0</v>
      </c>
      <c r="Q52" s="0" t="n">
        <f aca="false">P52*B52</f>
        <v>0</v>
      </c>
      <c r="R52" s="0" t="n">
        <v>0</v>
      </c>
      <c r="S52" s="0" t="n">
        <f aca="false">R52/1950</f>
        <v>0</v>
      </c>
      <c r="T52" s="0" t="n">
        <f aca="false">S52*B52</f>
        <v>0</v>
      </c>
      <c r="U52" s="0" t="n">
        <v>0</v>
      </c>
      <c r="V52" s="0" t="n">
        <f aca="false">U52/1950</f>
        <v>0</v>
      </c>
      <c r="W52" s="0" t="n">
        <f aca="false">V52*B52</f>
        <v>0</v>
      </c>
      <c r="X52" s="11" t="n">
        <v>0</v>
      </c>
      <c r="Y52" s="11" t="n">
        <f aca="false">X52/1950</f>
        <v>0</v>
      </c>
      <c r="Z52" s="11" t="n">
        <f aca="false">Y52*B52</f>
        <v>0</v>
      </c>
      <c r="AA52" s="0" t="n">
        <v>0</v>
      </c>
      <c r="AB52" s="1" t="n">
        <f aca="false">AA52/1950</f>
        <v>0</v>
      </c>
      <c r="AC52" s="0" t="n">
        <f aca="false">AB52*B52</f>
        <v>0</v>
      </c>
      <c r="AD52" s="11" t="n">
        <v>0</v>
      </c>
      <c r="AE52" s="17" t="n">
        <f aca="false">AD52/1950</f>
        <v>0</v>
      </c>
      <c r="AF52" s="11" t="n">
        <f aca="false">AE52*B52</f>
        <v>0</v>
      </c>
      <c r="AH52" s="0" t="n">
        <v>22</v>
      </c>
      <c r="AI52" s="0" t="n">
        <f aca="false">AH52/1950</f>
        <v>0.0112820512820513</v>
      </c>
      <c r="AJ52" s="0" t="n">
        <f aca="false">AI52*B53</f>
        <v>37.3108890940171</v>
      </c>
      <c r="AK52" s="0" t="n">
        <v>22</v>
      </c>
      <c r="AL52" s="0" t="n">
        <f aca="false">AK52/1950</f>
        <v>0.0112820512820513</v>
      </c>
      <c r="AM52" s="0" t="n">
        <f aca="false">AL52*B53</f>
        <v>37.3108890940171</v>
      </c>
      <c r="AN52" s="0" t="n">
        <v>7</v>
      </c>
      <c r="AO52" s="0" t="n">
        <f aca="false">AN52/1950</f>
        <v>0.00358974358974359</v>
      </c>
      <c r="AP52" s="0" t="n">
        <f aca="false">AO52*B53</f>
        <v>11.8716465299145</v>
      </c>
      <c r="AT52" s="0" t="n">
        <v>0</v>
      </c>
      <c r="AU52" s="0" t="n">
        <f aca="false">AT52/1950</f>
        <v>0</v>
      </c>
      <c r="AV52" s="0" t="n">
        <f aca="false">AU52/174</f>
        <v>0</v>
      </c>
      <c r="AW52" s="1" t="n">
        <v>1</v>
      </c>
      <c r="AX52" s="0" t="n">
        <f aca="false">AW52/1950</f>
        <v>0.000512820512820513</v>
      </c>
      <c r="AY52" s="0" t="n">
        <f aca="false">AX52*B52</f>
        <v>1.58565487179487</v>
      </c>
      <c r="AZ52" s="1" t="n">
        <v>1</v>
      </c>
      <c r="BA52" s="0" t="n">
        <f aca="false">AZ52/1950</f>
        <v>0.000512820512820513</v>
      </c>
      <c r="BB52" s="0" t="n">
        <f aca="false">BA52*B52</f>
        <v>1.58565487179487</v>
      </c>
    </row>
    <row r="53" customFormat="false" ht="12.8" hidden="false" customHeight="false" outlineLevel="0" collapsed="false">
      <c r="A53" s="18" t="s">
        <v>355</v>
      </c>
      <c r="B53" s="0" t="n">
        <f aca="false">AVERAGE(B42:B44,B47,B50,B52:B52)</f>
        <v>3307.10153333333</v>
      </c>
      <c r="C53" s="1" t="n">
        <v>21</v>
      </c>
      <c r="D53" s="0" t="n">
        <f aca="false">C53/1950</f>
        <v>0.0107692307692308</v>
      </c>
      <c r="E53" s="0" t="n">
        <f aca="false">D53*B53</f>
        <v>35.6149395897436</v>
      </c>
      <c r="F53" s="0" t="n">
        <v>4</v>
      </c>
      <c r="G53" s="1" t="n">
        <f aca="false">F53/1950</f>
        <v>0.00205128205128205</v>
      </c>
      <c r="H53" s="0" t="n">
        <f aca="false">G53*B53</f>
        <v>6.78379801709402</v>
      </c>
      <c r="I53" s="11" t="n">
        <v>10</v>
      </c>
      <c r="J53" s="17" t="n">
        <f aca="false">I53/1950</f>
        <v>0.00512820512820513</v>
      </c>
      <c r="K53" s="11" t="n">
        <f aca="false">J53*B53</f>
        <v>16.959495042735</v>
      </c>
      <c r="L53" s="0" t="n">
        <v>8</v>
      </c>
      <c r="M53" s="0" t="n">
        <f aca="false">L53/1950</f>
        <v>0.0041025641025641</v>
      </c>
      <c r="N53" s="0" t="n">
        <f aca="false">M53*B53</f>
        <v>13.567596034188</v>
      </c>
      <c r="O53" s="0" t="n">
        <v>8</v>
      </c>
      <c r="P53" s="0" t="n">
        <f aca="false">O53/1950</f>
        <v>0.0041025641025641</v>
      </c>
      <c r="Q53" s="0" t="n">
        <f aca="false">P53*B53</f>
        <v>13.567596034188</v>
      </c>
      <c r="R53" s="0" t="n">
        <v>8</v>
      </c>
      <c r="S53" s="0" t="n">
        <f aca="false">R53/1950</f>
        <v>0.0041025641025641</v>
      </c>
      <c r="T53" s="0" t="n">
        <f aca="false">S53*B53</f>
        <v>13.567596034188</v>
      </c>
      <c r="U53" s="0" t="n">
        <v>4</v>
      </c>
      <c r="V53" s="0" t="n">
        <f aca="false">U53/1950</f>
        <v>0.00205128205128205</v>
      </c>
      <c r="W53" s="0" t="n">
        <f aca="false">V53*B53</f>
        <v>6.78379801709402</v>
      </c>
      <c r="X53" s="11" t="n">
        <v>10</v>
      </c>
      <c r="Y53" s="11" t="n">
        <f aca="false">X53/1950</f>
        <v>0.00512820512820513</v>
      </c>
      <c r="Z53" s="11" t="n">
        <f aca="false">Y53*B53</f>
        <v>16.959495042735</v>
      </c>
      <c r="AA53" s="0" t="n">
        <v>4</v>
      </c>
      <c r="AB53" s="1" t="n">
        <f aca="false">AA53/1950</f>
        <v>0.00205128205128205</v>
      </c>
      <c r="AC53" s="0" t="n">
        <f aca="false">AB53*B53</f>
        <v>6.78379801709402</v>
      </c>
      <c r="AD53" s="11" t="n">
        <v>10</v>
      </c>
      <c r="AE53" s="17" t="n">
        <f aca="false">AD53/1950</f>
        <v>0.00512820512820513</v>
      </c>
      <c r="AF53" s="11" t="n">
        <f aca="false">AE53*B53</f>
        <v>16.959495042735</v>
      </c>
      <c r="AH53" s="3" t="n">
        <f aca="false">SUM(AH45:AH52)</f>
        <v>101</v>
      </c>
      <c r="AI53" s="0" t="n">
        <f aca="false">AH53/1950</f>
        <v>0.0517948717948718</v>
      </c>
      <c r="AJ53" s="3" t="n">
        <f aca="false">SUM(AJ45:AJ52)</f>
        <v>168.774510837607</v>
      </c>
      <c r="AK53" s="3" t="n">
        <f aca="false">SUM(AK45:AK52)</f>
        <v>101</v>
      </c>
      <c r="AL53" s="0" t="n">
        <f aca="false">AK53/1950</f>
        <v>0.0517948717948718</v>
      </c>
      <c r="AM53" s="3" t="n">
        <f aca="false">SUM(AM45:AM52)</f>
        <v>168.774510837607</v>
      </c>
      <c r="AN53" s="3" t="n">
        <f aca="false">SUM(AN45:AN52)</f>
        <v>40</v>
      </c>
      <c r="AO53" s="0" t="n">
        <f aca="false">AN53/1950</f>
        <v>0.0205128205128205</v>
      </c>
      <c r="AP53" s="3" t="n">
        <f aca="false">SUM(AP45:AP52)</f>
        <v>67.8092552478633</v>
      </c>
      <c r="AT53" s="0" t="n">
        <v>4</v>
      </c>
      <c r="AU53" s="0" t="n">
        <f aca="false">AT53/1950</f>
        <v>0.00205128205128205</v>
      </c>
      <c r="AV53" s="0" t="n">
        <f aca="false">AU53*B53</f>
        <v>6.78379801709402</v>
      </c>
      <c r="AW53" s="1" t="n">
        <v>21</v>
      </c>
      <c r="AX53" s="0" t="n">
        <f aca="false">AW53/1950</f>
        <v>0.0107692307692308</v>
      </c>
      <c r="AY53" s="0" t="n">
        <f aca="false">AX53*B53</f>
        <v>35.6149395897436</v>
      </c>
      <c r="AZ53" s="1" t="n">
        <v>21</v>
      </c>
      <c r="BA53" s="0" t="n">
        <f aca="false">AZ53/1950</f>
        <v>0.0107692307692308</v>
      </c>
      <c r="BB53" s="0" t="n">
        <f aca="false">BA53*B53</f>
        <v>35.6149395897436</v>
      </c>
    </row>
    <row r="54" customFormat="false" ht="12.8" hidden="false" customHeight="false" outlineLevel="0" collapsed="false">
      <c r="A54" s="18" t="s">
        <v>356</v>
      </c>
      <c r="B54" s="0" t="s">
        <v>74</v>
      </c>
      <c r="C54" s="1" t="n">
        <f aca="false">SUM(C46:C53)</f>
        <v>96</v>
      </c>
      <c r="D54" s="0" t="n">
        <f aca="false">C54/1950</f>
        <v>0.0492307692307692</v>
      </c>
      <c r="E54" s="0" t="n">
        <f aca="false">SUM(E46:E53)</f>
        <v>163.583570923077</v>
      </c>
      <c r="F54" s="3" t="n">
        <f aca="false">SUM(F46:F53)</f>
        <v>19</v>
      </c>
      <c r="G54" s="1" t="n">
        <f aca="false">F54/1950</f>
        <v>0.00974358974358974</v>
      </c>
      <c r="H54" s="3" t="n">
        <f aca="false">SUM(H46:H53)</f>
        <v>33.0590805811966</v>
      </c>
      <c r="I54" s="16" t="n">
        <f aca="false">SUM(I46:I53)</f>
        <v>27</v>
      </c>
      <c r="J54" s="17" t="n">
        <f aca="false">I54/1950</f>
        <v>0.0138461538461538</v>
      </c>
      <c r="K54" s="16" t="n">
        <f aca="false">SUM(K46:K53)</f>
        <v>46.5040365811966</v>
      </c>
      <c r="L54" s="3" t="n">
        <f aca="false">SUM(L46:L53)</f>
        <v>25</v>
      </c>
      <c r="M54" s="0" t="n">
        <f aca="false">L54/1950</f>
        <v>0.0128205128205128</v>
      </c>
      <c r="N54" s="3" t="n">
        <f aca="false">SUM(N46:N53)</f>
        <v>40.6172398803419</v>
      </c>
      <c r="O54" s="3" t="n">
        <f aca="false">SUM(O46:O53)</f>
        <v>25</v>
      </c>
      <c r="P54" s="0" t="n">
        <f aca="false">O54/1950</f>
        <v>0.0128205128205128</v>
      </c>
      <c r="Q54" s="3" t="n">
        <f aca="false">SUM(Q46:Q53)</f>
        <v>40.6172398803419</v>
      </c>
      <c r="R54" s="3" t="n">
        <f aca="false">SUM(R46:R53)</f>
        <v>25</v>
      </c>
      <c r="S54" s="0" t="n">
        <f aca="false">R54/1950</f>
        <v>0.0128205128205128</v>
      </c>
      <c r="T54" s="3" t="n">
        <f aca="false">SUM(T46:T53)</f>
        <v>40.6172398803419</v>
      </c>
      <c r="U54" s="0" t="n">
        <f aca="false">SUM(U46:U53)</f>
        <v>19</v>
      </c>
      <c r="V54" s="0" t="n">
        <f aca="false">U54/1950</f>
        <v>0.00974358974358974</v>
      </c>
      <c r="W54" s="3" t="n">
        <f aca="false">SUM(W46:W53)</f>
        <v>33.0590805811966</v>
      </c>
      <c r="X54" s="11" t="n">
        <f aca="false">SUM(X46:X53)</f>
        <v>27</v>
      </c>
      <c r="Y54" s="11" t="n">
        <f aca="false">X54/1950</f>
        <v>0.0138461538461538</v>
      </c>
      <c r="Z54" s="16" t="n">
        <f aca="false">SUM(Z46:Z53)</f>
        <v>46.5040365811966</v>
      </c>
      <c r="AA54" s="0" t="n">
        <f aca="false">SUM(AA46:AA53)</f>
        <v>19</v>
      </c>
      <c r="AB54" s="1" t="n">
        <f aca="false">SUM(AB46:AB53)</f>
        <v>0.00974358974358974</v>
      </c>
      <c r="AC54" s="3" t="n">
        <f aca="false">SUM(AC46:AC53)</f>
        <v>33.0590805811966</v>
      </c>
      <c r="AD54" s="11" t="n">
        <f aca="false">SUM(AD46:AD53)</f>
        <v>27</v>
      </c>
      <c r="AE54" s="17" t="n">
        <f aca="false">SUM(AE46:AE53)</f>
        <v>0.0138461538461538</v>
      </c>
      <c r="AF54" s="16" t="n">
        <f aca="false">SUM(AF46:AF53)</f>
        <v>46.5040365811966</v>
      </c>
      <c r="AH54" s="0" t="n">
        <v>1</v>
      </c>
      <c r="AI54" s="0" t="n">
        <f aca="false">AH54/1950</f>
        <v>0.000512820512820513</v>
      </c>
      <c r="AJ54" s="0" t="n">
        <f aca="false">AI54*B55</f>
        <v>2.28633846153846</v>
      </c>
      <c r="AK54" s="0" t="n">
        <v>1</v>
      </c>
      <c r="AL54" s="0" t="n">
        <f aca="false">AK54/1950</f>
        <v>0.000512820512820513</v>
      </c>
      <c r="AM54" s="0" t="n">
        <f aca="false">AL54*B55</f>
        <v>2.28633846153846</v>
      </c>
      <c r="AN54" s="0" t="n">
        <v>0</v>
      </c>
      <c r="AO54" s="0" t="n">
        <f aca="false">AN54/1950</f>
        <v>0</v>
      </c>
      <c r="AP54" s="0" t="n">
        <f aca="false">AO54*B55</f>
        <v>0</v>
      </c>
      <c r="AT54" s="0" t="n">
        <f aca="false">SUM(AT46:AT53)</f>
        <v>18</v>
      </c>
      <c r="AU54" s="0" t="n">
        <f aca="false">AT54/1950</f>
        <v>0.00923076923076923</v>
      </c>
      <c r="AV54" s="3" t="n">
        <f aca="false">SUM(AV46:AV47,AV53)</f>
        <v>31.2564934017094</v>
      </c>
      <c r="AW54" s="1" t="n">
        <f aca="false">SUM(AW46:AW53)</f>
        <v>97</v>
      </c>
      <c r="AX54" s="0" t="n">
        <f aca="false">AW54/1950</f>
        <v>0.0497435897435897</v>
      </c>
      <c r="AY54" s="0" t="n">
        <f aca="false">SUM(AY46:AY53)</f>
        <v>163.517693641026</v>
      </c>
      <c r="AZ54" s="1" t="n">
        <f aca="false">SUM(AZ46:AZ53)</f>
        <v>97</v>
      </c>
      <c r="BA54" s="0" t="n">
        <f aca="false">AZ54/1950</f>
        <v>0.0497435897435897</v>
      </c>
      <c r="BB54" s="0" t="n">
        <f aca="false">SUM(BB46:BB53)</f>
        <v>163.517693641026</v>
      </c>
    </row>
    <row r="55" customFormat="false" ht="12.8" hidden="false" customHeight="false" outlineLevel="0" collapsed="false">
      <c r="A55" s="0" t="s">
        <v>357</v>
      </c>
      <c r="B55" s="0" t="n">
        <v>4458.36</v>
      </c>
      <c r="C55" s="1" t="n">
        <v>2</v>
      </c>
      <c r="D55" s="0" t="n">
        <f aca="false">C55/1950</f>
        <v>0.00102564102564103</v>
      </c>
      <c r="E55" s="0" t="n">
        <f aca="false">D55*B55</f>
        <v>4.57267692307692</v>
      </c>
      <c r="F55" s="0" t="n">
        <v>1</v>
      </c>
      <c r="G55" s="1" t="n">
        <f aca="false">F55/1950</f>
        <v>0.000512820512820513</v>
      </c>
      <c r="H55" s="0" t="n">
        <f aca="false">G55*B55</f>
        <v>2.28633846153846</v>
      </c>
      <c r="I55" s="11" t="n">
        <v>0</v>
      </c>
      <c r="J55" s="17" t="n">
        <f aca="false">I55/1950</f>
        <v>0</v>
      </c>
      <c r="K55" s="11" t="n">
        <f aca="false">J55*B55</f>
        <v>0</v>
      </c>
      <c r="L55" s="0" t="n">
        <v>0</v>
      </c>
      <c r="M55" s="0" t="n">
        <f aca="false">L55/1950</f>
        <v>0</v>
      </c>
      <c r="N55" s="0" t="n">
        <f aca="false">M55*B55</f>
        <v>0</v>
      </c>
      <c r="O55" s="0" t="n">
        <v>0</v>
      </c>
      <c r="P55" s="0" t="n">
        <f aca="false">O55/1950</f>
        <v>0</v>
      </c>
      <c r="Q55" s="0" t="n">
        <f aca="false">P55*B55</f>
        <v>0</v>
      </c>
      <c r="R55" s="0" t="n">
        <v>0</v>
      </c>
      <c r="S55" s="0" t="n">
        <f aca="false">R55/1950</f>
        <v>0</v>
      </c>
      <c r="T55" s="0" t="n">
        <f aca="false">S55*B55</f>
        <v>0</v>
      </c>
      <c r="U55" s="0" t="n">
        <v>1</v>
      </c>
      <c r="V55" s="0" t="n">
        <f aca="false">U55/1950</f>
        <v>0.000512820512820513</v>
      </c>
      <c r="W55" s="0" t="n">
        <f aca="false">V55*B55</f>
        <v>2.28633846153846</v>
      </c>
      <c r="X55" s="11" t="n">
        <v>0</v>
      </c>
      <c r="Y55" s="11" t="n">
        <f aca="false">X55/1950</f>
        <v>0</v>
      </c>
      <c r="Z55" s="11" t="n">
        <f aca="false">Y55*B55</f>
        <v>0</v>
      </c>
      <c r="AA55" s="0" t="n">
        <v>1</v>
      </c>
      <c r="AB55" s="1" t="n">
        <f aca="false">AA55/1950</f>
        <v>0.000512820512820513</v>
      </c>
      <c r="AC55" s="0" t="n">
        <f aca="false">AB55*B55</f>
        <v>2.28633846153846</v>
      </c>
      <c r="AD55" s="11" t="n">
        <v>0</v>
      </c>
      <c r="AE55" s="17" t="n">
        <f aca="false">AD55/1950</f>
        <v>0</v>
      </c>
      <c r="AF55" s="11" t="n">
        <f aca="false">AE55*B55</f>
        <v>0</v>
      </c>
      <c r="AH55" s="0" t="n">
        <v>10</v>
      </c>
      <c r="AI55" s="0" t="n">
        <f aca="false">AH55/1950</f>
        <v>0.00512820512820513</v>
      </c>
      <c r="AJ55" s="0" t="n">
        <f aca="false">AI55*B56</f>
        <v>24.1900051282051</v>
      </c>
      <c r="AK55" s="0" t="n">
        <v>10</v>
      </c>
      <c r="AL55" s="0" t="n">
        <f aca="false">AK55/1950</f>
        <v>0.00512820512820513</v>
      </c>
      <c r="AM55" s="0" t="n">
        <f aca="false">AL55*B56</f>
        <v>24.1900051282051</v>
      </c>
      <c r="AN55" s="0" t="n">
        <v>9</v>
      </c>
      <c r="AO55" s="0" t="n">
        <f aca="false">AN55/1950</f>
        <v>0.00461538461538462</v>
      </c>
      <c r="AP55" s="0" t="n">
        <f aca="false">AO55*B56</f>
        <v>21.7710046153846</v>
      </c>
      <c r="AT55" s="0" t="n">
        <v>0</v>
      </c>
      <c r="AU55" s="0" t="n">
        <f aca="false">AT55/1950</f>
        <v>0</v>
      </c>
      <c r="AV55" s="0" t="n">
        <v>0</v>
      </c>
      <c r="AW55" s="1" t="n">
        <v>1</v>
      </c>
      <c r="AX55" s="0" t="n">
        <f aca="false">AW55/1950</f>
        <v>0.000512820512820513</v>
      </c>
      <c r="AY55" s="0" t="n">
        <f aca="false">AX55*B55</f>
        <v>2.28633846153846</v>
      </c>
      <c r="AZ55" s="1" t="n">
        <v>1</v>
      </c>
      <c r="BA55" s="0" t="n">
        <f aca="false">AZ55/1950</f>
        <v>0.000512820512820513</v>
      </c>
      <c r="BB55" s="0" t="n">
        <f aca="false">BA55*B55</f>
        <v>2.28633846153846</v>
      </c>
    </row>
    <row r="56" customFormat="false" ht="12.8" hidden="false" customHeight="false" outlineLevel="0" collapsed="false">
      <c r="A56" s="0" t="s">
        <v>215</v>
      </c>
      <c r="B56" s="0" t="n">
        <v>4717.051</v>
      </c>
      <c r="C56" s="1" t="n">
        <v>10</v>
      </c>
      <c r="D56" s="0" t="n">
        <f aca="false">C56/1950</f>
        <v>0.00512820512820513</v>
      </c>
      <c r="E56" s="0" t="n">
        <f aca="false">D56*B56</f>
        <v>24.1900051282051</v>
      </c>
      <c r="F56" s="0" t="n">
        <v>7</v>
      </c>
      <c r="G56" s="1" t="n">
        <f aca="false">F56/1950</f>
        <v>0.00358974358974359</v>
      </c>
      <c r="H56" s="0" t="n">
        <f aca="false">G56*B56</f>
        <v>16.9330035897436</v>
      </c>
      <c r="I56" s="11" t="n">
        <v>1</v>
      </c>
      <c r="J56" s="17" t="n">
        <f aca="false">I56/1950</f>
        <v>0.000512820512820513</v>
      </c>
      <c r="K56" s="11" t="n">
        <f aca="false">J56*B56</f>
        <v>2.41900051282051</v>
      </c>
      <c r="L56" s="0" t="n">
        <v>0</v>
      </c>
      <c r="M56" s="0" t="n">
        <f aca="false">L56/1950</f>
        <v>0</v>
      </c>
      <c r="N56" s="0" t="n">
        <f aca="false">M56*B56</f>
        <v>0</v>
      </c>
      <c r="O56" s="0" t="n">
        <v>0</v>
      </c>
      <c r="P56" s="0" t="n">
        <f aca="false">O56/1950</f>
        <v>0</v>
      </c>
      <c r="Q56" s="0" t="n">
        <f aca="false">P56*B56</f>
        <v>0</v>
      </c>
      <c r="R56" s="0" t="n">
        <v>0</v>
      </c>
      <c r="S56" s="0" t="n">
        <f aca="false">R56/1950</f>
        <v>0</v>
      </c>
      <c r="T56" s="0" t="n">
        <f aca="false">S56*B56</f>
        <v>0</v>
      </c>
      <c r="U56" s="0" t="n">
        <v>7</v>
      </c>
      <c r="V56" s="0" t="n">
        <f aca="false">U56/1950</f>
        <v>0.00358974358974359</v>
      </c>
      <c r="W56" s="0" t="n">
        <f aca="false">V56*B56</f>
        <v>16.9330035897436</v>
      </c>
      <c r="X56" s="11" t="n">
        <v>1</v>
      </c>
      <c r="Y56" s="11" t="n">
        <f aca="false">X56/1950</f>
        <v>0.000512820512820513</v>
      </c>
      <c r="Z56" s="11" t="n">
        <f aca="false">Y56*B56</f>
        <v>2.41900051282051</v>
      </c>
      <c r="AA56" s="0" t="n">
        <v>7</v>
      </c>
      <c r="AB56" s="1" t="n">
        <f aca="false">AA56/1950</f>
        <v>0.00358974358974359</v>
      </c>
      <c r="AC56" s="0" t="n">
        <f aca="false">AB56*B56</f>
        <v>16.9330035897436</v>
      </c>
      <c r="AD56" s="11" t="n">
        <v>1</v>
      </c>
      <c r="AE56" s="17" t="n">
        <f aca="false">AD56/1950</f>
        <v>0.000512820512820513</v>
      </c>
      <c r="AF56" s="11" t="n">
        <f aca="false">AE56*B56</f>
        <v>2.41900051282051</v>
      </c>
      <c r="AH56" s="0" t="n">
        <v>1</v>
      </c>
      <c r="AI56" s="0" t="n">
        <f aca="false">AH56/1950</f>
        <v>0.000512820512820513</v>
      </c>
      <c r="AJ56" s="0" t="n">
        <f aca="false">AI56*B57</f>
        <v>0.256410256410256</v>
      </c>
      <c r="AK56" s="0" t="n">
        <v>1</v>
      </c>
      <c r="AL56" s="0" t="n">
        <f aca="false">AK56/1950</f>
        <v>0.000512820512820513</v>
      </c>
      <c r="AM56" s="0" t="n">
        <f aca="false">AL56*B57</f>
        <v>0.256410256410256</v>
      </c>
      <c r="AN56" s="0" t="n">
        <v>0</v>
      </c>
      <c r="AO56" s="0" t="n">
        <f aca="false">AN56/1950</f>
        <v>0</v>
      </c>
      <c r="AP56" s="0" t="n">
        <f aca="false">AO56*B57</f>
        <v>0</v>
      </c>
      <c r="AT56" s="0" t="n">
        <v>7</v>
      </c>
      <c r="AU56" s="0" t="n">
        <f aca="false">AT56/1950</f>
        <v>0.00358974358974359</v>
      </c>
      <c r="AV56" s="0" t="n">
        <f aca="false">AU56*B56</f>
        <v>16.9330035897436</v>
      </c>
      <c r="AW56" s="1" t="n">
        <v>10</v>
      </c>
      <c r="AX56" s="0" t="n">
        <f aca="false">AW56/1950</f>
        <v>0.00512820512820513</v>
      </c>
      <c r="AY56" s="0" t="n">
        <f aca="false">AX56*B56</f>
        <v>24.1900051282051</v>
      </c>
      <c r="AZ56" s="1" t="n">
        <v>10</v>
      </c>
      <c r="BA56" s="0" t="n">
        <f aca="false">AZ56/1950</f>
        <v>0.00512820512820513</v>
      </c>
      <c r="BB56" s="0" t="n">
        <f aca="false">BA56*B56</f>
        <v>24.1900051282051</v>
      </c>
    </row>
    <row r="57" customFormat="false" ht="12.8" hidden="false" customHeight="false" outlineLevel="0" collapsed="false">
      <c r="A57" s="0" t="s">
        <v>358</v>
      </c>
      <c r="B57" s="0" t="n">
        <v>500</v>
      </c>
      <c r="C57" s="1" t="n">
        <v>1</v>
      </c>
      <c r="D57" s="0" t="n">
        <f aca="false">C57/1950</f>
        <v>0.000512820512820513</v>
      </c>
      <c r="E57" s="0" t="n">
        <f aca="false">D57*B57</f>
        <v>0.256410256410256</v>
      </c>
      <c r="F57" s="0" t="n">
        <v>0</v>
      </c>
      <c r="G57" s="1" t="n">
        <f aca="false">F57/1950</f>
        <v>0</v>
      </c>
      <c r="H57" s="0" t="n">
        <f aca="false">G57*B57</f>
        <v>0</v>
      </c>
      <c r="I57" s="11" t="n">
        <v>0</v>
      </c>
      <c r="J57" s="17" t="n">
        <f aca="false">I57/1950</f>
        <v>0</v>
      </c>
      <c r="K57" s="11" t="n">
        <f aca="false">J57*B57</f>
        <v>0</v>
      </c>
      <c r="L57" s="0" t="n">
        <v>0</v>
      </c>
      <c r="M57" s="0" t="n">
        <f aca="false">L57/1950</f>
        <v>0</v>
      </c>
      <c r="N57" s="0" t="n">
        <f aca="false">M57*B57</f>
        <v>0</v>
      </c>
      <c r="O57" s="0" t="n">
        <v>0</v>
      </c>
      <c r="P57" s="0" t="n">
        <f aca="false">O57/1950</f>
        <v>0</v>
      </c>
      <c r="Q57" s="0" t="n">
        <f aca="false">P57*B57</f>
        <v>0</v>
      </c>
      <c r="R57" s="0" t="n">
        <v>0</v>
      </c>
      <c r="S57" s="0" t="n">
        <f aca="false">R57/1950</f>
        <v>0</v>
      </c>
      <c r="T57" s="0" t="n">
        <f aca="false">S57*B57</f>
        <v>0</v>
      </c>
      <c r="U57" s="0" t="n">
        <v>0</v>
      </c>
      <c r="V57" s="0" t="n">
        <f aca="false">U57/1950</f>
        <v>0</v>
      </c>
      <c r="W57" s="0" t="n">
        <f aca="false">V57*B57</f>
        <v>0</v>
      </c>
      <c r="X57" s="11" t="n">
        <v>0</v>
      </c>
      <c r="Y57" s="11" t="n">
        <f aca="false">X57/1950</f>
        <v>0</v>
      </c>
      <c r="Z57" s="11" t="n">
        <f aca="false">Y57*B57</f>
        <v>0</v>
      </c>
      <c r="AA57" s="0" t="n">
        <v>0</v>
      </c>
      <c r="AB57" s="1" t="n">
        <f aca="false">AA57/1950</f>
        <v>0</v>
      </c>
      <c r="AC57" s="0" t="n">
        <f aca="false">AB57*B57</f>
        <v>0</v>
      </c>
      <c r="AD57" s="11" t="n">
        <v>0</v>
      </c>
      <c r="AE57" s="17" t="n">
        <f aca="false">AD57/1950</f>
        <v>0</v>
      </c>
      <c r="AF57" s="11" t="n">
        <f aca="false">AE57*B57</f>
        <v>0</v>
      </c>
      <c r="AH57" s="0" t="n">
        <v>19</v>
      </c>
      <c r="AI57" s="0" t="n">
        <f aca="false">AH57/1950</f>
        <v>0.00974358974358974</v>
      </c>
      <c r="AJ57" s="0" t="n">
        <f aca="false">AI57*B58</f>
        <v>40.7425282051282</v>
      </c>
      <c r="AK57" s="0" t="n">
        <v>19</v>
      </c>
      <c r="AL57" s="0" t="n">
        <f aca="false">AK57/1950</f>
        <v>0.00974358974358974</v>
      </c>
      <c r="AM57" s="0" t="n">
        <f aca="false">AL57*B58</f>
        <v>40.7425282051282</v>
      </c>
      <c r="AN57" s="0" t="n">
        <v>0</v>
      </c>
      <c r="AO57" s="0" t="n">
        <f aca="false">AN57/1950</f>
        <v>0</v>
      </c>
      <c r="AP57" s="0" t="n">
        <f aca="false">AO57*B58</f>
        <v>0</v>
      </c>
      <c r="AT57" s="0" t="n">
        <v>0</v>
      </c>
      <c r="AU57" s="0" t="n">
        <f aca="false">AT57/1950</f>
        <v>0</v>
      </c>
      <c r="AV57" s="0" t="n">
        <v>0</v>
      </c>
      <c r="AW57" s="1" t="n">
        <v>1</v>
      </c>
      <c r="AX57" s="0" t="n">
        <f aca="false">AW57/1950</f>
        <v>0.000512820512820513</v>
      </c>
      <c r="AY57" s="0" t="n">
        <f aca="false">AX57*B57</f>
        <v>0.256410256410256</v>
      </c>
      <c r="AZ57" s="1" t="n">
        <v>1</v>
      </c>
      <c r="BA57" s="0" t="n">
        <f aca="false">AZ57/1950</f>
        <v>0.000512820512820513</v>
      </c>
      <c r="BB57" s="0" t="n">
        <f aca="false">BA57*B57</f>
        <v>0.256410256410256</v>
      </c>
    </row>
    <row r="58" customFormat="false" ht="12.8" hidden="false" customHeight="false" outlineLevel="0" collapsed="false">
      <c r="A58" s="0" t="s">
        <v>221</v>
      </c>
      <c r="B58" s="0" t="n">
        <v>4181.47</v>
      </c>
      <c r="C58" s="1" t="n">
        <v>17</v>
      </c>
      <c r="D58" s="0" t="n">
        <f aca="false">C58/1950</f>
        <v>0.00871794871794872</v>
      </c>
      <c r="E58" s="0" t="n">
        <f aca="false">D58*B58</f>
        <v>36.453841025641</v>
      </c>
      <c r="F58" s="0" t="n">
        <v>0</v>
      </c>
      <c r="G58" s="1" t="n">
        <f aca="false">F58/1950</f>
        <v>0</v>
      </c>
      <c r="H58" s="0" t="n">
        <f aca="false">G58*B58</f>
        <v>0</v>
      </c>
      <c r="I58" s="11" t="n">
        <v>5</v>
      </c>
      <c r="J58" s="17" t="n">
        <f aca="false">I58/1950</f>
        <v>0.00256410256410256</v>
      </c>
      <c r="K58" s="11" t="n">
        <f aca="false">J58*B58</f>
        <v>10.7217179487179</v>
      </c>
      <c r="L58" s="0" t="n">
        <v>7</v>
      </c>
      <c r="M58" s="0" t="n">
        <f aca="false">L58/1950</f>
        <v>0.00358974358974359</v>
      </c>
      <c r="N58" s="0" t="n">
        <f aca="false">M58*B58</f>
        <v>15.0104051282051</v>
      </c>
      <c r="O58" s="0" t="n">
        <v>7</v>
      </c>
      <c r="P58" s="0" t="n">
        <f aca="false">O58/1950</f>
        <v>0.00358974358974359</v>
      </c>
      <c r="Q58" s="0" t="n">
        <f aca="false">P58*B58</f>
        <v>15.0104051282051</v>
      </c>
      <c r="R58" s="0" t="n">
        <v>7</v>
      </c>
      <c r="S58" s="0" t="n">
        <f aca="false">R58/1950</f>
        <v>0.00358974358974359</v>
      </c>
      <c r="T58" s="0" t="n">
        <f aca="false">S58*B58</f>
        <v>15.0104051282051</v>
      </c>
      <c r="U58" s="0" t="n">
        <v>0</v>
      </c>
      <c r="V58" s="0" t="n">
        <f aca="false">U58/1950</f>
        <v>0</v>
      </c>
      <c r="W58" s="0" t="n">
        <f aca="false">V58*B58</f>
        <v>0</v>
      </c>
      <c r="X58" s="11" t="n">
        <v>5</v>
      </c>
      <c r="Y58" s="11" t="n">
        <f aca="false">X58/1950</f>
        <v>0.00256410256410256</v>
      </c>
      <c r="Z58" s="11" t="n">
        <f aca="false">Y58*B58</f>
        <v>10.7217179487179</v>
      </c>
      <c r="AA58" s="0" t="n">
        <v>0</v>
      </c>
      <c r="AB58" s="1" t="n">
        <f aca="false">AA58/1950</f>
        <v>0</v>
      </c>
      <c r="AC58" s="0" t="n">
        <f aca="false">AB58*B58</f>
        <v>0</v>
      </c>
      <c r="AD58" s="11" t="n">
        <v>5</v>
      </c>
      <c r="AE58" s="17" t="n">
        <f aca="false">AD58/1950</f>
        <v>0.00256410256410256</v>
      </c>
      <c r="AF58" s="11" t="n">
        <f aca="false">AE58*B58</f>
        <v>10.7217179487179</v>
      </c>
      <c r="AH58" s="0" t="n">
        <v>3</v>
      </c>
      <c r="AI58" s="0" t="n">
        <f aca="false">AH58/1950</f>
        <v>0.00153846153846154</v>
      </c>
      <c r="AJ58" s="0" t="n">
        <f aca="false">AI58*B59</f>
        <v>6.84968256410257</v>
      </c>
      <c r="AK58" s="0" t="n">
        <v>3</v>
      </c>
      <c r="AL58" s="0" t="n">
        <f aca="false">AK58/1950</f>
        <v>0.00153846153846154</v>
      </c>
      <c r="AM58" s="0" t="n">
        <f aca="false">AL58*B59</f>
        <v>6.84968256410257</v>
      </c>
      <c r="AN58" s="0" t="n">
        <v>2</v>
      </c>
      <c r="AO58" s="0" t="n">
        <f aca="false">AN58/1950</f>
        <v>0.00102564102564103</v>
      </c>
      <c r="AP58" s="0" t="n">
        <f aca="false">AO58*B59</f>
        <v>4.56645504273504</v>
      </c>
      <c r="AT58" s="0" t="n">
        <v>0</v>
      </c>
      <c r="AU58" s="0" t="n">
        <f aca="false">AT58/1950</f>
        <v>0</v>
      </c>
      <c r="AV58" s="0" t="n">
        <v>0</v>
      </c>
      <c r="AW58" s="1" t="n">
        <v>17</v>
      </c>
      <c r="AX58" s="0" t="n">
        <f aca="false">AW58/1950</f>
        <v>0.00871794871794872</v>
      </c>
      <c r="AY58" s="0" t="n">
        <f aca="false">AX58*B58</f>
        <v>36.453841025641</v>
      </c>
      <c r="AZ58" s="1" t="n">
        <v>17</v>
      </c>
      <c r="BA58" s="0" t="n">
        <f aca="false">AZ58/1950</f>
        <v>0.00871794871794872</v>
      </c>
      <c r="BB58" s="0" t="n">
        <f aca="false">BA58*B58</f>
        <v>36.453841025641</v>
      </c>
    </row>
    <row r="59" customFormat="false" ht="12.8" hidden="false" customHeight="false" outlineLevel="0" collapsed="false">
      <c r="A59" s="18" t="s">
        <v>359</v>
      </c>
      <c r="B59" s="0" t="n">
        <f aca="false">AVERAGE(B55:B56,B58)</f>
        <v>4452.29366666667</v>
      </c>
      <c r="C59" s="1" t="n">
        <v>3</v>
      </c>
      <c r="D59" s="0" t="n">
        <f aca="false">C59/1950</f>
        <v>0.00153846153846154</v>
      </c>
      <c r="E59" s="0" t="n">
        <f aca="false">D59*B59</f>
        <v>6.84968256410257</v>
      </c>
      <c r="F59" s="0" t="n">
        <v>2</v>
      </c>
      <c r="G59" s="1" t="n">
        <f aca="false">F59/1950</f>
        <v>0.00102564102564103</v>
      </c>
      <c r="H59" s="0" t="n">
        <f aca="false">G59*B59</f>
        <v>4.56645504273504</v>
      </c>
      <c r="I59" s="11" t="n">
        <v>0</v>
      </c>
      <c r="J59" s="17" t="n">
        <f aca="false">I59/1950</f>
        <v>0</v>
      </c>
      <c r="K59" s="11" t="n">
        <f aca="false">J59*B59</f>
        <v>0</v>
      </c>
      <c r="L59" s="0" t="n">
        <v>1</v>
      </c>
      <c r="M59" s="0" t="n">
        <f aca="false">L59/1950</f>
        <v>0.000512820512820513</v>
      </c>
      <c r="N59" s="0" t="n">
        <f aca="false">M59*B59</f>
        <v>2.28322752136752</v>
      </c>
      <c r="O59" s="0" t="n">
        <v>1</v>
      </c>
      <c r="P59" s="0" t="n">
        <f aca="false">O59/1950</f>
        <v>0.000512820512820513</v>
      </c>
      <c r="Q59" s="0" t="n">
        <f aca="false">P59*B59</f>
        <v>2.28322752136752</v>
      </c>
      <c r="R59" s="0" t="n">
        <v>1</v>
      </c>
      <c r="S59" s="0" t="n">
        <f aca="false">R59/1950</f>
        <v>0.000512820512820513</v>
      </c>
      <c r="T59" s="0" t="n">
        <f aca="false">S59*B59</f>
        <v>2.28322752136752</v>
      </c>
      <c r="U59" s="0" t="n">
        <v>2</v>
      </c>
      <c r="V59" s="0" t="n">
        <f aca="false">U59/1950</f>
        <v>0.00102564102564103</v>
      </c>
      <c r="W59" s="0" t="n">
        <f aca="false">V59*B59</f>
        <v>4.56645504273504</v>
      </c>
      <c r="X59" s="11" t="n">
        <v>0</v>
      </c>
      <c r="Y59" s="11" t="n">
        <f aca="false">X59/1950</f>
        <v>0</v>
      </c>
      <c r="Z59" s="11" t="n">
        <f aca="false">Y59*B59</f>
        <v>0</v>
      </c>
      <c r="AA59" s="0" t="n">
        <v>2</v>
      </c>
      <c r="AB59" s="1" t="n">
        <f aca="false">AA59/1950</f>
        <v>0.00102564102564103</v>
      </c>
      <c r="AC59" s="0" t="n">
        <f aca="false">AB59*B59</f>
        <v>4.56645504273504</v>
      </c>
      <c r="AD59" s="11" t="n">
        <v>0</v>
      </c>
      <c r="AE59" s="17" t="n">
        <f aca="false">AD59/1950</f>
        <v>0</v>
      </c>
      <c r="AF59" s="11" t="n">
        <f aca="false">AE59*B59</f>
        <v>0</v>
      </c>
      <c r="AH59" s="0" t="n">
        <f aca="false">SUM(AH54:AH58)</f>
        <v>34</v>
      </c>
      <c r="AI59" s="0" t="n">
        <f aca="false">AH59/1950</f>
        <v>0.0174358974358974</v>
      </c>
      <c r="AJ59" s="3" t="n">
        <f aca="false">SUM(AJ54:AJ58)</f>
        <v>74.3249646153846</v>
      </c>
      <c r="AK59" s="0" t="n">
        <f aca="false">SUM(AK54:AK58)</f>
        <v>34</v>
      </c>
      <c r="AL59" s="0" t="n">
        <f aca="false">AK59/1950</f>
        <v>0.0174358974358974</v>
      </c>
      <c r="AM59" s="3" t="n">
        <f aca="false">SUM(AM54:AM58)</f>
        <v>74.3249646153846</v>
      </c>
      <c r="AN59" s="3" t="n">
        <f aca="false">SUM(AN54:AN58)</f>
        <v>11</v>
      </c>
      <c r="AO59" s="0" t="n">
        <f aca="false">AN59/1950</f>
        <v>0.00564102564102564</v>
      </c>
      <c r="AP59" s="3" t="n">
        <f aca="false">SUM(AP54:AP58)</f>
        <v>26.3374596581197</v>
      </c>
      <c r="AT59" s="0" t="n">
        <v>2</v>
      </c>
      <c r="AU59" s="0" t="n">
        <f aca="false">AT59/1950</f>
        <v>0.00102564102564103</v>
      </c>
      <c r="AV59" s="0" t="n">
        <f aca="false">AU59*B59</f>
        <v>4.56645504273504</v>
      </c>
      <c r="AW59" s="1" t="n">
        <v>3</v>
      </c>
      <c r="AX59" s="0" t="n">
        <f aca="false">AW59/1950</f>
        <v>0.00153846153846154</v>
      </c>
      <c r="AY59" s="0" t="n">
        <f aca="false">AX59*B59</f>
        <v>6.84968256410257</v>
      </c>
      <c r="AZ59" s="1" t="n">
        <v>3</v>
      </c>
      <c r="BA59" s="0" t="n">
        <f aca="false">AZ59/1950</f>
        <v>0.00153846153846154</v>
      </c>
      <c r="BB59" s="0" t="n">
        <f aca="false">BA59*B59</f>
        <v>6.84968256410257</v>
      </c>
    </row>
    <row r="60" customFormat="false" ht="12.8" hidden="false" customHeight="false" outlineLevel="0" collapsed="false">
      <c r="A60" s="18" t="s">
        <v>360</v>
      </c>
      <c r="B60" s="0" t="s">
        <v>74</v>
      </c>
      <c r="C60" s="1" t="n">
        <f aca="false">SUM(C55:C59)</f>
        <v>33</v>
      </c>
      <c r="D60" s="0" t="n">
        <f aca="false">C60/1950</f>
        <v>0.0169230769230769</v>
      </c>
      <c r="E60" s="0" t="n">
        <f aca="false">SUM(E55:E59)</f>
        <v>72.3226158974359</v>
      </c>
      <c r="F60" s="3" t="n">
        <f aca="false">SUM(F55:F59)</f>
        <v>10</v>
      </c>
      <c r="G60" s="1" t="n">
        <f aca="false">F60/1950</f>
        <v>0.00512820512820513</v>
      </c>
      <c r="H60" s="3" t="n">
        <f aca="false">SUM(H55:H59)</f>
        <v>23.7857970940171</v>
      </c>
      <c r="I60" s="16" t="n">
        <f aca="false">SUM(I55:I59)</f>
        <v>6</v>
      </c>
      <c r="J60" s="17" t="n">
        <f aca="false">I60/1950</f>
        <v>0.00307692307692308</v>
      </c>
      <c r="K60" s="16" t="n">
        <f aca="false">SUM(K55:K59)</f>
        <v>13.1407184615385</v>
      </c>
      <c r="L60" s="3" t="n">
        <f aca="false">SUM(L55:L59)</f>
        <v>8</v>
      </c>
      <c r="M60" s="0" t="n">
        <f aca="false">L60/1950</f>
        <v>0.0041025641025641</v>
      </c>
      <c r="N60" s="3" t="n">
        <f aca="false">SUM(N58:N59)</f>
        <v>17.2936326495727</v>
      </c>
      <c r="O60" s="3" t="n">
        <f aca="false">SUM(O55:O59)</f>
        <v>8</v>
      </c>
      <c r="P60" s="0" t="n">
        <f aca="false">O60/1950</f>
        <v>0.0041025641025641</v>
      </c>
      <c r="Q60" s="3" t="n">
        <f aca="false">SUM(Q58:Q59)</f>
        <v>17.2936326495727</v>
      </c>
      <c r="R60" s="3" t="n">
        <f aca="false">SUM(R55:R59)</f>
        <v>8</v>
      </c>
      <c r="S60" s="0" t="n">
        <f aca="false">R60/1950</f>
        <v>0.0041025641025641</v>
      </c>
      <c r="T60" s="3" t="n">
        <f aca="false">SUM(T55:T59)</f>
        <v>17.2936326495727</v>
      </c>
      <c r="U60" s="0" t="n">
        <f aca="false">SUM(U55:U59)</f>
        <v>10</v>
      </c>
      <c r="V60" s="0" t="n">
        <f aca="false">U60/1950</f>
        <v>0.00512820512820513</v>
      </c>
      <c r="W60" s="3" t="n">
        <f aca="false">SUM(W55:W59)</f>
        <v>23.7857970940171</v>
      </c>
      <c r="X60" s="11" t="n">
        <f aca="false">SUM(X55:X59)</f>
        <v>6</v>
      </c>
      <c r="Y60" s="11" t="n">
        <f aca="false">X60/1950</f>
        <v>0.00307692307692308</v>
      </c>
      <c r="Z60" s="16" t="n">
        <f aca="false">SUM(Z55:Z59)</f>
        <v>13.1407184615385</v>
      </c>
      <c r="AA60" s="0" t="n">
        <f aca="false">SUM(AA55:AA59)</f>
        <v>10</v>
      </c>
      <c r="AB60" s="1" t="n">
        <f aca="false">SUM(AB55:AB59)</f>
        <v>0.00512820512820513</v>
      </c>
      <c r="AC60" s="3" t="n">
        <f aca="false">SUM(AC55:AC59)</f>
        <v>23.7857970940171</v>
      </c>
      <c r="AD60" s="11" t="n">
        <f aca="false">SUM(AD55:AD59)</f>
        <v>6</v>
      </c>
      <c r="AE60" s="17" t="n">
        <f aca="false">SUM(AE55:AE59)</f>
        <v>0.00307692307692308</v>
      </c>
      <c r="AF60" s="16" t="n">
        <f aca="false">SUM(AF55:AF59)</f>
        <v>13.1407184615385</v>
      </c>
      <c r="AH60" s="0" t="n">
        <v>177</v>
      </c>
      <c r="AI60" s="0" t="n">
        <f aca="false">AH60/1950</f>
        <v>0.0907692307692308</v>
      </c>
      <c r="AJ60" s="0" t="n">
        <f aca="false">AI60*B61</f>
        <v>280.372403638116</v>
      </c>
      <c r="AK60" s="0" t="n">
        <v>177</v>
      </c>
      <c r="AL60" s="0" t="n">
        <f aca="false">AK60/1950</f>
        <v>0.0907692307692308</v>
      </c>
      <c r="AM60" s="0" t="n">
        <f aca="false">AL60*B61</f>
        <v>280.372403638116</v>
      </c>
      <c r="AN60" s="0" t="n">
        <v>81</v>
      </c>
      <c r="AO60" s="0" t="n">
        <f aca="false">AN60/1950</f>
        <v>0.0415384615384615</v>
      </c>
      <c r="AP60" s="0" t="n">
        <f aca="false">AO60*B61</f>
        <v>128.306015224223</v>
      </c>
      <c r="AT60" s="0" t="n">
        <f aca="false">SUM(AT56:AT59)</f>
        <v>9</v>
      </c>
      <c r="AU60" s="0" t="n">
        <f aca="false">AT60/1950</f>
        <v>0.00461538461538462</v>
      </c>
      <c r="AV60" s="3" t="n">
        <f aca="false">SUM(AV56,AV59)</f>
        <v>21.4994586324786</v>
      </c>
      <c r="AW60" s="1" t="n">
        <f aca="false">SUM(AW55:AW59)</f>
        <v>32</v>
      </c>
      <c r="AX60" s="0" t="n">
        <f aca="false">AW60/1950</f>
        <v>0.0164102564102564</v>
      </c>
      <c r="AY60" s="0" t="n">
        <f aca="false">SUM(AY55:AY59)</f>
        <v>70.0362774358974</v>
      </c>
      <c r="AZ60" s="1" t="n">
        <f aca="false">SUM(AZ55:AZ59)</f>
        <v>32</v>
      </c>
      <c r="BA60" s="0" t="n">
        <f aca="false">AZ60/1950</f>
        <v>0.0164102564102564</v>
      </c>
      <c r="BB60" s="0" t="n">
        <f aca="false">SUM(BB55:BB59)</f>
        <v>70.0362774358974</v>
      </c>
    </row>
    <row r="61" customFormat="false" ht="12.8" hidden="false" customHeight="false" outlineLevel="0" collapsed="false">
      <c r="A61" s="3" t="s">
        <v>361</v>
      </c>
      <c r="B61" s="0" t="n">
        <f aca="false">(AVERAGE(B42:B44,B47,B50,B52:B52,B55:B56,B58)*(0.201/(0.201+0.081))+1600*(0.081/(0.201+0.081)))</f>
        <v>3088.84851465721</v>
      </c>
      <c r="C61" s="1" t="n">
        <v>173</v>
      </c>
      <c r="D61" s="0" t="n">
        <f aca="false">C61/1950</f>
        <v>0.0887179487179487</v>
      </c>
      <c r="E61" s="0" t="n">
        <f aca="false">D61*B61</f>
        <v>274.03630412087</v>
      </c>
      <c r="F61" s="0" t="n">
        <v>41</v>
      </c>
      <c r="G61" s="1" t="n">
        <f aca="false">F61/1950</f>
        <v>0.021025641025641</v>
      </c>
      <c r="H61" s="0" t="n">
        <f aca="false">G61*B61</f>
        <v>64.945020051767</v>
      </c>
      <c r="I61" s="11" t="n">
        <v>75</v>
      </c>
      <c r="J61" s="17" t="n">
        <f aca="false">I61/1950</f>
        <v>0.0384615384615385</v>
      </c>
      <c r="K61" s="11" t="n">
        <f aca="false">J61*B61</f>
        <v>118.801865948354</v>
      </c>
      <c r="L61" s="0" t="n">
        <v>47</v>
      </c>
      <c r="M61" s="0" t="n">
        <f aca="false">L61/1950</f>
        <v>0.0241025641025641</v>
      </c>
      <c r="N61" s="0" t="n">
        <f aca="false">M61*B61</f>
        <v>74.4491693276353</v>
      </c>
      <c r="O61" s="0" t="n">
        <v>47</v>
      </c>
      <c r="P61" s="0" t="n">
        <f aca="false">O61/1950</f>
        <v>0.0241025641025641</v>
      </c>
      <c r="Q61" s="0" t="n">
        <f aca="false">P61*B61</f>
        <v>74.4491693276353</v>
      </c>
      <c r="R61" s="0" t="n">
        <v>47</v>
      </c>
      <c r="S61" s="0" t="n">
        <f aca="false">R61/1950</f>
        <v>0.0241025641025641</v>
      </c>
      <c r="T61" s="0" t="n">
        <f aca="false">S61*B61</f>
        <v>74.4491693276353</v>
      </c>
      <c r="U61" s="0" t="n">
        <v>41</v>
      </c>
      <c r="V61" s="0" t="n">
        <f aca="false">U61/1950</f>
        <v>0.021025641025641</v>
      </c>
      <c r="W61" s="0" t="n">
        <f aca="false">V61*B61</f>
        <v>64.945020051767</v>
      </c>
      <c r="X61" s="11" t="n">
        <v>75</v>
      </c>
      <c r="Y61" s="11" t="n">
        <f aca="false">X61/1950</f>
        <v>0.0384615384615385</v>
      </c>
      <c r="Z61" s="11" t="n">
        <f aca="false">Y61*B61</f>
        <v>118.801865948354</v>
      </c>
      <c r="AA61" s="0" t="n">
        <v>41</v>
      </c>
      <c r="AB61" s="0" t="n">
        <f aca="false">AA61/1950</f>
        <v>0.021025641025641</v>
      </c>
      <c r="AC61" s="0" t="n">
        <f aca="false">AB61*B61</f>
        <v>64.945020051767</v>
      </c>
      <c r="AD61" s="11" t="n">
        <v>75</v>
      </c>
      <c r="AE61" s="11" t="n">
        <f aca="false">AD61/1950</f>
        <v>0.0384615384615385</v>
      </c>
      <c r="AF61" s="11" t="n">
        <f aca="false">AE61*B61</f>
        <v>118.801865948354</v>
      </c>
      <c r="AG61" s="1"/>
      <c r="AH61" s="0" t="n">
        <v>6</v>
      </c>
      <c r="AI61" s="0" t="n">
        <f aca="false">AH61/1950</f>
        <v>0.00307692307692308</v>
      </c>
      <c r="AJ61" s="0" t="n">
        <f aca="false">AI61*B62</f>
        <v>1.53846153846154</v>
      </c>
      <c r="AK61" s="0" t="n">
        <v>6</v>
      </c>
      <c r="AL61" s="0" t="n">
        <f aca="false">AK61/1950</f>
        <v>0.00307692307692308</v>
      </c>
      <c r="AM61" s="0" t="n">
        <f aca="false">AL61*B62</f>
        <v>1.53846153846154</v>
      </c>
      <c r="AN61" s="0" t="n">
        <v>3</v>
      </c>
      <c r="AO61" s="0" t="n">
        <f aca="false">AN61/1950</f>
        <v>0.00153846153846154</v>
      </c>
      <c r="AP61" s="0" t="n">
        <f aca="false">AO61*B62</f>
        <v>0.769230769230769</v>
      </c>
      <c r="AT61" s="0" t="n">
        <v>41</v>
      </c>
      <c r="AU61" s="0" t="n">
        <f aca="false">AT61/1950</f>
        <v>0.021025641025641</v>
      </c>
      <c r="AV61" s="0" t="n">
        <f aca="false">AU61*B61</f>
        <v>64.945020051767</v>
      </c>
      <c r="AW61" s="1" t="n">
        <v>174</v>
      </c>
      <c r="AX61" s="0" t="n">
        <f aca="false">AW61/1950</f>
        <v>0.0892307692307692</v>
      </c>
      <c r="AY61" s="0" t="n">
        <f aca="false">AX61*B61</f>
        <v>275.620329000182</v>
      </c>
      <c r="AZ61" s="1" t="n">
        <v>174</v>
      </c>
      <c r="BA61" s="0" t="n">
        <f aca="false">AZ61/1950</f>
        <v>0.0892307692307692</v>
      </c>
      <c r="BB61" s="0" t="n">
        <f aca="false">BA61*B61</f>
        <v>275.620329000182</v>
      </c>
    </row>
    <row r="62" customFormat="false" ht="12.8" hidden="false" customHeight="false" outlineLevel="0" collapsed="false">
      <c r="A62" s="3" t="s">
        <v>362</v>
      </c>
      <c r="B62" s="0" t="n">
        <f aca="false">AVERAGE(B48,B51,B57)</f>
        <v>500</v>
      </c>
      <c r="C62" s="1" t="n">
        <v>5</v>
      </c>
      <c r="D62" s="0" t="n">
        <f aca="false">C62/1950</f>
        <v>0.00256410256410256</v>
      </c>
      <c r="E62" s="0" t="n">
        <f aca="false">D62*B62</f>
        <v>1.28205128205128</v>
      </c>
      <c r="F62" s="0" t="n">
        <v>0</v>
      </c>
      <c r="G62" s="1" t="n">
        <f aca="false">F62/1950</f>
        <v>0</v>
      </c>
      <c r="H62" s="0" t="n">
        <f aca="false">G62*B62</f>
        <v>0</v>
      </c>
      <c r="I62" s="11" t="n">
        <v>0</v>
      </c>
      <c r="J62" s="17" t="n">
        <f aca="false">I62/1950</f>
        <v>0</v>
      </c>
      <c r="K62" s="11" t="n">
        <f aca="false">J62*B62</f>
        <v>0</v>
      </c>
      <c r="L62" s="0" t="n">
        <v>2</v>
      </c>
      <c r="M62" s="0" t="n">
        <f aca="false">L62/1950</f>
        <v>0.00102564102564103</v>
      </c>
      <c r="N62" s="0" t="n">
        <f aca="false">M62*B62</f>
        <v>0.512820512820513</v>
      </c>
      <c r="O62" s="0" t="n">
        <v>2</v>
      </c>
      <c r="P62" s="0" t="n">
        <f aca="false">O62/1950</f>
        <v>0.00102564102564103</v>
      </c>
      <c r="Q62" s="0" t="n">
        <f aca="false">P62*B62</f>
        <v>0.512820512820513</v>
      </c>
      <c r="R62" s="0" t="n">
        <v>2</v>
      </c>
      <c r="S62" s="0" t="n">
        <f aca="false">R62/1950</f>
        <v>0.00102564102564103</v>
      </c>
      <c r="T62" s="0" t="n">
        <f aca="false">S62*B62</f>
        <v>0.512820512820513</v>
      </c>
      <c r="U62" s="0" t="n">
        <v>0</v>
      </c>
      <c r="V62" s="0" t="n">
        <f aca="false">U62/1950</f>
        <v>0</v>
      </c>
      <c r="W62" s="0" t="n">
        <f aca="false">V62*B62</f>
        <v>0</v>
      </c>
      <c r="X62" s="11" t="n">
        <v>0</v>
      </c>
      <c r="Y62" s="11" t="n">
        <f aca="false">X62/1950</f>
        <v>0</v>
      </c>
      <c r="Z62" s="11" t="n">
        <f aca="false">Y62*B62</f>
        <v>0</v>
      </c>
      <c r="AA62" s="0" t="n">
        <v>0</v>
      </c>
      <c r="AB62" s="0" t="n">
        <f aca="false">AA62/1950</f>
        <v>0</v>
      </c>
      <c r="AC62" s="0" t="n">
        <f aca="false">AB62*B62</f>
        <v>0</v>
      </c>
      <c r="AD62" s="11" t="n">
        <v>0</v>
      </c>
      <c r="AE62" s="11" t="n">
        <f aca="false">AD62/1950</f>
        <v>0</v>
      </c>
      <c r="AF62" s="11" t="n">
        <f aca="false">AE62*B62</f>
        <v>0</v>
      </c>
      <c r="AH62" s="3" t="n">
        <f aca="false">SUM(AH53,AH59:AH61)</f>
        <v>318</v>
      </c>
      <c r="AI62" s="0" t="n">
        <f aca="false">AH62/1950</f>
        <v>0.163076923076923</v>
      </c>
      <c r="AJ62" s="3" t="n">
        <f aca="false">SUM(AJ53,AJ59:AJ61)</f>
        <v>525.010340629569</v>
      </c>
      <c r="AK62" s="3" t="n">
        <f aca="false">SUM(AK53,AK59:AK61)</f>
        <v>318</v>
      </c>
      <c r="AL62" s="0" t="n">
        <f aca="false">AK62/1950</f>
        <v>0.163076923076923</v>
      </c>
      <c r="AM62" s="3" t="n">
        <f aca="false">SUM(AM59:AM61,AM53)</f>
        <v>525.010340629569</v>
      </c>
      <c r="AN62" s="3" t="n">
        <f aca="false">SUM(AN53,AN59:AN61)</f>
        <v>135</v>
      </c>
      <c r="AO62" s="0" t="n">
        <f aca="false">AN62/1950</f>
        <v>0.0692307692307692</v>
      </c>
      <c r="AP62" s="3" t="n">
        <f aca="false">SUM(AP53,AP59:AP61)</f>
        <v>223.221960899436</v>
      </c>
      <c r="AT62" s="0" t="n">
        <v>0</v>
      </c>
      <c r="AU62" s="0" t="n">
        <f aca="false">AT62/1950</f>
        <v>0</v>
      </c>
      <c r="AV62" s="0" t="n">
        <v>0</v>
      </c>
      <c r="AW62" s="1" t="n">
        <v>5</v>
      </c>
      <c r="AX62" s="0" t="n">
        <f aca="false">AW62/1950</f>
        <v>0.00256410256410256</v>
      </c>
      <c r="AY62" s="0" t="n">
        <f aca="false">AX62*B62</f>
        <v>1.28205128205128</v>
      </c>
      <c r="AZ62" s="1" t="n">
        <v>5</v>
      </c>
      <c r="BA62" s="0" t="n">
        <f aca="false">AZ62/1950</f>
        <v>0.00256410256410256</v>
      </c>
      <c r="BB62" s="0" t="n">
        <f aca="false">BA62*B62</f>
        <v>1.28205128205128</v>
      </c>
    </row>
    <row r="63" customFormat="false" ht="12.8" hidden="false" customHeight="false" outlineLevel="0" collapsed="false">
      <c r="A63" s="3" t="s">
        <v>363</v>
      </c>
      <c r="B63" s="0" t="s">
        <v>74</v>
      </c>
      <c r="C63" s="3" t="n">
        <f aca="false">SUM(C54,C60:C62)</f>
        <v>307</v>
      </c>
      <c r="D63" s="0" t="n">
        <f aca="false">C63/1950</f>
        <v>0.157435897435897</v>
      </c>
      <c r="E63" s="3" t="n">
        <f aca="false">SUM(E54,E60:E62)</f>
        <v>511.224542223435</v>
      </c>
      <c r="F63" s="3" t="n">
        <f aca="false">SUM(F54,F60:F61)</f>
        <v>70</v>
      </c>
      <c r="G63" s="1" t="n">
        <f aca="false">F63/1950</f>
        <v>0.0358974358974359</v>
      </c>
      <c r="H63" s="3" t="n">
        <f aca="false">SUM(H54,H60:H61)</f>
        <v>121.789897726981</v>
      </c>
      <c r="I63" s="16" t="n">
        <f aca="false">SUM(I54,I60:I61)</f>
        <v>108</v>
      </c>
      <c r="J63" s="17" t="n">
        <f aca="false">I63/1950</f>
        <v>0.0553846153846154</v>
      </c>
      <c r="K63" s="16" t="n">
        <f aca="false">SUM(K54,K60:K61)</f>
        <v>178.446620991089</v>
      </c>
      <c r="L63" s="3" t="n">
        <f aca="false">SUM(L54,L60:L62)</f>
        <v>82</v>
      </c>
      <c r="M63" s="0" t="n">
        <f aca="false">L63/1950</f>
        <v>0.0420512820512821</v>
      </c>
      <c r="N63" s="3" t="n">
        <f aca="false">SUM(N54,N60:N62)</f>
        <v>132.87286237037</v>
      </c>
      <c r="O63" s="3" t="n">
        <f aca="false">SUM(O54,O60:O62)</f>
        <v>82</v>
      </c>
      <c r="P63" s="0" t="n">
        <f aca="false">O63/1950</f>
        <v>0.0420512820512821</v>
      </c>
      <c r="Q63" s="3" t="n">
        <f aca="false">SUM(Q54,Q60:Q62)</f>
        <v>132.87286237037</v>
      </c>
      <c r="R63" s="3" t="n">
        <f aca="false">SUM(R54,R60:R62)</f>
        <v>82</v>
      </c>
      <c r="S63" s="0" t="n">
        <f aca="false">R63/1950</f>
        <v>0.0420512820512821</v>
      </c>
      <c r="T63" s="3" t="n">
        <f aca="false">SUM(T54,T60:T62)</f>
        <v>132.87286237037</v>
      </c>
      <c r="U63" s="0" t="n">
        <f aca="false">SUM(U54,U60:U61)</f>
        <v>70</v>
      </c>
      <c r="V63" s="0" t="n">
        <f aca="false">U63/1950</f>
        <v>0.0358974358974359</v>
      </c>
      <c r="W63" s="3" t="n">
        <f aca="false">SUM(W54,W60:W61)</f>
        <v>121.789897726981</v>
      </c>
      <c r="X63" s="11" t="n">
        <f aca="false">SUM(X54,X60:X61)</f>
        <v>108</v>
      </c>
      <c r="Y63" s="11" t="n">
        <f aca="false">X63/1950</f>
        <v>0.0553846153846154</v>
      </c>
      <c r="Z63" s="16" t="n">
        <f aca="false">SUM(Z54,Z60:Z61)</f>
        <v>178.446620991089</v>
      </c>
      <c r="AA63" s="0" t="n">
        <f aca="false">SUM(AA54,AA60:AA61)</f>
        <v>70</v>
      </c>
      <c r="AB63" s="0" t="n">
        <f aca="false">SUM(AB54,AB60:AB61)</f>
        <v>0.0358974358974359</v>
      </c>
      <c r="AC63" s="3" t="n">
        <f aca="false">SUM(AC54,AC60:AC61)</f>
        <v>121.789897726981</v>
      </c>
      <c r="AD63" s="11" t="n">
        <f aca="false">SUM(AD54,AD60:AD61)</f>
        <v>108</v>
      </c>
      <c r="AE63" s="11" t="n">
        <f aca="false">SUM(AE54,AE60:AE61)</f>
        <v>0.0553846153846154</v>
      </c>
      <c r="AF63" s="16" t="n">
        <f aca="false">SUM(AF54,AF60:AF61)</f>
        <v>178.446620991089</v>
      </c>
      <c r="AH63" s="1" t="s">
        <v>74</v>
      </c>
      <c r="AI63" s="1" t="s">
        <v>74</v>
      </c>
      <c r="AJ63" s="1" t="s">
        <v>74</v>
      </c>
      <c r="AK63" s="0" t="n">
        <f aca="false">(318*(0.62+0.098)/0.282)-10</f>
        <v>799.659574468085</v>
      </c>
      <c r="AL63" s="0" t="n">
        <f aca="false">AK63/1950</f>
        <v>0.410081833060556</v>
      </c>
      <c r="AM63" s="3" t="n">
        <f aca="false">AL63*B64</f>
        <v>49.2098199672668</v>
      </c>
      <c r="AT63" s="0" t="n">
        <f aca="false">SUM(AT54,AT60:AT61)</f>
        <v>68</v>
      </c>
      <c r="AU63" s="0" t="n">
        <f aca="false">AT63/1950</f>
        <v>0.0348717948717949</v>
      </c>
      <c r="AV63" s="3" t="n">
        <f aca="false">SUM(AV54,AV60:AV61)</f>
        <v>117.700972085955</v>
      </c>
      <c r="AW63" s="3" t="n">
        <f aca="false">SUM(AW54,AW60:AW62)</f>
        <v>308</v>
      </c>
      <c r="AX63" s="0" t="n">
        <f aca="false">AW63/1950</f>
        <v>0.157948717948718</v>
      </c>
      <c r="AY63" s="3" t="n">
        <f aca="false">SUM(AY54,AY60:AY62)</f>
        <v>510.456351359156</v>
      </c>
      <c r="AZ63" s="3" t="n">
        <f aca="false">SUM(AZ54,AZ60:AZ62)</f>
        <v>308</v>
      </c>
      <c r="BA63" s="0" t="n">
        <f aca="false">AZ63/1950</f>
        <v>0.157948717948718</v>
      </c>
      <c r="BB63" s="3" t="n">
        <f aca="false">SUM(BB54,BB60:BB62)</f>
        <v>510.456351359156</v>
      </c>
    </row>
    <row r="64" customFormat="false" ht="12.8" hidden="false" customHeight="false" outlineLevel="0" collapsed="false">
      <c r="A64" s="3" t="s">
        <v>364</v>
      </c>
      <c r="B64" s="0" t="n">
        <v>120</v>
      </c>
      <c r="C64" s="1" t="s">
        <v>74</v>
      </c>
      <c r="D64" s="1" t="s">
        <v>74</v>
      </c>
      <c r="E64" s="1" t="s">
        <v>74</v>
      </c>
      <c r="F64" s="1" t="s">
        <v>74</v>
      </c>
      <c r="G64" s="1" t="s">
        <v>74</v>
      </c>
      <c r="H64" s="1" t="s">
        <v>74</v>
      </c>
      <c r="I64" s="17" t="s">
        <v>74</v>
      </c>
      <c r="J64" s="17" t="s">
        <v>74</v>
      </c>
      <c r="K64" s="17" t="s">
        <v>74</v>
      </c>
      <c r="L64" s="1" t="s">
        <v>74</v>
      </c>
      <c r="M64" s="1" t="s">
        <v>74</v>
      </c>
      <c r="N64" s="1" t="s">
        <v>74</v>
      </c>
      <c r="O64" s="0" t="n">
        <f aca="false">(O63*(0.62+0.098)/0.282)</f>
        <v>208.780141843972</v>
      </c>
      <c r="P64" s="0" t="n">
        <f aca="false">O64/1950</f>
        <v>0.107066739407165</v>
      </c>
      <c r="Q64" s="3" t="n">
        <f aca="false">P64*B64</f>
        <v>12.8480087288598</v>
      </c>
      <c r="R64" s="0" t="n">
        <f aca="false">(R63*(0.62+0.098)/0.282)</f>
        <v>208.780141843972</v>
      </c>
      <c r="S64" s="0" t="n">
        <f aca="false">R64/1950</f>
        <v>0.107066739407165</v>
      </c>
      <c r="T64" s="3" t="n">
        <f aca="false">S64*B64</f>
        <v>12.8480087288598</v>
      </c>
      <c r="U64" s="0" t="n">
        <f aca="false">(U63*(0.62+0.098)/0.282)</f>
        <v>178.22695035461</v>
      </c>
      <c r="V64" s="0" t="n">
        <f aca="false">U64/1950</f>
        <v>0.0913984360792872</v>
      </c>
      <c r="W64" s="3" t="n">
        <f aca="false">V64*B64</f>
        <v>10.9678123295145</v>
      </c>
      <c r="X64" s="11" t="n">
        <f aca="false">(X63*(0.62+0.098)/0.282)</f>
        <v>274.978723404255</v>
      </c>
      <c r="Y64" s="11" t="n">
        <f aca="false">X64/1950</f>
        <v>0.1410147299509</v>
      </c>
      <c r="Z64" s="16" t="n">
        <f aca="false">Y64*B64</f>
        <v>16.921767594108</v>
      </c>
      <c r="AA64" s="0" t="n">
        <f aca="false">(AA63*(0.62+0.098)/0.282)</f>
        <v>178.22695035461</v>
      </c>
      <c r="AB64" s="0" t="n">
        <f aca="false">AA64/1950</f>
        <v>0.0913984360792872</v>
      </c>
      <c r="AC64" s="3" t="n">
        <f aca="false">AB64*B64</f>
        <v>10.9678123295145</v>
      </c>
      <c r="AD64" s="11" t="n">
        <f aca="false">(AD63*(0.62+0.098)/0.282)</f>
        <v>274.978723404255</v>
      </c>
      <c r="AE64" s="11" t="n">
        <f aca="false">AD64/1950</f>
        <v>0.1410147299509</v>
      </c>
      <c r="AF64" s="16" t="n">
        <f aca="false">AE64*B64</f>
        <v>16.921767594108</v>
      </c>
      <c r="AH64" s="0" t="n">
        <v>2</v>
      </c>
      <c r="AI64" s="0" t="n">
        <f aca="false">AH64/1950</f>
        <v>0.00102564102564103</v>
      </c>
      <c r="AJ64" s="0" t="n">
        <f aca="false">AI64*B65</f>
        <v>2.05128205128205</v>
      </c>
      <c r="AK64" s="0" t="n">
        <v>2</v>
      </c>
      <c r="AL64" s="0" t="n">
        <f aca="false">AK64/1950</f>
        <v>0.00102564102564103</v>
      </c>
      <c r="AM64" s="0" t="n">
        <f aca="false">AL64*B65</f>
        <v>2.05128205128205</v>
      </c>
      <c r="AN64" s="0" t="n">
        <v>0</v>
      </c>
      <c r="AO64" s="0" t="n">
        <f aca="false">AN64/1950</f>
        <v>0</v>
      </c>
      <c r="AP64" s="0" t="n">
        <f aca="false">AO64*B65</f>
        <v>0</v>
      </c>
      <c r="AW64" s="1" t="s">
        <v>74</v>
      </c>
      <c r="AX64" s="1" t="s">
        <v>74</v>
      </c>
      <c r="AY64" s="1" t="s">
        <v>74</v>
      </c>
      <c r="AZ64" s="1" t="s">
        <v>74</v>
      </c>
      <c r="BA64" s="1" t="s">
        <v>74</v>
      </c>
      <c r="BB64" s="1" t="s">
        <v>74</v>
      </c>
    </row>
    <row r="65" customFormat="false" ht="12.8" hidden="false" customHeight="false" outlineLevel="0" collapsed="false">
      <c r="A65" s="0" t="s">
        <v>365</v>
      </c>
      <c r="B65" s="0" t="n">
        <v>2000</v>
      </c>
      <c r="C65" s="1" t="n">
        <v>2</v>
      </c>
      <c r="D65" s="0" t="n">
        <f aca="false">C65/1950</f>
        <v>0.00102564102564103</v>
      </c>
      <c r="E65" s="0" t="n">
        <f aca="false">D65*B65</f>
        <v>2.05128205128205</v>
      </c>
      <c r="F65" s="0" t="n">
        <v>0</v>
      </c>
      <c r="G65" s="0" t="n">
        <f aca="false">F65/1950</f>
        <v>0</v>
      </c>
      <c r="H65" s="0" t="n">
        <f aca="false">G65*B65</f>
        <v>0</v>
      </c>
      <c r="I65" s="11" t="n">
        <v>0</v>
      </c>
      <c r="J65" s="11" t="n">
        <f aca="false">I65/1950</f>
        <v>0</v>
      </c>
      <c r="K65" s="11" t="n">
        <f aca="false">J65*B65</f>
        <v>0</v>
      </c>
      <c r="L65" s="0" t="n">
        <v>0</v>
      </c>
      <c r="M65" s="0" t="n">
        <f aca="false">L65/1950</f>
        <v>0</v>
      </c>
      <c r="N65" s="0" t="n">
        <f aca="false">M65*B65</f>
        <v>0</v>
      </c>
      <c r="O65" s="0" t="n">
        <v>0</v>
      </c>
      <c r="P65" s="0" t="n">
        <f aca="false">O65/1950</f>
        <v>0</v>
      </c>
      <c r="Q65" s="0" t="n">
        <f aca="false">P65*B65</f>
        <v>0</v>
      </c>
      <c r="R65" s="0" t="n">
        <v>0</v>
      </c>
      <c r="S65" s="0" t="n">
        <f aca="false">R65/1950</f>
        <v>0</v>
      </c>
      <c r="T65" s="0" t="n">
        <f aca="false">S65*B65</f>
        <v>0</v>
      </c>
      <c r="U65" s="0" t="n">
        <v>0</v>
      </c>
      <c r="V65" s="0" t="n">
        <f aca="false">U65/1950</f>
        <v>0</v>
      </c>
      <c r="W65" s="0" t="n">
        <f aca="false">V65*B65</f>
        <v>0</v>
      </c>
      <c r="X65" s="11" t="n">
        <v>0</v>
      </c>
      <c r="Y65" s="11" t="n">
        <f aca="false">X65/1950</f>
        <v>0</v>
      </c>
      <c r="Z65" s="11" t="n">
        <f aca="false">Y65*B65</f>
        <v>0</v>
      </c>
      <c r="AA65" s="0" t="n">
        <v>0</v>
      </c>
      <c r="AB65" s="0" t="n">
        <f aca="false">AA65/1950</f>
        <v>0</v>
      </c>
      <c r="AC65" s="1" t="n">
        <f aca="false">AB65*B65</f>
        <v>0</v>
      </c>
      <c r="AD65" s="11" t="n">
        <v>0</v>
      </c>
      <c r="AE65" s="11" t="n">
        <f aca="false">AD65/1950</f>
        <v>0</v>
      </c>
      <c r="AF65" s="17" t="n">
        <f aca="false">AE65*B65</f>
        <v>0</v>
      </c>
      <c r="AH65" s="0" t="n">
        <v>67</v>
      </c>
      <c r="AI65" s="0" t="n">
        <f aca="false">AH65/1950</f>
        <v>0.0343589743589744</v>
      </c>
      <c r="AJ65" s="0" t="n">
        <f aca="false">AI65*B66</f>
        <v>73.0316492307692</v>
      </c>
      <c r="AK65" s="0" t="n">
        <v>67</v>
      </c>
      <c r="AL65" s="0" t="n">
        <f aca="false">AK65/1950</f>
        <v>0.0343589743589744</v>
      </c>
      <c r="AM65" s="0" t="n">
        <f aca="false">AL65*B66</f>
        <v>73.0316492307692</v>
      </c>
      <c r="AN65" s="0" t="n">
        <v>37</v>
      </c>
      <c r="AO65" s="0" t="n">
        <f aca="false">AN65/1950</f>
        <v>0.018974358974359</v>
      </c>
      <c r="AP65" s="0" t="n">
        <f aca="false">AO65*B66</f>
        <v>40.3309107692308</v>
      </c>
      <c r="AT65" s="0" t="n">
        <v>0</v>
      </c>
      <c r="AU65" s="0" t="n">
        <f aca="false">AT65/1950</f>
        <v>0</v>
      </c>
      <c r="AV65" s="0" t="n">
        <v>0</v>
      </c>
      <c r="AW65" s="1" t="n">
        <v>2</v>
      </c>
      <c r="AX65" s="0" t="n">
        <f aca="false">AW65/1950</f>
        <v>0.00102564102564103</v>
      </c>
      <c r="AY65" s="0" t="n">
        <f aca="false">AX65*B65</f>
        <v>2.05128205128205</v>
      </c>
      <c r="AZ65" s="1" t="n">
        <v>2</v>
      </c>
      <c r="BA65" s="0" t="n">
        <f aca="false">AZ65/1950</f>
        <v>0.00102564102564103</v>
      </c>
      <c r="BB65" s="0" t="n">
        <f aca="false">BA65*B65</f>
        <v>2.05128205128205</v>
      </c>
    </row>
    <row r="66" customFormat="false" ht="12.8" hidden="false" customHeight="false" outlineLevel="0" collapsed="false">
      <c r="A66" s="0" t="s">
        <v>226</v>
      </c>
      <c r="B66" s="0" t="n">
        <v>2125.548</v>
      </c>
      <c r="C66" s="1" t="n">
        <v>51</v>
      </c>
      <c r="D66" s="0" t="n">
        <f aca="false">C66/1950</f>
        <v>0.0261538461538462</v>
      </c>
      <c r="E66" s="0" t="n">
        <f aca="false">D66*B66</f>
        <v>55.5912553846154</v>
      </c>
      <c r="F66" s="0" t="n">
        <v>30</v>
      </c>
      <c r="G66" s="0" t="n">
        <f aca="false">F66/1950</f>
        <v>0.0153846153846154</v>
      </c>
      <c r="H66" s="0" t="n">
        <f aca="false">G66*B66</f>
        <v>32.7007384615385</v>
      </c>
      <c r="I66" s="11" t="n">
        <v>8</v>
      </c>
      <c r="J66" s="11" t="n">
        <f aca="false">I66/1950</f>
        <v>0.0041025641025641</v>
      </c>
      <c r="K66" s="11" t="n">
        <f aca="false">J66*B66</f>
        <v>8.72019692307692</v>
      </c>
      <c r="L66" s="0" t="n">
        <v>0</v>
      </c>
      <c r="M66" s="0" t="n">
        <f aca="false">L66/1950</f>
        <v>0</v>
      </c>
      <c r="N66" s="0" t="n">
        <f aca="false">M66*B66</f>
        <v>0</v>
      </c>
      <c r="O66" s="0" t="n">
        <v>0</v>
      </c>
      <c r="P66" s="0" t="n">
        <f aca="false">O66/1950</f>
        <v>0</v>
      </c>
      <c r="Q66" s="0" t="n">
        <f aca="false">P66*B66</f>
        <v>0</v>
      </c>
      <c r="R66" s="0" t="n">
        <v>0</v>
      </c>
      <c r="S66" s="0" t="n">
        <f aca="false">R66/1950</f>
        <v>0</v>
      </c>
      <c r="T66" s="0" t="n">
        <f aca="false">S66*B66</f>
        <v>0</v>
      </c>
      <c r="U66" s="0" t="n">
        <v>40</v>
      </c>
      <c r="V66" s="0" t="n">
        <f aca="false">U66/1950</f>
        <v>0.0205128205128205</v>
      </c>
      <c r="W66" s="0" t="n">
        <f aca="false">V66*B66</f>
        <v>43.6009846153846</v>
      </c>
      <c r="X66" s="11" t="n">
        <v>11</v>
      </c>
      <c r="Y66" s="11" t="n">
        <f aca="false">X66/1950</f>
        <v>0.00564102564102564</v>
      </c>
      <c r="Z66" s="11" t="n">
        <f aca="false">Y66*B66</f>
        <v>11.9902707692308</v>
      </c>
      <c r="AA66" s="0" t="n">
        <v>40</v>
      </c>
      <c r="AB66" s="0" t="n">
        <f aca="false">AA66/1950</f>
        <v>0.0205128205128205</v>
      </c>
      <c r="AC66" s="1" t="n">
        <f aca="false">AB66*B66</f>
        <v>43.6009846153846</v>
      </c>
      <c r="AD66" s="11" t="n">
        <v>11</v>
      </c>
      <c r="AE66" s="11" t="n">
        <f aca="false">AD66/1950</f>
        <v>0.00564102564102564</v>
      </c>
      <c r="AF66" s="17" t="n">
        <f aca="false">AE66*B66</f>
        <v>11.9902707692308</v>
      </c>
      <c r="AH66" s="0" t="n">
        <v>3</v>
      </c>
      <c r="AI66" s="0" t="n">
        <f aca="false">AH66/1950</f>
        <v>0.00153846153846154</v>
      </c>
      <c r="AJ66" s="0" t="n">
        <f aca="false">AI66*B67</f>
        <v>0.246153846153846</v>
      </c>
      <c r="AK66" s="0" t="n">
        <v>3</v>
      </c>
      <c r="AL66" s="0" t="n">
        <f aca="false">AK66/1950</f>
        <v>0.00153846153846154</v>
      </c>
      <c r="AM66" s="0" t="n">
        <f aca="false">AL66*B67</f>
        <v>0.246153846153846</v>
      </c>
      <c r="AN66" s="0" t="n">
        <v>1</v>
      </c>
      <c r="AO66" s="0" t="n">
        <f aca="false">AN66/1950</f>
        <v>0.000512820512820513</v>
      </c>
      <c r="AP66" s="0" t="n">
        <f aca="false">AO66*B67</f>
        <v>0.0820512820512821</v>
      </c>
      <c r="AT66" s="0" t="n">
        <v>40</v>
      </c>
      <c r="AU66" s="0" t="n">
        <f aca="false">AT66/1950</f>
        <v>0.0205128205128205</v>
      </c>
      <c r="AV66" s="0" t="n">
        <f aca="false">AU66*B66</f>
        <v>43.6009846153846</v>
      </c>
      <c r="AW66" s="1" t="n">
        <v>51</v>
      </c>
      <c r="AX66" s="0" t="n">
        <f aca="false">AW66/1950</f>
        <v>0.0261538461538462</v>
      </c>
      <c r="AY66" s="0" t="n">
        <f aca="false">AX66*B66</f>
        <v>55.5912553846154</v>
      </c>
      <c r="AZ66" s="1" t="n">
        <v>51</v>
      </c>
      <c r="BA66" s="0" t="n">
        <f aca="false">AZ66/1950</f>
        <v>0.0261538461538462</v>
      </c>
      <c r="BB66" s="0" t="n">
        <f aca="false">BA66*B66</f>
        <v>55.5912553846154</v>
      </c>
    </row>
    <row r="67" customFormat="false" ht="12.8" hidden="false" customHeight="false" outlineLevel="0" collapsed="false">
      <c r="A67" s="0" t="s">
        <v>366</v>
      </c>
      <c r="B67" s="0" t="n">
        <v>160</v>
      </c>
      <c r="C67" s="1" t="n">
        <v>3</v>
      </c>
      <c r="D67" s="0" t="n">
        <f aca="false">C67/1950</f>
        <v>0.00153846153846154</v>
      </c>
      <c r="E67" s="0" t="n">
        <f aca="false">D67*B67</f>
        <v>0.246153846153846</v>
      </c>
      <c r="F67" s="0" t="n">
        <v>0</v>
      </c>
      <c r="G67" s="0" t="n">
        <f aca="false">F67/1950</f>
        <v>0</v>
      </c>
      <c r="H67" s="0" t="n">
        <f aca="false">G67*B67</f>
        <v>0</v>
      </c>
      <c r="I67" s="11" t="n">
        <v>0</v>
      </c>
      <c r="J67" s="11" t="n">
        <f aca="false">I67/1950</f>
        <v>0</v>
      </c>
      <c r="K67" s="11" t="n">
        <f aca="false">J67*B67</f>
        <v>0</v>
      </c>
      <c r="L67" s="0" t="n">
        <v>0</v>
      </c>
      <c r="M67" s="0" t="n">
        <f aca="false">L67/1950</f>
        <v>0</v>
      </c>
      <c r="N67" s="0" t="n">
        <f aca="false">M67*B67</f>
        <v>0</v>
      </c>
      <c r="O67" s="0" t="n">
        <v>0</v>
      </c>
      <c r="P67" s="0" t="n">
        <f aca="false">O67/1950</f>
        <v>0</v>
      </c>
      <c r="Q67" s="0" t="n">
        <f aca="false">P67*B67</f>
        <v>0</v>
      </c>
      <c r="R67" s="0" t="n">
        <v>0</v>
      </c>
      <c r="S67" s="0" t="n">
        <f aca="false">R67/1950</f>
        <v>0</v>
      </c>
      <c r="T67" s="0" t="n">
        <f aca="false">S67*B67</f>
        <v>0</v>
      </c>
      <c r="U67" s="0" t="n">
        <v>0</v>
      </c>
      <c r="V67" s="0" t="n">
        <f aca="false">U67/1950</f>
        <v>0</v>
      </c>
      <c r="W67" s="0" t="n">
        <f aca="false">V67*B67</f>
        <v>0</v>
      </c>
      <c r="X67" s="11" t="n">
        <v>0</v>
      </c>
      <c r="Y67" s="11" t="n">
        <f aca="false">X67/1950</f>
        <v>0</v>
      </c>
      <c r="Z67" s="11" t="n">
        <f aca="false">Y67*B67</f>
        <v>0</v>
      </c>
      <c r="AA67" s="0" t="n">
        <v>0</v>
      </c>
      <c r="AB67" s="0" t="n">
        <f aca="false">AA67/1950</f>
        <v>0</v>
      </c>
      <c r="AC67" s="1" t="n">
        <f aca="false">AB67*B67</f>
        <v>0</v>
      </c>
      <c r="AD67" s="11" t="n">
        <v>0</v>
      </c>
      <c r="AE67" s="11" t="n">
        <f aca="false">AD67/1950</f>
        <v>0</v>
      </c>
      <c r="AF67" s="17" t="n">
        <f aca="false">AE67*B67</f>
        <v>0</v>
      </c>
      <c r="AH67" s="0" t="n">
        <v>14</v>
      </c>
      <c r="AI67" s="0" t="n">
        <f aca="false">AH67/1950</f>
        <v>0.00717948717948718</v>
      </c>
      <c r="AJ67" s="0" t="n">
        <f aca="false">AI67*B68</f>
        <v>29.8736164102564</v>
      </c>
      <c r="AK67" s="0" t="n">
        <v>14</v>
      </c>
      <c r="AL67" s="0" t="n">
        <f aca="false">AK67/1950</f>
        <v>0.00717948717948718</v>
      </c>
      <c r="AM67" s="0" t="n">
        <f aca="false">AL67*B68</f>
        <v>29.8736164102564</v>
      </c>
      <c r="AN67" s="0" t="n">
        <v>0</v>
      </c>
      <c r="AO67" s="0" t="n">
        <f aca="false">AN67/1950</f>
        <v>0</v>
      </c>
      <c r="AP67" s="0" t="n">
        <f aca="false">AO67*B68</f>
        <v>0</v>
      </c>
      <c r="AT67" s="0" t="n">
        <v>0</v>
      </c>
      <c r="AU67" s="0" t="n">
        <f aca="false">AT67/1950</f>
        <v>0</v>
      </c>
      <c r="AV67" s="0" t="n">
        <f aca="false">AU67/174</f>
        <v>0</v>
      </c>
      <c r="AW67" s="1" t="n">
        <v>3</v>
      </c>
      <c r="AX67" s="0" t="n">
        <f aca="false">AW67/1950</f>
        <v>0.00153846153846154</v>
      </c>
      <c r="AY67" s="0" t="n">
        <f aca="false">AX67*B67</f>
        <v>0.246153846153846</v>
      </c>
      <c r="AZ67" s="1" t="n">
        <v>3</v>
      </c>
      <c r="BA67" s="0" t="n">
        <f aca="false">AZ67/1950</f>
        <v>0.00153846153846154</v>
      </c>
      <c r="BB67" s="0" t="n">
        <f aca="false">BA67*B67</f>
        <v>0.246153846153846</v>
      </c>
    </row>
    <row r="68" customFormat="false" ht="12.8" hidden="false" customHeight="false" outlineLevel="0" collapsed="false">
      <c r="A68" s="0" t="s">
        <v>230</v>
      </c>
      <c r="B68" s="0" t="n">
        <v>4160.968</v>
      </c>
      <c r="C68" s="1" t="n">
        <v>16</v>
      </c>
      <c r="D68" s="0" t="n">
        <f aca="false">C68/1950</f>
        <v>0.00820512820512821</v>
      </c>
      <c r="E68" s="0" t="n">
        <f aca="false">D68*B68</f>
        <v>34.1412758974359</v>
      </c>
      <c r="F68" s="0" t="n">
        <v>0</v>
      </c>
      <c r="G68" s="0" t="n">
        <f aca="false">F68/1950</f>
        <v>0</v>
      </c>
      <c r="H68" s="0" t="n">
        <f aca="false">G68*B68</f>
        <v>0</v>
      </c>
      <c r="I68" s="11" t="n">
        <v>3</v>
      </c>
      <c r="J68" s="11" t="n">
        <f aca="false">I68/1950</f>
        <v>0.00153846153846154</v>
      </c>
      <c r="K68" s="11" t="n">
        <f aca="false">J68*B68</f>
        <v>6.40148923076923</v>
      </c>
      <c r="L68" s="0" t="n">
        <v>10</v>
      </c>
      <c r="M68" s="0" t="n">
        <f aca="false">L68/1950</f>
        <v>0.00512820512820513</v>
      </c>
      <c r="N68" s="0" t="n">
        <f aca="false">M68*B68</f>
        <v>21.3382974358974</v>
      </c>
      <c r="O68" s="0" t="n">
        <v>10</v>
      </c>
      <c r="P68" s="0" t="n">
        <f aca="false">O68/1950</f>
        <v>0.00512820512820513</v>
      </c>
      <c r="Q68" s="0" t="n">
        <f aca="false">P68*B68</f>
        <v>21.3382974358974</v>
      </c>
      <c r="R68" s="0" t="n">
        <v>10</v>
      </c>
      <c r="S68" s="0" t="n">
        <f aca="false">R68/1950</f>
        <v>0.00512820512820513</v>
      </c>
      <c r="T68" s="0" t="n">
        <f aca="false">S68*B68</f>
        <v>21.3382974358974</v>
      </c>
      <c r="U68" s="0" t="n">
        <v>0</v>
      </c>
      <c r="V68" s="0" t="n">
        <f aca="false">U68/1950</f>
        <v>0</v>
      </c>
      <c r="W68" s="0" t="n">
        <f aca="false">V68*B68</f>
        <v>0</v>
      </c>
      <c r="X68" s="11" t="n">
        <v>3</v>
      </c>
      <c r="Y68" s="11" t="n">
        <f aca="false">X68/1950</f>
        <v>0.00153846153846154</v>
      </c>
      <c r="Z68" s="11" t="n">
        <f aca="false">Y68*B68</f>
        <v>6.40148923076923</v>
      </c>
      <c r="AA68" s="0" t="n">
        <v>0</v>
      </c>
      <c r="AB68" s="0" t="n">
        <f aca="false">AA68/1950</f>
        <v>0</v>
      </c>
      <c r="AC68" s="1" t="n">
        <f aca="false">AB68*B68</f>
        <v>0</v>
      </c>
      <c r="AD68" s="11" t="n">
        <v>3</v>
      </c>
      <c r="AE68" s="11" t="n">
        <f aca="false">AD68/1950</f>
        <v>0.00153846153846154</v>
      </c>
      <c r="AF68" s="17" t="n">
        <f aca="false">AE68*B68</f>
        <v>6.40148923076923</v>
      </c>
      <c r="AH68" s="0" t="n">
        <v>1</v>
      </c>
      <c r="AI68" s="0" t="n">
        <f aca="false">AH68/1950</f>
        <v>0.000512820512820513</v>
      </c>
      <c r="AJ68" s="0" t="n">
        <f aca="false">AI68*B69</f>
        <v>1.63475384615385</v>
      </c>
      <c r="AK68" s="0" t="n">
        <v>1</v>
      </c>
      <c r="AL68" s="0" t="n">
        <f aca="false">AK68/1950</f>
        <v>0.000512820512820513</v>
      </c>
      <c r="AM68" s="0" t="n">
        <f aca="false">AL68*B69</f>
        <v>1.63475384615385</v>
      </c>
      <c r="AN68" s="0" t="n">
        <v>0</v>
      </c>
      <c r="AO68" s="0" t="n">
        <f aca="false">AN68/1950</f>
        <v>0</v>
      </c>
      <c r="AP68" s="0" t="n">
        <f aca="false">AO68*B69</f>
        <v>0</v>
      </c>
      <c r="AT68" s="0" t="n">
        <v>0</v>
      </c>
      <c r="AU68" s="0" t="n">
        <f aca="false">AT68/1950</f>
        <v>0</v>
      </c>
      <c r="AV68" s="0" t="n">
        <f aca="false">AU68/174</f>
        <v>0</v>
      </c>
      <c r="AW68" s="1" t="n">
        <v>13</v>
      </c>
      <c r="AX68" s="0" t="n">
        <f aca="false">AW68/1950</f>
        <v>0.00666666666666667</v>
      </c>
      <c r="AY68" s="0" t="n">
        <f aca="false">AX68*B68</f>
        <v>27.7397866666667</v>
      </c>
      <c r="AZ68" s="1" t="n">
        <v>13</v>
      </c>
      <c r="BA68" s="0" t="n">
        <f aca="false">AZ68/1950</f>
        <v>0.00666666666666667</v>
      </c>
      <c r="BB68" s="0" t="n">
        <f aca="false">BA68*B68</f>
        <v>27.7397866666667</v>
      </c>
    </row>
    <row r="69" customFormat="false" ht="12.8" hidden="false" customHeight="false" outlineLevel="0" collapsed="false">
      <c r="A69" s="0" t="s">
        <v>367</v>
      </c>
      <c r="B69" s="0" t="n">
        <v>3187.77</v>
      </c>
      <c r="C69" s="1" t="n">
        <v>1</v>
      </c>
      <c r="D69" s="0" t="n">
        <f aca="false">C69/1950</f>
        <v>0.000512820512820513</v>
      </c>
      <c r="E69" s="0" t="n">
        <f aca="false">D69*B69</f>
        <v>1.63475384615385</v>
      </c>
      <c r="F69" s="0" t="n">
        <v>0</v>
      </c>
      <c r="G69" s="0" t="n">
        <f aca="false">F69/1950</f>
        <v>0</v>
      </c>
      <c r="H69" s="0" t="n">
        <f aca="false">G69*B69</f>
        <v>0</v>
      </c>
      <c r="I69" s="11" t="n">
        <v>0</v>
      </c>
      <c r="J69" s="11" t="n">
        <f aca="false">I69/1950</f>
        <v>0</v>
      </c>
      <c r="K69" s="11" t="n">
        <f aca="false">J69*B69</f>
        <v>0</v>
      </c>
      <c r="L69" s="0" t="n">
        <v>0</v>
      </c>
      <c r="M69" s="0" t="n">
        <f aca="false">L69/1950</f>
        <v>0</v>
      </c>
      <c r="N69" s="0" t="n">
        <f aca="false">M69*B69</f>
        <v>0</v>
      </c>
      <c r="O69" s="0" t="n">
        <v>0</v>
      </c>
      <c r="P69" s="0" t="n">
        <f aca="false">O69/1950</f>
        <v>0</v>
      </c>
      <c r="Q69" s="0" t="n">
        <f aca="false">P69*B69</f>
        <v>0</v>
      </c>
      <c r="R69" s="0" t="n">
        <v>0</v>
      </c>
      <c r="S69" s="0" t="n">
        <f aca="false">R69/1950</f>
        <v>0</v>
      </c>
      <c r="T69" s="0" t="n">
        <f aca="false">S69*B69</f>
        <v>0</v>
      </c>
      <c r="U69" s="0" t="n">
        <v>0</v>
      </c>
      <c r="V69" s="0" t="n">
        <f aca="false">U69/1950</f>
        <v>0</v>
      </c>
      <c r="W69" s="0" t="n">
        <f aca="false">V69*B69</f>
        <v>0</v>
      </c>
      <c r="X69" s="11" t="n">
        <v>0</v>
      </c>
      <c r="Y69" s="11" t="n">
        <f aca="false">X69/1950</f>
        <v>0</v>
      </c>
      <c r="Z69" s="11" t="n">
        <f aca="false">Y69*B69</f>
        <v>0</v>
      </c>
      <c r="AA69" s="0" t="n">
        <v>0</v>
      </c>
      <c r="AB69" s="0" t="n">
        <f aca="false">AA69/1950</f>
        <v>0</v>
      </c>
      <c r="AC69" s="1" t="n">
        <f aca="false">AB69*B69</f>
        <v>0</v>
      </c>
      <c r="AD69" s="11" t="n">
        <v>0</v>
      </c>
      <c r="AE69" s="11" t="n">
        <f aca="false">AD69/1950</f>
        <v>0</v>
      </c>
      <c r="AF69" s="17" t="n">
        <f aca="false">AE69*B69</f>
        <v>0</v>
      </c>
      <c r="AH69" s="0" t="n">
        <v>4</v>
      </c>
      <c r="AI69" s="0" t="n">
        <f aca="false">AH69/1950</f>
        <v>0.00205128205128205</v>
      </c>
      <c r="AJ69" s="0" t="n">
        <f aca="false">AI69*B70</f>
        <v>3.88988307692308</v>
      </c>
      <c r="AK69" s="0" t="n">
        <v>4</v>
      </c>
      <c r="AL69" s="0" t="n">
        <f aca="false">AK69/1950</f>
        <v>0.00205128205128205</v>
      </c>
      <c r="AM69" s="0" t="n">
        <f aca="false">AL69*B70</f>
        <v>3.88988307692308</v>
      </c>
      <c r="AN69" s="0" t="n">
        <v>0</v>
      </c>
      <c r="AO69" s="0" t="n">
        <f aca="false">AN69/1950</f>
        <v>0</v>
      </c>
      <c r="AP69" s="0" t="n">
        <f aca="false">AO69*B70</f>
        <v>0</v>
      </c>
      <c r="AT69" s="0" t="n">
        <v>0</v>
      </c>
      <c r="AU69" s="0" t="n">
        <f aca="false">AT69/1950</f>
        <v>0</v>
      </c>
      <c r="AV69" s="0" t="n">
        <f aca="false">AU69/174</f>
        <v>0</v>
      </c>
      <c r="AW69" s="1" t="n">
        <v>1</v>
      </c>
      <c r="AX69" s="0" t="n">
        <f aca="false">AW69/1950</f>
        <v>0.000512820512820513</v>
      </c>
      <c r="AY69" s="0" t="n">
        <f aca="false">AX69*B69</f>
        <v>1.63475384615385</v>
      </c>
      <c r="AZ69" s="1" t="n">
        <v>1</v>
      </c>
      <c r="BA69" s="0" t="n">
        <f aca="false">AZ69/1950</f>
        <v>0.000512820512820513</v>
      </c>
      <c r="BB69" s="0" t="n">
        <f aca="false">BA69*B69</f>
        <v>1.63475384615385</v>
      </c>
    </row>
    <row r="70" customFormat="false" ht="12.8" hidden="false" customHeight="false" outlineLevel="0" collapsed="false">
      <c r="A70" s="0" t="s">
        <v>368</v>
      </c>
      <c r="B70" s="0" t="n">
        <v>1896.318</v>
      </c>
      <c r="C70" s="1" t="n">
        <v>1</v>
      </c>
      <c r="D70" s="0" t="n">
        <f aca="false">C70/1950</f>
        <v>0.000512820512820513</v>
      </c>
      <c r="E70" s="0" t="n">
        <f aca="false">D70*B70</f>
        <v>0.972470769230769</v>
      </c>
      <c r="F70" s="0" t="n">
        <v>0</v>
      </c>
      <c r="G70" s="0" t="n">
        <f aca="false">F70/1950</f>
        <v>0</v>
      </c>
      <c r="H70" s="0" t="n">
        <f aca="false">G70*B70</f>
        <v>0</v>
      </c>
      <c r="I70" s="11" t="n">
        <v>0</v>
      </c>
      <c r="J70" s="11" t="n">
        <f aca="false">I70/1950</f>
        <v>0</v>
      </c>
      <c r="K70" s="11" t="n">
        <f aca="false">J70*B70</f>
        <v>0</v>
      </c>
      <c r="L70" s="0" t="n">
        <v>0</v>
      </c>
      <c r="M70" s="0" t="n">
        <f aca="false">L70/1950</f>
        <v>0</v>
      </c>
      <c r="N70" s="0" t="n">
        <f aca="false">M70*B70</f>
        <v>0</v>
      </c>
      <c r="O70" s="0" t="n">
        <v>0</v>
      </c>
      <c r="P70" s="0" t="n">
        <f aca="false">O70/1950</f>
        <v>0</v>
      </c>
      <c r="Q70" s="0" t="n">
        <f aca="false">P70*B70</f>
        <v>0</v>
      </c>
      <c r="R70" s="0" t="n">
        <v>0</v>
      </c>
      <c r="S70" s="0" t="n">
        <f aca="false">R70/1950</f>
        <v>0</v>
      </c>
      <c r="T70" s="0" t="n">
        <f aca="false">S70*B70</f>
        <v>0</v>
      </c>
      <c r="U70" s="0" t="n">
        <v>0</v>
      </c>
      <c r="V70" s="0" t="n">
        <f aca="false">U70/1950</f>
        <v>0</v>
      </c>
      <c r="W70" s="0" t="n">
        <f aca="false">V70*B70</f>
        <v>0</v>
      </c>
      <c r="X70" s="11" t="n">
        <v>0</v>
      </c>
      <c r="Y70" s="11" t="n">
        <f aca="false">X70/1950</f>
        <v>0</v>
      </c>
      <c r="Z70" s="11" t="n">
        <f aca="false">Y70*B70</f>
        <v>0</v>
      </c>
      <c r="AA70" s="0" t="n">
        <v>0</v>
      </c>
      <c r="AB70" s="0" t="n">
        <f aca="false">AA70/1950</f>
        <v>0</v>
      </c>
      <c r="AC70" s="1" t="n">
        <f aca="false">AB70*B70</f>
        <v>0</v>
      </c>
      <c r="AD70" s="11" t="n">
        <v>0</v>
      </c>
      <c r="AE70" s="11" t="n">
        <f aca="false">AD70/1950</f>
        <v>0</v>
      </c>
      <c r="AF70" s="17" t="n">
        <f aca="false">AE70*B70</f>
        <v>0</v>
      </c>
      <c r="AH70" s="0" t="n">
        <v>8</v>
      </c>
      <c r="AI70" s="0" t="n">
        <f aca="false">AH70/1950</f>
        <v>0.0041025641025641</v>
      </c>
      <c r="AJ70" s="0" t="n">
        <f aca="false">AI70*B71</f>
        <v>15.0743343589744</v>
      </c>
      <c r="AK70" s="0" t="n">
        <v>8</v>
      </c>
      <c r="AL70" s="0" t="n">
        <f aca="false">AK70/1950</f>
        <v>0.0041025641025641</v>
      </c>
      <c r="AM70" s="0" t="n">
        <f aca="false">AL70*B71</f>
        <v>15.0743343589744</v>
      </c>
      <c r="AN70" s="0" t="n">
        <v>0</v>
      </c>
      <c r="AO70" s="0" t="n">
        <f aca="false">AN70/1950</f>
        <v>0</v>
      </c>
      <c r="AP70" s="0" t="n">
        <f aca="false">AO70*B71</f>
        <v>0</v>
      </c>
      <c r="AT70" s="0" t="n">
        <v>0</v>
      </c>
      <c r="AU70" s="0" t="n">
        <f aca="false">AT70/1950</f>
        <v>0</v>
      </c>
      <c r="AV70" s="0" t="n">
        <f aca="false">AU70/174</f>
        <v>0</v>
      </c>
      <c r="AW70" s="1" t="n">
        <v>1</v>
      </c>
      <c r="AX70" s="0" t="n">
        <f aca="false">AW70/1950</f>
        <v>0.000512820512820513</v>
      </c>
      <c r="AY70" s="0" t="n">
        <f aca="false">AX70*B70</f>
        <v>0.972470769230769</v>
      </c>
      <c r="AZ70" s="1" t="n">
        <v>1</v>
      </c>
      <c r="BA70" s="0" t="n">
        <f aca="false">AZ70/1950</f>
        <v>0.000512820512820513</v>
      </c>
      <c r="BB70" s="0" t="n">
        <f aca="false">BA70*B70</f>
        <v>0.972470769230769</v>
      </c>
    </row>
    <row r="71" customFormat="false" ht="12.8" hidden="false" customHeight="false" outlineLevel="0" collapsed="false">
      <c r="A71" s="3" t="s">
        <v>369</v>
      </c>
      <c r="B71" s="0" t="n">
        <f aca="false">AVERAGE(B68:B69)</f>
        <v>3674.369</v>
      </c>
      <c r="C71" s="1" t="n">
        <v>5</v>
      </c>
      <c r="D71" s="0" t="n">
        <f aca="false">C71/1950</f>
        <v>0.00256410256410256</v>
      </c>
      <c r="E71" s="0" t="n">
        <f aca="false">D71*B71</f>
        <v>9.42145897435897</v>
      </c>
      <c r="F71" s="0" t="n">
        <v>0</v>
      </c>
      <c r="G71" s="0" t="n">
        <f aca="false">F71/1950</f>
        <v>0</v>
      </c>
      <c r="H71" s="0" t="n">
        <f aca="false">G71*B71</f>
        <v>0</v>
      </c>
      <c r="I71" s="11" t="n">
        <v>1</v>
      </c>
      <c r="J71" s="11" t="n">
        <f aca="false">I71/1950</f>
        <v>0.000512820512820513</v>
      </c>
      <c r="K71" s="11" t="n">
        <f aca="false">J71*B71</f>
        <v>1.88429179487179</v>
      </c>
      <c r="L71" s="0" t="n">
        <v>2</v>
      </c>
      <c r="M71" s="0" t="n">
        <f aca="false">L71/1950</f>
        <v>0.00102564102564103</v>
      </c>
      <c r="N71" s="0" t="n">
        <f aca="false">M71*B71</f>
        <v>3.76858358974359</v>
      </c>
      <c r="O71" s="0" t="n">
        <v>2</v>
      </c>
      <c r="P71" s="0" t="n">
        <f aca="false">O71/1950</f>
        <v>0.00102564102564103</v>
      </c>
      <c r="Q71" s="0" t="n">
        <f aca="false">P71*B71</f>
        <v>3.76858358974359</v>
      </c>
      <c r="R71" s="0" t="n">
        <v>2</v>
      </c>
      <c r="S71" s="0" t="n">
        <f aca="false">R71/1950</f>
        <v>0.00102564102564103</v>
      </c>
      <c r="T71" s="0" t="n">
        <f aca="false">S71*B71</f>
        <v>3.76858358974359</v>
      </c>
      <c r="U71" s="0" t="n">
        <v>0</v>
      </c>
      <c r="V71" s="0" t="n">
        <f aca="false">U71/1950</f>
        <v>0</v>
      </c>
      <c r="W71" s="0" t="n">
        <f aca="false">V71*B71</f>
        <v>0</v>
      </c>
      <c r="X71" s="11" t="n">
        <v>2</v>
      </c>
      <c r="Y71" s="11" t="n">
        <f aca="false">X71/1950</f>
        <v>0.00102564102564103</v>
      </c>
      <c r="Z71" s="11" t="n">
        <f aca="false">Y71*B71</f>
        <v>3.76858358974359</v>
      </c>
      <c r="AA71" s="0" t="n">
        <v>0</v>
      </c>
      <c r="AB71" s="0" t="n">
        <f aca="false">AA71/1950</f>
        <v>0</v>
      </c>
      <c r="AC71" s="1" t="n">
        <f aca="false">AB71*B71</f>
        <v>0</v>
      </c>
      <c r="AD71" s="11" t="n">
        <v>2</v>
      </c>
      <c r="AE71" s="11" t="n">
        <f aca="false">AD71/1950</f>
        <v>0.00102564102564103</v>
      </c>
      <c r="AF71" s="17" t="n">
        <f aca="false">AE71*B71</f>
        <v>3.76858358974359</v>
      </c>
      <c r="AH71" s="3" t="n">
        <f aca="false">SUM(AH64:AH70)</f>
        <v>99</v>
      </c>
      <c r="AI71" s="0" t="n">
        <f aca="false">AH71/1950</f>
        <v>0.0507692307692308</v>
      </c>
      <c r="AJ71" s="3" t="n">
        <f aca="false">SUM(AJ64:AJ70)</f>
        <v>125.801672820513</v>
      </c>
      <c r="AK71" s="3" t="n">
        <f aca="false">SUM(AK64:AK70)</f>
        <v>99</v>
      </c>
      <c r="AL71" s="0" t="n">
        <f aca="false">AK71/1950</f>
        <v>0.0507692307692308</v>
      </c>
      <c r="AM71" s="3" t="n">
        <f aca="false">SUM(AM64:AM70)</f>
        <v>125.801672820513</v>
      </c>
      <c r="AN71" s="3" t="n">
        <f aca="false">SUM(AN65:AN70)</f>
        <v>38</v>
      </c>
      <c r="AO71" s="0" t="n">
        <f aca="false">AN71/1950</f>
        <v>0.0194871794871795</v>
      </c>
      <c r="AP71" s="3" t="n">
        <f aca="false">SUM(AP64:AP70)</f>
        <v>40.4129620512821</v>
      </c>
      <c r="AT71" s="0" t="n">
        <v>0</v>
      </c>
      <c r="AU71" s="0" t="n">
        <f aca="false">AT71/1950</f>
        <v>0</v>
      </c>
      <c r="AV71" s="0" t="n">
        <f aca="false">AU71/174</f>
        <v>0</v>
      </c>
      <c r="AW71" s="1" t="n">
        <v>7</v>
      </c>
      <c r="AX71" s="0" t="n">
        <f aca="false">AW71/1950</f>
        <v>0.00358974358974359</v>
      </c>
      <c r="AY71" s="0" t="n">
        <f aca="false">AX71*B71</f>
        <v>13.1900425641026</v>
      </c>
      <c r="AZ71" s="1" t="n">
        <v>7</v>
      </c>
      <c r="BA71" s="0" t="n">
        <f aca="false">AZ71/1950</f>
        <v>0.00358974358974359</v>
      </c>
      <c r="BB71" s="0" t="n">
        <f aca="false">BA71*B71</f>
        <v>13.1900425641026</v>
      </c>
    </row>
    <row r="72" customFormat="false" ht="12.8" hidden="false" customHeight="false" outlineLevel="0" collapsed="false">
      <c r="A72" s="3" t="s">
        <v>370</v>
      </c>
      <c r="B72" s="0" t="s">
        <v>74</v>
      </c>
      <c r="C72" s="1" t="n">
        <f aca="false">SUM(C65:C71)</f>
        <v>79</v>
      </c>
      <c r="D72" s="0" t="n">
        <f aca="false">C72/1950</f>
        <v>0.0405128205128205</v>
      </c>
      <c r="E72" s="0" t="n">
        <f aca="false">SUM(E65:E71)</f>
        <v>104.058650769231</v>
      </c>
      <c r="F72" s="3" t="n">
        <v>30</v>
      </c>
      <c r="G72" s="0" t="n">
        <f aca="false">F72/1950</f>
        <v>0.0153846153846154</v>
      </c>
      <c r="H72" s="3" t="n">
        <f aca="false">SUM(H65:H71)</f>
        <v>32.7007384615385</v>
      </c>
      <c r="I72" s="16" t="n">
        <f aca="false">SUM(I65:I71)</f>
        <v>12</v>
      </c>
      <c r="J72" s="11" t="n">
        <f aca="false">I72/1950</f>
        <v>0.00615384615384615</v>
      </c>
      <c r="K72" s="16" t="n">
        <f aca="false">SUM(K65:K71)</f>
        <v>17.005977948718</v>
      </c>
      <c r="L72" s="3" t="n">
        <f aca="false">SUM(L65:L71)</f>
        <v>12</v>
      </c>
      <c r="M72" s="0" t="n">
        <f aca="false">L72/1950</f>
        <v>0.00615384615384615</v>
      </c>
      <c r="N72" s="3" t="n">
        <f aca="false">SUM(N65:N71)</f>
        <v>25.106881025641</v>
      </c>
      <c r="O72" s="3" t="n">
        <f aca="false">SUM(O65:O71)</f>
        <v>12</v>
      </c>
      <c r="P72" s="0" t="n">
        <f aca="false">O72/1950</f>
        <v>0.00615384615384615</v>
      </c>
      <c r="Q72" s="3" t="n">
        <f aca="false">SUM(Q65:Q71)</f>
        <v>25.106881025641</v>
      </c>
      <c r="R72" s="3" t="n">
        <f aca="false">SUM(R65:R71)</f>
        <v>12</v>
      </c>
      <c r="S72" s="0" t="n">
        <f aca="false">R72/1950</f>
        <v>0.00615384615384615</v>
      </c>
      <c r="T72" s="3" t="n">
        <f aca="false">SUM(T65:T71)</f>
        <v>25.106881025641</v>
      </c>
      <c r="U72" s="0" t="n">
        <f aca="false">SUM(U65:U71)</f>
        <v>40</v>
      </c>
      <c r="V72" s="0" t="n">
        <f aca="false">U72/1950</f>
        <v>0.0205128205128205</v>
      </c>
      <c r="W72" s="3" t="n">
        <f aca="false">SUM(W65:W71)</f>
        <v>43.6009846153846</v>
      </c>
      <c r="X72" s="11" t="n">
        <f aca="false">SUM(X65:X71)</f>
        <v>16</v>
      </c>
      <c r="Y72" s="11" t="n">
        <f aca="false">X72/1950</f>
        <v>0.00820512820512821</v>
      </c>
      <c r="Z72" s="16" t="n">
        <f aca="false">SUM(Z65:Z71)</f>
        <v>22.1603435897436</v>
      </c>
      <c r="AA72" s="0" t="n">
        <v>40</v>
      </c>
      <c r="AB72" s="0" t="n">
        <f aca="false">AA72/1950</f>
        <v>0.0205128205128205</v>
      </c>
      <c r="AC72" s="3" t="n">
        <f aca="false">SUM(AC65:AC71)</f>
        <v>43.6009846153846</v>
      </c>
      <c r="AD72" s="11" t="n">
        <f aca="false">SUM(AD65:AD71)</f>
        <v>16</v>
      </c>
      <c r="AE72" s="11" t="n">
        <f aca="false">AD72/1950</f>
        <v>0.00820512820512821</v>
      </c>
      <c r="AF72" s="16" t="n">
        <f aca="false">SUM(AF65:AF71)</f>
        <v>22.1603435897436</v>
      </c>
      <c r="AH72" s="1" t="n">
        <v>1</v>
      </c>
      <c r="AI72" s="0" t="n">
        <f aca="false">AH72/1950</f>
        <v>0.000512820512820513</v>
      </c>
      <c r="AJ72" s="0" t="n">
        <f aca="false">AI72*B73</f>
        <v>0.769230769230769</v>
      </c>
      <c r="AK72" s="1" t="n">
        <v>1</v>
      </c>
      <c r="AL72" s="0" t="n">
        <f aca="false">AK72/1950</f>
        <v>0.000512820512820513</v>
      </c>
      <c r="AM72" s="0" t="n">
        <f aca="false">AL72*B73</f>
        <v>0.769230769230769</v>
      </c>
      <c r="AN72" s="0" t="n">
        <v>0</v>
      </c>
      <c r="AO72" s="0" t="n">
        <f aca="false">AN72/1950</f>
        <v>0</v>
      </c>
      <c r="AP72" s="0" t="n">
        <f aca="false">AO72*B73</f>
        <v>0</v>
      </c>
      <c r="AT72" s="0" t="n">
        <v>40</v>
      </c>
      <c r="AU72" s="0" t="n">
        <f aca="false">AT72/1950</f>
        <v>0.0205128205128205</v>
      </c>
      <c r="AV72" s="3" t="n">
        <f aca="false">AV66</f>
        <v>43.6009846153846</v>
      </c>
      <c r="AW72" s="1" t="n">
        <f aca="false">SUM(AW65:AW71)</f>
        <v>78</v>
      </c>
      <c r="AX72" s="0" t="n">
        <f aca="false">AW72/1950</f>
        <v>0.04</v>
      </c>
      <c r="AY72" s="0" t="n">
        <f aca="false">SUM(AY65:AY71)</f>
        <v>101.425745128205</v>
      </c>
      <c r="AZ72" s="1" t="n">
        <f aca="false">SUM(AZ65:AZ71)</f>
        <v>78</v>
      </c>
      <c r="BA72" s="0" t="n">
        <f aca="false">AZ72/1950</f>
        <v>0.04</v>
      </c>
      <c r="BB72" s="0" t="n">
        <f aca="false">SUM(BB65:BB71)</f>
        <v>101.425745128205</v>
      </c>
    </row>
    <row r="73" customFormat="false" ht="12.8" hidden="false" customHeight="false" outlineLevel="0" collapsed="false">
      <c r="A73" s="0" t="s">
        <v>371</v>
      </c>
      <c r="B73" s="0" t="n">
        <v>1500</v>
      </c>
      <c r="C73" s="1" t="n">
        <v>0</v>
      </c>
      <c r="D73" s="0" t="n">
        <f aca="false">C73/1950</f>
        <v>0</v>
      </c>
      <c r="E73" s="0" t="n">
        <f aca="false">D73*B73</f>
        <v>0</v>
      </c>
      <c r="F73" s="0" t="n">
        <v>0</v>
      </c>
      <c r="G73" s="0" t="n">
        <f aca="false">F73/1950</f>
        <v>0</v>
      </c>
      <c r="H73" s="0" t="n">
        <f aca="false">G73*B73</f>
        <v>0</v>
      </c>
      <c r="I73" s="11" t="n">
        <v>0</v>
      </c>
      <c r="J73" s="11" t="n">
        <f aca="false">I73/1950</f>
        <v>0</v>
      </c>
      <c r="K73" s="11" t="n">
        <f aca="false">J73*B73</f>
        <v>0</v>
      </c>
      <c r="L73" s="0" t="n">
        <v>0</v>
      </c>
      <c r="M73" s="0" t="n">
        <f aca="false">L73/1950</f>
        <v>0</v>
      </c>
      <c r="N73" s="0" t="n">
        <f aca="false">M73*B73</f>
        <v>0</v>
      </c>
      <c r="O73" s="0" t="n">
        <v>0</v>
      </c>
      <c r="P73" s="0" t="n">
        <f aca="false">O73/1950</f>
        <v>0</v>
      </c>
      <c r="Q73" s="0" t="n">
        <f aca="false">P73*B73</f>
        <v>0</v>
      </c>
      <c r="R73" s="0" t="n">
        <v>0</v>
      </c>
      <c r="S73" s="0" t="n">
        <f aca="false">R73/1950</f>
        <v>0</v>
      </c>
      <c r="T73" s="0" t="n">
        <f aca="false">S73*B73</f>
        <v>0</v>
      </c>
      <c r="U73" s="0" t="n">
        <v>1</v>
      </c>
      <c r="V73" s="0" t="n">
        <f aca="false">U73/1950</f>
        <v>0.000512820512820513</v>
      </c>
      <c r="W73" s="0" t="n">
        <f aca="false">V73*B73</f>
        <v>0.769230769230769</v>
      </c>
      <c r="X73" s="11" t="n">
        <v>1</v>
      </c>
      <c r="Y73" s="11" t="n">
        <f aca="false">X73/1950</f>
        <v>0.000512820512820513</v>
      </c>
      <c r="Z73" s="11" t="n">
        <f aca="false">Y73*B73</f>
        <v>0.769230769230769</v>
      </c>
      <c r="AA73" s="0" t="n">
        <v>1</v>
      </c>
      <c r="AB73" s="0" t="n">
        <f aca="false">AA73/1950</f>
        <v>0.000512820512820513</v>
      </c>
      <c r="AC73" s="0" t="n">
        <f aca="false">AB73*B73</f>
        <v>0.769230769230769</v>
      </c>
      <c r="AD73" s="11" t="n">
        <v>1</v>
      </c>
      <c r="AE73" s="11" t="n">
        <f aca="false">AD73/1950</f>
        <v>0.000512820512820513</v>
      </c>
      <c r="AF73" s="11" t="n">
        <f aca="false">AE73*B73</f>
        <v>0.769230769230769</v>
      </c>
      <c r="AH73" s="0" t="n">
        <v>8</v>
      </c>
      <c r="AI73" s="0" t="n">
        <f aca="false">AH73/1950</f>
        <v>0.0041025641025641</v>
      </c>
      <c r="AJ73" s="0" t="n">
        <f aca="false">AI73*B74</f>
        <v>11.7473558974359</v>
      </c>
      <c r="AK73" s="0" t="n">
        <v>8</v>
      </c>
      <c r="AL73" s="0" t="n">
        <f aca="false">AK73/1950</f>
        <v>0.0041025641025641</v>
      </c>
      <c r="AM73" s="0" t="n">
        <f aca="false">AL73*B74</f>
        <v>11.7473558974359</v>
      </c>
      <c r="AN73" s="0" t="n">
        <v>0</v>
      </c>
      <c r="AO73" s="0" t="n">
        <f aca="false">AN73/1950</f>
        <v>0</v>
      </c>
      <c r="AP73" s="0" t="n">
        <f aca="false">AO73*B74</f>
        <v>0</v>
      </c>
      <c r="AT73" s="0" t="n">
        <v>1</v>
      </c>
      <c r="AU73" s="0" t="n">
        <f aca="false">AT73/1950</f>
        <v>0.000512820512820513</v>
      </c>
      <c r="AV73" s="0" t="n">
        <f aca="false">AU73*B73</f>
        <v>0.769230769230769</v>
      </c>
      <c r="AW73" s="1" t="n">
        <v>0</v>
      </c>
      <c r="AX73" s="0" t="n">
        <f aca="false">AW73/1950</f>
        <v>0</v>
      </c>
      <c r="AY73" s="0" t="n">
        <f aca="false">AX73*B73</f>
        <v>0</v>
      </c>
      <c r="AZ73" s="1" t="n">
        <v>0</v>
      </c>
      <c r="BA73" s="0" t="n">
        <f aca="false">AZ73/1950</f>
        <v>0</v>
      </c>
      <c r="BB73" s="0" t="n">
        <f aca="false">BA73*B73</f>
        <v>0</v>
      </c>
    </row>
    <row r="74" customFormat="false" ht="12.8" hidden="false" customHeight="false" outlineLevel="0" collapsed="false">
      <c r="A74" s="0" t="s">
        <v>235</v>
      </c>
      <c r="B74" s="0" t="n">
        <v>2863.418</v>
      </c>
      <c r="C74" s="1" t="n">
        <v>6</v>
      </c>
      <c r="D74" s="0" t="n">
        <f aca="false">C74/1950</f>
        <v>0.00307692307692308</v>
      </c>
      <c r="E74" s="0" t="n">
        <f aca="false">D74*B74</f>
        <v>8.81051692307692</v>
      </c>
      <c r="F74" s="0" t="n">
        <v>0</v>
      </c>
      <c r="G74" s="0" t="n">
        <f aca="false">F74/1950</f>
        <v>0</v>
      </c>
      <c r="H74" s="0" t="n">
        <f aca="false">G74*B74</f>
        <v>0</v>
      </c>
      <c r="I74" s="11" t="n">
        <v>1</v>
      </c>
      <c r="J74" s="11" t="n">
        <f aca="false">I74/1950</f>
        <v>0.000512820512820513</v>
      </c>
      <c r="K74" s="11" t="n">
        <f aca="false">J74*B74</f>
        <v>1.46841948717949</v>
      </c>
      <c r="L74" s="0" t="n">
        <v>4</v>
      </c>
      <c r="M74" s="0" t="n">
        <f aca="false">L74/1950</f>
        <v>0.00205128205128205</v>
      </c>
      <c r="N74" s="0" t="n">
        <f aca="false">M74*B74</f>
        <v>5.87367794871795</v>
      </c>
      <c r="O74" s="0" t="n">
        <v>4</v>
      </c>
      <c r="P74" s="0" t="n">
        <f aca="false">O74/1950</f>
        <v>0.00205128205128205</v>
      </c>
      <c r="Q74" s="0" t="n">
        <f aca="false">P74*B74</f>
        <v>5.87367794871795</v>
      </c>
      <c r="R74" s="0" t="n">
        <v>4</v>
      </c>
      <c r="S74" s="0" t="n">
        <f aca="false">R74/1950</f>
        <v>0.00205128205128205</v>
      </c>
      <c r="T74" s="0" t="n">
        <f aca="false">S74*B74</f>
        <v>5.87367794871795</v>
      </c>
      <c r="U74" s="0" t="n">
        <v>0</v>
      </c>
      <c r="V74" s="0" t="n">
        <f aca="false">U74/1950</f>
        <v>0</v>
      </c>
      <c r="W74" s="0" t="n">
        <f aca="false">V74*B74</f>
        <v>0</v>
      </c>
      <c r="X74" s="11" t="n">
        <v>1</v>
      </c>
      <c r="Y74" s="11" t="n">
        <f aca="false">X74/1950</f>
        <v>0.000512820512820513</v>
      </c>
      <c r="Z74" s="11" t="n">
        <f aca="false">Y74*B74</f>
        <v>1.46841948717949</v>
      </c>
      <c r="AA74" s="0" t="n">
        <v>0</v>
      </c>
      <c r="AB74" s="0" t="n">
        <f aca="false">AA74/1950</f>
        <v>0</v>
      </c>
      <c r="AC74" s="0" t="n">
        <f aca="false">AB74*E74</f>
        <v>0</v>
      </c>
      <c r="AD74" s="11" t="n">
        <v>1</v>
      </c>
      <c r="AE74" s="11" t="n">
        <f aca="false">AD74/1950</f>
        <v>0.000512820512820513</v>
      </c>
      <c r="AF74" s="11" t="n">
        <f aca="false">AE74*B74</f>
        <v>1.46841948717949</v>
      </c>
      <c r="AH74" s="0" t="n">
        <v>5</v>
      </c>
      <c r="AI74" s="0" t="n">
        <f aca="false">AH74/1950</f>
        <v>0.00256410256410256</v>
      </c>
      <c r="AJ74" s="0" t="n">
        <f aca="false">AI74*B75</f>
        <v>5.6744358974359</v>
      </c>
      <c r="AK74" s="0" t="n">
        <v>5</v>
      </c>
      <c r="AL74" s="0" t="n">
        <f aca="false">AK74/1950</f>
        <v>0.00256410256410256</v>
      </c>
      <c r="AM74" s="0" t="n">
        <f aca="false">AL74*B75</f>
        <v>5.6744358974359</v>
      </c>
      <c r="AN74" s="0" t="n">
        <v>1</v>
      </c>
      <c r="AO74" s="0" t="n">
        <f aca="false">AN74/1950</f>
        <v>0.000512820512820513</v>
      </c>
      <c r="AP74" s="0" t="n">
        <f aca="false">AO74*B75</f>
        <v>1.13488717948718</v>
      </c>
      <c r="AT74" s="0" t="n">
        <v>1</v>
      </c>
      <c r="AU74" s="0" t="n">
        <f aca="false">AT74/1950</f>
        <v>0.000512820512820513</v>
      </c>
      <c r="AV74" s="0" t="n">
        <f aca="false">AU74*B74</f>
        <v>1.46841948717949</v>
      </c>
      <c r="AW74" s="1" t="n">
        <v>6</v>
      </c>
      <c r="AX74" s="0" t="n">
        <f aca="false">AW74/1950</f>
        <v>0.00307692307692308</v>
      </c>
      <c r="AY74" s="0" t="n">
        <f aca="false">AX74*B74</f>
        <v>8.81051692307692</v>
      </c>
      <c r="AZ74" s="1" t="n">
        <v>6</v>
      </c>
      <c r="BA74" s="0" t="n">
        <f aca="false">AZ74/1950</f>
        <v>0.00307692307692308</v>
      </c>
      <c r="BB74" s="0" t="n">
        <f aca="false">BA74*B74</f>
        <v>8.81051692307692</v>
      </c>
    </row>
    <row r="75" customFormat="false" ht="12.8" hidden="false" customHeight="false" outlineLevel="0" collapsed="false">
      <c r="A75" s="0" t="s">
        <v>240</v>
      </c>
      <c r="B75" s="0" t="n">
        <v>2213.03</v>
      </c>
      <c r="C75" s="1" t="n">
        <v>3</v>
      </c>
      <c r="D75" s="0" t="n">
        <f aca="false">C75/1950</f>
        <v>0.00153846153846154</v>
      </c>
      <c r="E75" s="0" t="n">
        <f aca="false">D75*B75</f>
        <v>3.40466153846154</v>
      </c>
      <c r="F75" s="0" t="n">
        <v>0</v>
      </c>
      <c r="G75" s="0" t="n">
        <f aca="false">F75/1950</f>
        <v>0</v>
      </c>
      <c r="H75" s="0" t="n">
        <f aca="false">G75*B75</f>
        <v>0</v>
      </c>
      <c r="I75" s="11" t="n">
        <v>1</v>
      </c>
      <c r="J75" s="11" t="n">
        <f aca="false">I75/1950</f>
        <v>0.000512820512820513</v>
      </c>
      <c r="K75" s="11" t="n">
        <f aca="false">J75*B75</f>
        <v>1.13488717948718</v>
      </c>
      <c r="L75" s="0" t="n">
        <v>0</v>
      </c>
      <c r="M75" s="0" t="n">
        <f aca="false">L75/1950</f>
        <v>0</v>
      </c>
      <c r="N75" s="0" t="n">
        <f aca="false">M75*B75</f>
        <v>0</v>
      </c>
      <c r="O75" s="0" t="n">
        <v>0</v>
      </c>
      <c r="P75" s="0" t="n">
        <f aca="false">O75/1950</f>
        <v>0</v>
      </c>
      <c r="Q75" s="0" t="n">
        <f aca="false">P75*B75</f>
        <v>0</v>
      </c>
      <c r="R75" s="0" t="n">
        <v>0</v>
      </c>
      <c r="S75" s="0" t="n">
        <f aca="false">R75/1950</f>
        <v>0</v>
      </c>
      <c r="T75" s="0" t="n">
        <f aca="false">S75*B75</f>
        <v>0</v>
      </c>
      <c r="U75" s="0" t="n">
        <v>1</v>
      </c>
      <c r="V75" s="0" t="n">
        <f aca="false">U75/1950</f>
        <v>0.000512820512820513</v>
      </c>
      <c r="W75" s="0" t="n">
        <f aca="false">V75*B75</f>
        <v>1.13488717948718</v>
      </c>
      <c r="X75" s="11" t="n">
        <v>2</v>
      </c>
      <c r="Y75" s="11" t="n">
        <f aca="false">X75/1950</f>
        <v>0.00102564102564103</v>
      </c>
      <c r="Z75" s="11" t="n">
        <f aca="false">Y75*B75</f>
        <v>2.26977435897436</v>
      </c>
      <c r="AA75" s="0" t="n">
        <v>1</v>
      </c>
      <c r="AB75" s="0" t="n">
        <f aca="false">AA75/1950</f>
        <v>0.000512820512820513</v>
      </c>
      <c r="AC75" s="0" t="n">
        <f aca="false">AB75*B75</f>
        <v>1.13488717948718</v>
      </c>
      <c r="AD75" s="11" t="n">
        <v>2</v>
      </c>
      <c r="AE75" s="11" t="n">
        <f aca="false">AD75/1950</f>
        <v>0.00102564102564103</v>
      </c>
      <c r="AF75" s="11" t="n">
        <f aca="false">AE75*B75</f>
        <v>2.26977435897436</v>
      </c>
      <c r="AH75" s="0" t="n">
        <v>1</v>
      </c>
      <c r="AI75" s="0" t="n">
        <f aca="false">AH75/1950</f>
        <v>0.000512820512820513</v>
      </c>
      <c r="AJ75" s="0" t="n">
        <f aca="false">AI75*B76</f>
        <v>1.38686153846154</v>
      </c>
      <c r="AK75" s="0" t="n">
        <v>1</v>
      </c>
      <c r="AL75" s="0" t="n">
        <f aca="false">AK75/1950</f>
        <v>0.000512820512820513</v>
      </c>
      <c r="AM75" s="0" t="n">
        <f aca="false">AL75*B76</f>
        <v>1.38686153846154</v>
      </c>
      <c r="AN75" s="0" t="n">
        <v>0</v>
      </c>
      <c r="AO75" s="0" t="n">
        <f aca="false">AN75/1950</f>
        <v>0</v>
      </c>
      <c r="AP75" s="0" t="n">
        <f aca="false">AO75*B76</f>
        <v>0</v>
      </c>
      <c r="AT75" s="0" t="n">
        <v>1</v>
      </c>
      <c r="AU75" s="0" t="n">
        <f aca="false">AT75/1950</f>
        <v>0.000512820512820513</v>
      </c>
      <c r="AV75" s="0" t="n">
        <f aca="false">AU75*B75</f>
        <v>1.13488717948718</v>
      </c>
      <c r="AW75" s="1" t="n">
        <v>3</v>
      </c>
      <c r="AX75" s="0" t="n">
        <f aca="false">AW75/1950</f>
        <v>0.00153846153846154</v>
      </c>
      <c r="AY75" s="0" t="n">
        <f aca="false">AX75*B75</f>
        <v>3.40466153846154</v>
      </c>
      <c r="AZ75" s="1" t="n">
        <v>3</v>
      </c>
      <c r="BA75" s="0" t="n">
        <f aca="false">AZ75/1950</f>
        <v>0.00153846153846154</v>
      </c>
      <c r="BB75" s="0" t="n">
        <f aca="false">BA75*B75</f>
        <v>3.40466153846154</v>
      </c>
    </row>
    <row r="76" customFormat="false" ht="12.8" hidden="false" customHeight="false" outlineLevel="0" collapsed="false">
      <c r="A76" s="0" t="s">
        <v>243</v>
      </c>
      <c r="B76" s="0" t="n">
        <v>2704.38</v>
      </c>
      <c r="C76" s="1" t="n">
        <v>1</v>
      </c>
      <c r="D76" s="0" t="n">
        <f aca="false">C76/1950</f>
        <v>0.000512820512820513</v>
      </c>
      <c r="E76" s="0" t="n">
        <f aca="false">D76*B76</f>
        <v>1.38686153846154</v>
      </c>
      <c r="F76" s="0" t="n">
        <v>0</v>
      </c>
      <c r="G76" s="0" t="n">
        <f aca="false">F76/1950</f>
        <v>0</v>
      </c>
      <c r="H76" s="0" t="n">
        <f aca="false">G76*B76</f>
        <v>0</v>
      </c>
      <c r="I76" s="11" t="n">
        <v>0</v>
      </c>
      <c r="J76" s="11" t="n">
        <f aca="false">I76/1950</f>
        <v>0</v>
      </c>
      <c r="K76" s="11" t="n">
        <f aca="false">J76*B76</f>
        <v>0</v>
      </c>
      <c r="L76" s="0" t="n">
        <v>0</v>
      </c>
      <c r="M76" s="0" t="n">
        <f aca="false">L76/1950</f>
        <v>0</v>
      </c>
      <c r="N76" s="0" t="n">
        <f aca="false">M76*B76</f>
        <v>0</v>
      </c>
      <c r="O76" s="0" t="n">
        <v>0</v>
      </c>
      <c r="P76" s="0" t="n">
        <f aca="false">O76/1950</f>
        <v>0</v>
      </c>
      <c r="Q76" s="0" t="n">
        <f aca="false">P76*B76</f>
        <v>0</v>
      </c>
      <c r="R76" s="0" t="n">
        <v>0</v>
      </c>
      <c r="S76" s="0" t="n">
        <f aca="false">R76/1950</f>
        <v>0</v>
      </c>
      <c r="T76" s="0" t="n">
        <f aca="false">S76*B76</f>
        <v>0</v>
      </c>
      <c r="U76" s="0" t="n">
        <v>0</v>
      </c>
      <c r="V76" s="0" t="n">
        <f aca="false">U76/1950</f>
        <v>0</v>
      </c>
      <c r="W76" s="0" t="n">
        <f aca="false">V76*B76</f>
        <v>0</v>
      </c>
      <c r="X76" s="11" t="n">
        <v>0</v>
      </c>
      <c r="Y76" s="11" t="n">
        <f aca="false">X76/1950</f>
        <v>0</v>
      </c>
      <c r="Z76" s="11" t="n">
        <f aca="false">Y76*B76</f>
        <v>0</v>
      </c>
      <c r="AA76" s="0" t="n">
        <v>0</v>
      </c>
      <c r="AB76" s="0" t="n">
        <f aca="false">AA76/1950</f>
        <v>0</v>
      </c>
      <c r="AC76" s="0" t="n">
        <f aca="false">AB76*B76</f>
        <v>0</v>
      </c>
      <c r="AD76" s="11" t="n">
        <v>0</v>
      </c>
      <c r="AE76" s="11" t="n">
        <f aca="false">AD76/1950</f>
        <v>0</v>
      </c>
      <c r="AF76" s="11" t="n">
        <f aca="false">AE76*B76</f>
        <v>0</v>
      </c>
      <c r="AH76" s="0" t="n">
        <v>34</v>
      </c>
      <c r="AI76" s="0" t="n">
        <f aca="false">AH76/1950</f>
        <v>0.0174358974358974</v>
      </c>
      <c r="AJ76" s="0" t="n">
        <f aca="false">AI76*B77</f>
        <v>45.2219063247863</v>
      </c>
      <c r="AK76" s="0" t="n">
        <v>34</v>
      </c>
      <c r="AL76" s="0" t="n">
        <f aca="false">AK76/1950</f>
        <v>0.0174358974358974</v>
      </c>
      <c r="AM76" s="0" t="n">
        <f aca="false">AL76*B77</f>
        <v>45.2219063247863</v>
      </c>
      <c r="AN76" s="0" t="n">
        <v>3</v>
      </c>
      <c r="AO76" s="0" t="n">
        <f aca="false">AN76/1950</f>
        <v>0.00153846153846154</v>
      </c>
      <c r="AP76" s="0" t="n">
        <f aca="false">AO76*B77</f>
        <v>3.99016820512821</v>
      </c>
      <c r="AT76" s="0" t="n">
        <v>0</v>
      </c>
      <c r="AU76" s="0" t="n">
        <f aca="false">AT76/1950</f>
        <v>0</v>
      </c>
      <c r="AV76" s="0" t="n">
        <v>0</v>
      </c>
      <c r="AW76" s="1" t="n">
        <v>1</v>
      </c>
      <c r="AX76" s="0" t="n">
        <f aca="false">AW76/1950</f>
        <v>0.000512820512820513</v>
      </c>
      <c r="AY76" s="0" t="n">
        <f aca="false">AX76*B76</f>
        <v>1.38686153846154</v>
      </c>
      <c r="AZ76" s="1" t="n">
        <v>1</v>
      </c>
      <c r="BA76" s="0" t="n">
        <f aca="false">AZ76/1950</f>
        <v>0.000512820512820513</v>
      </c>
      <c r="BB76" s="0" t="n">
        <f aca="false">BA76*B76</f>
        <v>1.38686153846154</v>
      </c>
    </row>
    <row r="77" customFormat="false" ht="12.8" hidden="false" customHeight="false" outlineLevel="0" collapsed="false">
      <c r="A77" s="3" t="s">
        <v>238</v>
      </c>
      <c r="B77" s="0" t="n">
        <f aca="false">AVERAGE(B74,B75:B76)</f>
        <v>2593.60933333333</v>
      </c>
      <c r="C77" s="1" t="n">
        <v>17</v>
      </c>
      <c r="D77" s="0" t="n">
        <f aca="false">C77/1950</f>
        <v>0.00871794871794872</v>
      </c>
      <c r="E77" s="0" t="n">
        <f aca="false">D77*B77</f>
        <v>22.6109531623932</v>
      </c>
      <c r="F77" s="0" t="n">
        <v>0</v>
      </c>
      <c r="G77" s="0" t="n">
        <f aca="false">F77/1950</f>
        <v>0</v>
      </c>
      <c r="H77" s="0" t="n">
        <f aca="false">G77*B77</f>
        <v>0</v>
      </c>
      <c r="I77" s="11" t="n">
        <v>5</v>
      </c>
      <c r="J77" s="11" t="n">
        <f aca="false">I77/1950</f>
        <v>0.00256410256410256</v>
      </c>
      <c r="K77" s="11" t="n">
        <f aca="false">J77*B77</f>
        <v>6.65028034188034</v>
      </c>
      <c r="L77" s="0" t="n">
        <v>10</v>
      </c>
      <c r="M77" s="0" t="n">
        <f aca="false">L77/1950</f>
        <v>0.00512820512820513</v>
      </c>
      <c r="N77" s="0" t="n">
        <f aca="false">M77*B77</f>
        <v>13.3005606837607</v>
      </c>
      <c r="O77" s="0" t="n">
        <v>10</v>
      </c>
      <c r="P77" s="0" t="n">
        <f aca="false">O77/1950</f>
        <v>0.00512820512820513</v>
      </c>
      <c r="Q77" s="0" t="n">
        <f aca="false">P77*B77</f>
        <v>13.3005606837607</v>
      </c>
      <c r="R77" s="0" t="n">
        <v>10</v>
      </c>
      <c r="S77" s="0" t="n">
        <f aca="false">R77/1950</f>
        <v>0.00512820512820513</v>
      </c>
      <c r="T77" s="0" t="n">
        <f aca="false">S77*B77</f>
        <v>13.3005606837607</v>
      </c>
      <c r="U77" s="0" t="n">
        <v>1</v>
      </c>
      <c r="V77" s="0" t="n">
        <f aca="false">U77/1950</f>
        <v>0.000512820512820513</v>
      </c>
      <c r="W77" s="0" t="n">
        <f aca="false">V77*B77</f>
        <v>1.33005606837607</v>
      </c>
      <c r="X77" s="11" t="n">
        <v>7</v>
      </c>
      <c r="Y77" s="11" t="n">
        <f aca="false">X77/1950</f>
        <v>0.00358974358974359</v>
      </c>
      <c r="Z77" s="11" t="n">
        <f aca="false">Y77*B77</f>
        <v>9.31039247863248</v>
      </c>
      <c r="AA77" s="0" t="n">
        <v>1</v>
      </c>
      <c r="AB77" s="0" t="n">
        <f aca="false">AA77/1950</f>
        <v>0.000512820512820513</v>
      </c>
      <c r="AC77" s="0" t="n">
        <f aca="false">AB77*B77</f>
        <v>1.33005606837607</v>
      </c>
      <c r="AD77" s="11" t="n">
        <v>7</v>
      </c>
      <c r="AE77" s="11" t="n">
        <f aca="false">AD77/1950</f>
        <v>0.00358974358974359</v>
      </c>
      <c r="AF77" s="11" t="n">
        <f aca="false">AE77*B77</f>
        <v>9.31039247863248</v>
      </c>
      <c r="AH77" s="0" t="n">
        <v>1</v>
      </c>
      <c r="AI77" s="0" t="n">
        <f aca="false">AH77/1950</f>
        <v>0.000512820512820513</v>
      </c>
      <c r="AJ77" s="0" t="n">
        <f aca="false">AI77*B78</f>
        <v>0.0820512820512821</v>
      </c>
      <c r="AK77" s="0" t="n">
        <v>1</v>
      </c>
      <c r="AL77" s="0" t="n">
        <f aca="false">AK77/1950</f>
        <v>0.000512820512820513</v>
      </c>
      <c r="AM77" s="0" t="n">
        <f aca="false">AL77*B78</f>
        <v>0.0820512820512821</v>
      </c>
      <c r="AN77" s="0" t="n">
        <v>1</v>
      </c>
      <c r="AO77" s="0" t="n">
        <f aca="false">AN77/1950</f>
        <v>0.000512820512820513</v>
      </c>
      <c r="AP77" s="0" t="n">
        <f aca="false">AO77*B78</f>
        <v>0.0820512820512821</v>
      </c>
      <c r="AT77" s="0" t="n">
        <v>1</v>
      </c>
      <c r="AU77" s="0" t="n">
        <f aca="false">AT77/1950</f>
        <v>0.000512820512820513</v>
      </c>
      <c r="AV77" s="0" t="n">
        <f aca="false">AU77*B77</f>
        <v>1.33005606837607</v>
      </c>
      <c r="AW77" s="1" t="n">
        <v>18</v>
      </c>
      <c r="AX77" s="0" t="n">
        <f aca="false">AW77/1950</f>
        <v>0.00923076923076923</v>
      </c>
      <c r="AY77" s="0" t="n">
        <f aca="false">AX77*B77</f>
        <v>23.9410092307692</v>
      </c>
      <c r="AZ77" s="1" t="n">
        <v>18</v>
      </c>
      <c r="BA77" s="0" t="n">
        <f aca="false">AZ77/1950</f>
        <v>0.00923076923076923</v>
      </c>
      <c r="BB77" s="0" t="n">
        <f aca="false">BA77*B77</f>
        <v>23.9410092307692</v>
      </c>
    </row>
    <row r="78" customFormat="false" ht="12.8" hidden="false" customHeight="false" outlineLevel="0" collapsed="false">
      <c r="A78" s="0" t="s">
        <v>372</v>
      </c>
      <c r="B78" s="0" t="n">
        <v>160</v>
      </c>
      <c r="C78" s="1" t="n">
        <v>1</v>
      </c>
      <c r="D78" s="0" t="n">
        <f aca="false">C78/1950</f>
        <v>0.000512820512820513</v>
      </c>
      <c r="E78" s="0" t="n">
        <f aca="false">D78*B78</f>
        <v>0.0820512820512821</v>
      </c>
      <c r="F78" s="0" t="n">
        <v>1</v>
      </c>
      <c r="G78" s="0" t="n">
        <f aca="false">F78/1950</f>
        <v>0.000512820512820513</v>
      </c>
      <c r="H78" s="0" t="n">
        <f aca="false">G78*B78</f>
        <v>0.0820512820512821</v>
      </c>
      <c r="I78" s="11" t="n">
        <v>0</v>
      </c>
      <c r="J78" s="11" t="n">
        <f aca="false">I78/1950</f>
        <v>0</v>
      </c>
      <c r="K78" s="11" t="n">
        <f aca="false">J78*B78</f>
        <v>0</v>
      </c>
      <c r="L78" s="0" t="n">
        <v>0</v>
      </c>
      <c r="M78" s="0" t="n">
        <f aca="false">L78/1950</f>
        <v>0</v>
      </c>
      <c r="N78" s="0" t="n">
        <f aca="false">M78*B78</f>
        <v>0</v>
      </c>
      <c r="O78" s="0" t="n">
        <v>0</v>
      </c>
      <c r="P78" s="0" t="n">
        <f aca="false">O78/1950</f>
        <v>0</v>
      </c>
      <c r="Q78" s="0" t="n">
        <f aca="false">P78*B78</f>
        <v>0</v>
      </c>
      <c r="R78" s="0" t="n">
        <v>0</v>
      </c>
      <c r="S78" s="0" t="n">
        <f aca="false">R78/1950</f>
        <v>0</v>
      </c>
      <c r="T78" s="0" t="n">
        <f aca="false">S78*B78</f>
        <v>0</v>
      </c>
      <c r="U78" s="0" t="n">
        <v>1</v>
      </c>
      <c r="V78" s="0" t="n">
        <f aca="false">U78/1950</f>
        <v>0.000512820512820513</v>
      </c>
      <c r="W78" s="0" t="n">
        <f aca="false">V78*B78</f>
        <v>0.0820512820512821</v>
      </c>
      <c r="X78" s="11" t="n">
        <v>0</v>
      </c>
      <c r="Y78" s="11" t="n">
        <f aca="false">X78/1950</f>
        <v>0</v>
      </c>
      <c r="Z78" s="11" t="n">
        <f aca="false">Y78*B78</f>
        <v>0</v>
      </c>
      <c r="AA78" s="0" t="n">
        <v>1</v>
      </c>
      <c r="AB78" s="0" t="n">
        <f aca="false">AA78/1950</f>
        <v>0.000512820512820513</v>
      </c>
      <c r="AC78" s="0" t="n">
        <f aca="false">AB78*B78</f>
        <v>0.0820512820512821</v>
      </c>
      <c r="AD78" s="11" t="n">
        <v>0</v>
      </c>
      <c r="AE78" s="11" t="n">
        <f aca="false">AD78/1950</f>
        <v>0</v>
      </c>
      <c r="AF78" s="11" t="n">
        <f aca="false">AE78*B78</f>
        <v>0</v>
      </c>
      <c r="AH78" s="3" t="n">
        <f aca="false">SUM(AH73:AH76)</f>
        <v>48</v>
      </c>
      <c r="AI78" s="0" t="n">
        <f aca="false">AH78/1950</f>
        <v>0.0246153846153846</v>
      </c>
      <c r="AJ78" s="3" t="n">
        <f aca="false">SUM(AJ73:AJ77)</f>
        <v>64.1126109401709</v>
      </c>
      <c r="AK78" s="3" t="n">
        <f aca="false">SUM(AK73:AK76)</f>
        <v>48</v>
      </c>
      <c r="AL78" s="0" t="n">
        <f aca="false">AK78/1950</f>
        <v>0.0246153846153846</v>
      </c>
      <c r="AM78" s="3" t="n">
        <f aca="false">SUM(AM73:AM77)</f>
        <v>64.1126109401709</v>
      </c>
      <c r="AN78" s="3" t="n">
        <f aca="false">SUM(AN73:AN76)</f>
        <v>4</v>
      </c>
      <c r="AO78" s="0" t="n">
        <f aca="false">AN78/1950</f>
        <v>0.00205128205128205</v>
      </c>
      <c r="AP78" s="3" t="n">
        <f aca="false">SUM(AP72:AP77)</f>
        <v>5.20710666666667</v>
      </c>
      <c r="AT78" s="0" t="n">
        <v>0</v>
      </c>
      <c r="AU78" s="0" t="n">
        <f aca="false">AT78/1950</f>
        <v>0</v>
      </c>
      <c r="AV78" s="0" t="n">
        <v>0</v>
      </c>
      <c r="AW78" s="1" t="n">
        <v>1</v>
      </c>
      <c r="AX78" s="0" t="n">
        <f aca="false">AW78/1950</f>
        <v>0.000512820512820513</v>
      </c>
      <c r="AY78" s="0" t="n">
        <f aca="false">AX78*B78</f>
        <v>0.0820512820512821</v>
      </c>
      <c r="AZ78" s="1" t="n">
        <v>1</v>
      </c>
      <c r="BA78" s="0" t="n">
        <f aca="false">AZ78/1950</f>
        <v>0.000512820512820513</v>
      </c>
      <c r="BB78" s="0" t="n">
        <f aca="false">BA78*B78</f>
        <v>0.0820512820512821</v>
      </c>
    </row>
    <row r="79" customFormat="false" ht="12.8" hidden="false" customHeight="false" outlineLevel="0" collapsed="false">
      <c r="A79" s="3" t="s">
        <v>373</v>
      </c>
      <c r="B79" s="0" t="s">
        <v>74</v>
      </c>
      <c r="C79" s="1" t="n">
        <f aca="false">SUM(C73:C77)</f>
        <v>27</v>
      </c>
      <c r="D79" s="0" t="n">
        <f aca="false">C79/1950</f>
        <v>0.0138461538461538</v>
      </c>
      <c r="E79" s="0" t="n">
        <f aca="false">SUM(E73:E78)</f>
        <v>36.2950444444444</v>
      </c>
      <c r="F79" s="3" t="n">
        <v>1</v>
      </c>
      <c r="G79" s="0" t="n">
        <f aca="false">F79/1950</f>
        <v>0.000512820512820513</v>
      </c>
      <c r="H79" s="3" t="n">
        <f aca="false">SUM(H74:H78)</f>
        <v>0.0820512820512821</v>
      </c>
      <c r="I79" s="16" t="n">
        <f aca="false">SUM(I74:I77)</f>
        <v>7</v>
      </c>
      <c r="J79" s="11" t="n">
        <f aca="false">I79/1950</f>
        <v>0.00358974358974359</v>
      </c>
      <c r="K79" s="16" t="n">
        <f aca="false">SUM(K74:K78)</f>
        <v>9.25358700854701</v>
      </c>
      <c r="L79" s="3" t="n">
        <f aca="false">SUM(L74:L77)</f>
        <v>14</v>
      </c>
      <c r="M79" s="0" t="n">
        <f aca="false">L79/1950</f>
        <v>0.00717948717948718</v>
      </c>
      <c r="N79" s="0" t="n">
        <f aca="false">SUM(N74:N78)</f>
        <v>19.1742386324786</v>
      </c>
      <c r="O79" s="3" t="n">
        <f aca="false">SUM(O74:O77)</f>
        <v>14</v>
      </c>
      <c r="P79" s="0" t="n">
        <f aca="false">O79/1950</f>
        <v>0.00717948717948718</v>
      </c>
      <c r="Q79" s="0" t="n">
        <f aca="false">SUM(Q74:Q78)</f>
        <v>19.1742386324786</v>
      </c>
      <c r="R79" s="3" t="n">
        <f aca="false">SUM(R74:R77)</f>
        <v>14</v>
      </c>
      <c r="S79" s="0" t="n">
        <f aca="false">R79/1950</f>
        <v>0.00717948717948718</v>
      </c>
      <c r="T79" s="0" t="n">
        <f aca="false">SUM(T74:T78)</f>
        <v>19.1742386324786</v>
      </c>
      <c r="U79" s="0" t="n">
        <f aca="false">SUM(U74:U78)</f>
        <v>3</v>
      </c>
      <c r="V79" s="0" t="n">
        <f aca="false">U79/1950</f>
        <v>0.00153846153846154</v>
      </c>
      <c r="W79" s="0" t="n">
        <f aca="false">SUM(W74:W78)</f>
        <v>2.54699452991453</v>
      </c>
      <c r="X79" s="11" t="n">
        <f aca="false">SUM(X74:X78)</f>
        <v>10</v>
      </c>
      <c r="Y79" s="11" t="n">
        <f aca="false">X79/1950</f>
        <v>0.00512820512820513</v>
      </c>
      <c r="Z79" s="11" t="n">
        <f aca="false">SUM(Z74:Z78)</f>
        <v>13.0485863247863</v>
      </c>
      <c r="AA79" s="0" t="n">
        <f aca="false">SUM(AA74:AA78)</f>
        <v>3</v>
      </c>
      <c r="AB79" s="0" t="n">
        <f aca="false">AA79/1950</f>
        <v>0.00153846153846154</v>
      </c>
      <c r="AC79" s="0" t="n">
        <f aca="false">SUM(AC74:AC78)</f>
        <v>2.54699452991453</v>
      </c>
      <c r="AD79" s="11" t="n">
        <f aca="false">SUM(AD74:AD78)</f>
        <v>10</v>
      </c>
      <c r="AE79" s="11" t="n">
        <f aca="false">AD79/1950</f>
        <v>0.00512820512820513</v>
      </c>
      <c r="AF79" s="11" t="n">
        <f aca="false">SUM(AF74:AF78)</f>
        <v>13.0485863247863</v>
      </c>
      <c r="AH79" s="0" t="n">
        <v>21</v>
      </c>
      <c r="AI79" s="0" t="n">
        <f aca="false">AH79/1950</f>
        <v>0.0107692307692308</v>
      </c>
      <c r="AJ79" s="0" t="n">
        <f aca="false">AI79*B80</f>
        <v>27.1042776068376</v>
      </c>
      <c r="AK79" s="0" t="n">
        <v>21</v>
      </c>
      <c r="AL79" s="0" t="n">
        <f aca="false">AK79/1950</f>
        <v>0.0107692307692308</v>
      </c>
      <c r="AM79" s="0" t="n">
        <f aca="false">AL79*B80</f>
        <v>27.1042776068376</v>
      </c>
      <c r="AN79" s="0" t="n">
        <v>3</v>
      </c>
      <c r="AO79" s="0" t="n">
        <f aca="false">AN79/1950</f>
        <v>0.00153846153846154</v>
      </c>
      <c r="AP79" s="0" t="n">
        <f aca="false">AO79*B80</f>
        <v>3.87203965811966</v>
      </c>
      <c r="AT79" s="0" t="n">
        <f aca="false">SUM(AT74:AT78)</f>
        <v>3</v>
      </c>
      <c r="AU79" s="0" t="n">
        <f aca="false">AT79/1950</f>
        <v>0.00153846153846154</v>
      </c>
      <c r="AV79" s="3" t="n">
        <f aca="false">SUM(AV74:AV78)</f>
        <v>3.93336273504274</v>
      </c>
      <c r="AW79" s="1" t="n">
        <f aca="false">SUM(AW73:AW77)</f>
        <v>28</v>
      </c>
      <c r="AX79" s="0" t="n">
        <f aca="false">AW79/1950</f>
        <v>0.0143589743589744</v>
      </c>
      <c r="AY79" s="0" t="n">
        <f aca="false">SUM(AY73:AY78)</f>
        <v>37.6251005128205</v>
      </c>
      <c r="AZ79" s="1" t="n">
        <f aca="false">SUM(AZ73:AZ77)</f>
        <v>28</v>
      </c>
      <c r="BA79" s="0" t="n">
        <f aca="false">AZ79/1950</f>
        <v>0.0143589743589744</v>
      </c>
      <c r="BB79" s="0" t="n">
        <f aca="false">SUM(BB74:BB78)</f>
        <v>37.6251005128205</v>
      </c>
    </row>
    <row r="80" customFormat="false" ht="12.8" hidden="false" customHeight="false" outlineLevel="0" collapsed="false">
      <c r="A80" s="3" t="s">
        <v>374</v>
      </c>
      <c r="B80" s="0" t="n">
        <f aca="false">AVERAGE(B65:B66,B68:B70,B73:B76)</f>
        <v>2516.82577777778</v>
      </c>
      <c r="C80" s="1" t="n">
        <v>16</v>
      </c>
      <c r="D80" s="0" t="n">
        <f aca="false">C80/1950</f>
        <v>0.00820512820512821</v>
      </c>
      <c r="E80" s="0" t="n">
        <f aca="false">D80*B80</f>
        <v>20.6508781766382</v>
      </c>
      <c r="F80" s="0" t="n">
        <v>3</v>
      </c>
      <c r="G80" s="0" t="n">
        <f aca="false">F80/1950</f>
        <v>0.00153846153846154</v>
      </c>
      <c r="H80" s="0" t="n">
        <f aca="false">G80*B80</f>
        <v>3.87203965811966</v>
      </c>
      <c r="I80" s="11" t="n">
        <v>1</v>
      </c>
      <c r="J80" s="11" t="n">
        <f aca="false">I80/1950</f>
        <v>0.000512820512820513</v>
      </c>
      <c r="K80" s="11" t="n">
        <f aca="false">J80*B80</f>
        <v>1.29067988603989</v>
      </c>
      <c r="L80" s="0" t="n">
        <v>1</v>
      </c>
      <c r="M80" s="0" t="n">
        <f aca="false">L80/1950</f>
        <v>0.000512820512820513</v>
      </c>
      <c r="N80" s="0" t="n">
        <f aca="false">M80*B80</f>
        <v>1.29067988603989</v>
      </c>
      <c r="O80" s="0" t="n">
        <v>1</v>
      </c>
      <c r="P80" s="0" t="n">
        <f aca="false">O80/1950</f>
        <v>0.000512820512820513</v>
      </c>
      <c r="Q80" s="0" t="n">
        <f aca="false">P80*B80</f>
        <v>1.29067988603989</v>
      </c>
      <c r="R80" s="0" t="n">
        <v>1</v>
      </c>
      <c r="S80" s="0" t="n">
        <f aca="false">R80/1950</f>
        <v>0.000512820512820513</v>
      </c>
      <c r="T80" s="0" t="n">
        <f aca="false">S80*B80</f>
        <v>1.29067988603989</v>
      </c>
      <c r="U80" s="0" t="n">
        <v>3</v>
      </c>
      <c r="V80" s="0" t="n">
        <f aca="false">U80/1950</f>
        <v>0.00153846153846154</v>
      </c>
      <c r="W80" s="0" t="n">
        <f aca="false">V80*B80</f>
        <v>3.87203965811966</v>
      </c>
      <c r="X80" s="11" t="n">
        <v>1</v>
      </c>
      <c r="Y80" s="11" t="n">
        <f aca="false">X80/1950</f>
        <v>0.000512820512820513</v>
      </c>
      <c r="Z80" s="11" t="n">
        <f aca="false">Y80*B80</f>
        <v>1.29067988603989</v>
      </c>
      <c r="AA80" s="0" t="n">
        <v>3</v>
      </c>
      <c r="AB80" s="0" t="n">
        <f aca="false">AA80/1950</f>
        <v>0.00153846153846154</v>
      </c>
      <c r="AC80" s="0" t="n">
        <f aca="false">AB80*B80</f>
        <v>3.87203965811966</v>
      </c>
      <c r="AD80" s="11" t="n">
        <v>1</v>
      </c>
      <c r="AE80" s="11" t="n">
        <f aca="false">AD80/1950</f>
        <v>0.000512820512820513</v>
      </c>
      <c r="AF80" s="11" t="n">
        <f aca="false">AE80*B80</f>
        <v>1.29067988603989</v>
      </c>
      <c r="AH80" s="3" t="n">
        <f aca="false">SUM(AH71,AH78:AH79,AH72)</f>
        <v>169</v>
      </c>
      <c r="AI80" s="0" t="n">
        <f aca="false">AH80/1950</f>
        <v>0.0866666666666667</v>
      </c>
      <c r="AJ80" s="3" t="n">
        <f aca="false">SUM(AJ71:AJ72,AJ78:AJ79)</f>
        <v>217.787792136752</v>
      </c>
      <c r="AK80" s="3" t="n">
        <f aca="false">SUM(AK71,AK78:AK79,AK72)</f>
        <v>169</v>
      </c>
      <c r="AL80" s="0" t="n">
        <f aca="false">AK80/1950</f>
        <v>0.0866666666666667</v>
      </c>
      <c r="AM80" s="3" t="n">
        <f aca="false">SUM(AM78:AM79,AM71:AM72)</f>
        <v>217.787792136752</v>
      </c>
      <c r="AN80" s="3" t="n">
        <f aca="false">SUM(AN71,AN78:AN79)</f>
        <v>45</v>
      </c>
      <c r="AO80" s="0" t="n">
        <f aca="false">AN80/1950</f>
        <v>0.0230769230769231</v>
      </c>
      <c r="AP80" s="3" t="n">
        <f aca="false">SUM(AP71,AP78:AP79)</f>
        <v>49.4921083760684</v>
      </c>
      <c r="AT80" s="0" t="n">
        <v>3</v>
      </c>
      <c r="AU80" s="0" t="n">
        <f aca="false">AT80/1950</f>
        <v>0.00153846153846154</v>
      </c>
      <c r="AV80" s="0" t="n">
        <f aca="false">AU80*B80</f>
        <v>3.87203965811966</v>
      </c>
      <c r="AW80" s="1" t="n">
        <v>16</v>
      </c>
      <c r="AX80" s="0" t="n">
        <f aca="false">AW80/1950</f>
        <v>0.00820512820512821</v>
      </c>
      <c r="AY80" s="0" t="n">
        <f aca="false">AX80*B80</f>
        <v>20.6508781766382</v>
      </c>
      <c r="AZ80" s="1" t="n">
        <v>16</v>
      </c>
      <c r="BA80" s="0" t="n">
        <f aca="false">AZ80/1950</f>
        <v>0.00820512820512821</v>
      </c>
      <c r="BB80" s="0" t="n">
        <f aca="false">BA80*B80</f>
        <v>20.6508781766382</v>
      </c>
    </row>
    <row r="81" customFormat="false" ht="12.8" hidden="false" customHeight="false" outlineLevel="0" collapsed="false">
      <c r="A81" s="3" t="s">
        <v>375</v>
      </c>
      <c r="B81" s="0" t="s">
        <v>74</v>
      </c>
      <c r="C81" s="3" t="n">
        <f aca="false">SUM(C72,C79:C80)</f>
        <v>122</v>
      </c>
      <c r="D81" s="0" t="n">
        <f aca="false">C81/1950</f>
        <v>0.0625641025641026</v>
      </c>
      <c r="E81" s="3" t="n">
        <f aca="false">SUM(E72,E79:E80)</f>
        <v>161.004573390313</v>
      </c>
      <c r="F81" s="3" t="n">
        <f aca="false">SUM(F72,F79:F80)</f>
        <v>34</v>
      </c>
      <c r="G81" s="0" t="n">
        <f aca="false">F81/1950</f>
        <v>0.0174358974358974</v>
      </c>
      <c r="H81" s="3" t="n">
        <f aca="false">SUM(H72,H79:H80)</f>
        <v>36.6548294017094</v>
      </c>
      <c r="I81" s="16" t="n">
        <f aca="false">SUM(I72,I79:I80)</f>
        <v>20</v>
      </c>
      <c r="J81" s="11" t="n">
        <f aca="false">I81/1950</f>
        <v>0.0102564102564103</v>
      </c>
      <c r="K81" s="16" t="n">
        <f aca="false">SUM(K72,K79:K80)</f>
        <v>27.5502448433048</v>
      </c>
      <c r="L81" s="3" t="n">
        <f aca="false">SUM(L72,L79:L80)</f>
        <v>27</v>
      </c>
      <c r="M81" s="0" t="n">
        <f aca="false">L81/1950</f>
        <v>0.0138461538461538</v>
      </c>
      <c r="N81" s="3" t="n">
        <f aca="false">SUM(N72,N79:N80)</f>
        <v>45.5717995441595</v>
      </c>
      <c r="O81" s="3" t="n">
        <f aca="false">SUM(O72,O79:O80)</f>
        <v>27</v>
      </c>
      <c r="P81" s="0" t="n">
        <f aca="false">O81/1950</f>
        <v>0.0138461538461538</v>
      </c>
      <c r="Q81" s="3" t="n">
        <f aca="false">SUM(Q72,Q79:Q80)</f>
        <v>45.5717995441595</v>
      </c>
      <c r="R81" s="3" t="n">
        <f aca="false">SUM(R72,R79:R80)</f>
        <v>27</v>
      </c>
      <c r="S81" s="0" t="n">
        <f aca="false">R81/1950</f>
        <v>0.0138461538461538</v>
      </c>
      <c r="T81" s="3" t="n">
        <f aca="false">SUM(T72,T79:T80)</f>
        <v>45.5717995441595</v>
      </c>
      <c r="U81" s="0" t="n">
        <f aca="false">SUM(U72:U73,U79:U80)</f>
        <v>47</v>
      </c>
      <c r="V81" s="0" t="n">
        <f aca="false">U81/1950</f>
        <v>0.0241025641025641</v>
      </c>
      <c r="W81" s="3" t="n">
        <f aca="false">SUM(W72,W73,W79:W80)</f>
        <v>50.7892495726496</v>
      </c>
      <c r="X81" s="11" t="n">
        <f aca="false">SUM(X72:X73,X79:X80)</f>
        <v>28</v>
      </c>
      <c r="Y81" s="11" t="n">
        <f aca="false">X81/1950</f>
        <v>0.0143589743589744</v>
      </c>
      <c r="Z81" s="16" t="n">
        <f aca="false">SUM(Z72,Z73,Z79:Z80)</f>
        <v>37.2688405698006</v>
      </c>
      <c r="AA81" s="0" t="n">
        <f aca="false">SUM(AA72:AA73,AA79:AA80)</f>
        <v>47</v>
      </c>
      <c r="AB81" s="0" t="n">
        <f aca="false">AA81/1950</f>
        <v>0.0241025641025641</v>
      </c>
      <c r="AC81" s="3" t="n">
        <f aca="false">SUM(AC72,AC73,AC79:AC80)</f>
        <v>50.7892495726496</v>
      </c>
      <c r="AD81" s="11" t="n">
        <f aca="false">SUM(AD72:AD73,AD79:AD80)</f>
        <v>28</v>
      </c>
      <c r="AE81" s="11" t="n">
        <f aca="false">AD81/1950</f>
        <v>0.0143589743589744</v>
      </c>
      <c r="AF81" s="16" t="n">
        <f aca="false">SUM(AF72,AF73,AF79:AF80)</f>
        <v>37.2688405698006</v>
      </c>
      <c r="AH81" s="1" t="s">
        <v>74</v>
      </c>
      <c r="AI81" s="1" t="s">
        <v>74</v>
      </c>
      <c r="AJ81" s="1" t="s">
        <v>74</v>
      </c>
      <c r="AK81" s="0" t="n">
        <f aca="false">(AK80*0.71875/(0.22656+0.05469))-4</f>
        <v>427.888888888889</v>
      </c>
      <c r="AL81" s="0" t="n">
        <f aca="false">AK81/1950</f>
        <v>0.219430199430199</v>
      </c>
      <c r="AM81" s="3" t="n">
        <f aca="false">AL81*B82</f>
        <v>35.1088319088319</v>
      </c>
      <c r="AT81" s="0" t="n">
        <f aca="false">SUM(AT72:AT73,AT79:AT80)</f>
        <v>47</v>
      </c>
      <c r="AU81" s="0" t="n">
        <f aca="false">AT81/1950</f>
        <v>0.0241025641025641</v>
      </c>
      <c r="AV81" s="3" t="n">
        <f aca="false">SUM(AV72,AV79:AV80)</f>
        <v>51.406387008547</v>
      </c>
      <c r="AW81" s="3" t="n">
        <f aca="false">SUM(AW72,AW79:AW80)</f>
        <v>122</v>
      </c>
      <c r="AX81" s="0" t="n">
        <f aca="false">AW81/1950</f>
        <v>0.0625641025641026</v>
      </c>
      <c r="AY81" s="3" t="n">
        <f aca="false">SUM(AY72,AY79:AY80)</f>
        <v>159.701723817664</v>
      </c>
      <c r="AZ81" s="3" t="n">
        <f aca="false">SUM(AZ72,AZ79:AZ80)</f>
        <v>122</v>
      </c>
      <c r="BA81" s="0" t="n">
        <f aca="false">AZ81/1950</f>
        <v>0.0625641025641026</v>
      </c>
      <c r="BB81" s="3" t="n">
        <f aca="false">SUM(BB72,BB79:BB80)</f>
        <v>159.701723817664</v>
      </c>
    </row>
    <row r="82" customFormat="false" ht="12.8" hidden="false" customHeight="false" outlineLevel="0" collapsed="false">
      <c r="A82" s="3" t="s">
        <v>376</v>
      </c>
      <c r="B82" s="0" t="n">
        <v>160</v>
      </c>
      <c r="C82" s="1" t="s">
        <v>74</v>
      </c>
      <c r="D82" s="1" t="s">
        <v>74</v>
      </c>
      <c r="E82" s="1" t="s">
        <v>74</v>
      </c>
      <c r="F82" s="1" t="s">
        <v>74</v>
      </c>
      <c r="G82" s="1" t="s">
        <v>74</v>
      </c>
      <c r="H82" s="1" t="s">
        <v>74</v>
      </c>
      <c r="I82" s="17" t="s">
        <v>74</v>
      </c>
      <c r="J82" s="17" t="s">
        <v>74</v>
      </c>
      <c r="K82" s="17" t="s">
        <v>74</v>
      </c>
      <c r="L82" s="1" t="s">
        <v>74</v>
      </c>
      <c r="M82" s="1" t="s">
        <v>74</v>
      </c>
      <c r="N82" s="1" t="s">
        <v>74</v>
      </c>
      <c r="O82" s="0" t="n">
        <f aca="false">(O81*0.71875/(0.22656+0.05469))</f>
        <v>69</v>
      </c>
      <c r="P82" s="0" t="n">
        <f aca="false">O82/1950</f>
        <v>0.0353846153846154</v>
      </c>
      <c r="Q82" s="3" t="n">
        <f aca="false">P82*B82</f>
        <v>5.66153846153846</v>
      </c>
      <c r="R82" s="0" t="n">
        <f aca="false">(R81*0.71875/(0.22656+0.05469))</f>
        <v>69</v>
      </c>
      <c r="S82" s="0" t="n">
        <f aca="false">R82/1950</f>
        <v>0.0353846153846154</v>
      </c>
      <c r="T82" s="3" t="n">
        <f aca="false">S82*B82</f>
        <v>5.66153846153846</v>
      </c>
      <c r="U82" s="0" t="n">
        <f aca="false">(U81*0.71875/(0.22656+0.05469))</f>
        <v>120.111111111111</v>
      </c>
      <c r="V82" s="0" t="n">
        <f aca="false">U82/1950</f>
        <v>0.0615954415954416</v>
      </c>
      <c r="W82" s="3" t="n">
        <f aca="false">V82*B82</f>
        <v>9.85527065527066</v>
      </c>
      <c r="X82" s="11" t="n">
        <f aca="false">(X81*0.71875/(0.22656+0.05469))</f>
        <v>71.5555555555556</v>
      </c>
      <c r="Y82" s="11" t="n">
        <f aca="false">X82/1950</f>
        <v>0.0366951566951567</v>
      </c>
      <c r="Z82" s="16" t="n">
        <f aca="false">Y82*B82</f>
        <v>5.87122507122507</v>
      </c>
      <c r="AA82" s="0" t="n">
        <f aca="false">(AA81*0.71875/(0.22656+0.05469))</f>
        <v>120.111111111111</v>
      </c>
      <c r="AB82" s="0" t="n">
        <f aca="false">AA82/1950</f>
        <v>0.0615954415954416</v>
      </c>
      <c r="AC82" s="3" t="n">
        <f aca="false">AB82*B82</f>
        <v>9.85527065527066</v>
      </c>
      <c r="AD82" s="11" t="n">
        <f aca="false">(AD81*0.71875/(0.22656+0.05469))</f>
        <v>71.5555555555556</v>
      </c>
      <c r="AE82" s="11" t="n">
        <f aca="false">AD82/1950</f>
        <v>0.0366951566951567</v>
      </c>
      <c r="AF82" s="16" t="n">
        <f aca="false">AE82*B82</f>
        <v>5.87122507122507</v>
      </c>
      <c r="AH82" s="0" t="n">
        <v>51</v>
      </c>
      <c r="AI82" s="0" t="n">
        <f aca="false">AH82/1950</f>
        <v>0.0261538461538462</v>
      </c>
      <c r="AJ82" s="0" t="n">
        <f aca="false">AI82*B83</f>
        <v>65.7348153846154</v>
      </c>
      <c r="AK82" s="0" t="n">
        <v>51</v>
      </c>
      <c r="AL82" s="0" t="n">
        <f aca="false">AK82/1950</f>
        <v>0.0261538461538462</v>
      </c>
      <c r="AM82" s="0" t="n">
        <f aca="false">AL82*B83</f>
        <v>65.7348153846154</v>
      </c>
      <c r="AN82" s="0" t="n">
        <v>13</v>
      </c>
      <c r="AO82" s="0" t="n">
        <f aca="false">AN82/1950</f>
        <v>0.00666666666666667</v>
      </c>
      <c r="AP82" s="0" t="n">
        <f aca="false">AO82*B83</f>
        <v>16.7559333333333</v>
      </c>
      <c r="AW82" s="1" t="s">
        <v>74</v>
      </c>
      <c r="AX82" s="1" t="s">
        <v>74</v>
      </c>
      <c r="AY82" s="1" t="s">
        <v>74</v>
      </c>
      <c r="AZ82" s="1" t="s">
        <v>74</v>
      </c>
      <c r="BA82" s="1" t="s">
        <v>74</v>
      </c>
      <c r="BB82" s="1" t="s">
        <v>74</v>
      </c>
    </row>
    <row r="83" customFormat="false" ht="12.8" hidden="false" customHeight="false" outlineLevel="0" collapsed="false">
      <c r="A83" s="0" t="s">
        <v>245</v>
      </c>
      <c r="B83" s="0" t="n">
        <v>2513.39</v>
      </c>
      <c r="C83" s="0" t="n">
        <v>29</v>
      </c>
      <c r="D83" s="0" t="n">
        <f aca="false">C83/1950</f>
        <v>0.0148717948717949</v>
      </c>
      <c r="E83" s="0" t="n">
        <f aca="false">D83*B83</f>
        <v>37.3786205128205</v>
      </c>
      <c r="F83" s="0" t="n">
        <v>8</v>
      </c>
      <c r="G83" s="0" t="n">
        <f aca="false">F83/1950</f>
        <v>0.0041025641025641</v>
      </c>
      <c r="H83" s="0" t="n">
        <f aca="false">G83*B83</f>
        <v>10.3113435897436</v>
      </c>
      <c r="I83" s="11" t="n">
        <v>10</v>
      </c>
      <c r="J83" s="11" t="n">
        <f aca="false">I83/1950</f>
        <v>0.00512820512820513</v>
      </c>
      <c r="K83" s="11" t="n">
        <f aca="false">J83*B83</f>
        <v>12.8891794871795</v>
      </c>
      <c r="L83" s="0" t="n">
        <v>5</v>
      </c>
      <c r="M83" s="0" t="n">
        <f aca="false">L83/1950</f>
        <v>0.00256410256410256</v>
      </c>
      <c r="N83" s="0" t="n">
        <f aca="false">M83*B83</f>
        <v>6.44458974358974</v>
      </c>
      <c r="O83" s="0" t="n">
        <v>5</v>
      </c>
      <c r="P83" s="0" t="n">
        <f aca="false">O83/1950</f>
        <v>0.00256410256410256</v>
      </c>
      <c r="Q83" s="0" t="n">
        <f aca="false">P83*B83</f>
        <v>6.44458974358974</v>
      </c>
      <c r="R83" s="0" t="n">
        <v>5</v>
      </c>
      <c r="S83" s="0" t="n">
        <f aca="false">R83/1950</f>
        <v>0.00256410256410256</v>
      </c>
      <c r="T83" s="0" t="n">
        <f aca="false">S83*B83</f>
        <v>6.44458974358974</v>
      </c>
      <c r="U83" s="0" t="n">
        <v>8</v>
      </c>
      <c r="V83" s="0" t="n">
        <f aca="false">U83/1950</f>
        <v>0.0041025641025641</v>
      </c>
      <c r="W83" s="0" t="n">
        <f aca="false">V83*B83</f>
        <v>10.3113435897436</v>
      </c>
      <c r="X83" s="11" t="n">
        <v>10</v>
      </c>
      <c r="Y83" s="11" t="n">
        <f aca="false">X83/1950</f>
        <v>0.00512820512820513</v>
      </c>
      <c r="Z83" s="11" t="n">
        <f aca="false">Y83*B83</f>
        <v>12.8891794871795</v>
      </c>
      <c r="AA83" s="0" t="n">
        <v>8</v>
      </c>
      <c r="AB83" s="0" t="n">
        <f aca="false">AA83/1950</f>
        <v>0.0041025641025641</v>
      </c>
      <c r="AC83" s="0" t="n">
        <f aca="false">AB83*B83</f>
        <v>10.3113435897436</v>
      </c>
      <c r="AD83" s="11" t="n">
        <v>10</v>
      </c>
      <c r="AE83" s="11" t="n">
        <f aca="false">AD83/1950</f>
        <v>0.00512820512820513</v>
      </c>
      <c r="AF83" s="11" t="n">
        <f aca="false">AE83*B83</f>
        <v>12.8891794871795</v>
      </c>
      <c r="AH83" s="0" t="n">
        <v>7</v>
      </c>
      <c r="AI83" s="0" t="n">
        <f aca="false">AH83/1950</f>
        <v>0.00358974358974359</v>
      </c>
      <c r="AJ83" s="0" t="n">
        <f aca="false">AI83*B84</f>
        <v>1.2025641025641</v>
      </c>
      <c r="AK83" s="0" t="n">
        <f aca="false">AL83*1950</f>
        <v>75.3675970149254</v>
      </c>
      <c r="AL83" s="0" t="n">
        <f aca="false">AM83/B84</f>
        <v>0.0386500497512438</v>
      </c>
      <c r="AM83" s="0" t="n">
        <f aca="false">AM82*0.1625/0.825</f>
        <v>12.9477666666667</v>
      </c>
      <c r="AN83" s="0" t="n">
        <v>0</v>
      </c>
      <c r="AO83" s="0" t="n">
        <f aca="false">AN83/1950</f>
        <v>0</v>
      </c>
      <c r="AP83" s="0" t="n">
        <f aca="false">AO83*B84</f>
        <v>0</v>
      </c>
      <c r="AT83" s="0" t="n">
        <v>10</v>
      </c>
      <c r="AU83" s="0" t="n">
        <f aca="false">AT83/1950</f>
        <v>0.00512820512820513</v>
      </c>
      <c r="AV83" s="0" t="n">
        <f aca="false">AU83*B83</f>
        <v>12.8891794871795</v>
      </c>
      <c r="AW83" s="0" t="n">
        <v>25</v>
      </c>
      <c r="AX83" s="0" t="n">
        <f aca="false">AW83/1950</f>
        <v>0.0128205128205128</v>
      </c>
      <c r="AY83" s="0" t="n">
        <f aca="false">AX83*B83</f>
        <v>32.2229487179487</v>
      </c>
      <c r="AZ83" s="0" t="n">
        <v>25</v>
      </c>
      <c r="BA83" s="0" t="n">
        <f aca="false">AZ83/1950</f>
        <v>0.0128205128205128</v>
      </c>
      <c r="BB83" s="0" t="n">
        <f aca="false">BA83*B83</f>
        <v>32.2229487179487</v>
      </c>
    </row>
    <row r="84" customFormat="false" ht="12.8" hidden="false" customHeight="false" outlineLevel="0" collapsed="false">
      <c r="A84" s="0" t="s">
        <v>377</v>
      </c>
      <c r="B84" s="0" t="n">
        <v>335</v>
      </c>
      <c r="C84" s="0" t="n">
        <v>4</v>
      </c>
      <c r="D84" s="0" t="n">
        <f aca="false">C84/1950</f>
        <v>0.00205128205128205</v>
      </c>
      <c r="E84" s="0" t="n">
        <f aca="false">D84*B84</f>
        <v>0.687179487179487</v>
      </c>
      <c r="F84" s="0" t="n">
        <v>1</v>
      </c>
      <c r="G84" s="0" t="n">
        <f aca="false">F84/1950</f>
        <v>0.000512820512820513</v>
      </c>
      <c r="H84" s="0" t="n">
        <f aca="false">G84*B84</f>
        <v>0.171794871794872</v>
      </c>
      <c r="I84" s="11" t="n">
        <v>2</v>
      </c>
      <c r="J84" s="11" t="n">
        <f aca="false">I84/1950</f>
        <v>0.00102564102564103</v>
      </c>
      <c r="K84" s="11" t="n">
        <f aca="false">J84*E84</f>
        <v>0.000704799474030243</v>
      </c>
      <c r="L84" s="0" t="n">
        <v>2</v>
      </c>
      <c r="M84" s="0" t="n">
        <f aca="false">L84/1950</f>
        <v>0.00102564102564103</v>
      </c>
      <c r="N84" s="0" t="n">
        <f aca="false">M84*B84</f>
        <v>0.343589743589744</v>
      </c>
      <c r="O84" s="0" t="n">
        <f aca="false">P84*1950</f>
        <v>7.38898009950249</v>
      </c>
      <c r="P84" s="0" t="n">
        <f aca="false">Q84/B84</f>
        <v>0.00378922056384743</v>
      </c>
      <c r="Q84" s="0" t="n">
        <f aca="false">Q83*0.1625/0.825</f>
        <v>1.26938888888889</v>
      </c>
      <c r="R84" s="0" t="n">
        <f aca="false">S84*1950</f>
        <v>7.38898009950249</v>
      </c>
      <c r="S84" s="0" t="n">
        <f aca="false">T84/B84</f>
        <v>0.00378922056384743</v>
      </c>
      <c r="T84" s="0" t="n">
        <f aca="false">T83*0.1625/0.825</f>
        <v>1.26938888888889</v>
      </c>
      <c r="U84" s="0" t="n">
        <f aca="false">V84*1950</f>
        <v>11.822368159204</v>
      </c>
      <c r="V84" s="0" t="n">
        <f aca="false">W84/B84</f>
        <v>0.00606275290215589</v>
      </c>
      <c r="W84" s="0" t="n">
        <f aca="false">W83*0.1625/0.825</f>
        <v>2.03102222222222</v>
      </c>
      <c r="X84" s="11" t="n">
        <f aca="false">Y84*1950</f>
        <v>14.777960199005</v>
      </c>
      <c r="Y84" s="11" t="n">
        <f aca="false">Z84/B84</f>
        <v>0.00757844112769486</v>
      </c>
      <c r="Z84" s="11" t="n">
        <f aca="false">Z83*0.1625/0.825</f>
        <v>2.53877777777778</v>
      </c>
      <c r="AA84" s="0" t="n">
        <f aca="false">AB84*1950</f>
        <v>11.822368159204</v>
      </c>
      <c r="AB84" s="0" t="n">
        <f aca="false">AC84/B84</f>
        <v>0.00606275290215589</v>
      </c>
      <c r="AC84" s="0" t="n">
        <f aca="false">AC83*0.1625/0.825</f>
        <v>2.03102222222222</v>
      </c>
      <c r="AD84" s="11" t="n">
        <f aca="false">AE84*1950</f>
        <v>14.777960199005</v>
      </c>
      <c r="AE84" s="11" t="n">
        <f aca="false">AF84/B84</f>
        <v>0.00757844112769486</v>
      </c>
      <c r="AF84" s="11" t="n">
        <f aca="false">AF83*0.1625/0.825</f>
        <v>2.53877777777778</v>
      </c>
      <c r="AH84" s="1" t="s">
        <v>74</v>
      </c>
      <c r="AI84" s="1" t="s">
        <v>74</v>
      </c>
      <c r="AJ84" s="1" t="s">
        <v>74</v>
      </c>
      <c r="AK84" s="0" t="n">
        <f aca="false">AL84*1950</f>
        <v>55.825380856568</v>
      </c>
      <c r="AL84" s="0" t="n">
        <f aca="false">AM84/B85</f>
        <v>0.0286284004392656</v>
      </c>
      <c r="AM84" s="0" t="n">
        <f aca="false">AM82*0.0125/0.825</f>
        <v>0.995982051282051</v>
      </c>
      <c r="AT84" s="0" t="n">
        <v>0</v>
      </c>
      <c r="AU84" s="0" t="n">
        <f aca="false">AT84/1950</f>
        <v>0</v>
      </c>
      <c r="AV84" s="0" t="n">
        <v>0</v>
      </c>
      <c r="AW84" s="0" t="n">
        <v>8</v>
      </c>
      <c r="AX84" s="0" t="n">
        <f aca="false">AW84/1950</f>
        <v>0.0041025641025641</v>
      </c>
      <c r="AY84" s="0" t="n">
        <f aca="false">AX84*B84</f>
        <v>1.37435897435897</v>
      </c>
      <c r="AZ84" s="0" t="n">
        <v>8</v>
      </c>
      <c r="BA84" s="0" t="n">
        <f aca="false">AZ84/1950</f>
        <v>0.0041025641025641</v>
      </c>
      <c r="BB84" s="0" t="n">
        <f aca="false">BA84*B84</f>
        <v>1.37435897435897</v>
      </c>
    </row>
    <row r="85" customFormat="false" ht="12.8" hidden="false" customHeight="false" outlineLevel="0" collapsed="false">
      <c r="A85" s="0" t="s">
        <v>378</v>
      </c>
      <c r="B85" s="0" t="n">
        <v>34.79</v>
      </c>
      <c r="C85" s="1" t="s">
        <v>74</v>
      </c>
      <c r="D85" s="1" t="s">
        <v>74</v>
      </c>
      <c r="E85" s="1" t="s">
        <v>74</v>
      </c>
      <c r="F85" s="1" t="s">
        <v>74</v>
      </c>
      <c r="G85" s="1" t="s">
        <v>74</v>
      </c>
      <c r="H85" s="1" t="s">
        <v>74</v>
      </c>
      <c r="I85" s="17" t="s">
        <v>74</v>
      </c>
      <c r="J85" s="17" t="s">
        <v>74</v>
      </c>
      <c r="K85" s="17" t="s">
        <v>74</v>
      </c>
      <c r="L85" s="1" t="s">
        <v>74</v>
      </c>
      <c r="M85" s="1" t="s">
        <v>74</v>
      </c>
      <c r="N85" s="1" t="s">
        <v>74</v>
      </c>
      <c r="O85" s="0" t="n">
        <f aca="false">P85*1950</f>
        <v>5.47307655456549</v>
      </c>
      <c r="P85" s="0" t="n">
        <f aca="false">Q85/B85</f>
        <v>0.0028067059254182</v>
      </c>
      <c r="Q85" s="0" t="n">
        <f aca="false">Q83*0.0125/0.825</f>
        <v>0.0976452991452992</v>
      </c>
      <c r="R85" s="0" t="n">
        <f aca="false">S85*1950</f>
        <v>5.47307655456549</v>
      </c>
      <c r="S85" s="0" t="n">
        <f aca="false">T85/B85</f>
        <v>0.0028067059254182</v>
      </c>
      <c r="T85" s="0" t="n">
        <f aca="false">T83*0.0125/0.825</f>
        <v>0.0976452991452992</v>
      </c>
      <c r="U85" s="0" t="n">
        <f aca="false">V85*1950</f>
        <v>8.75692248730478</v>
      </c>
      <c r="V85" s="0" t="n">
        <f aca="false">W85/B85</f>
        <v>0.00449072948066912</v>
      </c>
      <c r="W85" s="0" t="n">
        <f aca="false">W83*0.0125/0.825</f>
        <v>0.156232478632479</v>
      </c>
      <c r="X85" s="11" t="n">
        <f aca="false">Y85*1950</f>
        <v>10.946153109131</v>
      </c>
      <c r="Y85" s="11" t="n">
        <f aca="false">Z85/B85</f>
        <v>0.0056134118508364</v>
      </c>
      <c r="Z85" s="11" t="n">
        <f aca="false">Z83*0.0125/0.825</f>
        <v>0.195290598290598</v>
      </c>
      <c r="AA85" s="0" t="n">
        <f aca="false">AB85*1950</f>
        <v>8.75692248730478</v>
      </c>
      <c r="AB85" s="0" t="n">
        <f aca="false">AC85/B85</f>
        <v>0.00449072948066912</v>
      </c>
      <c r="AC85" s="0" t="n">
        <f aca="false">AC83*0.0125/0.825</f>
        <v>0.156232478632479</v>
      </c>
      <c r="AD85" s="11" t="n">
        <f aca="false">AE85*1950</f>
        <v>10.946153109131</v>
      </c>
      <c r="AE85" s="11" t="n">
        <f aca="false">AF85/B85</f>
        <v>0.0056134118508364</v>
      </c>
      <c r="AF85" s="11" t="n">
        <f aca="false">AF83*0.0125/0.825</f>
        <v>0.195290598290598</v>
      </c>
      <c r="AH85" s="0" t="n">
        <v>9</v>
      </c>
      <c r="AI85" s="0" t="n">
        <f aca="false">AH85/1950</f>
        <v>0.00461538461538462</v>
      </c>
      <c r="AJ85" s="0" t="n">
        <f aca="false">AI85*B86</f>
        <v>12.6690969230769</v>
      </c>
      <c r="AK85" s="0" t="n">
        <v>9</v>
      </c>
      <c r="AL85" s="0" t="n">
        <f aca="false">AK85/1950</f>
        <v>0.00461538461538462</v>
      </c>
      <c r="AM85" s="0" t="n">
        <f aca="false">AL85*B86</f>
        <v>12.6690969230769</v>
      </c>
      <c r="AN85" s="0" t="n">
        <v>1</v>
      </c>
      <c r="AO85" s="0" t="n">
        <f aca="false">AN85/1950</f>
        <v>0.000512820512820513</v>
      </c>
      <c r="AP85" s="0" t="n">
        <f aca="false">AO85*B86</f>
        <v>1.40767743589744</v>
      </c>
      <c r="AW85" s="1" t="s">
        <v>74</v>
      </c>
      <c r="AX85" s="1" t="s">
        <v>74</v>
      </c>
      <c r="AY85" s="1" t="s">
        <v>74</v>
      </c>
      <c r="AZ85" s="1" t="s">
        <v>74</v>
      </c>
      <c r="BA85" s="1" t="s">
        <v>74</v>
      </c>
      <c r="BB85" s="1" t="s">
        <v>74</v>
      </c>
    </row>
    <row r="86" customFormat="false" ht="12.8" hidden="false" customHeight="false" outlineLevel="0" collapsed="false">
      <c r="A86" s="0" t="s">
        <v>269</v>
      </c>
      <c r="B86" s="0" t="n">
        <v>2744.971</v>
      </c>
      <c r="C86" s="1" t="n">
        <v>6</v>
      </c>
      <c r="D86" s="0" t="n">
        <f aca="false">C86/1950</f>
        <v>0.00307692307692308</v>
      </c>
      <c r="E86" s="0" t="n">
        <f aca="false">D86*B86</f>
        <v>8.44606461538462</v>
      </c>
      <c r="F86" s="0" t="n">
        <v>0</v>
      </c>
      <c r="G86" s="0" t="n">
        <f aca="false">F86/1950</f>
        <v>0</v>
      </c>
      <c r="H86" s="0" t="n">
        <v>0</v>
      </c>
      <c r="I86" s="11" t="n">
        <v>2</v>
      </c>
      <c r="J86" s="11" t="n">
        <f aca="false">I86/1950</f>
        <v>0.00102564102564103</v>
      </c>
      <c r="K86" s="11" t="n">
        <f aca="false">J86*B86</f>
        <v>2.81535487179487</v>
      </c>
      <c r="L86" s="0" t="n">
        <v>0</v>
      </c>
      <c r="M86" s="0" t="n">
        <f aca="false">L86/1950</f>
        <v>0</v>
      </c>
      <c r="N86" s="0" t="n">
        <f aca="false">M86*B86</f>
        <v>0</v>
      </c>
      <c r="O86" s="0" t="n">
        <v>0</v>
      </c>
      <c r="P86" s="0" t="n">
        <f aca="false">O86/175</f>
        <v>0</v>
      </c>
      <c r="Q86" s="0" t="n">
        <v>0</v>
      </c>
      <c r="R86" s="0" t="n">
        <v>0</v>
      </c>
      <c r="S86" s="0" t="n">
        <f aca="false">R86/175</f>
        <v>0</v>
      </c>
      <c r="T86" s="0" t="n">
        <v>0</v>
      </c>
      <c r="U86" s="0" t="n">
        <v>0</v>
      </c>
      <c r="V86" s="0" t="n">
        <v>0</v>
      </c>
      <c r="W86" s="0" t="n">
        <f aca="false">V86*B86</f>
        <v>0</v>
      </c>
      <c r="X86" s="11" t="n">
        <v>2</v>
      </c>
      <c r="Y86" s="11" t="n">
        <f aca="false">X86/1950</f>
        <v>0.00102564102564103</v>
      </c>
      <c r="Z86" s="11" t="n">
        <f aca="false">Y86*B86</f>
        <v>2.81535487179487</v>
      </c>
      <c r="AA86" s="0" t="n">
        <v>0</v>
      </c>
      <c r="AB86" s="0" t="n">
        <f aca="false">AA86/175</f>
        <v>0</v>
      </c>
      <c r="AC86" s="0" t="n">
        <f aca="false">AB86*B86</f>
        <v>0</v>
      </c>
      <c r="AD86" s="11" t="n">
        <v>2</v>
      </c>
      <c r="AE86" s="11" t="n">
        <f aca="false">AD86/1950</f>
        <v>0.00102564102564103</v>
      </c>
      <c r="AF86" s="11" t="n">
        <f aca="false">AE86*B86</f>
        <v>2.81535487179487</v>
      </c>
      <c r="AH86" s="1" t="s">
        <v>74</v>
      </c>
      <c r="AI86" s="1" t="s">
        <v>74</v>
      </c>
      <c r="AJ86" s="1" t="s">
        <v>74</v>
      </c>
      <c r="AK86" s="0" t="n">
        <f aca="false">AL86*1950</f>
        <v>8.50563556670551</v>
      </c>
      <c r="AL86" s="0" t="n">
        <f aca="false">AM86/B87</f>
        <v>0.00436186439318231</v>
      </c>
      <c r="AM86" s="0" t="n">
        <f aca="false">AM85*0.126/0.8645</f>
        <v>1.84650805356587</v>
      </c>
      <c r="AT86" s="0" t="n">
        <v>1</v>
      </c>
      <c r="AU86" s="0" t="n">
        <f aca="false">AT86/1950</f>
        <v>0.000512820512820513</v>
      </c>
      <c r="AV86" s="0" t="n">
        <f aca="false">AU86*B86</f>
        <v>1.40767743589744</v>
      </c>
      <c r="AW86" s="1" t="n">
        <v>6</v>
      </c>
      <c r="AX86" s="0" t="n">
        <f aca="false">AW86/1950</f>
        <v>0.00307692307692308</v>
      </c>
      <c r="AY86" s="0" t="n">
        <f aca="false">AX86*B86</f>
        <v>8.44606461538462</v>
      </c>
      <c r="AZ86" s="1" t="n">
        <v>6</v>
      </c>
      <c r="BA86" s="0" t="n">
        <f aca="false">AZ86/1950</f>
        <v>0.00307692307692308</v>
      </c>
      <c r="BB86" s="0" t="n">
        <f aca="false">BA86*B86</f>
        <v>8.44606461538462</v>
      </c>
    </row>
    <row r="87" customFormat="false" ht="12.8" hidden="false" customHeight="false" outlineLevel="0" collapsed="false">
      <c r="A87" s="0" t="s">
        <v>379</v>
      </c>
      <c r="B87" s="0" t="n">
        <v>423.33</v>
      </c>
      <c r="C87" s="1" t="s">
        <v>74</v>
      </c>
      <c r="D87" s="1" t="s">
        <v>74</v>
      </c>
      <c r="E87" s="1" t="s">
        <v>74</v>
      </c>
      <c r="F87" s="1" t="s">
        <v>74</v>
      </c>
      <c r="G87" s="1" t="s">
        <v>74</v>
      </c>
      <c r="H87" s="1" t="s">
        <v>74</v>
      </c>
      <c r="I87" s="17" t="s">
        <v>74</v>
      </c>
      <c r="J87" s="17" t="s">
        <v>74</v>
      </c>
      <c r="K87" s="17" t="s">
        <v>74</v>
      </c>
      <c r="L87" s="1" t="s">
        <v>74</v>
      </c>
      <c r="M87" s="1" t="s">
        <v>74</v>
      </c>
      <c r="N87" s="1" t="s">
        <v>74</v>
      </c>
      <c r="O87" s="1" t="s">
        <v>74</v>
      </c>
      <c r="P87" s="1" t="s">
        <v>74</v>
      </c>
      <c r="Q87" s="1" t="s">
        <v>74</v>
      </c>
      <c r="R87" s="1" t="s">
        <v>74</v>
      </c>
      <c r="S87" s="1" t="s">
        <v>74</v>
      </c>
      <c r="T87" s="1" t="s">
        <v>74</v>
      </c>
      <c r="U87" s="0" t="n">
        <v>0</v>
      </c>
      <c r="V87" s="0" t="n">
        <v>0</v>
      </c>
      <c r="W87" s="0" t="n">
        <f aca="false">V87*B87</f>
        <v>0</v>
      </c>
      <c r="X87" s="11" t="n">
        <f aca="false">Y87*1950</f>
        <v>1.89014123704567</v>
      </c>
      <c r="Y87" s="11" t="n">
        <f aca="false">Z87/B87</f>
        <v>0.000969303198484958</v>
      </c>
      <c r="Z87" s="11" t="n">
        <f aca="false">Z86*0.126/0.8645</f>
        <v>0.410335123014637</v>
      </c>
      <c r="AA87" s="0" t="n">
        <f aca="false">AB87*175</f>
        <v>0</v>
      </c>
      <c r="AB87" s="0" t="n">
        <f aca="false">AC87/B87</f>
        <v>0</v>
      </c>
      <c r="AC87" s="0" t="n">
        <f aca="false">AC86*0.126/0.8645</f>
        <v>0</v>
      </c>
      <c r="AD87" s="11" t="n">
        <f aca="false">AE87*1950</f>
        <v>1.89014123704567</v>
      </c>
      <c r="AE87" s="11" t="n">
        <f aca="false">AF87/B87</f>
        <v>0.000969303198484958</v>
      </c>
      <c r="AF87" s="11" t="n">
        <f aca="false">AF86*0.126/0.8645</f>
        <v>0.410335123014637</v>
      </c>
      <c r="AH87" s="1" t="s">
        <v>74</v>
      </c>
      <c r="AI87" s="1" t="s">
        <v>74</v>
      </c>
      <c r="AJ87" s="1" t="s">
        <v>74</v>
      </c>
      <c r="AK87" s="0" t="n">
        <f aca="false">AL87*1950</f>
        <v>9.01031026723028</v>
      </c>
      <c r="AL87" s="0" t="n">
        <f aca="false">AM87/B88</f>
        <v>0.00462067193191297</v>
      </c>
      <c r="AM87" s="0" t="n">
        <f aca="false">AM85*0.0095/0.8645</f>
        <v>0.139220845308538</v>
      </c>
      <c r="AW87" s="1" t="s">
        <v>74</v>
      </c>
      <c r="AX87" s="1" t="s">
        <v>74</v>
      </c>
      <c r="AY87" s="1" t="s">
        <v>74</v>
      </c>
      <c r="AZ87" s="1" t="s">
        <v>74</v>
      </c>
      <c r="BA87" s="1" t="s">
        <v>74</v>
      </c>
      <c r="BB87" s="1" t="s">
        <v>74</v>
      </c>
    </row>
    <row r="88" customFormat="false" ht="12.8" hidden="false" customHeight="false" outlineLevel="0" collapsed="false">
      <c r="A88" s="0" t="s">
        <v>380</v>
      </c>
      <c r="B88" s="0" t="n">
        <v>30.13</v>
      </c>
      <c r="C88" s="1" t="s">
        <v>74</v>
      </c>
      <c r="D88" s="1" t="s">
        <v>74</v>
      </c>
      <c r="E88" s="1" t="s">
        <v>74</v>
      </c>
      <c r="F88" s="1" t="s">
        <v>74</v>
      </c>
      <c r="G88" s="1" t="s">
        <v>74</v>
      </c>
      <c r="H88" s="1" t="s">
        <v>74</v>
      </c>
      <c r="I88" s="17" t="s">
        <v>74</v>
      </c>
      <c r="J88" s="17" t="s">
        <v>74</v>
      </c>
      <c r="K88" s="17" t="s">
        <v>74</v>
      </c>
      <c r="L88" s="1" t="s">
        <v>74</v>
      </c>
      <c r="M88" s="1" t="s">
        <v>74</v>
      </c>
      <c r="N88" s="1" t="s">
        <v>74</v>
      </c>
      <c r="O88" s="1" t="s">
        <v>74</v>
      </c>
      <c r="P88" s="1" t="s">
        <v>74</v>
      </c>
      <c r="Q88" s="1" t="s">
        <v>74</v>
      </c>
      <c r="R88" s="1" t="s">
        <v>74</v>
      </c>
      <c r="S88" s="1" t="s">
        <v>74</v>
      </c>
      <c r="T88" s="1" t="s">
        <v>74</v>
      </c>
      <c r="U88" s="0" t="n">
        <v>0</v>
      </c>
      <c r="V88" s="0" t="n">
        <v>0</v>
      </c>
      <c r="W88" s="0" t="n">
        <f aca="false">V88*B88</f>
        <v>0</v>
      </c>
      <c r="X88" s="11" t="n">
        <f aca="false">Y88*1950</f>
        <v>2.00229117049562</v>
      </c>
      <c r="Y88" s="11" t="n">
        <f aca="false">Z88/B88</f>
        <v>0.00102681598486955</v>
      </c>
      <c r="Z88" s="11" t="n">
        <f aca="false">Z86*0.0095/0.8645</f>
        <v>0.0309379656241195</v>
      </c>
      <c r="AA88" s="0" t="n">
        <f aca="false">AB88*175</f>
        <v>0</v>
      </c>
      <c r="AB88" s="0" t="n">
        <f aca="false">AC88/B88</f>
        <v>0</v>
      </c>
      <c r="AC88" s="0" t="n">
        <f aca="false">AC86*0.0095/0.8645</f>
        <v>0</v>
      </c>
      <c r="AD88" s="11" t="n">
        <f aca="false">AE88*1950</f>
        <v>2.00229117049562</v>
      </c>
      <c r="AE88" s="11" t="n">
        <f aca="false">AF88/B88</f>
        <v>0.00102681598486955</v>
      </c>
      <c r="AF88" s="11" t="n">
        <f aca="false">AF86*0.0095/0.8645</f>
        <v>0.0309379656241195</v>
      </c>
      <c r="AH88" s="0" t="n">
        <v>1</v>
      </c>
      <c r="AI88" s="0" t="n">
        <f aca="false">AH88/1950</f>
        <v>0.000512820512820513</v>
      </c>
      <c r="AJ88" s="0" t="n">
        <f aca="false">AI88*B89</f>
        <v>1.53295948717949</v>
      </c>
      <c r="AK88" s="0" t="n">
        <v>1</v>
      </c>
      <c r="AL88" s="0" t="n">
        <f aca="false">AK88/1950</f>
        <v>0.000512820512820513</v>
      </c>
      <c r="AM88" s="0" t="n">
        <f aca="false">AL88*B89</f>
        <v>1.53295948717949</v>
      </c>
      <c r="AN88" s="0" t="n">
        <v>0</v>
      </c>
      <c r="AO88" s="0" t="n">
        <f aca="false">AN88/2500</f>
        <v>0</v>
      </c>
      <c r="AP88" s="0" t="n">
        <f aca="false">AO88*B89</f>
        <v>0</v>
      </c>
      <c r="AW88" s="1" t="s">
        <v>74</v>
      </c>
      <c r="AX88" s="1" t="s">
        <v>74</v>
      </c>
      <c r="AY88" s="1" t="s">
        <v>74</v>
      </c>
      <c r="AZ88" s="1" t="s">
        <v>74</v>
      </c>
      <c r="BA88" s="1" t="s">
        <v>74</v>
      </c>
      <c r="BB88" s="1" t="s">
        <v>74</v>
      </c>
    </row>
    <row r="89" customFormat="false" ht="12.8" hidden="false" customHeight="false" outlineLevel="0" collapsed="false">
      <c r="A89" s="0" t="s">
        <v>276</v>
      </c>
      <c r="B89" s="0" t="n">
        <v>2989.271</v>
      </c>
      <c r="C89" s="1" t="n">
        <v>1</v>
      </c>
      <c r="D89" s="0" t="n">
        <f aca="false">C89/1950</f>
        <v>0.000512820512820513</v>
      </c>
      <c r="E89" s="0" t="n">
        <f aca="false">D89*B89</f>
        <v>1.53295948717949</v>
      </c>
      <c r="F89" s="0" t="n">
        <v>0</v>
      </c>
      <c r="G89" s="0" t="n">
        <f aca="false">F89/1950</f>
        <v>0</v>
      </c>
      <c r="H89" s="0" t="n">
        <v>0</v>
      </c>
      <c r="I89" s="11" t="n">
        <v>0</v>
      </c>
      <c r="J89" s="11" t="n">
        <f aca="false">I89/1950</f>
        <v>0</v>
      </c>
      <c r="K89" s="11" t="n">
        <v>0</v>
      </c>
      <c r="L89" s="0" t="n">
        <v>0</v>
      </c>
      <c r="M89" s="0" t="n">
        <f aca="false">L89/1950</f>
        <v>0</v>
      </c>
      <c r="N89" s="0" t="n">
        <f aca="false">M89*B89</f>
        <v>0</v>
      </c>
      <c r="O89" s="0" t="n">
        <v>0</v>
      </c>
      <c r="P89" s="0" t="n">
        <f aca="false">O89/175</f>
        <v>0</v>
      </c>
      <c r="Q89" s="0" t="n">
        <v>0</v>
      </c>
      <c r="R89" s="0" t="n">
        <v>0</v>
      </c>
      <c r="S89" s="0" t="n">
        <f aca="false">R89/175</f>
        <v>0</v>
      </c>
      <c r="T89" s="0" t="n">
        <v>0</v>
      </c>
      <c r="U89" s="0" t="s">
        <v>74</v>
      </c>
      <c r="V89" s="0" t="s">
        <v>74</v>
      </c>
      <c r="W89" s="0" t="s">
        <v>74</v>
      </c>
      <c r="X89" s="11" t="s">
        <v>74</v>
      </c>
      <c r="Y89" s="11" t="s">
        <v>74</v>
      </c>
      <c r="Z89" s="11" t="s">
        <v>74</v>
      </c>
      <c r="AA89" s="0" t="s">
        <v>74</v>
      </c>
      <c r="AB89" s="0" t="s">
        <v>74</v>
      </c>
      <c r="AC89" s="0" t="s">
        <v>74</v>
      </c>
      <c r="AD89" s="11" t="s">
        <v>74</v>
      </c>
      <c r="AE89" s="11" t="s">
        <v>74</v>
      </c>
      <c r="AF89" s="11" t="s">
        <v>74</v>
      </c>
      <c r="AH89" s="1" t="s">
        <v>74</v>
      </c>
      <c r="AI89" s="1" t="s">
        <v>74</v>
      </c>
      <c r="AJ89" s="1" t="s">
        <v>74</v>
      </c>
      <c r="AK89" s="0" t="n">
        <f aca="false">AL89*1950</f>
        <v>0.945082912520748</v>
      </c>
      <c r="AL89" s="0" t="n">
        <f aca="false">AM89/B90</f>
        <v>0.000484657903856794</v>
      </c>
      <c r="AM89" s="0" t="n">
        <f aca="false">AM88*0.126/0.8645</f>
        <v>0.223427293677982</v>
      </c>
      <c r="AT89" s="0" t="n">
        <v>0</v>
      </c>
      <c r="AU89" s="0" t="n">
        <f aca="false">AT89/1950</f>
        <v>0</v>
      </c>
      <c r="AV89" s="0" t="n">
        <v>0</v>
      </c>
      <c r="AW89" s="1" t="n">
        <v>1</v>
      </c>
      <c r="AX89" s="0" t="n">
        <f aca="false">AW89/1950</f>
        <v>0.000512820512820513</v>
      </c>
      <c r="AY89" s="0" t="n">
        <f aca="false">AX89*B89</f>
        <v>1.53295948717949</v>
      </c>
      <c r="AZ89" s="1" t="n">
        <v>1</v>
      </c>
      <c r="BA89" s="0" t="n">
        <f aca="false">AZ89/1950</f>
        <v>0.000512820512820513</v>
      </c>
      <c r="BB89" s="0" t="n">
        <f aca="false">BA89*B89</f>
        <v>1.53295948717949</v>
      </c>
    </row>
    <row r="90" customFormat="false" ht="12.8" hidden="false" customHeight="false" outlineLevel="0" collapsed="false">
      <c r="A90" s="0" t="s">
        <v>381</v>
      </c>
      <c r="B90" s="0" t="n">
        <v>461</v>
      </c>
      <c r="C90" s="1" t="s">
        <v>74</v>
      </c>
      <c r="D90" s="1" t="s">
        <v>74</v>
      </c>
      <c r="E90" s="1" t="s">
        <v>74</v>
      </c>
      <c r="F90" s="1" t="s">
        <v>74</v>
      </c>
      <c r="G90" s="1" t="s">
        <v>74</v>
      </c>
      <c r="H90" s="1" t="s">
        <v>74</v>
      </c>
      <c r="I90" s="17" t="s">
        <v>74</v>
      </c>
      <c r="J90" s="17" t="s">
        <v>74</v>
      </c>
      <c r="K90" s="17" t="s">
        <v>74</v>
      </c>
      <c r="L90" s="1" t="s">
        <v>74</v>
      </c>
      <c r="M90" s="1" t="s">
        <v>74</v>
      </c>
      <c r="N90" s="1" t="s">
        <v>74</v>
      </c>
      <c r="O90" s="1" t="s">
        <v>74</v>
      </c>
      <c r="P90" s="1" t="s">
        <v>74</v>
      </c>
      <c r="Q90" s="1" t="s">
        <v>74</v>
      </c>
      <c r="R90" s="1" t="s">
        <v>74</v>
      </c>
      <c r="S90" s="1" t="s">
        <v>74</v>
      </c>
      <c r="T90" s="1" t="s">
        <v>74</v>
      </c>
      <c r="U90" s="0" t="s">
        <v>74</v>
      </c>
      <c r="V90" s="0" t="s">
        <v>74</v>
      </c>
      <c r="W90" s="0" t="s">
        <v>74</v>
      </c>
      <c r="X90" s="11" t="s">
        <v>74</v>
      </c>
      <c r="Y90" s="11" t="s">
        <v>74</v>
      </c>
      <c r="Z90" s="11" t="s">
        <v>74</v>
      </c>
      <c r="AA90" s="0" t="s">
        <v>74</v>
      </c>
      <c r="AB90" s="0" t="s">
        <v>74</v>
      </c>
      <c r="AC90" s="0" t="s">
        <v>74</v>
      </c>
      <c r="AD90" s="11" t="s">
        <v>74</v>
      </c>
      <c r="AE90" s="11" t="s">
        <v>74</v>
      </c>
      <c r="AF90" s="11" t="s">
        <v>74</v>
      </c>
      <c r="AH90" s="1" t="s">
        <v>74</v>
      </c>
      <c r="AI90" s="1" t="s">
        <v>74</v>
      </c>
      <c r="AJ90" s="1" t="s">
        <v>74</v>
      </c>
      <c r="AK90" s="0" t="n">
        <f aca="false">AL90*1950</f>
        <v>1.00119268113782</v>
      </c>
      <c r="AL90" s="0" t="n">
        <f aca="false">AM90/B91</f>
        <v>0.000513432144173241</v>
      </c>
      <c r="AM90" s="0" t="n">
        <f aca="false">AM88*0.0095/0.8645</f>
        <v>0.016845708650324</v>
      </c>
      <c r="AW90" s="1" t="s">
        <v>74</v>
      </c>
      <c r="AX90" s="1" t="s">
        <v>74</v>
      </c>
      <c r="AY90" s="1" t="s">
        <v>74</v>
      </c>
      <c r="AZ90" s="1" t="s">
        <v>74</v>
      </c>
      <c r="BA90" s="1" t="s">
        <v>74</v>
      </c>
      <c r="BB90" s="1" t="s">
        <v>74</v>
      </c>
    </row>
    <row r="91" customFormat="false" ht="12.8" hidden="false" customHeight="false" outlineLevel="0" collapsed="false">
      <c r="A91" s="0" t="s">
        <v>382</v>
      </c>
      <c r="B91" s="0" t="n">
        <v>32.81</v>
      </c>
      <c r="C91" s="1" t="s">
        <v>74</v>
      </c>
      <c r="D91" s="1" t="s">
        <v>74</v>
      </c>
      <c r="E91" s="1" t="s">
        <v>74</v>
      </c>
      <c r="F91" s="1" t="s">
        <v>74</v>
      </c>
      <c r="G91" s="1" t="s">
        <v>74</v>
      </c>
      <c r="H91" s="1" t="s">
        <v>74</v>
      </c>
      <c r="I91" s="17" t="s">
        <v>74</v>
      </c>
      <c r="J91" s="17" t="s">
        <v>74</v>
      </c>
      <c r="K91" s="17" t="s">
        <v>74</v>
      </c>
      <c r="L91" s="1" t="s">
        <v>74</v>
      </c>
      <c r="M91" s="1" t="s">
        <v>74</v>
      </c>
      <c r="N91" s="1" t="s">
        <v>74</v>
      </c>
      <c r="O91" s="1" t="s">
        <v>74</v>
      </c>
      <c r="P91" s="1" t="s">
        <v>74</v>
      </c>
      <c r="Q91" s="1" t="s">
        <v>74</v>
      </c>
      <c r="R91" s="1" t="s">
        <v>74</v>
      </c>
      <c r="S91" s="1" t="s">
        <v>74</v>
      </c>
      <c r="T91" s="1" t="s">
        <v>74</v>
      </c>
      <c r="U91" s="0" t="s">
        <v>74</v>
      </c>
      <c r="V91" s="0" t="s">
        <v>74</v>
      </c>
      <c r="W91" s="0" t="s">
        <v>74</v>
      </c>
      <c r="X91" s="11" t="s">
        <v>74</v>
      </c>
      <c r="Y91" s="11" t="s">
        <v>74</v>
      </c>
      <c r="Z91" s="11" t="s">
        <v>74</v>
      </c>
      <c r="AA91" s="0" t="s">
        <v>74</v>
      </c>
      <c r="AB91" s="0" t="s">
        <v>74</v>
      </c>
      <c r="AC91" s="0" t="s">
        <v>74</v>
      </c>
      <c r="AD91" s="11" t="s">
        <v>74</v>
      </c>
      <c r="AE91" s="11" t="s">
        <v>74</v>
      </c>
      <c r="AF91" s="11" t="s">
        <v>74</v>
      </c>
      <c r="AH91" s="0" t="n">
        <v>13</v>
      </c>
      <c r="AI91" s="0" t="n">
        <f aca="false">AH91/1950</f>
        <v>0.00666666666666667</v>
      </c>
      <c r="AJ91" s="0" t="n">
        <f aca="false">AI91*B92</f>
        <v>17.0205973333333</v>
      </c>
      <c r="AK91" s="0" t="n">
        <v>13</v>
      </c>
      <c r="AL91" s="0" t="n">
        <f aca="false">AK91/1950</f>
        <v>0.00666666666666667</v>
      </c>
      <c r="AM91" s="0" t="n">
        <f aca="false">AL91*B92</f>
        <v>17.0205973333333</v>
      </c>
      <c r="AN91" s="0" t="n">
        <v>6</v>
      </c>
      <c r="AO91" s="0" t="n">
        <f aca="false">AN91/1950</f>
        <v>0.00307692307692308</v>
      </c>
      <c r="AP91" s="0" t="n">
        <f aca="false">AO91*B92</f>
        <v>7.85566030769231</v>
      </c>
      <c r="AW91" s="1" t="s">
        <v>74</v>
      </c>
      <c r="AX91" s="1" t="s">
        <v>74</v>
      </c>
      <c r="AY91" s="1" t="s">
        <v>74</v>
      </c>
      <c r="AZ91" s="1" t="s">
        <v>74</v>
      </c>
      <c r="BA91" s="1" t="s">
        <v>74</v>
      </c>
      <c r="BB91" s="1" t="s">
        <v>74</v>
      </c>
    </row>
    <row r="92" customFormat="false" ht="12.8" hidden="false" customHeight="false" outlineLevel="0" collapsed="false">
      <c r="A92" s="3" t="s">
        <v>383</v>
      </c>
      <c r="B92" s="0" t="n">
        <f aca="false">(B83*(C83/(C83+C86))+B86*(C86/(C83+C86)))</f>
        <v>2553.0896</v>
      </c>
      <c r="C92" s="1" t="n">
        <v>13</v>
      </c>
      <c r="D92" s="0" t="n">
        <f aca="false">C92/1950</f>
        <v>0.00666666666666667</v>
      </c>
      <c r="E92" s="0" t="n">
        <f aca="false">D92*B92</f>
        <v>17.0205973333333</v>
      </c>
      <c r="F92" s="0" t="n">
        <v>3</v>
      </c>
      <c r="G92" s="0" t="n">
        <f aca="false">F92/1950</f>
        <v>0.00153846153846154</v>
      </c>
      <c r="H92" s="0" t="n">
        <f aca="false">G92*B92</f>
        <v>3.92783015384615</v>
      </c>
      <c r="I92" s="11" t="n">
        <v>3</v>
      </c>
      <c r="J92" s="11" t="n">
        <f aca="false">I92/1950</f>
        <v>0.00153846153846154</v>
      </c>
      <c r="K92" s="11" t="n">
        <f aca="false">J92*B92</f>
        <v>3.92783015384615</v>
      </c>
      <c r="L92" s="0" t="n">
        <v>5</v>
      </c>
      <c r="M92" s="0" t="n">
        <f aca="false">L92/1950</f>
        <v>0.00256410256410256</v>
      </c>
      <c r="N92" s="0" t="n">
        <f aca="false">M92*B92</f>
        <v>6.54638358974359</v>
      </c>
      <c r="O92" s="0" t="n">
        <v>5</v>
      </c>
      <c r="P92" s="0" t="n">
        <f aca="false">O92/1950</f>
        <v>0.00256410256410256</v>
      </c>
      <c r="Q92" s="0" t="n">
        <f aca="false">P92*B92</f>
        <v>6.54638358974359</v>
      </c>
      <c r="R92" s="0" t="n">
        <v>5</v>
      </c>
      <c r="S92" s="0" t="n">
        <f aca="false">R92/1950</f>
        <v>0.00256410256410256</v>
      </c>
      <c r="T92" s="0" t="n">
        <f aca="false">S92*B92</f>
        <v>6.54638358974359</v>
      </c>
      <c r="U92" s="0" t="n">
        <v>3</v>
      </c>
      <c r="V92" s="0" t="n">
        <f aca="false">U92/1950</f>
        <v>0.00153846153846154</v>
      </c>
      <c r="W92" s="0" t="n">
        <f aca="false">V92*B92</f>
        <v>3.92783015384615</v>
      </c>
      <c r="X92" s="11" t="n">
        <v>3</v>
      </c>
      <c r="Y92" s="11" t="n">
        <f aca="false">X92/1950</f>
        <v>0.00153846153846154</v>
      </c>
      <c r="Z92" s="11" t="n">
        <f aca="false">Y92*B92</f>
        <v>3.92783015384615</v>
      </c>
      <c r="AA92" s="0" t="n">
        <v>3</v>
      </c>
      <c r="AB92" s="0" t="n">
        <f aca="false">AA92/1950</f>
        <v>0.00153846153846154</v>
      </c>
      <c r="AC92" s="0" t="n">
        <f aca="false">AB92*B92</f>
        <v>3.92783015384615</v>
      </c>
      <c r="AD92" s="11" t="n">
        <v>3</v>
      </c>
      <c r="AE92" s="11" t="n">
        <f aca="false">AD92/1950</f>
        <v>0.00153846153846154</v>
      </c>
      <c r="AF92" s="11" t="n">
        <f aca="false">AE92*B92</f>
        <v>3.92783015384615</v>
      </c>
      <c r="AH92" s="1" t="s">
        <v>74</v>
      </c>
      <c r="AI92" s="1" t="s">
        <v>74</v>
      </c>
      <c r="AJ92" s="1" t="s">
        <v>74</v>
      </c>
      <c r="AK92" s="0" t="n">
        <f aca="false">AL92*1950</f>
        <v>19.5147961284487</v>
      </c>
      <c r="AL92" s="0" t="n">
        <f aca="false">AM92/B93</f>
        <v>0.0100075877581788</v>
      </c>
      <c r="AM92" s="0" t="n">
        <f aca="false">AM91*0.1625/0.825</f>
        <v>3.3525418989899</v>
      </c>
      <c r="AT92" s="0" t="n">
        <v>3</v>
      </c>
      <c r="AU92" s="0" t="n">
        <f aca="false">AT92/1950</f>
        <v>0.00153846153846154</v>
      </c>
      <c r="AV92" s="0" t="n">
        <f aca="false">AU92*B92</f>
        <v>3.92783015384615</v>
      </c>
      <c r="AW92" s="1" t="n">
        <v>13</v>
      </c>
      <c r="AX92" s="0" t="n">
        <f aca="false">AW92/1950</f>
        <v>0.00666666666666667</v>
      </c>
      <c r="AY92" s="0" t="n">
        <f aca="false">AX92*B92</f>
        <v>17.0205973333333</v>
      </c>
      <c r="AZ92" s="1" t="n">
        <v>13</v>
      </c>
      <c r="BA92" s="0" t="n">
        <f aca="false">AZ92/1950</f>
        <v>0.00666666666666667</v>
      </c>
      <c r="BB92" s="0" t="n">
        <f aca="false">BA92*B92</f>
        <v>17.0205973333333</v>
      </c>
    </row>
    <row r="93" customFormat="false" ht="12.8" hidden="false" customHeight="false" outlineLevel="0" collapsed="false">
      <c r="A93" s="1" t="s">
        <v>384</v>
      </c>
      <c r="B93" s="0" t="n">
        <v>335</v>
      </c>
      <c r="C93" s="1" t="s">
        <v>74</v>
      </c>
      <c r="D93" s="1" t="s">
        <v>74</v>
      </c>
      <c r="E93" s="1" t="s">
        <v>74</v>
      </c>
      <c r="F93" s="1" t="s">
        <v>74</v>
      </c>
      <c r="G93" s="1" t="s">
        <v>74</v>
      </c>
      <c r="H93" s="1" t="s">
        <v>74</v>
      </c>
      <c r="I93" s="17" t="s">
        <v>74</v>
      </c>
      <c r="J93" s="17" t="s">
        <v>74</v>
      </c>
      <c r="K93" s="17" t="s">
        <v>74</v>
      </c>
      <c r="L93" s="1" t="s">
        <v>74</v>
      </c>
      <c r="M93" s="1" t="s">
        <v>74</v>
      </c>
      <c r="N93" s="1" t="s">
        <v>74</v>
      </c>
      <c r="O93" s="0" t="n">
        <f aca="false">P93*1950</f>
        <v>7.5056908186341</v>
      </c>
      <c r="P93" s="0" t="n">
        <f aca="false">Q93/B93</f>
        <v>0.00384907221468416</v>
      </c>
      <c r="Q93" s="0" t="n">
        <f aca="false">Q92*0.1625/0.825</f>
        <v>1.28943919191919</v>
      </c>
      <c r="R93" s="0" t="n">
        <f aca="false">S93*1950</f>
        <v>7.5056908186341</v>
      </c>
      <c r="S93" s="0" t="n">
        <f aca="false">T93/B93</f>
        <v>0.00384907221468416</v>
      </c>
      <c r="T93" s="0" t="n">
        <f aca="false">T92*0.1625/0.825</f>
        <v>1.28943919191919</v>
      </c>
      <c r="U93" s="0" t="n">
        <f aca="false">V93*1950</f>
        <v>4.50341449118046</v>
      </c>
      <c r="V93" s="0" t="n">
        <f aca="false">W93/B93</f>
        <v>0.00230944332881049</v>
      </c>
      <c r="W93" s="0" t="n">
        <f aca="false">W92*0.1625/0.825</f>
        <v>0.773663515151515</v>
      </c>
      <c r="X93" s="11" t="n">
        <f aca="false">Y93*1950</f>
        <v>4.50341449118046</v>
      </c>
      <c r="Y93" s="11" t="n">
        <f aca="false">Z93/B93</f>
        <v>0.00230944332881049</v>
      </c>
      <c r="Z93" s="11" t="n">
        <f aca="false">Z92*0.1625/0.825</f>
        <v>0.773663515151515</v>
      </c>
      <c r="AA93" s="0" t="n">
        <f aca="false">AB93*1950</f>
        <v>4.50341449118046</v>
      </c>
      <c r="AB93" s="0" t="n">
        <f aca="false">AC93/B93</f>
        <v>0.00230944332881049</v>
      </c>
      <c r="AC93" s="0" t="n">
        <f aca="false">AC92*0.1625/0.825</f>
        <v>0.773663515151515</v>
      </c>
      <c r="AD93" s="11" t="n">
        <f aca="false">AE93*1950</f>
        <v>4.50341449118046</v>
      </c>
      <c r="AE93" s="11" t="n">
        <f aca="false">AF93/B93</f>
        <v>0.00230944332881049</v>
      </c>
      <c r="AF93" s="11" t="n">
        <f aca="false">AF92*0.1625/0.825</f>
        <v>0.773663515151515</v>
      </c>
      <c r="AH93" s="1" t="s">
        <v>74</v>
      </c>
      <c r="AI93" s="1" t="s">
        <v>74</v>
      </c>
      <c r="AJ93" s="1" t="s">
        <v>74</v>
      </c>
      <c r="AK93" s="0" t="n">
        <f aca="false">AL93*1950</f>
        <v>14.3680367099567</v>
      </c>
      <c r="AL93" s="0" t="n">
        <f aca="false">AM93/B94</f>
        <v>0.00736822395382396</v>
      </c>
      <c r="AM93" s="0" t="n">
        <f aca="false">AM91*0.0125/0.825</f>
        <v>0.257887838383838</v>
      </c>
      <c r="AW93" s="1" t="s">
        <v>74</v>
      </c>
      <c r="AX93" s="1" t="s">
        <v>74</v>
      </c>
      <c r="AY93" s="1" t="s">
        <v>74</v>
      </c>
      <c r="AZ93" s="1" t="s">
        <v>74</v>
      </c>
      <c r="BA93" s="1" t="s">
        <v>74</v>
      </c>
      <c r="BB93" s="1" t="s">
        <v>74</v>
      </c>
    </row>
    <row r="94" customFormat="false" ht="12.8" hidden="false" customHeight="false" outlineLevel="0" collapsed="false">
      <c r="A94" s="1" t="s">
        <v>385</v>
      </c>
      <c r="B94" s="0" t="n">
        <v>35</v>
      </c>
      <c r="C94" s="1" t="s">
        <v>74</v>
      </c>
      <c r="D94" s="1" t="s">
        <v>74</v>
      </c>
      <c r="E94" s="1" t="s">
        <v>74</v>
      </c>
      <c r="F94" s="1" t="s">
        <v>74</v>
      </c>
      <c r="G94" s="1" t="s">
        <v>74</v>
      </c>
      <c r="H94" s="1" t="s">
        <v>74</v>
      </c>
      <c r="I94" s="17" t="s">
        <v>74</v>
      </c>
      <c r="J94" s="17" t="s">
        <v>74</v>
      </c>
      <c r="K94" s="17" t="s">
        <v>74</v>
      </c>
      <c r="L94" s="1" t="s">
        <v>74</v>
      </c>
      <c r="M94" s="1" t="s">
        <v>74</v>
      </c>
      <c r="N94" s="1" t="s">
        <v>74</v>
      </c>
      <c r="O94" s="0" t="n">
        <f aca="false">P94*1950</f>
        <v>5.52616796536797</v>
      </c>
      <c r="P94" s="0" t="n">
        <f aca="false">Q94/B94</f>
        <v>0.00283393228993229</v>
      </c>
      <c r="Q94" s="0" t="n">
        <f aca="false">Q92*0.0125/0.825</f>
        <v>0.0991876301476302</v>
      </c>
      <c r="R94" s="0" t="n">
        <f aca="false">S94*1950</f>
        <v>5.52616796536797</v>
      </c>
      <c r="S94" s="0" t="n">
        <f aca="false">T94/B94</f>
        <v>0.00283393228993229</v>
      </c>
      <c r="T94" s="0" t="n">
        <f aca="false">T92*0.0125/0.825</f>
        <v>0.0991876301476302</v>
      </c>
      <c r="U94" s="0" t="n">
        <f aca="false">V94*1950</f>
        <v>3.31570077922078</v>
      </c>
      <c r="V94" s="0" t="n">
        <f aca="false">W94/B94</f>
        <v>0.00170035937395937</v>
      </c>
      <c r="W94" s="0" t="n">
        <f aca="false">W92*0.0125/0.825</f>
        <v>0.0595125780885781</v>
      </c>
      <c r="X94" s="11" t="n">
        <f aca="false">Y94*1950</f>
        <v>3.31570077922078</v>
      </c>
      <c r="Y94" s="11" t="n">
        <f aca="false">Z94/B94</f>
        <v>0.00170035937395937</v>
      </c>
      <c r="Z94" s="11" t="n">
        <f aca="false">Z92*0.0125/0.825</f>
        <v>0.0595125780885781</v>
      </c>
      <c r="AA94" s="0" t="n">
        <f aca="false">AB94*1950</f>
        <v>3.31570077922078</v>
      </c>
      <c r="AB94" s="0" t="n">
        <f aca="false">AC94/B94</f>
        <v>0.00170035937395937</v>
      </c>
      <c r="AC94" s="0" t="n">
        <f aca="false">AC92*0.0125/0.825</f>
        <v>0.0595125780885781</v>
      </c>
      <c r="AD94" s="11" t="n">
        <f aca="false">AE94*1950</f>
        <v>3.31570077922078</v>
      </c>
      <c r="AE94" s="11" t="n">
        <f aca="false">AF94/B94</f>
        <v>0.00170035937395937</v>
      </c>
      <c r="AF94" s="11" t="n">
        <f aca="false">AF92*0.0125/0.825</f>
        <v>0.0595125780885781</v>
      </c>
      <c r="AH94" s="3" t="n">
        <f aca="false">SUM(AH82:AH91)</f>
        <v>81</v>
      </c>
      <c r="AI94" s="0" t="n">
        <f aca="false">AH94/1950</f>
        <v>0.0415384615384615</v>
      </c>
      <c r="AJ94" s="3" t="n">
        <f aca="false">SUM(AJ82:AJ91)</f>
        <v>98.1600332307692</v>
      </c>
      <c r="AK94" s="3" t="n">
        <f aca="false">SUM(AK82,AK85,AK88,AK91)</f>
        <v>74</v>
      </c>
      <c r="AL94" s="1" t="n">
        <f aca="false">AK94/1950</f>
        <v>0.037948717948718</v>
      </c>
      <c r="AM94" s="3" t="n">
        <f aca="false">SUM(AM82,AM85,AM88,AM91)</f>
        <v>96.9574691282051</v>
      </c>
      <c r="AN94" s="3" t="n">
        <f aca="false">SUM(AN82:AN91)</f>
        <v>20</v>
      </c>
      <c r="AO94" s="0" t="n">
        <f aca="false">AN94/1950</f>
        <v>0.0102564102564103</v>
      </c>
      <c r="AP94" s="3" t="n">
        <f aca="false">SUM(AP82:AP91)</f>
        <v>26.0192710769231</v>
      </c>
      <c r="AW94" s="1" t="s">
        <v>74</v>
      </c>
      <c r="AX94" s="1" t="s">
        <v>74</v>
      </c>
      <c r="AY94" s="1" t="s">
        <v>74</v>
      </c>
      <c r="AZ94" s="1" t="s">
        <v>74</v>
      </c>
      <c r="BA94" s="1" t="s">
        <v>74</v>
      </c>
      <c r="BB94" s="1" t="s">
        <v>74</v>
      </c>
    </row>
    <row r="95" customFormat="false" ht="12.8" hidden="false" customHeight="false" outlineLevel="0" collapsed="false">
      <c r="A95" s="3" t="s">
        <v>386</v>
      </c>
      <c r="B95" s="0" t="s">
        <v>74</v>
      </c>
      <c r="C95" s="1" t="n">
        <f aca="false">SUM(C83:C92)</f>
        <v>53</v>
      </c>
      <c r="D95" s="0" t="n">
        <f aca="false">C95/1950</f>
        <v>0.0271794871794872</v>
      </c>
      <c r="E95" s="3" t="n">
        <f aca="false">SUM(E83:E92)</f>
        <v>65.0654214358974</v>
      </c>
      <c r="F95" s="3" t="n">
        <f aca="false">SUM(F83:F84,F86,F89,F92)</f>
        <v>12</v>
      </c>
      <c r="G95" s="1" t="n">
        <f aca="false">F95/1950</f>
        <v>0.00615384615384615</v>
      </c>
      <c r="H95" s="3" t="n">
        <f aca="false">SUM(H83:H84,H86,H89,H92)</f>
        <v>14.4109686153846</v>
      </c>
      <c r="I95" s="16" t="n">
        <f aca="false">SUM(I83:I84,I86,I89,I92)</f>
        <v>17</v>
      </c>
      <c r="J95" s="17" t="n">
        <f aca="false">I95/1950</f>
        <v>0.00871794871794872</v>
      </c>
      <c r="K95" s="16" t="n">
        <f aca="false">SUM(K83:K84,K86,K89,K92)</f>
        <v>19.6330693122945</v>
      </c>
      <c r="L95" s="3" t="n">
        <f aca="false">SUM(L83:L92)</f>
        <v>12</v>
      </c>
      <c r="M95" s="0" t="n">
        <f aca="false">L95/1950</f>
        <v>0.00615384615384615</v>
      </c>
      <c r="N95" s="3" t="n">
        <f aca="false">SUM(N83:N92)</f>
        <v>13.3345630769231</v>
      </c>
      <c r="O95" s="0" t="n">
        <f aca="false">SUM(O83,O92)</f>
        <v>10</v>
      </c>
      <c r="P95" s="0" t="n">
        <f aca="false">O95/1950</f>
        <v>0.00512820512820513</v>
      </c>
      <c r="Q95" s="3" t="n">
        <f aca="false">SUM(Q83,Q86,Q92)</f>
        <v>12.9909733333333</v>
      </c>
      <c r="R95" s="0" t="n">
        <f aca="false">SUM(R83,R92)</f>
        <v>10</v>
      </c>
      <c r="S95" s="0" t="n">
        <f aca="false">R95/1950</f>
        <v>0.00512820512820513</v>
      </c>
      <c r="T95" s="3" t="n">
        <f aca="false">SUM(T83,T86,T92)</f>
        <v>12.9909733333333</v>
      </c>
      <c r="U95" s="0" t="n">
        <f aca="false">SUM(U83,U92)</f>
        <v>11</v>
      </c>
      <c r="V95" s="0" t="n">
        <f aca="false">U95/1950</f>
        <v>0.00564102564102564</v>
      </c>
      <c r="W95" s="3" t="n">
        <f aca="false">SUM(W83,W86,W92)</f>
        <v>14.2391737435897</v>
      </c>
      <c r="X95" s="11" t="n">
        <f aca="false">SUM(X83,X92)</f>
        <v>13</v>
      </c>
      <c r="Y95" s="11" t="n">
        <f aca="false">X95/1950</f>
        <v>0.00666666666666667</v>
      </c>
      <c r="Z95" s="16" t="n">
        <f aca="false">SUM(Z83,Z86,Z92)</f>
        <v>19.6323645128205</v>
      </c>
      <c r="AA95" s="3" t="n">
        <f aca="false">SUM(AA83,AA86,AA92)</f>
        <v>11</v>
      </c>
      <c r="AB95" s="0" t="n">
        <f aca="false">AA95/1950</f>
        <v>0.00564102564102564</v>
      </c>
      <c r="AC95" s="3" t="n">
        <f aca="false">SUM(AC83,AC86,AC92)</f>
        <v>14.2391737435897</v>
      </c>
      <c r="AD95" s="16" t="n">
        <f aca="false">SUM(AD83,AD86,AD92)</f>
        <v>15</v>
      </c>
      <c r="AE95" s="11" t="n">
        <f aca="false">AD95/1950</f>
        <v>0.00769230769230769</v>
      </c>
      <c r="AF95" s="16" t="n">
        <f aca="false">SUM(AF83,AF86,AF92)</f>
        <v>19.6323645128205</v>
      </c>
      <c r="AH95" s="1" t="s">
        <v>74</v>
      </c>
      <c r="AI95" s="1" t="s">
        <v>74</v>
      </c>
      <c r="AJ95" s="1" t="s">
        <v>74</v>
      </c>
      <c r="AK95" s="3" t="n">
        <f aca="false">SUM(AK83:AK84,AK86:AK87,AK89:AK90,AK92:AK93)</f>
        <v>184.538032137493</v>
      </c>
      <c r="AL95" s="3" t="n">
        <f aca="false">AK95/1950</f>
        <v>0.0946348882756375</v>
      </c>
      <c r="AM95" s="3" t="n">
        <f aca="false">SUM(AM83:AM84,AM86:AM87,AM89:AM90,AM92:AM93)</f>
        <v>19.7801803565252</v>
      </c>
      <c r="AN95" s="3"/>
      <c r="AP95" s="3"/>
      <c r="AT95" s="0" t="n">
        <f aca="false">SUM(AT83:AT92)</f>
        <v>14</v>
      </c>
      <c r="AU95" s="0" t="n">
        <f aca="false">AT95/1950</f>
        <v>0.00717948717948718</v>
      </c>
      <c r="AV95" s="3" t="n">
        <f aca="false">SUM(AV83:AV92)</f>
        <v>18.2246870769231</v>
      </c>
      <c r="AW95" s="1" t="n">
        <f aca="false">SUM(AW83:AW92)</f>
        <v>53</v>
      </c>
      <c r="AX95" s="0" t="n">
        <f aca="false">AW95/1950</f>
        <v>0.0271794871794872</v>
      </c>
      <c r="AY95" s="3" t="n">
        <f aca="false">SUM(AY83:AY92)</f>
        <v>60.5969291282051</v>
      </c>
      <c r="AZ95" s="1" t="n">
        <f aca="false">SUM(AZ83:AZ92)</f>
        <v>53</v>
      </c>
      <c r="BA95" s="0" t="n">
        <f aca="false">AZ95/1950</f>
        <v>0.0271794871794872</v>
      </c>
      <c r="BB95" s="3" t="n">
        <f aca="false">SUM(BB83:BB92)</f>
        <v>60.5969291282051</v>
      </c>
    </row>
    <row r="96" customFormat="false" ht="12.8" hidden="false" customHeight="false" outlineLevel="0" collapsed="false">
      <c r="A96" s="3" t="s">
        <v>387</v>
      </c>
      <c r="B96" s="0" t="s">
        <v>74</v>
      </c>
      <c r="C96" s="1" t="s">
        <v>74</v>
      </c>
      <c r="D96" s="1" t="s">
        <v>74</v>
      </c>
      <c r="E96" s="1" t="s">
        <v>74</v>
      </c>
      <c r="F96" s="1" t="s">
        <v>74</v>
      </c>
      <c r="G96" s="1" t="s">
        <v>74</v>
      </c>
      <c r="H96" s="1" t="s">
        <v>74</v>
      </c>
      <c r="I96" s="17" t="s">
        <v>74</v>
      </c>
      <c r="J96" s="17" t="s">
        <v>74</v>
      </c>
      <c r="K96" s="17" t="s">
        <v>74</v>
      </c>
      <c r="L96" s="1" t="s">
        <v>74</v>
      </c>
      <c r="M96" s="1" t="s">
        <v>74</v>
      </c>
      <c r="N96" s="1" t="s">
        <v>74</v>
      </c>
      <c r="O96" s="0" t="n">
        <f aca="false">SUM(O84:O85,O87:O88,O93:O94)</f>
        <v>25.89391543807</v>
      </c>
      <c r="P96" s="0" t="n">
        <f aca="false">O96/1950</f>
        <v>0.0132789309938821</v>
      </c>
      <c r="Q96" s="3" t="n">
        <f aca="false">SUM(Q84:Q85,Q87:Q88,Q93:Q94)</f>
        <v>2.75566101010101</v>
      </c>
      <c r="R96" s="0" t="n">
        <f aca="false">SUM(R84:R85,R87:R88,R93:R94)</f>
        <v>25.89391543807</v>
      </c>
      <c r="S96" s="0" t="n">
        <f aca="false">R96/1950</f>
        <v>0.0132789309938821</v>
      </c>
      <c r="T96" s="3" t="n">
        <f aca="false">SUM(T84:T85,T87:T88,T93:T94)</f>
        <v>2.75566101010101</v>
      </c>
      <c r="U96" s="0" t="n">
        <f aca="false">SUM(U84:U85,U87:U88,U93:U94)</f>
        <v>28.39840591691</v>
      </c>
      <c r="V96" s="0" t="n">
        <f aca="false">U96/1950</f>
        <v>0.0145632850855949</v>
      </c>
      <c r="W96" s="3" t="n">
        <f aca="false">SUM(W84:W85,W87:W88,W93:W94)</f>
        <v>3.02043079409479</v>
      </c>
      <c r="X96" s="11" t="n">
        <f aca="false">SUM(X84:X85,X87:X88,X93:X94)</f>
        <v>37.4356609860785</v>
      </c>
      <c r="Y96" s="11" t="n">
        <f aca="false">X96/1950</f>
        <v>0.0191977748646556</v>
      </c>
      <c r="Z96" s="16" t="n">
        <f aca="false">SUM(Z84:Z85,Z87:Z88,Z93:Z94)</f>
        <v>4.00851755794723</v>
      </c>
      <c r="AA96" s="0" t="n">
        <f aca="false">SUM(AA84:AA85,AA87:AA88,AA93:AA94)</f>
        <v>28.39840591691</v>
      </c>
      <c r="AB96" s="0" t="n">
        <f aca="false">AA96/1950</f>
        <v>0.0145632850855949</v>
      </c>
      <c r="AC96" s="3" t="n">
        <f aca="false">SUM(AC84:AC85,AC87:AC88,AC93:AC94)</f>
        <v>3.02043079409479</v>
      </c>
      <c r="AD96" s="11" t="n">
        <f aca="false">SUM(AD84:AD85,AD87:AD88,AD93:AD94)</f>
        <v>37.4356609860785</v>
      </c>
      <c r="AE96" s="11" t="n">
        <f aca="false">AD96/1950</f>
        <v>0.0191977748646556</v>
      </c>
      <c r="AF96" s="16" t="n">
        <f aca="false">SUM(AF84:AF85,AF87:AF88,AF93:AF94)</f>
        <v>4.00851755794723</v>
      </c>
      <c r="AH96" s="0" t="s">
        <v>74</v>
      </c>
      <c r="AI96" s="0" t="s">
        <v>74</v>
      </c>
      <c r="AJ96" s="0" t="n">
        <f aca="false">SUM(AJ41,AJ62,AJ80)</f>
        <v>822.734328834697</v>
      </c>
      <c r="AM96" s="0" t="n">
        <f aca="false">SUM(AM41,AM62:AM63,AM80:AM81)</f>
        <v>907.052980710796</v>
      </c>
      <c r="AP96" s="0" t="n">
        <f aca="false">SUM(AP41,AP62,AP80)</f>
        <v>293.827817224223</v>
      </c>
      <c r="AV96" s="3"/>
      <c r="AW96" s="1" t="s">
        <v>74</v>
      </c>
      <c r="AX96" s="1" t="s">
        <v>74</v>
      </c>
      <c r="AY96" s="1" t="s">
        <v>74</v>
      </c>
      <c r="AZ96" s="1" t="s">
        <v>74</v>
      </c>
      <c r="BA96" s="1" t="s">
        <v>74</v>
      </c>
      <c r="BB96" s="1" t="s">
        <v>74</v>
      </c>
    </row>
    <row r="97" customFormat="false" ht="12.8" hidden="false" customHeight="false" outlineLevel="0" collapsed="false">
      <c r="A97" s="1" t="s">
        <v>388</v>
      </c>
      <c r="B97" s="0" t="s">
        <v>74</v>
      </c>
      <c r="C97" s="0" t="s">
        <v>74</v>
      </c>
      <c r="D97" s="0" t="s">
        <v>74</v>
      </c>
      <c r="E97" s="0" t="n">
        <f aca="false">SUM(E41,E63,E81)</f>
        <v>740.849802451355</v>
      </c>
      <c r="H97" s="0" t="n">
        <f aca="false">SUM(H41,H63,H81)</f>
        <v>174.052733538946</v>
      </c>
      <c r="K97" s="11" t="n">
        <f aca="false">SUM(K41,K63,K81)</f>
        <v>223.745495321574</v>
      </c>
      <c r="N97" s="0" t="n">
        <f aca="false">SUM(N41,N63,N81)</f>
        <v>197.836459692308</v>
      </c>
      <c r="Q97" s="0" t="n">
        <f aca="false">SUM(Q41,Q63:Q64,Q81:Q82)</f>
        <v>216.346006882706</v>
      </c>
      <c r="T97" s="0" t="n">
        <f aca="false">SUM(T41,T63:T64,T81:T82)</f>
        <v>216.346006882706</v>
      </c>
      <c r="W97" s="0" t="n">
        <f aca="false">SUM(W41,W63:W64,W81:W82)</f>
        <v>209.010236694672</v>
      </c>
      <c r="Z97" s="11" t="n">
        <f aca="false">SUM(Z41,Z63:Z64,Z81:Z82)</f>
        <v>261.261136021095</v>
      </c>
      <c r="AC97" s="0" t="n">
        <f aca="false">SUM(AC41,AC63:AC64,AC81:AC82)</f>
        <v>209.010236694672</v>
      </c>
      <c r="AF97" s="11" t="n">
        <f aca="false">SUM(AF41,AF63:AF64,AF81:AF82)</f>
        <v>261.261136021095</v>
      </c>
      <c r="AH97" s="0" t="s">
        <v>74</v>
      </c>
      <c r="AI97" s="0" t="s">
        <v>74</v>
      </c>
      <c r="AJ97" s="0" t="n">
        <f aca="false">AJ94</f>
        <v>98.1600332307692</v>
      </c>
      <c r="AM97" s="0" t="n">
        <f aca="false">SUM(AM94:AM95)</f>
        <v>116.73764948473</v>
      </c>
      <c r="AP97" s="0" t="n">
        <f aca="false">AP94</f>
        <v>26.0192710769231</v>
      </c>
      <c r="AV97" s="0" t="n">
        <f aca="false">SUM(AV81,AV63,AV41)</f>
        <v>185.545057812451</v>
      </c>
      <c r="AW97" s="0" t="s">
        <v>74</v>
      </c>
      <c r="AX97" s="0" t="s">
        <v>74</v>
      </c>
      <c r="AY97" s="0" t="n">
        <f aca="false">SUM(AY41,AY63,AY81)</f>
        <v>738.778762014427</v>
      </c>
      <c r="AZ97" s="0" t="s">
        <v>74</v>
      </c>
      <c r="BA97" s="0" t="s">
        <v>74</v>
      </c>
      <c r="BB97" s="0" t="n">
        <f aca="false">SUM(BB41,BB63,BB81)</f>
        <v>738.778762014427</v>
      </c>
    </row>
    <row r="98" customFormat="false" ht="12.8" hidden="false" customHeight="false" outlineLevel="0" collapsed="false">
      <c r="A98" s="1" t="s">
        <v>389</v>
      </c>
      <c r="B98" s="0" t="s">
        <v>74</v>
      </c>
      <c r="C98" s="0" t="s">
        <v>74</v>
      </c>
      <c r="D98" s="0" t="s">
        <v>74</v>
      </c>
      <c r="E98" s="0" t="n">
        <f aca="false">E95</f>
        <v>65.0654214358974</v>
      </c>
      <c r="H98" s="0" t="n">
        <f aca="false">H95</f>
        <v>14.4109686153846</v>
      </c>
      <c r="K98" s="11" t="n">
        <f aca="false">K95</f>
        <v>19.6330693122945</v>
      </c>
      <c r="N98" s="0" t="n">
        <f aca="false">N95</f>
        <v>13.3345630769231</v>
      </c>
      <c r="Q98" s="0" t="n">
        <f aca="false">SUM(Q95:Q96)</f>
        <v>15.7466343434343</v>
      </c>
      <c r="T98" s="0" t="n">
        <f aca="false">SUM(T95:T96)</f>
        <v>15.7466343434343</v>
      </c>
      <c r="W98" s="0" t="n">
        <f aca="false">SUM(W95:W96)</f>
        <v>17.2596045376845</v>
      </c>
      <c r="Z98" s="11" t="n">
        <f aca="false">SUM(Z95:Z96)</f>
        <v>23.6408820707677</v>
      </c>
      <c r="AC98" s="0" t="n">
        <f aca="false">SUM(AC95:AC96)</f>
        <v>17.2596045376845</v>
      </c>
      <c r="AF98" s="11" t="n">
        <f aca="false">SUM(AF95:AF96)</f>
        <v>23.6408820707677</v>
      </c>
      <c r="AH98" s="0" t="s">
        <v>74</v>
      </c>
      <c r="AI98" s="0" t="s">
        <v>74</v>
      </c>
      <c r="AJ98" s="0" t="n">
        <f aca="false">SUM(AJ96,AJ3,AJ8:AJ9,AJ16)</f>
        <v>840.891826948863</v>
      </c>
      <c r="AP98" s="0" t="n">
        <f aca="false">SUM(AP96,AP3,AP8,AP9,AP16)</f>
        <v>298.213345285761</v>
      </c>
      <c r="AV98" s="0" t="n">
        <f aca="false">AV95</f>
        <v>18.2246870769231</v>
      </c>
      <c r="AW98" s="0" t="s">
        <v>74</v>
      </c>
      <c r="AX98" s="0" t="s">
        <v>74</v>
      </c>
      <c r="AY98" s="0" t="n">
        <f aca="false">AY95</f>
        <v>60.5969291282051</v>
      </c>
      <c r="AZ98" s="0" t="s">
        <v>74</v>
      </c>
      <c r="BA98" s="0" t="s">
        <v>74</v>
      </c>
      <c r="BB98" s="0" t="n">
        <f aca="false">BB95</f>
        <v>60.5969291282051</v>
      </c>
    </row>
    <row r="99" customFormat="false" ht="12.8" hidden="false" customHeight="false" outlineLevel="0" collapsed="false">
      <c r="A99" s="0" t="s">
        <v>390</v>
      </c>
      <c r="B99" s="0" t="s">
        <v>74</v>
      </c>
      <c r="C99" s="0" t="s">
        <v>74</v>
      </c>
      <c r="D99" s="0" t="s">
        <v>74</v>
      </c>
      <c r="E99" s="0" t="n">
        <f aca="false">SUM(E3,E8,E9,E16,E41,E63,E81)</f>
        <v>756.460221282124</v>
      </c>
      <c r="H99" s="0" t="n">
        <f aca="false">SUM(H97,H8,H16,H21)</f>
        <v>176.288909703049</v>
      </c>
      <c r="K99" s="11" t="n">
        <f aca="false">SUM(K97,K8,K16,K21)</f>
        <v>229.073105126702</v>
      </c>
      <c r="N99" s="0" t="n">
        <f aca="false">SUM(N97,N3,N8:N9,N16)</f>
        <v>201.911345476923</v>
      </c>
      <c r="Q99" s="0" t="n">
        <f aca="false">SUM(Q97,Q3,Q8:Q9,Q16)</f>
        <v>220.420892667321</v>
      </c>
      <c r="T99" s="0" t="n">
        <f aca="false">SUM(T97,T3,T8:T9,T16)</f>
        <v>304.799877918005</v>
      </c>
      <c r="W99" s="0" t="n">
        <f aca="false">SUM(W97,W3,W8:W9,W16)</f>
        <v>211.078646704928</v>
      </c>
      <c r="Z99" s="11" t="n">
        <f aca="false">SUM(Z97,Z3,Z8:Z9,Z16)</f>
        <v>265.847835056992</v>
      </c>
      <c r="AC99" s="0" t="n">
        <f aca="false">SUM(AC97,AC3,AC8:AC9,AC16)</f>
        <v>297.464107729971</v>
      </c>
      <c r="AF99" s="11" t="n">
        <f aca="false">SUM(AF97,AF3,AF8:AF9,AF16)</f>
        <v>349.715007056394</v>
      </c>
      <c r="AH99" s="0" t="s">
        <v>74</v>
      </c>
      <c r="AI99" s="0" t="s">
        <v>74</v>
      </c>
      <c r="AJ99" s="0" t="n">
        <f aca="false">SUM(AJ97,AJ2,AJ21,AJ27,AJ31)</f>
        <v>110.700879931624</v>
      </c>
      <c r="AP99" s="0" t="n">
        <f aca="false">SUM(AP97,AP2,AP21,AP27,AP31)</f>
        <v>27.9737892060779</v>
      </c>
      <c r="AV99" s="0" t="n">
        <f aca="false">SUM(AV97,AV16,AV8,AV3)</f>
        <v>187.854747535528</v>
      </c>
      <c r="AW99" s="0" t="s">
        <v>74</v>
      </c>
      <c r="AX99" s="0" t="s">
        <v>74</v>
      </c>
      <c r="AY99" s="0" t="n">
        <f aca="false">SUM(AY3,AY8,AY9,AY16,AY41,AY63,AY81)</f>
        <v>756.557586856798</v>
      </c>
      <c r="AZ99" s="0" t="s">
        <v>74</v>
      </c>
      <c r="BA99" s="0" t="s">
        <v>74</v>
      </c>
      <c r="BB99" s="0" t="n">
        <f aca="false">SUM(BB3,BB8:BB9,BB16,BB41,BB63,BB81)</f>
        <v>756.936260128592</v>
      </c>
    </row>
    <row r="100" customFormat="false" ht="12.8" hidden="false" customHeight="false" outlineLevel="0" collapsed="false">
      <c r="A100" s="0" t="s">
        <v>391</v>
      </c>
      <c r="B100" s="0" t="s">
        <v>74</v>
      </c>
      <c r="C100" s="0" t="s">
        <v>74</v>
      </c>
      <c r="D100" s="0" t="s">
        <v>74</v>
      </c>
      <c r="E100" s="0" t="n">
        <f aca="false">SUM(E95,E31,E27,E21,E2)</f>
        <v>72.8369827521368</v>
      </c>
      <c r="H100" s="0" t="n">
        <f aca="false">SUM(H98,H2,H21,H27,H31)</f>
        <v>15.6364283589744</v>
      </c>
      <c r="K100" s="11" t="n">
        <f aca="false">SUM(K98,K2,K21,K27,K31)</f>
        <v>22.6756241840894</v>
      </c>
      <c r="N100" s="0" t="n">
        <f aca="false">SUM(N98,N2,N21,N27,N31)</f>
        <v>14.9084811111111</v>
      </c>
      <c r="Q100" s="0" t="n">
        <f aca="false">SUM(Q98,Q2,Q21,Q27,Q31)</f>
        <v>17.3205523776224</v>
      </c>
      <c r="T100" s="0" t="n">
        <f aca="false">SUM(T98,T2,T21,T27,T31)</f>
        <v>30.6032939125651</v>
      </c>
      <c r="W100" s="0" t="n">
        <f aca="false">SUM(W98,W2,W21,W27,W31)</f>
        <v>18.4850642812743</v>
      </c>
      <c r="Z100" s="11" t="n">
        <f aca="false">SUM(Z98,Z2,Z21,Z27,Z31)</f>
        <v>26.6834369425626</v>
      </c>
      <c r="AC100" s="0" t="n">
        <f aca="false">SUM(AC98,AC2,AC21,AC27,AC31)</f>
        <v>31.9880589786101</v>
      </c>
      <c r="AF100" s="11" t="n">
        <f aca="false">SUM(AF98,AF2,AF21,AF27,AF31)</f>
        <v>39.2667724091292</v>
      </c>
      <c r="AV100" s="0" t="n">
        <f aca="false">SUM(AV98,AV31,AV27,AV21,AV2)</f>
        <v>19.2500971868132</v>
      </c>
      <c r="AW100" s="0" t="s">
        <v>74</v>
      </c>
      <c r="AX100" s="0" t="s">
        <v>74</v>
      </c>
      <c r="AY100" s="0" t="n">
        <f aca="false">SUM(AY95,AY31,AY27,AY21,AY2)</f>
        <v>68.3910914700855</v>
      </c>
      <c r="AZ100" s="0" t="s">
        <v>74</v>
      </c>
      <c r="BA100" s="0" t="s">
        <v>74</v>
      </c>
      <c r="BB100" s="0" t="n">
        <f aca="false">SUM(BB2,BB21,BB27,BB31,BB95)</f>
        <v>73.1377758290598</v>
      </c>
    </row>
    <row r="101" customFormat="false" ht="12.8" hidden="false" customHeight="false" outlineLevel="0" collapsed="false">
      <c r="A101" s="0" t="s">
        <v>392</v>
      </c>
      <c r="T101" s="0" t="n">
        <f aca="false">T99+T21+T27</f>
        <v>316.175472537137</v>
      </c>
      <c r="AC101" s="0" t="n">
        <f aca="false">AC99+AC21+AC27</f>
        <v>308.839702349103</v>
      </c>
      <c r="AF101" s="11" t="n">
        <f aca="false">AF99+AF21+AF27</f>
        <v>361.090601675526</v>
      </c>
    </row>
    <row r="102" customFormat="false" ht="12.8" hidden="false" customHeight="false" outlineLevel="0" collapsed="false">
      <c r="A102" s="0" t="s">
        <v>393</v>
      </c>
      <c r="T102" s="0" t="n">
        <f aca="false">T100-T21-T27</f>
        <v>19.227699293433</v>
      </c>
      <c r="AC102" s="0" t="n">
        <f aca="false">AC100-AC21-AC27</f>
        <v>20.6124643594781</v>
      </c>
      <c r="AF102" s="11" t="n">
        <f aca="false">AF100-AF21-AF27</f>
        <v>27.8911777899972</v>
      </c>
    </row>
    <row r="103" customFormat="false" ht="12.8" hidden="false" customHeight="false" outlineLevel="0" collapsed="false">
      <c r="A103" s="0" t="s">
        <v>394</v>
      </c>
      <c r="C103" s="0" t="n">
        <f aca="false">SUM(C2:C3,C8,C9,C16,C21,C27,C31)/SUM(C41,C63,C81,C95)</f>
        <v>1.39266055045872</v>
      </c>
      <c r="AW103" s="0" t="n">
        <f aca="false">SUM(AW2:AW3,AW8,AW9,AW16,AW21,AW27,AW31)/SUM(AW41,AW63,AW81,AW95)</f>
        <v>1.83648591845313</v>
      </c>
      <c r="AZ103" s="0" t="n">
        <f aca="false">SUM(AZ2:AZ3,AZ8,AZ9,AZ16,AZ21,AZ27,AZ31)/SUM(AZ41,AZ63,AZ81,AZ95)</f>
        <v>2.85296943493665</v>
      </c>
    </row>
    <row r="104" customFormat="false" ht="12.8" hidden="false" customHeight="false" outlineLevel="0" collapsed="false">
      <c r="A104" s="0" t="s">
        <v>396</v>
      </c>
      <c r="E104" s="0" t="n">
        <f aca="false">(SUM(E99:E100)-SUM(E97:E98))/SUM(E99:E100)</f>
        <v>0.0281949342566968</v>
      </c>
      <c r="AY104" s="0" t="n">
        <f aca="false">(SUM(AY99:AY100)-SUM(AY97:AY98))/SUM(AY99:AY100)</f>
        <v>0.0309994886422715</v>
      </c>
      <c r="BB104" s="0" t="n">
        <f aca="false">(SUM(BB99:BB100)-SUM(BB97:BB98))/SUM(BB99:BB100)</f>
        <v>0.0369826587571839</v>
      </c>
    </row>
    <row r="105" customFormat="false" ht="12.8" hidden="false" customHeight="false" outlineLevel="0" collapsed="false">
      <c r="AT105" s="0" t="s">
        <v>404</v>
      </c>
    </row>
    <row r="106" customFormat="false" ht="12.8" hidden="false" customHeight="false" outlineLevel="0" collapsed="false">
      <c r="C106" s="0" t="s">
        <v>397</v>
      </c>
    </row>
    <row r="107" customFormat="false" ht="12.8" hidden="false" customHeight="false" outlineLevel="0" collapsed="false">
      <c r="C107" s="0" t="s">
        <v>399</v>
      </c>
    </row>
    <row r="108" customFormat="false" ht="12.8" hidden="false" customHeight="false" outlineLevel="0" collapsed="false">
      <c r="C108" s="0" t="s">
        <v>405</v>
      </c>
    </row>
    <row r="111" customFormat="false" ht="12.8" hidden="false" customHeight="false" outlineLevel="0" collapsed="false">
      <c r="C111" s="0" t="s">
        <v>406</v>
      </c>
    </row>
    <row r="112" customFormat="false" ht="12.8" hidden="false" customHeight="false" outlineLevel="0" collapsed="false">
      <c r="C112" s="0" t="s">
        <v>407</v>
      </c>
    </row>
    <row r="113" customFormat="false" ht="12.8" hidden="false" customHeight="false" outlineLevel="0" collapsed="false">
      <c r="C113" s="0" t="s">
        <v>408</v>
      </c>
    </row>
    <row r="114" customFormat="false" ht="12.8" hidden="false" customHeight="false" outlineLevel="0" collapsed="false">
      <c r="C114" s="0" t="s">
        <v>409</v>
      </c>
    </row>
    <row r="115" customFormat="false" ht="12.8" hidden="false" customHeight="false" outlineLevel="0" collapsed="false">
      <c r="C115" s="0" t="s">
        <v>410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17"/>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O36" activeCellId="0" sqref="O36"/>
    </sheetView>
  </sheetViews>
  <sheetFormatPr defaultColWidth="11.53515625" defaultRowHeight="12.8" zeroHeight="false" outlineLevelRow="0" outlineLevelCol="0"/>
  <cols>
    <col collapsed="false" customWidth="true" hidden="false" outlineLevel="0" max="1" min="1" style="0" width="18.49"/>
    <col collapsed="false" customWidth="true" hidden="false" outlineLevel="0" max="6" min="6" style="0" width="11.82"/>
    <col collapsed="false" customWidth="true" hidden="false" outlineLevel="0" max="7" min="7" style="0" width="5.42"/>
    <col collapsed="false" customWidth="true" hidden="false" outlineLevel="0" max="8" min="8" style="0" width="23.09"/>
    <col collapsed="false" customWidth="true" hidden="false" outlineLevel="0" max="11" min="11" style="0" width="8.48"/>
    <col collapsed="false" customWidth="true" hidden="false" outlineLevel="0" max="12" min="12" style="0" width="17.95"/>
  </cols>
  <sheetData>
    <row r="1" customFormat="false" ht="12.8" hidden="false" customHeight="false" outlineLevel="0" collapsed="false">
      <c r="A1" s="3" t="s">
        <v>411</v>
      </c>
      <c r="B1" s="3" t="s">
        <v>0</v>
      </c>
      <c r="C1" s="3" t="s">
        <v>412</v>
      </c>
      <c r="D1" s="3" t="s">
        <v>413</v>
      </c>
      <c r="E1" s="3" t="s">
        <v>414</v>
      </c>
      <c r="F1" s="3" t="s">
        <v>415</v>
      </c>
      <c r="H1" s="3" t="s">
        <v>416</v>
      </c>
      <c r="I1" s="3" t="s">
        <v>280</v>
      </c>
      <c r="J1" s="3" t="s">
        <v>417</v>
      </c>
      <c r="K1" s="3" t="s">
        <v>418</v>
      </c>
      <c r="L1" s="3" t="s">
        <v>419</v>
      </c>
      <c r="M1" s="3" t="s">
        <v>420</v>
      </c>
      <c r="N1" s="3" t="s">
        <v>421</v>
      </c>
      <c r="O1" s="3" t="s">
        <v>406</v>
      </c>
      <c r="Q1" s="3"/>
    </row>
    <row r="2" customFormat="false" ht="12.8" hidden="false" customHeight="false" outlineLevel="0" collapsed="false">
      <c r="A2" s="0" t="s">
        <v>422</v>
      </c>
      <c r="B2" s="0" t="s">
        <v>423</v>
      </c>
      <c r="C2" s="0" t="n">
        <v>338</v>
      </c>
      <c r="D2" s="0" t="n">
        <v>105</v>
      </c>
      <c r="E2" s="0" t="n">
        <f aca="false">D2*10</f>
        <v>1050</v>
      </c>
      <c r="F2" s="0" t="n">
        <f aca="false">D2*5</f>
        <v>525</v>
      </c>
      <c r="H2" s="0" t="s">
        <v>424</v>
      </c>
      <c r="I2" s="0" t="n">
        <v>1617900</v>
      </c>
      <c r="J2" s="0" t="s">
        <v>425</v>
      </c>
      <c r="K2" s="0" t="n">
        <v>120</v>
      </c>
      <c r="L2" s="0" t="n">
        <f aca="false">AVERAGE(L6,L7,L8,L10,L11)*M2/AVERAGE(M6,M7,M8,M10,M11)</f>
        <v>0.105071944804492</v>
      </c>
      <c r="M2" s="1" t="n">
        <f aca="false">'Biomass 120 km^2'!V32+'Biomass 120 km^2'!V36*5/6</f>
        <v>0.0763888888888889</v>
      </c>
      <c r="N2" s="0" t="n">
        <f aca="false">L2/M2</f>
        <v>1.37548727744062</v>
      </c>
      <c r="O2" s="0" t="s">
        <v>426</v>
      </c>
    </row>
    <row r="3" customFormat="false" ht="12.8" hidden="false" customHeight="false" outlineLevel="0" collapsed="false">
      <c r="A3" s="0" t="s">
        <v>427</v>
      </c>
      <c r="B3" s="0" t="s">
        <v>423</v>
      </c>
      <c r="C3" s="0" t="n">
        <v>5700</v>
      </c>
      <c r="D3" s="0" t="n">
        <v>11.6</v>
      </c>
      <c r="E3" s="0" t="n">
        <f aca="false">D3*10</f>
        <v>116</v>
      </c>
      <c r="F3" s="0" t="n">
        <f aca="false">D3*5</f>
        <v>58</v>
      </c>
      <c r="H3" s="0" t="s">
        <v>428</v>
      </c>
      <c r="I3" s="0" t="n">
        <v>2194890</v>
      </c>
      <c r="J3" s="0" t="s">
        <v>425</v>
      </c>
      <c r="K3" s="0" t="n">
        <v>120</v>
      </c>
      <c r="L3" s="0" t="n">
        <f aca="false">AVERAGE(L6,L7,L8,L10,L11)*M3/AVERAGE(M6,M7,M8,M10,M11)</f>
        <v>0.0210143889608984</v>
      </c>
      <c r="M3" s="0" t="n">
        <f aca="false">'Biomass 120 km^2'!V34+'Biomass 120 km^2'!V36*1/6</f>
        <v>0.0152777777777778</v>
      </c>
      <c r="N3" s="0" t="n">
        <f aca="false">L3/M3</f>
        <v>1.37548727744062</v>
      </c>
    </row>
    <row r="4" customFormat="false" ht="12.8" hidden="false" customHeight="false" outlineLevel="0" collapsed="false">
      <c r="A4" s="0" t="s">
        <v>429</v>
      </c>
      <c r="B4" s="0" t="s">
        <v>423</v>
      </c>
      <c r="C4" s="0" t="n">
        <v>50000</v>
      </c>
      <c r="D4" s="0" t="n">
        <v>0.0601</v>
      </c>
      <c r="E4" s="0" t="n">
        <f aca="false">D4*10</f>
        <v>0.601</v>
      </c>
      <c r="F4" s="0" t="n">
        <f aca="false">D4*5</f>
        <v>0.3005</v>
      </c>
      <c r="H4" s="0" t="s">
        <v>430</v>
      </c>
      <c r="I4" s="0" t="n">
        <v>3180670</v>
      </c>
      <c r="J4" s="0" t="s">
        <v>425</v>
      </c>
      <c r="K4" s="0" t="n">
        <v>120</v>
      </c>
      <c r="L4" s="0" t="n">
        <f aca="false">AVERAGE(L6,L7,L8,L10,L11)*M4/AVERAGE(M6,M7,M8,M10,M11)</f>
        <v>0.0343871819360155</v>
      </c>
      <c r="M4" s="0" t="n">
        <f aca="false">'Biomass 120 km^2'!V37</f>
        <v>0.025</v>
      </c>
      <c r="N4" s="0" t="n">
        <f aca="false">L4/M4</f>
        <v>1.37548727744062</v>
      </c>
    </row>
    <row r="5" customFormat="false" ht="12.8" hidden="false" customHeight="false" outlineLevel="0" collapsed="false">
      <c r="A5" s="0" t="s">
        <v>431</v>
      </c>
      <c r="B5" s="0" t="s">
        <v>423</v>
      </c>
      <c r="C5" s="0" t="n">
        <v>5500</v>
      </c>
      <c r="D5" s="0" t="n">
        <v>0.175</v>
      </c>
      <c r="E5" s="0" t="n">
        <f aca="false">D5*10</f>
        <v>1.75</v>
      </c>
      <c r="F5" s="0" t="n">
        <f aca="false">D5*5</f>
        <v>0.875</v>
      </c>
      <c r="H5" s="0" t="s">
        <v>350</v>
      </c>
      <c r="I5" s="0" t="n">
        <v>2192411</v>
      </c>
      <c r="J5" s="0" t="s">
        <v>425</v>
      </c>
      <c r="K5" s="0" t="n">
        <v>120</v>
      </c>
      <c r="L5" s="0" t="n">
        <f aca="false">AVERAGE(L9,L12)*M5/AVERAGE(M9,M12)</f>
        <v>0.0518311414445641</v>
      </c>
      <c r="M5" s="0" t="n">
        <v>0.074285714</v>
      </c>
      <c r="N5" s="0" t="n">
        <f aca="false">L5/M5</f>
        <v>0.697726906745005</v>
      </c>
    </row>
    <row r="6" customFormat="false" ht="12.8" hidden="false" customHeight="false" outlineLevel="0" collapsed="false">
      <c r="A6" s="0" t="s">
        <v>432</v>
      </c>
      <c r="B6" s="0" t="s">
        <v>423</v>
      </c>
      <c r="C6" s="0" t="n">
        <v>1020</v>
      </c>
      <c r="D6" s="0" t="n">
        <v>2.2</v>
      </c>
      <c r="E6" s="0" t="n">
        <f aca="false">D6*10</f>
        <v>22</v>
      </c>
      <c r="F6" s="0" t="n">
        <f aca="false">D6*5</f>
        <v>11</v>
      </c>
      <c r="H6" s="0" t="s">
        <v>194</v>
      </c>
      <c r="I6" s="0" t="n">
        <v>3515045</v>
      </c>
      <c r="J6" s="0" t="s">
        <v>425</v>
      </c>
      <c r="K6" s="0" t="n">
        <v>120</v>
      </c>
      <c r="L6" s="0" t="n">
        <f aca="false">10^(-0.73*LOG(I6)+4.15)</f>
        <v>0.235217944686556</v>
      </c>
      <c r="M6" s="0" t="n">
        <f aca="false">'Biomass 120 km^2'!V42+'Biomass 120 km^2'!V44+'Biomass 120 km^2'!V53*13/14+'Biomass 120 km^2'!V63*(13+'Biomass 120 km^2'!V53*13/14)/29</f>
        <v>0.401402572523262</v>
      </c>
      <c r="N6" s="0" t="n">
        <f aca="false">L6/M6</f>
        <v>0.585990127586751</v>
      </c>
    </row>
    <row r="7" customFormat="false" ht="12.8" hidden="false" customHeight="false" outlineLevel="0" collapsed="false">
      <c r="A7" s="0" t="s">
        <v>433</v>
      </c>
      <c r="B7" s="0" t="s">
        <v>423</v>
      </c>
      <c r="C7" s="0" t="n">
        <v>5440</v>
      </c>
      <c r="D7" s="0" t="n">
        <v>0.23</v>
      </c>
      <c r="E7" s="0" t="n">
        <f aca="false">D7*10</f>
        <v>2.3</v>
      </c>
      <c r="F7" s="0" t="n">
        <f aca="false">D7*5</f>
        <v>1.15</v>
      </c>
      <c r="H7" s="0" t="s">
        <v>434</v>
      </c>
      <c r="I7" s="0" t="n">
        <v>3785365</v>
      </c>
      <c r="J7" s="0" t="s">
        <v>425</v>
      </c>
      <c r="K7" s="0" t="n">
        <v>120</v>
      </c>
      <c r="L7" s="0" t="n">
        <f aca="false">10^(-0.73*LOG(I7)+4.15)</f>
        <v>0.222833937075045</v>
      </c>
      <c r="M7" s="0" t="n">
        <f aca="false">'Biomass 120 km^2'!V47+'Biomass 120 km^2'!AB53*1/14+'Biomass 120 km^2'!AB61*(1+'Biomass 120 km^2'!AB53*1/14)/29</f>
        <v>0.0225239463601533</v>
      </c>
      <c r="N7" s="0" t="n">
        <f aca="false">L7/M7</f>
        <v>9.89320137386122</v>
      </c>
    </row>
    <row r="8" customFormat="false" ht="12.8" hidden="false" customHeight="false" outlineLevel="0" collapsed="false">
      <c r="A8" s="0" t="s">
        <v>435</v>
      </c>
      <c r="B8" s="0" t="s">
        <v>423</v>
      </c>
      <c r="C8" s="0" t="n">
        <v>12500</v>
      </c>
      <c r="D8" s="0" t="n">
        <v>0.258</v>
      </c>
      <c r="E8" s="0" t="n">
        <f aca="false">D8*10</f>
        <v>2.58</v>
      </c>
      <c r="F8" s="0" t="n">
        <f aca="false">D8*5</f>
        <v>1.29</v>
      </c>
      <c r="H8" s="0" t="s">
        <v>436</v>
      </c>
      <c r="I8" s="0" t="n">
        <v>4717051</v>
      </c>
      <c r="J8" s="0" t="s">
        <v>425</v>
      </c>
      <c r="K8" s="0" t="n">
        <v>120</v>
      </c>
      <c r="L8" s="0" t="n">
        <f aca="false">10^(-0.73*LOG(I8)+4.15)</f>
        <v>0.189766908520314</v>
      </c>
      <c r="M8" s="0" t="n">
        <f aca="false">'Biomass 120 km^2'!AB56+'Biomass 120 km^2'!V55+'Biomass 120 km^2'!AB60+'Biomass 120 km^2'!AB61*('Biomass 120 km^2'!AB56+'Biomass 120 km^2'!AB59)/29</f>
        <v>0.150883620689655</v>
      </c>
      <c r="N8" s="0" t="n">
        <f aca="false">L8/M8</f>
        <v>1.25770383592952</v>
      </c>
    </row>
    <row r="9" customFormat="false" ht="12.8" hidden="false" customHeight="false" outlineLevel="0" collapsed="false">
      <c r="A9" s="0" t="s">
        <v>437</v>
      </c>
      <c r="B9" s="0" t="s">
        <v>423</v>
      </c>
      <c r="C9" s="0" t="n">
        <v>14000</v>
      </c>
      <c r="D9" s="0" t="n">
        <v>0.296</v>
      </c>
      <c r="E9" s="0" t="n">
        <f aca="false">D9*10</f>
        <v>2.96</v>
      </c>
      <c r="F9" s="0" t="n">
        <f aca="false">D9*5</f>
        <v>1.48</v>
      </c>
      <c r="H9" s="0" t="s">
        <v>363</v>
      </c>
      <c r="I9" s="0" t="n">
        <v>3179000</v>
      </c>
      <c r="J9" s="0" t="s">
        <v>425</v>
      </c>
      <c r="K9" s="0" t="n">
        <v>120</v>
      </c>
      <c r="L9" s="0" t="n">
        <f aca="false">10^(-0.73*LOG(I9)+4.15)</f>
        <v>0.253120846740033</v>
      </c>
      <c r="M9" s="0" t="n">
        <v>0.468965517</v>
      </c>
      <c r="N9" s="0" t="n">
        <f aca="false">L9/M9</f>
        <v>0.539742982296997</v>
      </c>
    </row>
    <row r="10" customFormat="false" ht="12.8" hidden="false" customHeight="false" outlineLevel="0" collapsed="false">
      <c r="A10" s="0" t="s">
        <v>438</v>
      </c>
      <c r="B10" s="0" t="s">
        <v>423</v>
      </c>
      <c r="C10" s="0" t="n">
        <v>45600</v>
      </c>
      <c r="D10" s="0" t="n">
        <v>0.02</v>
      </c>
      <c r="E10" s="0" t="n">
        <f aca="false">D10*10</f>
        <v>0.2</v>
      </c>
      <c r="F10" s="0" t="n">
        <f aca="false">D10*5</f>
        <v>0.1</v>
      </c>
      <c r="H10" s="0" t="s">
        <v>439</v>
      </c>
      <c r="I10" s="0" t="n">
        <v>2125548</v>
      </c>
      <c r="J10" s="0" t="s">
        <v>425</v>
      </c>
      <c r="K10" s="0" t="n">
        <v>120</v>
      </c>
      <c r="L10" s="0" t="n">
        <f aca="false">10^(-0.73*LOG(I10)+4.15)</f>
        <v>0.339583226746182</v>
      </c>
      <c r="M10" s="0" t="n">
        <f aca="false">'Biomass 120 km^2'!AB66+'Biomass 120 km^2'!AB80*(40/44)</f>
        <v>0.356060606060606</v>
      </c>
      <c r="N10" s="0" t="n">
        <f aca="false">L10/M10</f>
        <v>0.953723104904171</v>
      </c>
      <c r="O10" s="0" t="s">
        <v>440</v>
      </c>
    </row>
    <row r="11" customFormat="false" ht="12.8" hidden="false" customHeight="false" outlineLevel="0" collapsed="false">
      <c r="A11" s="0" t="s">
        <v>441</v>
      </c>
      <c r="B11" s="0" t="s">
        <v>423</v>
      </c>
      <c r="C11" s="0" t="n">
        <v>10000</v>
      </c>
      <c r="D11" s="0" t="n">
        <v>2</v>
      </c>
      <c r="E11" s="0" t="n">
        <f aca="false">D11*10</f>
        <v>20</v>
      </c>
      <c r="F11" s="0" t="n">
        <f aca="false">D11*5</f>
        <v>10</v>
      </c>
      <c r="H11" s="0" t="s">
        <v>240</v>
      </c>
      <c r="I11" s="0" t="n">
        <v>2213030</v>
      </c>
      <c r="J11" s="0" t="s">
        <v>425</v>
      </c>
      <c r="K11" s="0" t="n">
        <v>120</v>
      </c>
      <c r="L11" s="0" t="n">
        <f aca="false">10^(-0.73*LOG(I11)+4.15)</f>
        <v>0.329730613055252</v>
      </c>
      <c r="M11" s="0" t="n">
        <f aca="false">'Biomass 120 km^2'!V79+'Biomass 120 km^2'!V80*3/44</f>
        <v>0.0267045454545455</v>
      </c>
      <c r="N11" s="0" t="n">
        <f aca="false">L11/M11</f>
        <v>12.3473591271754</v>
      </c>
      <c r="O11" s="0" t="s">
        <v>440</v>
      </c>
    </row>
    <row r="12" customFormat="false" ht="12.8" hidden="false" customHeight="false" outlineLevel="0" collapsed="false">
      <c r="A12" s="0" t="s">
        <v>442</v>
      </c>
      <c r="B12" s="0" t="s">
        <v>423</v>
      </c>
      <c r="C12" s="0" t="n">
        <v>65000</v>
      </c>
      <c r="D12" s="0" t="n">
        <v>0.506</v>
      </c>
      <c r="E12" s="0" t="n">
        <f aca="false">D12*10</f>
        <v>5.06</v>
      </c>
      <c r="F12" s="0" t="n">
        <f aca="false">D12*5</f>
        <v>2.53</v>
      </c>
      <c r="H12" s="0" t="s">
        <v>375</v>
      </c>
      <c r="I12" s="0" t="n">
        <v>2516000</v>
      </c>
      <c r="J12" s="0" t="s">
        <v>425</v>
      </c>
      <c r="K12" s="0" t="n">
        <v>120</v>
      </c>
      <c r="L12" s="0" t="n">
        <f aca="false">10^(-0.73*LOG(I12)+4.15)</f>
        <v>0.300248768761805</v>
      </c>
      <c r="M12" s="0" t="n">
        <v>0.324137931</v>
      </c>
      <c r="N12" s="0" t="n">
        <f aca="false">L12/M12</f>
        <v>0.92629939308709</v>
      </c>
      <c r="O12" s="0" t="s">
        <v>440</v>
      </c>
    </row>
    <row r="13" customFormat="false" ht="12.8" hidden="false" customHeight="false" outlineLevel="0" collapsed="false">
      <c r="A13" s="0" t="s">
        <v>443</v>
      </c>
      <c r="B13" s="0" t="s">
        <v>423</v>
      </c>
      <c r="C13" s="0" t="n">
        <v>9500</v>
      </c>
      <c r="D13" s="0" t="n">
        <v>1</v>
      </c>
      <c r="E13" s="0" t="n">
        <f aca="false">D13*10</f>
        <v>10</v>
      </c>
      <c r="F13" s="0" t="n">
        <f aca="false">D13*5</f>
        <v>5</v>
      </c>
      <c r="H13" s="0" t="s">
        <v>444</v>
      </c>
      <c r="J13" s="0" t="s">
        <v>425</v>
      </c>
      <c r="K13" s="0" t="n">
        <v>120</v>
      </c>
      <c r="L13" s="0" t="n">
        <f aca="false">AVERAGE(LOG(L5),LOG(L6),LOG(L12))</f>
        <v>-0.812152513626303</v>
      </c>
      <c r="M13" s="0" t="n">
        <f aca="false">AVERAGE(LOG(M5),LOG(M6),LOG(M12))</f>
        <v>-0.671594896970926</v>
      </c>
      <c r="N13" s="0" t="n">
        <f aca="false">AVERAGE(N5:N7)</f>
        <v>3.72563946939766</v>
      </c>
    </row>
    <row r="14" customFormat="false" ht="12.8" hidden="false" customHeight="false" outlineLevel="0" collapsed="false">
      <c r="A14" s="0" t="s">
        <v>445</v>
      </c>
      <c r="B14" s="0" t="s">
        <v>423</v>
      </c>
      <c r="C14" s="0" t="n">
        <v>16000</v>
      </c>
      <c r="D14" s="0" t="n">
        <v>0.625</v>
      </c>
      <c r="E14" s="0" t="n">
        <f aca="false">D14*10</f>
        <v>6.25</v>
      </c>
      <c r="F14" s="0" t="n">
        <f aca="false">D14*5</f>
        <v>3.125</v>
      </c>
      <c r="H14" s="0" t="s">
        <v>446</v>
      </c>
      <c r="I14" s="0" t="n">
        <v>2513390</v>
      </c>
      <c r="J14" s="0" t="s">
        <v>425</v>
      </c>
      <c r="K14" s="0" t="n">
        <v>120</v>
      </c>
      <c r="L14" s="0" t="n">
        <f aca="false">10^(-0.96*LOG(I14)+3.47)</f>
        <v>0.00211714455779598</v>
      </c>
      <c r="M14" s="0" t="n">
        <f aca="false">0.075+1/120</f>
        <v>0.0833333333333333</v>
      </c>
      <c r="N14" s="0" t="n">
        <f aca="false">L14/M14</f>
        <v>0.0254057346935517</v>
      </c>
      <c r="O14" s="0" t="s">
        <v>447</v>
      </c>
    </row>
    <row r="15" customFormat="false" ht="12.8" hidden="false" customHeight="false" outlineLevel="0" collapsed="false">
      <c r="A15" s="0" t="s">
        <v>448</v>
      </c>
      <c r="B15" s="0" t="s">
        <v>423</v>
      </c>
      <c r="C15" s="0" t="n">
        <v>6500</v>
      </c>
      <c r="D15" s="0" t="n">
        <v>4</v>
      </c>
      <c r="E15" s="0" t="n">
        <f aca="false">D15*10</f>
        <v>40</v>
      </c>
      <c r="F15" s="0" t="n">
        <f aca="false">D15*5</f>
        <v>20</v>
      </c>
      <c r="H15" s="0" t="s">
        <v>449</v>
      </c>
      <c r="J15" s="0" t="s">
        <v>425</v>
      </c>
      <c r="K15" s="0" t="n">
        <v>120</v>
      </c>
      <c r="L15" s="0" t="n">
        <f aca="false">LOG(L14)</f>
        <v>-2.67424948751212</v>
      </c>
      <c r="M15" s="0" t="n">
        <f aca="false">LOG(M14)</f>
        <v>-1.07918124604762</v>
      </c>
    </row>
    <row r="16" customFormat="false" ht="12.8" hidden="false" customHeight="false" outlineLevel="0" collapsed="false">
      <c r="A16" s="0" t="s">
        <v>450</v>
      </c>
      <c r="B16" s="0" t="s">
        <v>423</v>
      </c>
      <c r="C16" s="0" t="n">
        <v>5000</v>
      </c>
      <c r="D16" s="0" t="n">
        <v>2</v>
      </c>
      <c r="E16" s="0" t="n">
        <f aca="false">D16*10</f>
        <v>20</v>
      </c>
      <c r="F16" s="0" t="n">
        <f aca="false">D16*5</f>
        <v>10</v>
      </c>
      <c r="H16" s="0" t="s">
        <v>269</v>
      </c>
      <c r="I16" s="0" t="n">
        <v>2744971</v>
      </c>
      <c r="J16" s="0" t="s">
        <v>425</v>
      </c>
      <c r="L16" s="0" t="n">
        <f aca="false">10^(-0.96*LOG(I16)+3.47)</f>
        <v>0.00194537687855185</v>
      </c>
      <c r="M16" s="0" t="n">
        <f aca="false">2/120</f>
        <v>0.0166666666666667</v>
      </c>
      <c r="N16" s="0" t="n">
        <f aca="false">L16/M16</f>
        <v>0.116722612713111</v>
      </c>
      <c r="O16" s="0" t="s">
        <v>451</v>
      </c>
      <c r="Q16" s="0" t="s">
        <v>452</v>
      </c>
    </row>
    <row r="17" customFormat="false" ht="12.8" hidden="false" customHeight="false" outlineLevel="0" collapsed="false">
      <c r="A17" s="0" t="s">
        <v>453</v>
      </c>
      <c r="B17" s="0" t="s">
        <v>423</v>
      </c>
      <c r="C17" s="0" t="n">
        <v>59500</v>
      </c>
      <c r="D17" s="0" t="n">
        <v>0.02</v>
      </c>
      <c r="E17" s="0" t="n">
        <f aca="false">D17*10</f>
        <v>0.2</v>
      </c>
      <c r="F17" s="0" t="n">
        <f aca="false">D17*5</f>
        <v>0.1</v>
      </c>
      <c r="H17" s="0" t="s">
        <v>449</v>
      </c>
      <c r="L17" s="0" t="n">
        <f aca="false">LOG(L16)</f>
        <v>-2.71099625016354</v>
      </c>
      <c r="M17" s="0" t="n">
        <f aca="false">LOG(M16)</f>
        <v>-1.77815125038364</v>
      </c>
      <c r="Q17" s="0" t="s">
        <v>454</v>
      </c>
    </row>
    <row r="18" customFormat="false" ht="12.8" hidden="false" customHeight="false" outlineLevel="0" collapsed="false">
      <c r="A18" s="0" t="s">
        <v>455</v>
      </c>
      <c r="B18" s="0" t="s">
        <v>423</v>
      </c>
      <c r="C18" s="0" t="n">
        <v>85500</v>
      </c>
      <c r="D18" s="0" t="n">
        <v>0.01</v>
      </c>
      <c r="E18" s="0" t="n">
        <f aca="false">D18*10</f>
        <v>0.1</v>
      </c>
      <c r="F18" s="0" t="n">
        <f aca="false">D18*5</f>
        <v>0.05</v>
      </c>
      <c r="H18" s="11" t="s">
        <v>446</v>
      </c>
      <c r="I18" s="11" t="n">
        <v>2513390</v>
      </c>
      <c r="J18" s="11" t="s">
        <v>425</v>
      </c>
      <c r="K18" s="11" t="n">
        <v>120</v>
      </c>
      <c r="L18" s="11" t="n">
        <f aca="false">10^(-0.6621*LOG(I18)+3.3064)</f>
        <v>0.117162311573901</v>
      </c>
      <c r="M18" s="0" t="n">
        <f aca="false">0.075+1/120</f>
        <v>0.0833333333333333</v>
      </c>
      <c r="N18" s="11" t="n">
        <f aca="false">L18/M18</f>
        <v>1.40594773888681</v>
      </c>
      <c r="O18" s="11" t="s">
        <v>456</v>
      </c>
      <c r="Q18" s="0" t="s">
        <v>454</v>
      </c>
    </row>
    <row r="19" customFormat="false" ht="12.8" hidden="false" customHeight="false" outlineLevel="0" collapsed="false">
      <c r="A19" s="0" t="s">
        <v>457</v>
      </c>
      <c r="B19" s="0" t="s">
        <v>423</v>
      </c>
      <c r="C19" s="0" t="n">
        <v>13600</v>
      </c>
      <c r="D19" s="0" t="n">
        <v>0.25</v>
      </c>
      <c r="E19" s="0" t="n">
        <f aca="false">D19*10</f>
        <v>2.5</v>
      </c>
      <c r="F19" s="0" t="n">
        <f aca="false">D19*5</f>
        <v>1.25</v>
      </c>
      <c r="H19" s="11" t="s">
        <v>449</v>
      </c>
      <c r="I19" s="11"/>
      <c r="J19" s="11" t="s">
        <v>425</v>
      </c>
      <c r="K19" s="11" t="n">
        <v>120</v>
      </c>
      <c r="L19" s="11" t="n">
        <f aca="false">LOG(L18)</f>
        <v>-0.931212068418517</v>
      </c>
      <c r="M19" s="11" t="n">
        <f aca="false">LOG(M18)</f>
        <v>-1.07918124604762</v>
      </c>
      <c r="N19" s="11"/>
      <c r="O19" s="11"/>
    </row>
    <row r="20" customFormat="false" ht="12.8" hidden="false" customHeight="false" outlineLevel="0" collapsed="false">
      <c r="A20" s="0" t="s">
        <v>458</v>
      </c>
      <c r="B20" s="0" t="s">
        <v>423</v>
      </c>
      <c r="C20" s="0" t="n">
        <v>4380</v>
      </c>
      <c r="D20" s="0" t="n">
        <v>0.414</v>
      </c>
      <c r="E20" s="0" t="n">
        <f aca="false">D20*10</f>
        <v>4.14</v>
      </c>
      <c r="F20" s="0" t="n">
        <f aca="false">D20*5</f>
        <v>2.07</v>
      </c>
      <c r="H20" s="11" t="s">
        <v>269</v>
      </c>
      <c r="I20" s="11" t="n">
        <v>2744971</v>
      </c>
      <c r="J20" s="11" t="s">
        <v>425</v>
      </c>
      <c r="K20" s="11" t="n">
        <v>120</v>
      </c>
      <c r="L20" s="11" t="n">
        <f aca="false">10^(-0.6621*LOG(I20)+3.3064)</f>
        <v>0.1105208327871</v>
      </c>
      <c r="M20" s="0" t="n">
        <f aca="false">2/120</f>
        <v>0.0166666666666667</v>
      </c>
      <c r="N20" s="11" t="n">
        <f aca="false">L20/M20</f>
        <v>6.631249967226</v>
      </c>
      <c r="O20" s="11" t="s">
        <v>459</v>
      </c>
      <c r="Q20" s="0" t="s">
        <v>454</v>
      </c>
    </row>
    <row r="21" customFormat="false" ht="12.8" hidden="false" customHeight="false" outlineLevel="0" collapsed="false">
      <c r="A21" s="0" t="s">
        <v>460</v>
      </c>
      <c r="B21" s="0" t="s">
        <v>423</v>
      </c>
      <c r="C21" s="0" t="n">
        <v>7480</v>
      </c>
      <c r="D21" s="0" t="n">
        <v>0.73</v>
      </c>
      <c r="E21" s="0" t="n">
        <f aca="false">D21*10</f>
        <v>7.3</v>
      </c>
      <c r="F21" s="0" t="n">
        <f aca="false">D21*5</f>
        <v>3.65</v>
      </c>
      <c r="H21" s="11" t="s">
        <v>449</v>
      </c>
      <c r="I21" s="11"/>
      <c r="J21" s="11"/>
      <c r="K21" s="11"/>
      <c r="L21" s="11" t="n">
        <f aca="false">LOG(L20)</f>
        <v>-0.956555851284666</v>
      </c>
      <c r="M21" s="11" t="n">
        <f aca="false">LOG(M20)</f>
        <v>-1.77815125038364</v>
      </c>
      <c r="N21" s="11"/>
      <c r="O21" s="11"/>
      <c r="Q21" s="0" t="s">
        <v>452</v>
      </c>
    </row>
    <row r="22" customFormat="false" ht="12.8" hidden="false" customHeight="false" outlineLevel="0" collapsed="false">
      <c r="A22" s="0" t="s">
        <v>461</v>
      </c>
      <c r="B22" s="0" t="s">
        <v>423</v>
      </c>
      <c r="C22" s="0" t="n">
        <v>1800</v>
      </c>
      <c r="D22" s="0" t="n">
        <v>3.85</v>
      </c>
      <c r="E22" s="0" t="n">
        <f aca="false">D22*10</f>
        <v>38.5</v>
      </c>
      <c r="F22" s="0" t="n">
        <f aca="false">D22*5</f>
        <v>19.25</v>
      </c>
      <c r="H22" s="11" t="s">
        <v>446</v>
      </c>
      <c r="I22" s="11" t="n">
        <v>2513390</v>
      </c>
      <c r="J22" s="11" t="s">
        <v>425</v>
      </c>
      <c r="K22" s="11" t="n">
        <v>120</v>
      </c>
      <c r="L22" s="11" t="n">
        <v>0.07184094</v>
      </c>
      <c r="M22" s="0" t="n">
        <f aca="false">0.075+1/120</f>
        <v>0.0833333333333333</v>
      </c>
      <c r="N22" s="11" t="n">
        <f aca="false">L22/M22</f>
        <v>0.86209128</v>
      </c>
      <c r="O22" s="11" t="s">
        <v>462</v>
      </c>
    </row>
    <row r="23" customFormat="false" ht="12.8" hidden="false" customHeight="false" outlineLevel="0" collapsed="false">
      <c r="A23" s="0" t="s">
        <v>463</v>
      </c>
      <c r="B23" s="0" t="s">
        <v>423</v>
      </c>
      <c r="C23" s="0" t="n">
        <v>4800</v>
      </c>
      <c r="D23" s="0" t="n">
        <v>2.4</v>
      </c>
      <c r="E23" s="0" t="n">
        <f aca="false">D23*10</f>
        <v>24</v>
      </c>
      <c r="F23" s="0" t="n">
        <f aca="false">D23*5</f>
        <v>12</v>
      </c>
      <c r="H23" s="11" t="s">
        <v>449</v>
      </c>
      <c r="I23" s="11"/>
      <c r="J23" s="11" t="s">
        <v>425</v>
      </c>
      <c r="K23" s="11" t="n">
        <v>120</v>
      </c>
      <c r="L23" s="11" t="n">
        <f aca="false">LOG(L22)</f>
        <v>-1.14362799379423</v>
      </c>
      <c r="M23" s="11" t="n">
        <f aca="false">LOG(M22)</f>
        <v>-1.07918124604762</v>
      </c>
      <c r="N23" s="11"/>
      <c r="O23" s="11"/>
      <c r="Q23" s="0" t="s">
        <v>454</v>
      </c>
    </row>
    <row r="24" customFormat="false" ht="12.8" hidden="false" customHeight="false" outlineLevel="0" collapsed="false">
      <c r="A24" s="0" t="s">
        <v>464</v>
      </c>
      <c r="B24" s="0" t="s">
        <v>423</v>
      </c>
      <c r="C24" s="0" t="n">
        <v>820</v>
      </c>
      <c r="D24" s="0" t="n">
        <v>6</v>
      </c>
      <c r="E24" s="0" t="n">
        <f aca="false">D24*10</f>
        <v>60</v>
      </c>
      <c r="F24" s="0" t="n">
        <f aca="false">D24*5</f>
        <v>30</v>
      </c>
      <c r="H24" s="0" t="s">
        <v>10</v>
      </c>
      <c r="I24" s="0" t="n">
        <v>13000</v>
      </c>
      <c r="J24" s="0" t="s">
        <v>425</v>
      </c>
      <c r="K24" s="0" t="n">
        <v>120</v>
      </c>
      <c r="L24" s="0" t="n">
        <f aca="false">10^(-0.64815*LOG(I24)+3.59605)</f>
        <v>8.50349804504507</v>
      </c>
      <c r="M24" s="0" t="n">
        <f aca="false">'Biomass 120 km^2'!V3</f>
        <v>0.0333333333333333</v>
      </c>
      <c r="Q24" s="0" t="s">
        <v>452</v>
      </c>
    </row>
    <row r="25" customFormat="false" ht="12.8" hidden="false" customHeight="false" outlineLevel="0" collapsed="false">
      <c r="A25" s="0" t="s">
        <v>465</v>
      </c>
      <c r="B25" s="0" t="s">
        <v>423</v>
      </c>
      <c r="C25" s="0" t="n">
        <v>1780</v>
      </c>
      <c r="D25" s="0" t="n">
        <v>2.13</v>
      </c>
      <c r="E25" s="0" t="n">
        <f aca="false">D25*10</f>
        <v>21.3</v>
      </c>
      <c r="F25" s="0" t="n">
        <f aca="false">D25*5</f>
        <v>10.65</v>
      </c>
      <c r="H25" s="0" t="s">
        <v>466</v>
      </c>
      <c r="I25" s="0" t="n">
        <v>25135</v>
      </c>
      <c r="J25" s="0" t="s">
        <v>425</v>
      </c>
      <c r="K25" s="0" t="n">
        <v>120</v>
      </c>
      <c r="L25" s="0" t="n">
        <f aca="false">10^(-0.64815*LOG(I25)+3.59605)</f>
        <v>5.54637510336774</v>
      </c>
      <c r="M25" s="0" t="n">
        <f aca="false">'Biomass 120 km^2'!G4+'Biomass 120 km^2'!G7*2/3</f>
        <v>0.0444444444444444</v>
      </c>
    </row>
    <row r="26" customFormat="false" ht="12.8" hidden="false" customHeight="false" outlineLevel="0" collapsed="false">
      <c r="A26" s="0" t="s">
        <v>467</v>
      </c>
      <c r="B26" s="0" t="s">
        <v>423</v>
      </c>
      <c r="C26" s="0" t="n">
        <v>525</v>
      </c>
      <c r="D26" s="0" t="n">
        <v>1.5</v>
      </c>
      <c r="E26" s="0" t="n">
        <f aca="false">D26*10</f>
        <v>15</v>
      </c>
      <c r="F26" s="0" t="n">
        <f aca="false">D26*5</f>
        <v>7.5</v>
      </c>
      <c r="H26" s="0" t="s">
        <v>468</v>
      </c>
      <c r="I26" s="0" t="n">
        <v>13000</v>
      </c>
      <c r="J26" s="0" t="s">
        <v>425</v>
      </c>
      <c r="K26" s="0" t="n">
        <v>120</v>
      </c>
      <c r="L26" s="0" t="n">
        <f aca="false">10^(-0.64815*LOG(I26)+3.59605)</f>
        <v>8.50349804504507</v>
      </c>
      <c r="M26" s="0" t="n">
        <f aca="false">'Biomass 120 km^2'!G5+'Biomass 120 km^2'!G7*1/3</f>
        <v>0.0222222222222222</v>
      </c>
    </row>
    <row r="27" customFormat="false" ht="12.8" hidden="false" customHeight="false" outlineLevel="0" collapsed="false">
      <c r="A27" s="0" t="s">
        <v>469</v>
      </c>
      <c r="B27" s="0" t="s">
        <v>423</v>
      </c>
      <c r="C27" s="0" t="n">
        <v>3700</v>
      </c>
      <c r="D27" s="0" t="n">
        <v>1.93</v>
      </c>
      <c r="E27" s="0" t="n">
        <f aca="false">D27*10</f>
        <v>19.3</v>
      </c>
      <c r="F27" s="0" t="n">
        <f aca="false">D27*5</f>
        <v>9.65</v>
      </c>
      <c r="H27" s="0" t="s">
        <v>470</v>
      </c>
      <c r="I27" s="0" t="n">
        <v>130000</v>
      </c>
      <c r="J27" s="0" t="s">
        <v>425</v>
      </c>
      <c r="K27" s="0" t="n">
        <v>120</v>
      </c>
      <c r="L27" s="0" t="n">
        <f aca="false">10^(-0.64815*LOG(I27)+3.59605)</f>
        <v>1.9118227101751</v>
      </c>
      <c r="M27" s="0" t="n">
        <f aca="false">'Biomass 120 km^2'!M9</f>
        <v>0.00833333333333333</v>
      </c>
      <c r="Q27" s="0" t="s">
        <v>452</v>
      </c>
    </row>
    <row r="28" customFormat="false" ht="12.8" hidden="false" customHeight="false" outlineLevel="0" collapsed="false">
      <c r="A28" s="0" t="s">
        <v>471</v>
      </c>
      <c r="B28" s="0" t="s">
        <v>423</v>
      </c>
      <c r="C28" s="0" t="n">
        <v>5000</v>
      </c>
      <c r="D28" s="0" t="n">
        <v>5</v>
      </c>
      <c r="E28" s="0" t="n">
        <f aca="false">D28*10</f>
        <v>50</v>
      </c>
      <c r="F28" s="0" t="n">
        <f aca="false">D28*5</f>
        <v>25</v>
      </c>
      <c r="H28" s="0" t="s">
        <v>472</v>
      </c>
      <c r="I28" s="0" t="n">
        <v>178508</v>
      </c>
      <c r="J28" s="0" t="s">
        <v>425</v>
      </c>
      <c r="K28" s="0" t="n">
        <v>120</v>
      </c>
      <c r="L28" s="0" t="n">
        <f aca="false">10^(-0.64815*LOG(I28)+3.59605)</f>
        <v>1.55663959118728</v>
      </c>
      <c r="M28" s="0" t="n">
        <f aca="false">'Biomass 120 km^2'!G10+'Biomass 120 km^2'!G15*5/14</f>
        <v>0.0738095238095238</v>
      </c>
      <c r="Q28" s="0" t="s">
        <v>452</v>
      </c>
    </row>
    <row r="29" customFormat="false" ht="12.8" hidden="false" customHeight="false" outlineLevel="0" collapsed="false">
      <c r="A29" s="0" t="s">
        <v>473</v>
      </c>
      <c r="B29" s="0" t="s">
        <v>423</v>
      </c>
      <c r="C29" s="0" t="n">
        <v>20700</v>
      </c>
      <c r="D29" s="0" t="n">
        <v>0.022</v>
      </c>
      <c r="E29" s="0" t="n">
        <f aca="false">D29*10</f>
        <v>0.22</v>
      </c>
      <c r="F29" s="0" t="n">
        <f aca="false">D29*5</f>
        <v>0.11</v>
      </c>
      <c r="H29" s="0" t="s">
        <v>474</v>
      </c>
      <c r="I29" s="0" t="n">
        <v>178508</v>
      </c>
      <c r="J29" s="0" t="s">
        <v>425</v>
      </c>
      <c r="K29" s="0" t="n">
        <v>120</v>
      </c>
      <c r="L29" s="0" t="n">
        <f aca="false">10^(-0.64815*LOG(I29)+3.59605)</f>
        <v>1.55663959118728</v>
      </c>
      <c r="M29" s="0" t="n">
        <f aca="false">'Biomass 120 km^2'!M11+'Biomass 120 km^2'!G15*9/14</f>
        <v>0.126190476190476</v>
      </c>
    </row>
    <row r="30" customFormat="false" ht="12.8" hidden="false" customHeight="false" outlineLevel="0" collapsed="false">
      <c r="A30" s="0" t="s">
        <v>475</v>
      </c>
      <c r="B30" s="0" t="s">
        <v>423</v>
      </c>
      <c r="C30" s="0" t="n">
        <v>10200</v>
      </c>
      <c r="D30" s="0" t="n">
        <v>0.13</v>
      </c>
      <c r="E30" s="0" t="n">
        <f aca="false">D30*10</f>
        <v>1.3</v>
      </c>
      <c r="F30" s="0" t="n">
        <f aca="false">D30*5</f>
        <v>0.65</v>
      </c>
      <c r="H30" s="0" t="s">
        <v>476</v>
      </c>
      <c r="I30" s="0" t="n">
        <v>96000</v>
      </c>
      <c r="J30" s="0" t="s">
        <v>425</v>
      </c>
      <c r="K30" s="0" t="n">
        <v>120</v>
      </c>
      <c r="L30" s="1" t="n">
        <f aca="false">10^(-0.2771673)</f>
        <v>0.528241721986189</v>
      </c>
      <c r="M30" s="0" t="n">
        <f aca="false">'Biomass 120 km^2'!V17+'Biomass 120 km^2'!V20*1/4</f>
        <v>0.0145833333333333</v>
      </c>
      <c r="Q30" s="0" t="s">
        <v>452</v>
      </c>
    </row>
    <row r="31" customFormat="false" ht="12.8" hidden="false" customHeight="false" outlineLevel="0" collapsed="false">
      <c r="A31" s="0" t="s">
        <v>477</v>
      </c>
      <c r="B31" s="0" t="s">
        <v>423</v>
      </c>
      <c r="C31" s="0" t="n">
        <v>28600</v>
      </c>
      <c r="D31" s="0" t="n">
        <v>0.043</v>
      </c>
      <c r="E31" s="0" t="n">
        <f aca="false">D31*10</f>
        <v>0.43</v>
      </c>
      <c r="F31" s="0" t="n">
        <f aca="false">D31*5</f>
        <v>0.215</v>
      </c>
      <c r="H31" s="0" t="s">
        <v>478</v>
      </c>
      <c r="I31" s="0" t="n">
        <v>63872</v>
      </c>
      <c r="J31" s="0" t="s">
        <v>425</v>
      </c>
      <c r="K31" s="0" t="n">
        <v>120</v>
      </c>
      <c r="L31" s="1" t="n">
        <f aca="false">10^(-0.1443689)</f>
        <v>0.717184838709472</v>
      </c>
      <c r="M31" s="0" t="n">
        <f aca="false">'Biomass 120 km^2'!V18+'Biomass 120 km^2'!V20*1/4</f>
        <v>0.0145833333333333</v>
      </c>
      <c r="Q31" s="0" t="s">
        <v>452</v>
      </c>
    </row>
    <row r="32" customFormat="false" ht="12.8" hidden="false" customHeight="false" outlineLevel="0" collapsed="false">
      <c r="A32" s="0" t="s">
        <v>479</v>
      </c>
      <c r="B32" s="0" t="s">
        <v>423</v>
      </c>
      <c r="C32" s="0" t="n">
        <v>883</v>
      </c>
      <c r="D32" s="0" t="n">
        <v>1.2</v>
      </c>
      <c r="E32" s="0" t="n">
        <f aca="false">D32*10</f>
        <v>12</v>
      </c>
      <c r="F32" s="0" t="n">
        <f aca="false">D32*5</f>
        <v>6</v>
      </c>
      <c r="H32" s="0" t="s">
        <v>119</v>
      </c>
      <c r="I32" s="0" t="n">
        <v>19800</v>
      </c>
      <c r="J32" s="0" t="s">
        <v>425</v>
      </c>
      <c r="K32" s="0" t="n">
        <v>120</v>
      </c>
      <c r="L32" s="1" t="n">
        <f aca="false">10^(0.2336565)</f>
        <v>1.71260220954864</v>
      </c>
      <c r="M32" s="0" t="n">
        <f aca="false">'Biomass 120 km^2'!V19+'Biomass 120 km^2'!V20*1/2</f>
        <v>0.0291666666666667</v>
      </c>
    </row>
    <row r="33" customFormat="false" ht="12.8" hidden="false" customHeight="false" outlineLevel="0" collapsed="false">
      <c r="A33" s="0" t="s">
        <v>480</v>
      </c>
      <c r="B33" s="0" t="s">
        <v>423</v>
      </c>
      <c r="C33" s="0" t="n">
        <v>3250</v>
      </c>
      <c r="D33" s="0" t="n">
        <v>0.235</v>
      </c>
      <c r="E33" s="0" t="n">
        <f aca="false">D33*10</f>
        <v>2.35</v>
      </c>
      <c r="F33" s="0" t="n">
        <f aca="false">D33*5</f>
        <v>1.175</v>
      </c>
      <c r="H33" s="0" t="s">
        <v>481</v>
      </c>
      <c r="I33" s="0" t="n">
        <v>57447</v>
      </c>
      <c r="J33" s="0" t="s">
        <v>425</v>
      </c>
      <c r="K33" s="0" t="n">
        <v>120</v>
      </c>
      <c r="L33" s="1" t="n">
        <f aca="false">10^(-0.1099087)</f>
        <v>0.776410321124088</v>
      </c>
      <c r="M33" s="0" t="n">
        <f aca="false">'Biomass 120 km^2'!V26</f>
        <v>0.05</v>
      </c>
    </row>
    <row r="34" customFormat="false" ht="12.8" hidden="false" customHeight="false" outlineLevel="0" collapsed="false">
      <c r="A34" s="0" t="s">
        <v>482</v>
      </c>
      <c r="B34" s="0" t="s">
        <v>423</v>
      </c>
      <c r="C34" s="0" t="n">
        <v>670</v>
      </c>
      <c r="D34" s="0" t="n">
        <v>8.2</v>
      </c>
      <c r="E34" s="0" t="n">
        <f aca="false">D34*10</f>
        <v>82</v>
      </c>
      <c r="F34" s="0" t="n">
        <f aca="false">D34*5</f>
        <v>41</v>
      </c>
      <c r="H34" s="0" t="s">
        <v>483</v>
      </c>
      <c r="I34" s="0" t="n">
        <v>15060</v>
      </c>
      <c r="J34" s="0" t="s">
        <v>425</v>
      </c>
      <c r="K34" s="0" t="n">
        <v>120</v>
      </c>
      <c r="L34" s="0" t="n">
        <f aca="false">L35*3/10</f>
        <v>0.478777193569903</v>
      </c>
      <c r="M34" s="0" t="n">
        <f aca="false">'Biomass 120 km^2'!V28+'Biomass 120 km^2'!V30*1/2</f>
        <v>0.0375</v>
      </c>
    </row>
    <row r="35" customFormat="false" ht="12.8" hidden="false" customHeight="false" outlineLevel="0" collapsed="false">
      <c r="A35" s="0" t="s">
        <v>484</v>
      </c>
      <c r="B35" s="0" t="s">
        <v>423</v>
      </c>
      <c r="C35" s="0" t="n">
        <v>78.9</v>
      </c>
      <c r="D35" s="0" t="n">
        <v>10.53</v>
      </c>
      <c r="E35" s="0" t="n">
        <f aca="false">D35*10</f>
        <v>105.3</v>
      </c>
      <c r="F35" s="0" t="n">
        <f aca="false">D35*5</f>
        <v>52.65</v>
      </c>
      <c r="H35" s="0" t="s">
        <v>485</v>
      </c>
      <c r="I35" s="0" t="n">
        <v>21789</v>
      </c>
      <c r="J35" s="0" t="s">
        <v>425</v>
      </c>
      <c r="K35" s="0" t="n">
        <v>120</v>
      </c>
      <c r="L35" s="1" t="n">
        <f aca="false">10^(0.2030122)</f>
        <v>1.59592397856634</v>
      </c>
      <c r="M35" s="0" t="n">
        <f aca="false">'Biomass 120 km^2'!V29+'Biomass 120 km^2'!V30*1/2</f>
        <v>0.0375</v>
      </c>
    </row>
    <row r="36" customFormat="false" ht="12.8" hidden="false" customHeight="false" outlineLevel="0" collapsed="false">
      <c r="A36" s="0" t="s">
        <v>486</v>
      </c>
      <c r="B36" s="0" t="s">
        <v>423</v>
      </c>
      <c r="C36" s="0" t="n">
        <v>80</v>
      </c>
      <c r="D36" s="0" t="n">
        <v>36</v>
      </c>
      <c r="E36" s="0" t="n">
        <f aca="false">D36*10</f>
        <v>360</v>
      </c>
      <c r="F36" s="0" t="n">
        <f aca="false">D36*5</f>
        <v>180</v>
      </c>
      <c r="O36" s="0" t="s">
        <v>487</v>
      </c>
    </row>
    <row r="37" customFormat="false" ht="12.8" hidden="false" customHeight="false" outlineLevel="0" collapsed="false">
      <c r="A37" s="0" t="s">
        <v>488</v>
      </c>
      <c r="B37" s="0" t="s">
        <v>423</v>
      </c>
      <c r="C37" s="0" t="n">
        <v>150000</v>
      </c>
      <c r="D37" s="0" t="n">
        <v>0.13</v>
      </c>
      <c r="E37" s="0" t="n">
        <f aca="false">D37*10</f>
        <v>1.3</v>
      </c>
      <c r="F37" s="0" t="n">
        <f aca="false">D37*5</f>
        <v>0.65</v>
      </c>
    </row>
    <row r="38" customFormat="false" ht="12.8" hidden="false" customHeight="false" outlineLevel="0" collapsed="false">
      <c r="A38" s="0" t="s">
        <v>489</v>
      </c>
      <c r="B38" s="0" t="s">
        <v>423</v>
      </c>
      <c r="C38" s="0" t="n">
        <v>41400</v>
      </c>
      <c r="D38" s="0" t="n">
        <v>0.21</v>
      </c>
      <c r="E38" s="0" t="n">
        <f aca="false">D38*10</f>
        <v>2.1</v>
      </c>
      <c r="F38" s="0" t="n">
        <f aca="false">D38*5</f>
        <v>1.05</v>
      </c>
    </row>
    <row r="39" customFormat="false" ht="12.8" hidden="false" customHeight="false" outlineLevel="0" collapsed="false">
      <c r="A39" s="0" t="s">
        <v>490</v>
      </c>
      <c r="B39" s="0" t="s">
        <v>423</v>
      </c>
      <c r="C39" s="0" t="n">
        <v>130000</v>
      </c>
      <c r="D39" s="0" t="n">
        <v>0.056</v>
      </c>
      <c r="E39" s="0" t="n">
        <f aca="false">D39*10</f>
        <v>0.56</v>
      </c>
      <c r="F39" s="0" t="n">
        <f aca="false">D39*5</f>
        <v>0.28</v>
      </c>
    </row>
    <row r="40" customFormat="false" ht="12.8" hidden="false" customHeight="false" outlineLevel="0" collapsed="false">
      <c r="A40" s="0" t="s">
        <v>491</v>
      </c>
      <c r="B40" s="0" t="s">
        <v>423</v>
      </c>
      <c r="C40" s="0" t="n">
        <v>71700</v>
      </c>
      <c r="D40" s="0" t="n">
        <v>0.012</v>
      </c>
      <c r="E40" s="0" t="n">
        <f aca="false">D40*10</f>
        <v>0.12</v>
      </c>
      <c r="F40" s="0" t="n">
        <f aca="false">D40*5</f>
        <v>0.06</v>
      </c>
    </row>
    <row r="41" customFormat="false" ht="12.8" hidden="false" customHeight="false" outlineLevel="0" collapsed="false">
      <c r="A41" s="0" t="s">
        <v>492</v>
      </c>
      <c r="B41" s="0" t="s">
        <v>423</v>
      </c>
      <c r="C41" s="0" t="n">
        <v>8620</v>
      </c>
      <c r="D41" s="0" t="n">
        <v>2.2</v>
      </c>
      <c r="E41" s="0" t="n">
        <f aca="false">D41*10</f>
        <v>22</v>
      </c>
      <c r="F41" s="0" t="n">
        <f aca="false">D41*5</f>
        <v>11</v>
      </c>
    </row>
    <row r="42" customFormat="false" ht="12.8" hidden="false" customHeight="false" outlineLevel="0" collapsed="false">
      <c r="A42" s="0" t="s">
        <v>493</v>
      </c>
      <c r="B42" s="0" t="s">
        <v>423</v>
      </c>
      <c r="C42" s="0" t="n">
        <v>386000</v>
      </c>
      <c r="D42" s="0" t="n">
        <v>0.0162</v>
      </c>
      <c r="E42" s="0" t="n">
        <f aca="false">D42*10</f>
        <v>0.162</v>
      </c>
      <c r="F42" s="0" t="n">
        <f aca="false">D42*5</f>
        <v>0.081</v>
      </c>
    </row>
    <row r="43" customFormat="false" ht="12.8" hidden="false" customHeight="false" outlineLevel="0" collapsed="false">
      <c r="A43" s="0" t="s">
        <v>494</v>
      </c>
      <c r="B43" s="0" t="s">
        <v>423</v>
      </c>
      <c r="C43" s="0" t="n">
        <v>5440</v>
      </c>
      <c r="D43" s="0" t="n">
        <v>1.6</v>
      </c>
      <c r="E43" s="0" t="n">
        <f aca="false">D43*10</f>
        <v>16</v>
      </c>
      <c r="F43" s="0" t="n">
        <f aca="false">D43*5</f>
        <v>8</v>
      </c>
    </row>
    <row r="44" customFormat="false" ht="12.8" hidden="false" customHeight="false" outlineLevel="0" collapsed="false">
      <c r="A44" s="0" t="s">
        <v>495</v>
      </c>
      <c r="B44" s="0" t="s">
        <v>423</v>
      </c>
      <c r="C44" s="0" t="n">
        <v>8160</v>
      </c>
      <c r="D44" s="0" t="n">
        <v>2.26</v>
      </c>
      <c r="E44" s="0" t="n">
        <f aca="false">D44*10</f>
        <v>22.6</v>
      </c>
      <c r="F44" s="0" t="n">
        <f aca="false">D44*5</f>
        <v>11.3</v>
      </c>
    </row>
    <row r="45" customFormat="false" ht="12.8" hidden="false" customHeight="false" outlineLevel="0" collapsed="false">
      <c r="A45" s="0" t="s">
        <v>496</v>
      </c>
      <c r="B45" s="0" t="s">
        <v>423</v>
      </c>
      <c r="C45" s="0" t="n">
        <v>2490</v>
      </c>
      <c r="D45" s="0" t="n">
        <v>14.4</v>
      </c>
      <c r="E45" s="0" t="n">
        <f aca="false">D45*10</f>
        <v>144</v>
      </c>
      <c r="F45" s="0" t="n">
        <f aca="false">D45*5</f>
        <v>72</v>
      </c>
    </row>
    <row r="46" customFormat="false" ht="12.8" hidden="false" customHeight="false" outlineLevel="0" collapsed="false">
      <c r="A46" s="0" t="s">
        <v>497</v>
      </c>
      <c r="B46" s="0" t="s">
        <v>423</v>
      </c>
      <c r="C46" s="0" t="n">
        <v>10700</v>
      </c>
      <c r="D46" s="0" t="n">
        <v>3.4</v>
      </c>
      <c r="E46" s="0" t="n">
        <f aca="false">D46*10</f>
        <v>34</v>
      </c>
      <c r="F46" s="0" t="n">
        <f aca="false">D46*5</f>
        <v>17</v>
      </c>
    </row>
    <row r="47" customFormat="false" ht="12.8" hidden="false" customHeight="false" outlineLevel="0" collapsed="false">
      <c r="A47" s="0" t="s">
        <v>498</v>
      </c>
      <c r="B47" s="0" t="s">
        <v>423</v>
      </c>
      <c r="C47" s="0" t="n">
        <v>7050</v>
      </c>
      <c r="D47" s="0" t="n">
        <v>7.1</v>
      </c>
      <c r="E47" s="0" t="n">
        <f aca="false">D47*10</f>
        <v>71</v>
      </c>
      <c r="F47" s="0" t="n">
        <f aca="false">D47*5</f>
        <v>35.5</v>
      </c>
    </row>
    <row r="48" customFormat="false" ht="12.8" hidden="false" customHeight="false" outlineLevel="0" collapsed="false">
      <c r="A48" s="0" t="s">
        <v>499</v>
      </c>
      <c r="B48" s="0" t="s">
        <v>423</v>
      </c>
      <c r="C48" s="0" t="n">
        <v>153000</v>
      </c>
      <c r="D48" s="0" t="n">
        <v>0.818</v>
      </c>
      <c r="E48" s="0" t="n">
        <f aca="false">D48*10</f>
        <v>8.18</v>
      </c>
      <c r="F48" s="0" t="n">
        <f aca="false">D48*5</f>
        <v>4.09</v>
      </c>
    </row>
    <row r="49" customFormat="false" ht="12.8" hidden="false" customHeight="false" outlineLevel="0" collapsed="false">
      <c r="A49" s="0" t="s">
        <v>500</v>
      </c>
      <c r="B49" s="0" t="s">
        <v>423</v>
      </c>
      <c r="C49" s="0" t="n">
        <v>233000</v>
      </c>
      <c r="D49" s="0" t="n">
        <v>0.129</v>
      </c>
      <c r="E49" s="0" t="n">
        <f aca="false">D49*10</f>
        <v>1.29</v>
      </c>
      <c r="F49" s="0" t="n">
        <f aca="false">D49*5</f>
        <v>0.645</v>
      </c>
    </row>
    <row r="50" customFormat="false" ht="12.8" hidden="false" customHeight="false" outlineLevel="0" collapsed="false">
      <c r="A50" s="0" t="s">
        <v>501</v>
      </c>
      <c r="B50" s="0" t="s">
        <v>423</v>
      </c>
      <c r="C50" s="0" t="n">
        <v>1070</v>
      </c>
      <c r="D50" s="0" t="n">
        <v>69</v>
      </c>
      <c r="E50" s="0" t="n">
        <f aca="false">D50*10</f>
        <v>690</v>
      </c>
      <c r="F50" s="0" t="n">
        <f aca="false">D50*5</f>
        <v>345</v>
      </c>
    </row>
    <row r="51" customFormat="false" ht="12.8" hidden="false" customHeight="false" outlineLevel="0" collapsed="false">
      <c r="A51" s="0" t="s">
        <v>502</v>
      </c>
      <c r="B51" s="0" t="s">
        <v>503</v>
      </c>
      <c r="C51" s="0" t="n">
        <v>16</v>
      </c>
      <c r="D51" s="0" t="n">
        <v>4820</v>
      </c>
      <c r="E51" s="0" t="n">
        <f aca="false">D51/20</f>
        <v>241</v>
      </c>
      <c r="F51" s="0" t="n">
        <f aca="false">D51/25</f>
        <v>192.8</v>
      </c>
    </row>
    <row r="52" customFormat="false" ht="12.8" hidden="false" customHeight="false" outlineLevel="0" collapsed="false">
      <c r="A52" s="0" t="s">
        <v>504</v>
      </c>
      <c r="B52" s="0" t="s">
        <v>503</v>
      </c>
      <c r="C52" s="0" t="n">
        <v>35.2</v>
      </c>
      <c r="D52" s="0" t="n">
        <v>400</v>
      </c>
      <c r="E52" s="0" t="n">
        <f aca="false">D52/20</f>
        <v>20</v>
      </c>
      <c r="F52" s="0" t="n">
        <f aca="false">D52/25</f>
        <v>16</v>
      </c>
    </row>
    <row r="53" customFormat="false" ht="12.8" hidden="false" customHeight="false" outlineLevel="0" collapsed="false">
      <c r="A53" s="0" t="s">
        <v>505</v>
      </c>
      <c r="B53" s="0" t="s">
        <v>503</v>
      </c>
      <c r="C53" s="0" t="n">
        <v>58.4</v>
      </c>
      <c r="D53" s="0" t="n">
        <v>3100</v>
      </c>
      <c r="E53" s="0" t="n">
        <f aca="false">D53/20</f>
        <v>155</v>
      </c>
      <c r="F53" s="0" t="n">
        <f aca="false">D53/25</f>
        <v>124</v>
      </c>
    </row>
    <row r="54" customFormat="false" ht="12.8" hidden="false" customHeight="false" outlineLevel="0" collapsed="false">
      <c r="A54" s="0" t="s">
        <v>506</v>
      </c>
      <c r="B54" s="0" t="s">
        <v>503</v>
      </c>
      <c r="C54" s="0" t="n">
        <v>2.76</v>
      </c>
      <c r="D54" s="0" t="n">
        <v>98300</v>
      </c>
      <c r="E54" s="0" t="n">
        <f aca="false">D54/20</f>
        <v>4915</v>
      </c>
      <c r="F54" s="0" t="n">
        <f aca="false">D54/25</f>
        <v>3932</v>
      </c>
    </row>
    <row r="55" customFormat="false" ht="12.8" hidden="false" customHeight="false" outlineLevel="0" collapsed="false">
      <c r="A55" s="0" t="s">
        <v>507</v>
      </c>
      <c r="B55" s="0" t="s">
        <v>503</v>
      </c>
      <c r="C55" s="0" t="n">
        <v>3.15</v>
      </c>
      <c r="D55" s="0" t="n">
        <v>131800</v>
      </c>
      <c r="E55" s="0" t="n">
        <f aca="false">D55/20</f>
        <v>6590</v>
      </c>
      <c r="F55" s="0" t="n">
        <f aca="false">D55/25</f>
        <v>5272</v>
      </c>
    </row>
    <row r="56" customFormat="false" ht="12.8" hidden="false" customHeight="false" outlineLevel="0" collapsed="false">
      <c r="A56" s="0" t="s">
        <v>508</v>
      </c>
      <c r="B56" s="0" t="s">
        <v>503</v>
      </c>
      <c r="C56" s="0" t="n">
        <v>9.44</v>
      </c>
      <c r="D56" s="0" t="n">
        <v>56400</v>
      </c>
      <c r="E56" s="0" t="n">
        <f aca="false">D56/20</f>
        <v>2820</v>
      </c>
      <c r="F56" s="0" t="n">
        <f aca="false">D56/25</f>
        <v>2256</v>
      </c>
    </row>
    <row r="57" customFormat="false" ht="12.8" hidden="false" customHeight="false" outlineLevel="0" collapsed="false">
      <c r="A57" s="0" t="s">
        <v>509</v>
      </c>
      <c r="B57" s="0" t="s">
        <v>503</v>
      </c>
      <c r="C57" s="0" t="n">
        <v>1.93</v>
      </c>
      <c r="D57" s="0" t="n">
        <v>95700</v>
      </c>
      <c r="E57" s="0" t="n">
        <f aca="false">D57/20</f>
        <v>4785</v>
      </c>
      <c r="F57" s="0" t="n">
        <f aca="false">D57/25</f>
        <v>3828</v>
      </c>
    </row>
    <row r="58" customFormat="false" ht="12.8" hidden="false" customHeight="false" outlineLevel="0" collapsed="false">
      <c r="A58" s="0" t="s">
        <v>510</v>
      </c>
      <c r="B58" s="0" t="s">
        <v>503</v>
      </c>
      <c r="C58" s="0" t="n">
        <v>6.53</v>
      </c>
      <c r="D58" s="0" t="n">
        <v>391000</v>
      </c>
      <c r="E58" s="0" t="n">
        <f aca="false">D58/20</f>
        <v>19550</v>
      </c>
      <c r="F58" s="0" t="n">
        <f aca="false">D58/25</f>
        <v>15640</v>
      </c>
    </row>
    <row r="59" customFormat="false" ht="12.8" hidden="false" customHeight="false" outlineLevel="0" collapsed="false">
      <c r="A59" s="0" t="s">
        <v>511</v>
      </c>
      <c r="B59" s="0" t="s">
        <v>503</v>
      </c>
      <c r="C59" s="0" t="n">
        <v>182</v>
      </c>
      <c r="D59" s="0" t="n">
        <v>750</v>
      </c>
      <c r="E59" s="0" t="n">
        <f aca="false">D59/20</f>
        <v>37.5</v>
      </c>
      <c r="F59" s="0" t="n">
        <f aca="false">D59/25</f>
        <v>30</v>
      </c>
    </row>
    <row r="60" customFormat="false" ht="12.8" hidden="false" customHeight="false" outlineLevel="0" collapsed="false">
      <c r="A60" s="0" t="s">
        <v>512</v>
      </c>
      <c r="B60" s="0" t="s">
        <v>503</v>
      </c>
      <c r="C60" s="0" t="n">
        <v>27.7</v>
      </c>
      <c r="D60" s="0" t="n">
        <v>55600</v>
      </c>
      <c r="E60" s="0" t="n">
        <f aca="false">D60/20</f>
        <v>2780</v>
      </c>
      <c r="F60" s="0" t="n">
        <f aca="false">D60/25</f>
        <v>2224</v>
      </c>
    </row>
    <row r="61" customFormat="false" ht="12.8" hidden="false" customHeight="false" outlineLevel="0" collapsed="false">
      <c r="A61" s="0" t="s">
        <v>513</v>
      </c>
      <c r="B61" s="0" t="s">
        <v>503</v>
      </c>
      <c r="C61" s="0" t="n">
        <v>2.3</v>
      </c>
      <c r="D61" s="0" t="n">
        <v>21000</v>
      </c>
      <c r="E61" s="0" t="n">
        <f aca="false">D61/20</f>
        <v>1050</v>
      </c>
      <c r="F61" s="0" t="n">
        <f aca="false">D61/25</f>
        <v>840</v>
      </c>
    </row>
    <row r="62" customFormat="false" ht="12.8" hidden="false" customHeight="false" outlineLevel="0" collapsed="false">
      <c r="A62" s="0" t="s">
        <v>514</v>
      </c>
      <c r="B62" s="0" t="s">
        <v>503</v>
      </c>
      <c r="C62" s="0" t="n">
        <v>6.05</v>
      </c>
      <c r="D62" s="0" t="n">
        <v>18500</v>
      </c>
      <c r="E62" s="0" t="n">
        <f aca="false">D62/20</f>
        <v>925</v>
      </c>
      <c r="F62" s="0" t="n">
        <f aca="false">D62/25</f>
        <v>740</v>
      </c>
    </row>
    <row r="63" customFormat="false" ht="12.8" hidden="false" customHeight="false" outlineLevel="0" collapsed="false">
      <c r="A63" s="0" t="s">
        <v>515</v>
      </c>
      <c r="B63" s="0" t="s">
        <v>503</v>
      </c>
      <c r="C63" s="0" t="n">
        <v>0.843</v>
      </c>
      <c r="D63" s="0" t="n">
        <v>420000</v>
      </c>
      <c r="E63" s="0" t="n">
        <f aca="false">D63/20</f>
        <v>21000</v>
      </c>
      <c r="F63" s="0" t="n">
        <f aca="false">D63/25</f>
        <v>16800</v>
      </c>
    </row>
    <row r="64" customFormat="false" ht="12.8" hidden="false" customHeight="false" outlineLevel="0" collapsed="false">
      <c r="A64" s="0" t="s">
        <v>516</v>
      </c>
      <c r="B64" s="0" t="s">
        <v>503</v>
      </c>
      <c r="C64" s="0" t="n">
        <v>4.1</v>
      </c>
      <c r="D64" s="0" t="n">
        <v>3000</v>
      </c>
      <c r="E64" s="0" t="n">
        <f aca="false">D64/20</f>
        <v>150</v>
      </c>
      <c r="F64" s="0" t="n">
        <f aca="false">D64/25</f>
        <v>120</v>
      </c>
    </row>
    <row r="65" customFormat="false" ht="12.8" hidden="false" customHeight="false" outlineLevel="0" collapsed="false">
      <c r="A65" s="0" t="s">
        <v>517</v>
      </c>
      <c r="B65" s="0" t="s">
        <v>503</v>
      </c>
      <c r="C65" s="0" t="n">
        <v>5.7</v>
      </c>
      <c r="D65" s="0" t="n">
        <v>1200</v>
      </c>
      <c r="E65" s="0" t="n">
        <f aca="false">D65/20</f>
        <v>60</v>
      </c>
      <c r="F65" s="0" t="n">
        <f aca="false">D65/25</f>
        <v>48</v>
      </c>
    </row>
    <row r="66" customFormat="false" ht="12.8" hidden="false" customHeight="false" outlineLevel="0" collapsed="false">
      <c r="A66" s="0" t="s">
        <v>518</v>
      </c>
      <c r="B66" s="0" t="s">
        <v>503</v>
      </c>
      <c r="C66" s="0" t="n">
        <v>13.3</v>
      </c>
      <c r="D66" s="0" t="n">
        <v>467</v>
      </c>
      <c r="E66" s="0" t="n">
        <f aca="false">D66/20</f>
        <v>23.35</v>
      </c>
      <c r="F66" s="0" t="n">
        <f aca="false">D66/25</f>
        <v>18.68</v>
      </c>
    </row>
    <row r="67" customFormat="false" ht="12.8" hidden="false" customHeight="false" outlineLevel="0" collapsed="false">
      <c r="A67" s="0" t="s">
        <v>519</v>
      </c>
      <c r="B67" s="0" t="s">
        <v>503</v>
      </c>
      <c r="C67" s="0" t="n">
        <v>3.22</v>
      </c>
      <c r="D67" s="0" t="n">
        <v>3580</v>
      </c>
      <c r="E67" s="0" t="n">
        <f aca="false">D67/20</f>
        <v>179</v>
      </c>
      <c r="F67" s="0" t="n">
        <f aca="false">D67/25</f>
        <v>143.2</v>
      </c>
    </row>
    <row r="68" customFormat="false" ht="12.8" hidden="false" customHeight="false" outlineLevel="0" collapsed="false">
      <c r="A68" s="0" t="s">
        <v>520</v>
      </c>
      <c r="B68" s="0" t="s">
        <v>503</v>
      </c>
      <c r="C68" s="0" t="n">
        <v>129</v>
      </c>
      <c r="D68" s="0" t="n">
        <v>1528</v>
      </c>
      <c r="E68" s="0" t="n">
        <f aca="false">D68/20</f>
        <v>76.4</v>
      </c>
      <c r="F68" s="0" t="n">
        <f aca="false">D68/25</f>
        <v>61.12</v>
      </c>
    </row>
    <row r="69" customFormat="false" ht="12.8" hidden="false" customHeight="false" outlineLevel="0" collapsed="false">
      <c r="A69" s="0" t="s">
        <v>521</v>
      </c>
      <c r="B69" s="0" t="s">
        <v>503</v>
      </c>
      <c r="C69" s="0" t="n">
        <v>58.4</v>
      </c>
      <c r="D69" s="0" t="n">
        <v>891</v>
      </c>
      <c r="E69" s="0" t="n">
        <f aca="false">D69/20</f>
        <v>44.55</v>
      </c>
      <c r="F69" s="0" t="n">
        <f aca="false">D69/25</f>
        <v>35.64</v>
      </c>
    </row>
    <row r="70" customFormat="false" ht="12.8" hidden="false" customHeight="false" outlineLevel="0" collapsed="false">
      <c r="A70" s="0" t="s">
        <v>522</v>
      </c>
      <c r="B70" s="0" t="s">
        <v>503</v>
      </c>
      <c r="C70" s="0" t="n">
        <v>26.6</v>
      </c>
      <c r="D70" s="0" t="n">
        <v>200</v>
      </c>
      <c r="E70" s="0" t="n">
        <f aca="false">D70/20</f>
        <v>10</v>
      </c>
      <c r="F70" s="0" t="n">
        <f aca="false">D70/25</f>
        <v>8</v>
      </c>
    </row>
    <row r="71" customFormat="false" ht="12.8" hidden="false" customHeight="false" outlineLevel="0" collapsed="false">
      <c r="A71" s="0" t="s">
        <v>523</v>
      </c>
      <c r="B71" s="0" t="s">
        <v>503</v>
      </c>
      <c r="C71" s="0" t="n">
        <v>9.75</v>
      </c>
      <c r="D71" s="0" t="n">
        <v>2133</v>
      </c>
      <c r="E71" s="0" t="n">
        <f aca="false">D71/20</f>
        <v>106.65</v>
      </c>
      <c r="F71" s="0" t="n">
        <f aca="false">D71/25</f>
        <v>85.32</v>
      </c>
    </row>
    <row r="72" customFormat="false" ht="12.8" hidden="false" customHeight="false" outlineLevel="0" collapsed="false">
      <c r="A72" s="0" t="s">
        <v>524</v>
      </c>
      <c r="B72" s="0" t="s">
        <v>503</v>
      </c>
      <c r="C72" s="0" t="n">
        <v>17.9</v>
      </c>
      <c r="D72" s="0" t="n">
        <v>272</v>
      </c>
      <c r="E72" s="0" t="n">
        <f aca="false">D72/20</f>
        <v>13.6</v>
      </c>
      <c r="F72" s="0" t="n">
        <f aca="false">D72/25</f>
        <v>10.88</v>
      </c>
    </row>
    <row r="73" customFormat="false" ht="12.8" hidden="false" customHeight="false" outlineLevel="0" collapsed="false">
      <c r="A73" s="0" t="s">
        <v>525</v>
      </c>
      <c r="B73" s="0" t="s">
        <v>503</v>
      </c>
      <c r="C73" s="0" t="n">
        <v>10.8</v>
      </c>
      <c r="D73" s="0" t="n">
        <v>1200</v>
      </c>
      <c r="E73" s="0" t="n">
        <f aca="false">D73/20</f>
        <v>60</v>
      </c>
      <c r="F73" s="0" t="n">
        <f aca="false">D73/25</f>
        <v>48</v>
      </c>
    </row>
    <row r="74" customFormat="false" ht="12.8" hidden="false" customHeight="false" outlineLevel="0" collapsed="false">
      <c r="A74" s="0" t="s">
        <v>526</v>
      </c>
      <c r="B74" s="0" t="s">
        <v>503</v>
      </c>
      <c r="C74" s="0" t="n">
        <v>25</v>
      </c>
      <c r="D74" s="0" t="n">
        <v>3090</v>
      </c>
      <c r="E74" s="0" t="n">
        <f aca="false">D74/20</f>
        <v>154.5</v>
      </c>
      <c r="F74" s="0" t="n">
        <f aca="false">D74/25</f>
        <v>123.6</v>
      </c>
    </row>
    <row r="75" customFormat="false" ht="12.8" hidden="false" customHeight="false" outlineLevel="0" collapsed="false">
      <c r="A75" s="0" t="s">
        <v>527</v>
      </c>
      <c r="B75" s="0" t="s">
        <v>503</v>
      </c>
      <c r="C75" s="0" t="n">
        <v>2170</v>
      </c>
      <c r="D75" s="0" t="n">
        <v>181</v>
      </c>
      <c r="E75" s="0" t="n">
        <f aca="false">D75/20</f>
        <v>9.05</v>
      </c>
      <c r="F75" s="0" t="n">
        <f aca="false">D75/25</f>
        <v>7.24</v>
      </c>
    </row>
    <row r="76" customFormat="false" ht="12.8" hidden="false" customHeight="false" outlineLevel="0" collapsed="false">
      <c r="A76" s="0" t="s">
        <v>528</v>
      </c>
      <c r="B76" s="0" t="s">
        <v>503</v>
      </c>
      <c r="C76" s="0" t="n">
        <v>1.96</v>
      </c>
      <c r="D76" s="0" t="n">
        <v>13600</v>
      </c>
      <c r="E76" s="0" t="n">
        <f aca="false">D76/20</f>
        <v>680</v>
      </c>
      <c r="F76" s="0" t="n">
        <f aca="false">D76/25</f>
        <v>544</v>
      </c>
    </row>
    <row r="77" customFormat="false" ht="12.8" hidden="false" customHeight="false" outlineLevel="0" collapsed="false">
      <c r="A77" s="0" t="s">
        <v>529</v>
      </c>
      <c r="B77" s="0" t="s">
        <v>503</v>
      </c>
      <c r="C77" s="0" t="n">
        <v>1500</v>
      </c>
      <c r="D77" s="0" t="n">
        <v>26.7</v>
      </c>
      <c r="E77" s="0" t="n">
        <f aca="false">D77/20</f>
        <v>1.335</v>
      </c>
      <c r="F77" s="0" t="n">
        <f aca="false">D77/25</f>
        <v>1.068</v>
      </c>
    </row>
    <row r="78" customFormat="false" ht="12.8" hidden="false" customHeight="false" outlineLevel="0" collapsed="false">
      <c r="A78" s="0" t="s">
        <v>530</v>
      </c>
      <c r="B78" s="0" t="s">
        <v>503</v>
      </c>
      <c r="C78" s="0" t="n">
        <v>12000</v>
      </c>
      <c r="D78" s="0" t="n">
        <v>2</v>
      </c>
      <c r="E78" s="0" t="n">
        <f aca="false">D78/20</f>
        <v>0.1</v>
      </c>
      <c r="F78" s="0" t="n">
        <f aca="false">D78/25</f>
        <v>0.08</v>
      </c>
    </row>
    <row r="79" customFormat="false" ht="12.8" hidden="false" customHeight="false" outlineLevel="0" collapsed="false">
      <c r="A79" s="0" t="s">
        <v>531</v>
      </c>
      <c r="B79" s="0" t="s">
        <v>503</v>
      </c>
      <c r="C79" s="0" t="n">
        <v>750</v>
      </c>
      <c r="D79" s="0" t="n">
        <v>50</v>
      </c>
      <c r="E79" s="0" t="n">
        <f aca="false">D79/20</f>
        <v>2.5</v>
      </c>
      <c r="F79" s="0" t="n">
        <f aca="false">D79/25</f>
        <v>2</v>
      </c>
    </row>
    <row r="117" customFormat="false" ht="12.8" hidden="false" customHeight="false" outlineLevel="0" collapsed="false">
      <c r="E117" s="0" t="s">
        <v>532</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3" activePane="bottomLeft" state="frozen"/>
      <selection pane="topLeft" activeCell="A1" activeCellId="0" sqref="A1"/>
      <selection pane="bottomLeft" activeCell="I2" activeCellId="0" sqref="I2"/>
    </sheetView>
  </sheetViews>
  <sheetFormatPr defaultColWidth="11.53515625" defaultRowHeight="12.8" zeroHeight="false" outlineLevelRow="0" outlineLevelCol="0"/>
  <cols>
    <col collapsed="false" customWidth="true" hidden="false" outlineLevel="0" max="9" min="9" style="0" width="19.61"/>
  </cols>
  <sheetData>
    <row r="1" customFormat="false" ht="12.8" hidden="false" customHeight="false" outlineLevel="0" collapsed="false">
      <c r="A1" s="0" t="s">
        <v>0</v>
      </c>
      <c r="B1" s="0" t="s">
        <v>533</v>
      </c>
      <c r="C1" s="0" t="s">
        <v>534</v>
      </c>
      <c r="D1" s="0" t="s">
        <v>535</v>
      </c>
      <c r="E1" s="0" t="s">
        <v>536</v>
      </c>
      <c r="F1" s="0" t="s">
        <v>537</v>
      </c>
      <c r="G1" s="0" t="s">
        <v>538</v>
      </c>
      <c r="H1" s="0" t="s">
        <v>539</v>
      </c>
      <c r="I1" s="0" t="s">
        <v>538</v>
      </c>
      <c r="J1" s="0" t="s">
        <v>540</v>
      </c>
      <c r="K1" s="0" t="s">
        <v>541</v>
      </c>
      <c r="L1" s="0" t="s">
        <v>542</v>
      </c>
      <c r="M1" s="0" t="s">
        <v>543</v>
      </c>
      <c r="N1" s="0" t="s">
        <v>541</v>
      </c>
    </row>
    <row r="2" customFormat="false" ht="12.8" hidden="false" customHeight="false" outlineLevel="0" collapsed="false">
      <c r="A2" s="0" t="s">
        <v>245</v>
      </c>
      <c r="B2" s="0" t="n">
        <v>1</v>
      </c>
      <c r="C2" s="0" t="n">
        <f aca="false">(2178/(1+2.71828^(-0.21*(B2-17.9))))</f>
        <v>60.8746521228231</v>
      </c>
      <c r="D2" s="0" t="n">
        <f aca="false">(1234/(1+2.71828^(-0.38*(B2-12.4))))</f>
        <v>16.0059965896978</v>
      </c>
      <c r="E2" s="0" t="n">
        <v>0.002</v>
      </c>
      <c r="F2" s="0" t="s">
        <v>544</v>
      </c>
      <c r="G2" s="0" t="n">
        <f aca="false">E2/SUM(E2:E6)</f>
        <v>0.108108108108108</v>
      </c>
      <c r="H2" s="0" t="n">
        <f aca="false">D2*G2+D3*G3+D4*G4+D5*G5+D6*G6</f>
        <v>46.190750270442</v>
      </c>
      <c r="I2" s="0" t="n">
        <f aca="false">SUM(E2:E6)</f>
        <v>0.0185</v>
      </c>
      <c r="J2" s="0" t="s">
        <v>544</v>
      </c>
      <c r="K2" s="0" t="n">
        <f aca="false">E2/SUM(E2:E5)</f>
        <v>0.16</v>
      </c>
      <c r="L2" s="0" t="n">
        <f aca="false">D2*K2</f>
        <v>2.56095945435165</v>
      </c>
      <c r="M2" s="0" t="n">
        <f aca="false">SUM(L2:L5)</f>
        <v>34.7900547726374</v>
      </c>
      <c r="N2" s="0" t="n">
        <f aca="false">SUM(E2:E5)</f>
        <v>0.0125</v>
      </c>
    </row>
    <row r="3" customFormat="false" ht="12.8" hidden="false" customHeight="false" outlineLevel="0" collapsed="false">
      <c r="A3" s="0" t="s">
        <v>245</v>
      </c>
      <c r="B3" s="0" t="n">
        <v>2</v>
      </c>
      <c r="C3" s="0" t="n">
        <f aca="false">(2178/(1+2.71828^(-0.21*(B3-17.9))))</f>
        <v>74.6123999713821</v>
      </c>
      <c r="D3" s="0" t="n">
        <f aca="false">(1234/(1+2.71828^(-0.38*(B3-12.4))))</f>
        <v>23.2658095562769</v>
      </c>
      <c r="E3" s="0" t="n">
        <v>0.0025</v>
      </c>
      <c r="F3" s="0" t="s">
        <v>544</v>
      </c>
      <c r="G3" s="0" t="n">
        <f aca="false">E3/SUM(E2:E6)</f>
        <v>0.135135135135135</v>
      </c>
      <c r="J3" s="0" t="s">
        <v>544</v>
      </c>
      <c r="K3" s="0" t="n">
        <f aca="false">E3/SUM(E2:E5)</f>
        <v>0.2</v>
      </c>
      <c r="L3" s="0" t="n">
        <f aca="false">D3*K3</f>
        <v>4.65316191125538</v>
      </c>
    </row>
    <row r="4" customFormat="false" ht="12.8" hidden="false" customHeight="false" outlineLevel="0" collapsed="false">
      <c r="A4" s="0" t="s">
        <v>245</v>
      </c>
      <c r="B4" s="0" t="n">
        <v>3</v>
      </c>
      <c r="C4" s="0" t="n">
        <f aca="false">(2178/(1+2.71828^(-0.21*(B4-17.9))))</f>
        <v>91.3166621197926</v>
      </c>
      <c r="D4" s="0" t="n">
        <f aca="false">(1234/(1+2.71828^(-0.38*(B4-12.4))))</f>
        <v>33.7272627408776</v>
      </c>
      <c r="E4" s="0" t="n">
        <v>0.003</v>
      </c>
      <c r="F4" s="0" t="s">
        <v>544</v>
      </c>
      <c r="G4" s="0" t="n">
        <f aca="false">E4/SUM(E2:E6)</f>
        <v>0.162162162162162</v>
      </c>
      <c r="J4" s="0" t="s">
        <v>544</v>
      </c>
      <c r="K4" s="0" t="n">
        <f aca="false">E4/SUM(E2:E5)</f>
        <v>0.24</v>
      </c>
      <c r="L4" s="0" t="n">
        <f aca="false">D4*K4</f>
        <v>8.09454305781063</v>
      </c>
    </row>
    <row r="5" customFormat="false" ht="12.8" hidden="false" customHeight="false" outlineLevel="0" collapsed="false">
      <c r="A5" s="0" t="s">
        <v>245</v>
      </c>
      <c r="B5" s="0" t="n">
        <v>4</v>
      </c>
      <c r="C5" s="0" t="n">
        <f aca="false">(2178/(1+2.71828^(-0.21*(B5-17.9))))</f>
        <v>111.562328591913</v>
      </c>
      <c r="D5" s="0" t="n">
        <f aca="false">(1234/(1+2.71828^(-0.38*(B5-12.4))))</f>
        <v>48.7034758730492</v>
      </c>
      <c r="E5" s="0" t="n">
        <v>0.005</v>
      </c>
      <c r="F5" s="0" t="s">
        <v>544</v>
      </c>
      <c r="G5" s="0" t="n">
        <f aca="false">E5/SUM(E2:E6)</f>
        <v>0.27027027027027</v>
      </c>
      <c r="J5" s="0" t="s">
        <v>544</v>
      </c>
      <c r="K5" s="0" t="n">
        <f aca="false">E5/SUM(E2:E5)</f>
        <v>0.4</v>
      </c>
      <c r="L5" s="0" t="n">
        <f aca="false">D5*K5</f>
        <v>19.4813903492197</v>
      </c>
    </row>
    <row r="6" customFormat="false" ht="12.8" hidden="false" customHeight="false" outlineLevel="0" collapsed="false">
      <c r="A6" s="0" t="s">
        <v>245</v>
      </c>
      <c r="B6" s="0" t="n">
        <v>5</v>
      </c>
      <c r="C6" s="0" t="n">
        <f aca="false">(2178/(1+2.71828^(-0.21*(B6-17.9))))</f>
        <v>136.004072044773</v>
      </c>
      <c r="D6" s="0" t="n">
        <f aca="false">(1234/(1+2.71828^(-0.38*(B6-12.4))))</f>
        <v>69.9421992242018</v>
      </c>
      <c r="E6" s="0" t="n">
        <v>0.006</v>
      </c>
      <c r="F6" s="0" t="s">
        <v>544</v>
      </c>
      <c r="G6" s="0" t="n">
        <f aca="false">E6/SUM(E2:E6)</f>
        <v>0.324324324324324</v>
      </c>
      <c r="J6" s="0" t="s">
        <v>545</v>
      </c>
      <c r="K6" s="0" t="n">
        <f aca="false">E6/SUM(E6:E12)</f>
        <v>0.0369230769230769</v>
      </c>
      <c r="L6" s="0" t="n">
        <f aca="false">D6*K6</f>
        <v>2.58248120212437</v>
      </c>
      <c r="M6" s="0" t="n">
        <f aca="false">SUM(L6:L12)</f>
        <v>307.161817147249</v>
      </c>
      <c r="N6" s="0" t="n">
        <f aca="false">SUM(E6:E12)</f>
        <v>0.1625</v>
      </c>
    </row>
    <row r="7" customFormat="false" ht="12.8" hidden="false" customHeight="false" outlineLevel="0" collapsed="false">
      <c r="A7" s="0" t="s">
        <v>245</v>
      </c>
      <c r="B7" s="0" t="n">
        <v>6</v>
      </c>
      <c r="C7" s="0" t="n">
        <f aca="false">(2178/(1+2.71828^(-0.21*(B7-17.9))))</f>
        <v>165.372123632849</v>
      </c>
      <c r="D7" s="0" t="n">
        <f aca="false">(1234/(1+2.71828^(-0.38*(B7-12.4))))</f>
        <v>99.6639857151292</v>
      </c>
      <c r="E7" s="0" t="n">
        <v>0.01</v>
      </c>
      <c r="F7" s="0" t="s">
        <v>545</v>
      </c>
      <c r="G7" s="0" t="n">
        <f aca="false">E7/SUM(E7:E17)</f>
        <v>0.0173310225303293</v>
      </c>
      <c r="H7" s="0" t="n">
        <f aca="false">D7*G7+D8*G8+D9*G9+D10*G10+D11*G11+D12*G12+D13*G13+D14*G14+D15*G15+D16*G16+D17*G17</f>
        <v>677.007909029277</v>
      </c>
      <c r="I7" s="0" t="n">
        <f aca="false">SUM(E7:E17)</f>
        <v>0.577</v>
      </c>
      <c r="J7" s="0" t="s">
        <v>545</v>
      </c>
      <c r="K7" s="0" t="n">
        <f aca="false">E7/SUM(E6:E12)</f>
        <v>0.0615384615384615</v>
      </c>
      <c r="L7" s="0" t="n">
        <f aca="false">D7*K7</f>
        <v>6.13316835170026</v>
      </c>
    </row>
    <row r="8" customFormat="false" ht="12.8" hidden="false" customHeight="false" outlineLevel="0" collapsed="false">
      <c r="A8" s="0" t="s">
        <v>245</v>
      </c>
      <c r="B8" s="0" t="n">
        <v>7</v>
      </c>
      <c r="C8" s="0" t="n">
        <f aca="false">(2178/(1+2.71828^(-0.21*(B8-17.9))))</f>
        <v>200.459224839656</v>
      </c>
      <c r="D8" s="0" t="n">
        <f aca="false">(1234/(1+2.71828^(-0.38*(B8-12.4))))</f>
        <v>140.491625100608</v>
      </c>
      <c r="E8" s="0" t="n">
        <v>0.015</v>
      </c>
      <c r="F8" s="0" t="s">
        <v>545</v>
      </c>
      <c r="G8" s="0" t="n">
        <f aca="false">E8/SUM(E7:E17)</f>
        <v>0.0259965337954939</v>
      </c>
      <c r="J8" s="0" t="s">
        <v>545</v>
      </c>
      <c r="K8" s="0" t="n">
        <f aca="false">E8/SUM(E6:E12)</f>
        <v>0.0923076923076923</v>
      </c>
      <c r="L8" s="0" t="n">
        <f aca="false">D8*K8</f>
        <v>12.9684577015946</v>
      </c>
    </row>
    <row r="9" customFormat="false" ht="12.8" hidden="false" customHeight="false" outlineLevel="0" collapsed="false">
      <c r="A9" s="0" t="s">
        <v>245</v>
      </c>
      <c r="B9" s="0" t="n">
        <v>8</v>
      </c>
      <c r="C9" s="0" t="n">
        <f aca="false">(2178/(1+2.71828^(-0.21*(B9-17.9))))</f>
        <v>242.095297756318</v>
      </c>
      <c r="D9" s="0" t="n">
        <f aca="false">(1234/(1+2.71828^(-0.38*(B9-12.4))))</f>
        <v>195.166797759088</v>
      </c>
      <c r="E9" s="0" t="n">
        <v>0.018</v>
      </c>
      <c r="F9" s="0" t="s">
        <v>545</v>
      </c>
      <c r="G9" s="0" t="n">
        <f aca="false">E9/SUM(E7:E17)</f>
        <v>0.0311958405545927</v>
      </c>
      <c r="J9" s="0" t="s">
        <v>545</v>
      </c>
      <c r="K9" s="0" t="n">
        <f aca="false">E9/SUM(E6:E12)</f>
        <v>0.110769230769231</v>
      </c>
      <c r="L9" s="0" t="n">
        <f aca="false">D9*K9</f>
        <v>21.6184760594682</v>
      </c>
    </row>
    <row r="10" customFormat="false" ht="12.8" hidden="false" customHeight="false" outlineLevel="0" collapsed="false">
      <c r="A10" s="0" t="s">
        <v>245</v>
      </c>
      <c r="B10" s="0" t="n">
        <v>9</v>
      </c>
      <c r="C10" s="0" t="n">
        <f aca="false">(2178/(1+2.71828^(-0.21*(B10-17.9))))</f>
        <v>291.106293846764</v>
      </c>
      <c r="D10" s="0" t="n">
        <f aca="false">(1234/(1+2.71828^(-0.38*(B10-12.4))))</f>
        <v>265.945052663724</v>
      </c>
      <c r="E10" s="0" t="n">
        <v>0.0275</v>
      </c>
      <c r="F10" s="0" t="s">
        <v>545</v>
      </c>
      <c r="G10" s="0" t="n">
        <f aca="false">E10/SUM(E7:E17)</f>
        <v>0.0476603119584055</v>
      </c>
      <c r="J10" s="0" t="s">
        <v>545</v>
      </c>
      <c r="K10" s="0" t="n">
        <f aca="false">E10/SUM(E6:E12)</f>
        <v>0.169230769230769</v>
      </c>
      <c r="L10" s="0" t="n">
        <f aca="false">D10*K10</f>
        <v>45.0060858353995</v>
      </c>
    </row>
    <row r="11" customFormat="false" ht="12.8" hidden="false" customHeight="false" outlineLevel="0" collapsed="false">
      <c r="A11" s="0" t="s">
        <v>245</v>
      </c>
      <c r="B11" s="0" t="n">
        <v>10</v>
      </c>
      <c r="C11" s="0" t="n">
        <f aca="false">(2178/(1+2.71828^(-0.21*(B11-17.9))))</f>
        <v>348.25442590048</v>
      </c>
      <c r="D11" s="0" t="n">
        <f aca="false">(1234/(1+2.71828^(-0.38*(B11-12.4))))</f>
        <v>353.653140021335</v>
      </c>
      <c r="E11" s="0" t="n">
        <v>0.036</v>
      </c>
      <c r="F11" s="0" t="s">
        <v>545</v>
      </c>
      <c r="G11" s="0" t="n">
        <f aca="false">E11/SUM(E7:E17)</f>
        <v>0.0623916811091854</v>
      </c>
      <c r="J11" s="0" t="s">
        <v>545</v>
      </c>
      <c r="K11" s="0" t="n">
        <f aca="false">E11/SUM(E6:E12)</f>
        <v>0.221538461538462</v>
      </c>
      <c r="L11" s="0" t="n">
        <f aca="false">D11*K11</f>
        <v>78.3477725585727</v>
      </c>
    </row>
    <row r="12" customFormat="false" ht="12.8" hidden="false" customHeight="false" outlineLevel="0" collapsed="false">
      <c r="A12" s="0" t="s">
        <v>245</v>
      </c>
      <c r="B12" s="0" t="n">
        <v>11</v>
      </c>
      <c r="C12" s="0" t="n">
        <f aca="false">(2178/(1+2.71828^(-0.21*(B12-17.9))))</f>
        <v>414.159037920366</v>
      </c>
      <c r="D12" s="0" t="n">
        <f aca="false">(1234/(1+2.71828^(-0.38*(B12-12.4))))</f>
        <v>456.642470174766</v>
      </c>
      <c r="E12" s="0" t="n">
        <v>0.05</v>
      </c>
      <c r="F12" s="0" t="s">
        <v>545</v>
      </c>
      <c r="G12" s="0" t="n">
        <f aca="false">E12/SUM(E7:E17)</f>
        <v>0.0866551126516465</v>
      </c>
      <c r="J12" s="0" t="s">
        <v>545</v>
      </c>
      <c r="K12" s="0" t="n">
        <f aca="false">E12/SUM(E6:E12)</f>
        <v>0.307692307692308</v>
      </c>
      <c r="L12" s="0" t="n">
        <f aca="false">D12*K12</f>
        <v>140.50537543839</v>
      </c>
    </row>
    <row r="13" customFormat="false" ht="12.8" hidden="false" customHeight="false" outlineLevel="0" collapsed="false">
      <c r="A13" s="0" t="s">
        <v>245</v>
      </c>
      <c r="B13" s="0" t="n">
        <v>12</v>
      </c>
      <c r="C13" s="0" t="n">
        <f aca="false">(2178/(1+2.71828^(-0.21*(B13-17.9))))</f>
        <v>489.201109946176</v>
      </c>
      <c r="D13" s="0" t="n">
        <f aca="false">(1234/(1+2.71828^(-0.38*(B13-12.4))))</f>
        <v>570.198105988513</v>
      </c>
      <c r="E13" s="0" t="n">
        <v>0.0625</v>
      </c>
      <c r="F13" s="0" t="s">
        <v>545</v>
      </c>
      <c r="G13" s="0" t="n">
        <f aca="false">E13/SUM(E7:E17)</f>
        <v>0.108318890814558</v>
      </c>
      <c r="J13" s="0" t="s">
        <v>546</v>
      </c>
      <c r="K13" s="0" t="n">
        <f aca="false">E13/SUM(E13:E27)</f>
        <v>0.0757575757575758</v>
      </c>
      <c r="L13" s="0" t="n">
        <f aca="false">D13*K13</f>
        <v>43.1968262112509</v>
      </c>
      <c r="M13" s="0" t="n">
        <f aca="false">SUM(L13:L27)</f>
        <v>968.416918952213</v>
      </c>
      <c r="N13" s="0" t="n">
        <f aca="false">SUM(E13:E27)</f>
        <v>0.825</v>
      </c>
    </row>
    <row r="14" customFormat="false" ht="12.8" hidden="false" customHeight="false" outlineLevel="0" collapsed="false">
      <c r="A14" s="0" t="s">
        <v>245</v>
      </c>
      <c r="B14" s="0" t="n">
        <v>13</v>
      </c>
      <c r="C14" s="0" t="n">
        <f aca="false">(2178/(1+2.71828^(-0.21*(B14-17.9))))</f>
        <v>573.419822034027</v>
      </c>
      <c r="D14" s="0" t="n">
        <f aca="false">(1234/(1+2.71828^(-0.38*(B14-12.4))))</f>
        <v>687.034824766433</v>
      </c>
      <c r="E14" s="0" t="n">
        <v>0.075</v>
      </c>
      <c r="F14" s="0" t="s">
        <v>545</v>
      </c>
      <c r="G14" s="0" t="n">
        <f aca="false">E14/SUM(E7:E17)</f>
        <v>0.12998266897747</v>
      </c>
      <c r="J14" s="0" t="s">
        <v>546</v>
      </c>
      <c r="K14" s="0" t="n">
        <f aca="false">E14/SUM(E13:E27)</f>
        <v>0.0909090909090909</v>
      </c>
      <c r="L14" s="0" t="n">
        <f aca="false">D14*K14</f>
        <v>62.457711342403</v>
      </c>
    </row>
    <row r="15" customFormat="false" ht="12.8" hidden="false" customHeight="false" outlineLevel="0" collapsed="false">
      <c r="A15" s="0" t="s">
        <v>245</v>
      </c>
      <c r="B15" s="0" t="n">
        <v>14</v>
      </c>
      <c r="C15" s="0" t="n">
        <f aca="false">(2178/(1+2.71828^(-0.21*(B15-17.9))))</f>
        <v>666.415924769667</v>
      </c>
      <c r="D15" s="0" t="n">
        <f aca="false">(1234/(1+2.71828^(-0.38*(B15-12.4))))</f>
        <v>798.995683973579</v>
      </c>
      <c r="E15" s="0" t="n">
        <v>0.0875</v>
      </c>
      <c r="F15" s="0" t="s">
        <v>545</v>
      </c>
      <c r="G15" s="0" t="n">
        <f aca="false">E15/SUM(E7:E17)</f>
        <v>0.151646447140381</v>
      </c>
      <c r="J15" s="0" t="s">
        <v>546</v>
      </c>
      <c r="K15" s="0" t="n">
        <f aca="false">E15/SUM(E13:E27)</f>
        <v>0.106060606060606</v>
      </c>
      <c r="L15" s="0" t="n">
        <f aca="false">D15*K15</f>
        <v>84.7419664820463</v>
      </c>
    </row>
    <row r="16" customFormat="false" ht="12.8" hidden="false" customHeight="false" outlineLevel="0" collapsed="false">
      <c r="A16" s="0" t="s">
        <v>245</v>
      </c>
      <c r="B16" s="0" t="n">
        <v>15</v>
      </c>
      <c r="C16" s="0" t="n">
        <f aca="false">(2178/(1+2.71828^(-0.21*(B16-17.9))))</f>
        <v>767.282041368853</v>
      </c>
      <c r="D16" s="0" t="n">
        <f aca="false">(1234/(1+2.71828^(-0.38*(B16-12.4))))</f>
        <v>899.206634546974</v>
      </c>
      <c r="E16" s="0" t="n">
        <v>0.0975</v>
      </c>
      <c r="F16" s="0" t="s">
        <v>545</v>
      </c>
      <c r="G16" s="0" t="n">
        <f aca="false">E16/SUM(E7:E17)</f>
        <v>0.168977469670711</v>
      </c>
      <c r="J16" s="0" t="s">
        <v>546</v>
      </c>
      <c r="K16" s="0" t="n">
        <f aca="false">E16/SUM(E13:E27)</f>
        <v>0.118181818181818</v>
      </c>
      <c r="L16" s="0" t="n">
        <f aca="false">D16*K16</f>
        <v>106.269874991915</v>
      </c>
    </row>
    <row r="17" customFormat="false" ht="12.8" hidden="false" customHeight="false" outlineLevel="0" collapsed="false">
      <c r="A17" s="0" t="s">
        <v>245</v>
      </c>
      <c r="B17" s="0" t="n">
        <v>16</v>
      </c>
      <c r="C17" s="0" t="n">
        <f aca="false">(2178/(1+2.71828^(-0.21*(B17-17.9))))</f>
        <v>874.581756254959</v>
      </c>
      <c r="D17" s="0" t="n">
        <f aca="false">(1234/(1+2.71828^(-0.38*(B17-12.4))))</f>
        <v>983.567946132933</v>
      </c>
      <c r="E17" s="0" t="n">
        <v>0.098</v>
      </c>
      <c r="F17" s="0" t="s">
        <v>545</v>
      </c>
      <c r="G17" s="0" t="n">
        <f aca="false">E17/SUM(E7:E17)</f>
        <v>0.169844020797227</v>
      </c>
      <c r="J17" s="0" t="s">
        <v>546</v>
      </c>
      <c r="K17" s="0" t="n">
        <f aca="false">E17/SUM(E13:E27)</f>
        <v>0.118787878787879</v>
      </c>
      <c r="L17" s="0" t="n">
        <f aca="false">D17*K17</f>
        <v>116.835949964882</v>
      </c>
    </row>
    <row r="18" customFormat="false" ht="12.8" hidden="false" customHeight="false" outlineLevel="0" collapsed="false">
      <c r="A18" s="0" t="s">
        <v>245</v>
      </c>
      <c r="B18" s="0" t="n">
        <v>17</v>
      </c>
      <c r="C18" s="0" t="n">
        <f aca="false">(2178/(1+2.71828^(-0.21*(B18-17.9))))</f>
        <v>986.394817107572</v>
      </c>
      <c r="D18" s="0" t="n">
        <f aca="false">(1234/(1+2.71828^(-0.38*(B18-12.4))))</f>
        <v>1050.99806827117</v>
      </c>
      <c r="E18" s="0" t="n">
        <v>0.092</v>
      </c>
      <c r="F18" s="0" t="s">
        <v>546</v>
      </c>
      <c r="G18" s="0" t="n">
        <f aca="false">E18/SUM(E18:E27)</f>
        <v>0.227441285537701</v>
      </c>
      <c r="I18" s="0" t="n">
        <f aca="false">SUM(E18:E27)</f>
        <v>0.4045</v>
      </c>
      <c r="J18" s="0" t="s">
        <v>546</v>
      </c>
      <c r="K18" s="0" t="n">
        <f aca="false">E18/SUM(E13:E27)</f>
        <v>0.111515151515152</v>
      </c>
      <c r="L18" s="0" t="n">
        <f aca="false">D18*K18</f>
        <v>117.202208825391</v>
      </c>
    </row>
    <row r="19" customFormat="false" ht="12.8" hidden="false" customHeight="false" outlineLevel="0" collapsed="false">
      <c r="A19" s="0" t="s">
        <v>245</v>
      </c>
      <c r="B19" s="0" t="n">
        <v>18</v>
      </c>
      <c r="C19" s="0" t="n">
        <f aca="false">(2178/(1+2.71828^(-0.21*(B19-17.9))))</f>
        <v>1100.43407211006</v>
      </c>
      <c r="D19" s="0" t="n">
        <f aca="false">(1234/(1+2.71828^(-0.38*(B19-12.4))))</f>
        <v>1102.69605218089</v>
      </c>
      <c r="E19" s="0" t="n">
        <v>0.085</v>
      </c>
      <c r="F19" s="0" t="s">
        <v>546</v>
      </c>
      <c r="G19" s="0" t="n">
        <f aca="false">E19/SUM(E18:E27)</f>
        <v>0.210135970333745</v>
      </c>
      <c r="J19" s="0" t="s">
        <v>546</v>
      </c>
      <c r="K19" s="0" t="n">
        <f aca="false">E19/SUM(E13:E27)</f>
        <v>0.103030303030303</v>
      </c>
      <c r="L19" s="0" t="n">
        <f aca="false">D19*K19</f>
        <v>113.611108406516</v>
      </c>
    </row>
    <row r="20" customFormat="false" ht="12.8" hidden="false" customHeight="false" outlineLevel="0" collapsed="false">
      <c r="A20" s="0" t="s">
        <v>245</v>
      </c>
      <c r="B20" s="0" t="n">
        <v>19</v>
      </c>
      <c r="C20" s="0" t="n">
        <f aca="false">(2178/(1+2.71828^(-0.21*(B20-17.9))))</f>
        <v>1214.22307502648</v>
      </c>
      <c r="D20" s="0" t="n">
        <f aca="false">(1234/(1+2.71828^(-0.38*(B20-12.4))))</f>
        <v>1141.08058080007</v>
      </c>
      <c r="E20" s="0" t="n">
        <v>0.07</v>
      </c>
      <c r="F20" s="0" t="s">
        <v>546</v>
      </c>
      <c r="G20" s="0" t="n">
        <f aca="false">E20/SUM(E18:E27)</f>
        <v>0.173053152039555</v>
      </c>
      <c r="J20" s="0" t="s">
        <v>546</v>
      </c>
      <c r="K20" s="0" t="n">
        <f aca="false">E20/SUM(E13:E27)</f>
        <v>0.0848484848484849</v>
      </c>
      <c r="L20" s="0" t="n">
        <f aca="false">D20*K20</f>
        <v>96.8189583709153</v>
      </c>
    </row>
    <row r="21" customFormat="false" ht="12.8" hidden="false" customHeight="false" outlineLevel="0" collapsed="false">
      <c r="A21" s="0" t="s">
        <v>245</v>
      </c>
      <c r="B21" s="0" t="n">
        <v>20</v>
      </c>
      <c r="C21" s="0" t="n">
        <f aca="false">(2178/(1+2.71828^(-0.21*(B21-17.9))))</f>
        <v>1325.30693263157</v>
      </c>
      <c r="D21" s="0" t="n">
        <f aca="false">(1234/(1+2.71828^(-0.38*(B21-12.4))))</f>
        <v>1168.90642476489</v>
      </c>
      <c r="E21" s="0" t="n">
        <v>0.055</v>
      </c>
      <c r="F21" s="0" t="s">
        <v>546</v>
      </c>
      <c r="G21" s="0" t="n">
        <f aca="false">E21/SUM(E18:E27)</f>
        <v>0.135970333745365</v>
      </c>
      <c r="J21" s="0" t="s">
        <v>546</v>
      </c>
      <c r="K21" s="0" t="n">
        <f aca="false">E21/SUM(E13:E27)</f>
        <v>0.0666666666666667</v>
      </c>
      <c r="L21" s="0" t="n">
        <f aca="false">D21*K21</f>
        <v>77.9270949843263</v>
      </c>
    </row>
    <row r="22" customFormat="false" ht="12.8" hidden="false" customHeight="false" outlineLevel="0" collapsed="false">
      <c r="A22" s="0" t="s">
        <v>245</v>
      </c>
      <c r="B22" s="0" t="n">
        <v>21</v>
      </c>
      <c r="C22" s="0" t="n">
        <f aca="false">(2178/(1+2.71828^(-0.21*(B22-17.9))))</f>
        <v>1431.45930307913</v>
      </c>
      <c r="D22" s="0" t="n">
        <f aca="false">(1234/(1+2.71828^(-0.38*(B22-12.4))))</f>
        <v>1188.73006863637</v>
      </c>
      <c r="E22" s="0" t="n">
        <v>0.04</v>
      </c>
      <c r="F22" s="0" t="s">
        <v>546</v>
      </c>
      <c r="G22" s="0" t="n">
        <f aca="false">E22/SUM(E18:E27)</f>
        <v>0.0988875154511743</v>
      </c>
      <c r="J22" s="0" t="s">
        <v>546</v>
      </c>
      <c r="K22" s="0" t="n">
        <f aca="false">E22/SUM(E13:E27)</f>
        <v>0.0484848484848485</v>
      </c>
      <c r="L22" s="0" t="n">
        <f aca="false">D22*K22</f>
        <v>57.6353972672179</v>
      </c>
    </row>
    <row r="23" customFormat="false" ht="12.8" hidden="false" customHeight="false" outlineLevel="0" collapsed="false">
      <c r="A23" s="0" t="s">
        <v>245</v>
      </c>
      <c r="B23" s="0" t="n">
        <v>22</v>
      </c>
      <c r="C23" s="0" t="n">
        <f aca="false">(2178/(1+2.71828^(-0.21*(B23-17.9))))</f>
        <v>1530.84959610801</v>
      </c>
      <c r="D23" s="0" t="n">
        <f aca="false">(1234/(1+2.71828^(-0.38*(B23-12.4))))</f>
        <v>1202.6783741435</v>
      </c>
      <c r="E23" s="0" t="n">
        <v>0.0275</v>
      </c>
      <c r="F23" s="0" t="s">
        <v>546</v>
      </c>
      <c r="G23" s="0" t="n">
        <f aca="false">E23/SUM(E18:E27)</f>
        <v>0.0679851668726823</v>
      </c>
      <c r="J23" s="0" t="s">
        <v>546</v>
      </c>
      <c r="K23" s="0" t="n">
        <f aca="false">E23/SUM(E13:E27)</f>
        <v>0.0333333333333333</v>
      </c>
      <c r="L23" s="0" t="n">
        <f aca="false">D23*K23</f>
        <v>40.0892791381166</v>
      </c>
    </row>
    <row r="24" customFormat="false" ht="12.8" hidden="false" customHeight="false" outlineLevel="0" collapsed="false">
      <c r="A24" s="0" t="s">
        <v>245</v>
      </c>
      <c r="B24" s="0" t="n">
        <v>23</v>
      </c>
      <c r="C24" s="0" t="n">
        <f aca="false">(2178/(1+2.71828^(-0.21*(B24-17.9))))</f>
        <v>1622.14587848223</v>
      </c>
      <c r="D24" s="0" t="n">
        <f aca="false">(1234/(1+2.71828^(-0.38*(B24-12.4))))</f>
        <v>1212.40707552177</v>
      </c>
      <c r="E24" s="0" t="n">
        <v>0.0175</v>
      </c>
      <c r="F24" s="0" t="s">
        <v>546</v>
      </c>
      <c r="G24" s="0" t="n">
        <f aca="false">E24/SUM(E18:E27)</f>
        <v>0.0432632880098888</v>
      </c>
      <c r="J24" s="0" t="s">
        <v>546</v>
      </c>
      <c r="K24" s="0" t="n">
        <f aca="false">E24/SUM(E13:E27)</f>
        <v>0.0212121212121212</v>
      </c>
      <c r="L24" s="0" t="n">
        <f aca="false">D24*K24</f>
        <v>25.7177258444011</v>
      </c>
    </row>
    <row r="25" customFormat="false" ht="12.8" hidden="false" customHeight="false" outlineLevel="0" collapsed="false">
      <c r="A25" s="0" t="s">
        <v>245</v>
      </c>
      <c r="B25" s="0" t="n">
        <v>24</v>
      </c>
      <c r="C25" s="0" t="n">
        <f aca="false">(2178/(1+2.71828^(-0.21*(B25-17.9))))</f>
        <v>1704.54593283965</v>
      </c>
      <c r="D25" s="0" t="n">
        <f aca="false">(1234/(1+2.71828^(-0.38*(B25-12.4))))</f>
        <v>1219.15128700774</v>
      </c>
      <c r="E25" s="0" t="n">
        <v>0.01</v>
      </c>
      <c r="F25" s="0" t="s">
        <v>546</v>
      </c>
      <c r="G25" s="0" t="n">
        <f aca="false">E25/SUM(E18:E27)</f>
        <v>0.0247218788627936</v>
      </c>
      <c r="J25" s="0" t="s">
        <v>546</v>
      </c>
      <c r="K25" s="0" t="n">
        <f aca="false">E25/SUM(E13:E27)</f>
        <v>0.0121212121212121</v>
      </c>
      <c r="L25" s="0" t="n">
        <f aca="false">D25*K25</f>
        <v>14.7775913576695</v>
      </c>
    </row>
    <row r="26" customFormat="false" ht="12.8" hidden="false" customHeight="false" outlineLevel="0" collapsed="false">
      <c r="A26" s="0" t="s">
        <v>245</v>
      </c>
      <c r="B26" s="0" t="n">
        <v>25</v>
      </c>
      <c r="C26" s="0" t="n">
        <f aca="false">(2178/(1+2.71828^(-0.21*(B26-17.9))))</f>
        <v>1777.74495257966</v>
      </c>
      <c r="D26" s="0" t="n">
        <f aca="false">(1234/(1+2.71828^(-0.38*(B26-12.4))))</f>
        <v>1223.80675959591</v>
      </c>
      <c r="E26" s="0" t="n">
        <v>0.005</v>
      </c>
      <c r="F26" s="0" t="s">
        <v>546</v>
      </c>
      <c r="G26" s="0" t="n">
        <f aca="false">E26/SUM(E18:E27)</f>
        <v>0.0123609394313968</v>
      </c>
      <c r="J26" s="0" t="s">
        <v>546</v>
      </c>
      <c r="K26" s="0" t="n">
        <f aca="false">E26/SUM(E13:E27)</f>
        <v>0.00606060606060606</v>
      </c>
      <c r="L26" s="0" t="n">
        <f aca="false">D26*K26</f>
        <v>7.41701066421763</v>
      </c>
    </row>
    <row r="27" customFormat="false" ht="12.8" hidden="false" customHeight="false" outlineLevel="0" collapsed="false">
      <c r="A27" s="0" t="s">
        <v>245</v>
      </c>
      <c r="B27" s="0" t="n">
        <v>26</v>
      </c>
      <c r="C27" s="0" t="n">
        <f aca="false">(2178/(1+2.71828^(-0.21*(B27-17.9))))</f>
        <v>1841.85868843609</v>
      </c>
      <c r="D27" s="0" t="n">
        <f aca="false">(1234/(1+2.71828^(-0.38*(B27-12.4))))</f>
        <v>1227.01098331165</v>
      </c>
      <c r="E27" s="0" t="n">
        <v>0.0025</v>
      </c>
      <c r="F27" s="0" t="s">
        <v>546</v>
      </c>
      <c r="G27" s="0" t="n">
        <f aca="false">E27/SUM(E18:E27)</f>
        <v>0.00618046971569839</v>
      </c>
      <c r="J27" s="0" t="s">
        <v>546</v>
      </c>
      <c r="K27" s="0" t="n">
        <f aca="false">E27/SUM(E13:E27)</f>
        <v>0.00303030303030303</v>
      </c>
      <c r="L27" s="0" t="n">
        <f aca="false">D27*K27</f>
        <v>3.7182151009444</v>
      </c>
    </row>
    <row r="28" customFormat="false" ht="12.8" hidden="false" customHeight="false" outlineLevel="0" collapsed="false">
      <c r="A28" s="0" t="s">
        <v>547</v>
      </c>
      <c r="B28" s="0" t="n">
        <v>1</v>
      </c>
      <c r="C28" s="0" t="n">
        <f aca="false">(1907/(1+2.71828^(-0.34*(B28-13))))</f>
        <v>31.7065466670296</v>
      </c>
      <c r="D28" s="0" t="n">
        <f aca="false">(1728/(1+2.71828^(-0.44*(B28-12.1))))</f>
        <v>12.9770836666875</v>
      </c>
      <c r="E28" s="0" t="n">
        <v>0.002</v>
      </c>
      <c r="F28" s="0" t="s">
        <v>544</v>
      </c>
      <c r="G28" s="0" t="n">
        <f aca="false">E28/SUM(E28:E32)</f>
        <v>0.137931034482759</v>
      </c>
      <c r="H28" s="0" t="n">
        <f aca="false">D28*G28+D29*G29+D30*G30+D31*G31+D32*G32</f>
        <v>44.845792932872</v>
      </c>
      <c r="I28" s="0" t="n">
        <f aca="false">SUM(E28:E32)</f>
        <v>0.0145</v>
      </c>
      <c r="J28" s="0" t="s">
        <v>544</v>
      </c>
      <c r="K28" s="0" t="n">
        <f aca="false">E28/SUM(E28:E31)</f>
        <v>0.210526315789474</v>
      </c>
      <c r="L28" s="0" t="n">
        <f aca="false">D28*K28</f>
        <v>2.73201761403947</v>
      </c>
      <c r="M28" s="0" t="n">
        <f aca="false">SUM(L28:L31)</f>
        <v>30.1344003015676</v>
      </c>
      <c r="N28" s="0" t="n">
        <f aca="false">SUM(E28:E31)</f>
        <v>0.0095</v>
      </c>
    </row>
    <row r="29" customFormat="false" ht="12.8" hidden="false" customHeight="false" outlineLevel="0" collapsed="false">
      <c r="A29" s="0" t="s">
        <v>547</v>
      </c>
      <c r="B29" s="0" t="n">
        <v>2</v>
      </c>
      <c r="C29" s="0" t="n">
        <f aca="false">(1907/(1+2.71828^(-0.34*(B29-13))))</f>
        <v>44.2481117766616</v>
      </c>
      <c r="D29" s="0" t="n">
        <f aca="false">(1728/(1+2.71828^(-0.44*(B29-12.1))))</f>
        <v>20.0663149638017</v>
      </c>
      <c r="E29" s="0" t="n">
        <v>0.002</v>
      </c>
      <c r="F29" s="0" t="s">
        <v>544</v>
      </c>
      <c r="G29" s="0" t="n">
        <f aca="false">E29/SUM(E28:E32)</f>
        <v>0.137931034482759</v>
      </c>
      <c r="J29" s="0" t="s">
        <v>544</v>
      </c>
      <c r="K29" s="0" t="n">
        <f aca="false">E29/SUM(E28:E31)</f>
        <v>0.210526315789474</v>
      </c>
      <c r="L29" s="0" t="n">
        <f aca="false">D29*K29</f>
        <v>4.22448736080035</v>
      </c>
    </row>
    <row r="30" customFormat="false" ht="12.8" hidden="false" customHeight="false" outlineLevel="0" collapsed="false">
      <c r="A30" s="0" t="s">
        <v>547</v>
      </c>
      <c r="B30" s="0" t="n">
        <v>3</v>
      </c>
      <c r="C30" s="0" t="n">
        <f aca="false">(1907/(1+2.71828^(-0.34*(B30-13))))</f>
        <v>61.5875874829061</v>
      </c>
      <c r="D30" s="0" t="n">
        <f aca="false">(1728/(1+2.71828^(-0.44*(B30-12.1))))</f>
        <v>30.9584031706162</v>
      </c>
      <c r="E30" s="0" t="n">
        <v>0.0025</v>
      </c>
      <c r="F30" s="0" t="s">
        <v>544</v>
      </c>
      <c r="G30" s="0" t="n">
        <f aca="false">E30/SUM(E28:E32)</f>
        <v>0.172413793103448</v>
      </c>
      <c r="J30" s="0" t="s">
        <v>544</v>
      </c>
      <c r="K30" s="0" t="n">
        <f aca="false">E30/SUM(E28:E31)</f>
        <v>0.263157894736842</v>
      </c>
      <c r="L30" s="0" t="n">
        <f aca="false">D30*K30</f>
        <v>8.14694820279373</v>
      </c>
    </row>
    <row r="31" customFormat="false" ht="12.8" hidden="false" customHeight="false" outlineLevel="0" collapsed="false">
      <c r="A31" s="0" t="s">
        <v>547</v>
      </c>
      <c r="B31" s="0" t="n">
        <v>4</v>
      </c>
      <c r="C31" s="0" t="n">
        <f aca="false">(1907/(1+2.71828^(-0.34*(B31-13))))</f>
        <v>85.4103176435594</v>
      </c>
      <c r="D31" s="0" t="n">
        <f aca="false">(1728/(1+2.71828^(-0.44*(B31-12.1))))</f>
        <v>47.5979992257911</v>
      </c>
      <c r="E31" s="0" t="n">
        <v>0.003</v>
      </c>
      <c r="F31" s="0" t="s">
        <v>544</v>
      </c>
      <c r="G31" s="0" t="n">
        <f aca="false">E31/SUM(E28:E32)</f>
        <v>0.206896551724138</v>
      </c>
      <c r="J31" s="0" t="s">
        <v>544</v>
      </c>
      <c r="K31" s="0" t="n">
        <f aca="false">E31/SUM(E28:E31)</f>
        <v>0.315789473684211</v>
      </c>
      <c r="L31" s="0" t="n">
        <f aca="false">D31*K31</f>
        <v>15.030947123934</v>
      </c>
    </row>
    <row r="32" customFormat="false" ht="12.8" hidden="false" customHeight="false" outlineLevel="0" collapsed="false">
      <c r="A32" s="0" t="s">
        <v>547</v>
      </c>
      <c r="B32" s="0" t="n">
        <v>5</v>
      </c>
      <c r="C32" s="0" t="n">
        <f aca="false">(1907/(1+2.71828^(-0.34*(B32-13))))</f>
        <v>117.859412474735</v>
      </c>
      <c r="D32" s="0" t="n">
        <f aca="false">(1728/(1+2.71828^(-0.44*(B32-12.1))))</f>
        <v>72.7974389323503</v>
      </c>
      <c r="E32" s="0" t="n">
        <v>0.005</v>
      </c>
      <c r="F32" s="0" t="s">
        <v>544</v>
      </c>
      <c r="G32" s="0" t="n">
        <f aca="false">E32/SUM(E28:E32)</f>
        <v>0.344827586206897</v>
      </c>
      <c r="J32" s="0" t="s">
        <v>545</v>
      </c>
      <c r="K32" s="0" t="n">
        <f aca="false">E32/SUM(E32:E38)</f>
        <v>0.0396825396825397</v>
      </c>
      <c r="L32" s="0" t="n">
        <f aca="false">D32*K32</f>
        <v>2.88878725922025</v>
      </c>
      <c r="M32" s="0" t="n">
        <f aca="false">SUM(L32:L38)</f>
        <v>423.332701603662</v>
      </c>
      <c r="N32" s="0" t="n">
        <f aca="false">SUM(E32:E38)</f>
        <v>0.126</v>
      </c>
    </row>
    <row r="33" customFormat="false" ht="12.8" hidden="false" customHeight="false" outlineLevel="0" collapsed="false">
      <c r="A33" s="0" t="s">
        <v>547</v>
      </c>
      <c r="B33" s="0" t="n">
        <v>6</v>
      </c>
      <c r="C33" s="0" t="n">
        <f aca="false">(1907/(1+2.71828^(-0.34*(B33-13))))</f>
        <v>161.543285557568</v>
      </c>
      <c r="D33" s="0" t="n">
        <f aca="false">(1728/(1+2.71828^(-0.44*(B33-12.1))))</f>
        <v>110.461043974337</v>
      </c>
      <c r="E33" s="0" t="n">
        <v>0.0075</v>
      </c>
      <c r="F33" s="0" t="s">
        <v>545</v>
      </c>
      <c r="G33" s="0" t="n">
        <f aca="false">E33/SUM(E33:E42)</f>
        <v>0.0207756232686981</v>
      </c>
      <c r="H33" s="0" t="n">
        <f aca="false">D33*G33+D34*G34+D35*G35+D36*G36+D37*G37+D38*G38+D39*G39+D40*G40+D41*G41+D42*G42</f>
        <v>901.44827488717</v>
      </c>
      <c r="I33" s="0" t="n">
        <f aca="false">SUM(E33:E42)</f>
        <v>0.361</v>
      </c>
      <c r="J33" s="0" t="s">
        <v>545</v>
      </c>
      <c r="K33" s="0" t="n">
        <f aca="false">E33/SUM(E32:E38)</f>
        <v>0.0595238095238095</v>
      </c>
      <c r="L33" s="0" t="n">
        <f aca="false">D33*K33</f>
        <v>6.5750621413296</v>
      </c>
    </row>
    <row r="34" customFormat="false" ht="12.8" hidden="false" customHeight="false" outlineLevel="0" collapsed="false">
      <c r="A34" s="0" t="s">
        <v>547</v>
      </c>
      <c r="B34" s="0" t="n">
        <v>7</v>
      </c>
      <c r="C34" s="0" t="n">
        <f aca="false">(1907/(1+2.71828^(-0.34*(B34-13))))</f>
        <v>219.432524471029</v>
      </c>
      <c r="D34" s="0" t="n">
        <f aca="false">(1728/(1+2.71828^(-0.44*(B34-12.1))))</f>
        <v>165.660597711516</v>
      </c>
      <c r="E34" s="0" t="n">
        <v>0.01</v>
      </c>
      <c r="F34" s="0" t="s">
        <v>545</v>
      </c>
      <c r="G34" s="0" t="n">
        <f aca="false">E34/SUM(E33:E42)</f>
        <v>0.0277008310249308</v>
      </c>
      <c r="J34" s="0" t="s">
        <v>545</v>
      </c>
      <c r="K34" s="0" t="n">
        <f aca="false">E34/SUM(E32:E38)</f>
        <v>0.0793650793650794</v>
      </c>
      <c r="L34" s="0" t="n">
        <f aca="false">D34*K34</f>
        <v>13.147666485041</v>
      </c>
    </row>
    <row r="35" customFormat="false" ht="12.8" hidden="false" customHeight="false" outlineLevel="0" collapsed="false">
      <c r="A35" s="0" t="s">
        <v>547</v>
      </c>
      <c r="B35" s="0" t="n">
        <v>8</v>
      </c>
      <c r="C35" s="0" t="n">
        <f aca="false">(1907/(1+2.71828^(-0.34*(B35-13))))</f>
        <v>294.565545322819</v>
      </c>
      <c r="D35" s="0" t="n">
        <f aca="false">(1728/(1+2.71828^(-0.44*(B35-12.1))))</f>
        <v>244.278706238321</v>
      </c>
      <c r="E35" s="0" t="n">
        <v>0.015</v>
      </c>
      <c r="F35" s="0" t="s">
        <v>545</v>
      </c>
      <c r="G35" s="0" t="n">
        <f aca="false">E35/SUM(E33:E42)</f>
        <v>0.0415512465373961</v>
      </c>
      <c r="J35" s="0" t="s">
        <v>545</v>
      </c>
      <c r="K35" s="0" t="n">
        <f aca="false">E35/SUM(E32:E38)</f>
        <v>0.119047619047619</v>
      </c>
      <c r="L35" s="0" t="n">
        <f aca="false">D35*K35</f>
        <v>29.0807983617049</v>
      </c>
    </row>
    <row r="36" customFormat="false" ht="12.8" hidden="false" customHeight="false" outlineLevel="0" collapsed="false">
      <c r="A36" s="0" t="s">
        <v>547</v>
      </c>
      <c r="B36" s="0" t="n">
        <v>9</v>
      </c>
      <c r="C36" s="0" t="n">
        <f aca="false">(1907/(1+2.71828^(-0.34*(B36-13))))</f>
        <v>389.486539989019</v>
      </c>
      <c r="D36" s="0" t="n">
        <f aca="false">(1728/(1+2.71828^(-0.44*(B36-12.1))))</f>
        <v>351.805447236995</v>
      </c>
      <c r="E36" s="0" t="n">
        <v>0.021</v>
      </c>
      <c r="F36" s="0" t="s">
        <v>545</v>
      </c>
      <c r="G36" s="0" t="n">
        <f aca="false">E36/SUM(E33:E42)</f>
        <v>0.0581717451523546</v>
      </c>
      <c r="J36" s="0" t="s">
        <v>545</v>
      </c>
      <c r="K36" s="0" t="n">
        <f aca="false">E36/SUM(E32:E38)</f>
        <v>0.166666666666667</v>
      </c>
      <c r="L36" s="0" t="n">
        <f aca="false">D36*K36</f>
        <v>58.6342412061658</v>
      </c>
    </row>
    <row r="37" customFormat="false" ht="12.8" hidden="false" customHeight="false" outlineLevel="0" collapsed="false">
      <c r="A37" s="0" t="s">
        <v>547</v>
      </c>
      <c r="B37" s="0" t="n">
        <v>10</v>
      </c>
      <c r="C37" s="0" t="n">
        <f aca="false">(1907/(1+2.71828^(-0.34*(B37-13))))</f>
        <v>505.407507678571</v>
      </c>
      <c r="D37" s="0" t="n">
        <f aca="false">(1728/(1+2.71828^(-0.44*(B37-12.1))))</f>
        <v>491.000304431897</v>
      </c>
      <c r="E37" s="0" t="n">
        <v>0.03</v>
      </c>
      <c r="F37" s="0" t="s">
        <v>545</v>
      </c>
      <c r="G37" s="0" t="n">
        <f aca="false">E37/SUM(E33:E42)</f>
        <v>0.0831024930747922</v>
      </c>
      <c r="J37" s="0" t="s">
        <v>545</v>
      </c>
      <c r="K37" s="0" t="n">
        <f aca="false">E37/SUM(E32:E38)</f>
        <v>0.238095238095238</v>
      </c>
      <c r="L37" s="0" t="n">
        <f aca="false">D37*K37</f>
        <v>116.904834388547</v>
      </c>
    </row>
    <row r="38" customFormat="false" ht="12.8" hidden="false" customHeight="false" outlineLevel="0" collapsed="false">
      <c r="A38" s="0" t="s">
        <v>547</v>
      </c>
      <c r="B38" s="0" t="n">
        <v>11</v>
      </c>
      <c r="C38" s="0" t="n">
        <f aca="false">(1907/(1+2.71828^(-0.34*(B38-13))))</f>
        <v>641.250498731348</v>
      </c>
      <c r="D38" s="0" t="n">
        <f aca="false">(1728/(1+2.71828^(-0.44*(B38-12.1))))</f>
        <v>658.900407519155</v>
      </c>
      <c r="E38" s="0" t="n">
        <v>0.0375</v>
      </c>
      <c r="F38" s="0" t="s">
        <v>545</v>
      </c>
      <c r="G38" s="0" t="n">
        <f aca="false">E38/SUM(E33:E42)</f>
        <v>0.10387811634349</v>
      </c>
      <c r="J38" s="0" t="s">
        <v>545</v>
      </c>
      <c r="K38" s="0" t="n">
        <f aca="false">E38/SUM(E32:E38)</f>
        <v>0.297619047619048</v>
      </c>
      <c r="L38" s="0" t="n">
        <f aca="false">D38*K38</f>
        <v>196.101311761653</v>
      </c>
    </row>
    <row r="39" customFormat="false" ht="12.8" hidden="false" customHeight="false" outlineLevel="0" collapsed="false">
      <c r="A39" s="0" t="s">
        <v>547</v>
      </c>
      <c r="B39" s="0" t="n">
        <v>12</v>
      </c>
      <c r="C39" s="0" t="n">
        <f aca="false">(1907/(1+2.71828^(-0.34*(B39-13))))</f>
        <v>792.948778704482</v>
      </c>
      <c r="D39" s="0" t="n">
        <f aca="false">(1728/(1+2.71828^(-0.44*(B39-12.1))))</f>
        <v>844.995078810014</v>
      </c>
      <c r="E39" s="0" t="n">
        <v>0.0475</v>
      </c>
      <c r="F39" s="0" t="s">
        <v>545</v>
      </c>
      <c r="G39" s="0" t="n">
        <f aca="false">E39/SUM(E33:E42)</f>
        <v>0.131578947368421</v>
      </c>
      <c r="J39" s="0" t="s">
        <v>546</v>
      </c>
      <c r="K39" s="0" t="n">
        <f aca="false">E39/SUM(E39:E58)</f>
        <v>0.0549450549450549</v>
      </c>
      <c r="L39" s="0" t="n">
        <f aca="false">D39*K39</f>
        <v>46.4283010335173</v>
      </c>
      <c r="M39" s="0" t="n">
        <f aca="false">SUM(L39:L58)</f>
        <v>1500.31604064307</v>
      </c>
      <c r="N39" s="0" t="n">
        <f aca="false">SUM(E39:E58)</f>
        <v>0.8645</v>
      </c>
    </row>
    <row r="40" customFormat="false" ht="12.8" hidden="false" customHeight="false" outlineLevel="0" collapsed="false">
      <c r="A40" s="0" t="s">
        <v>547</v>
      </c>
      <c r="B40" s="0" t="n">
        <v>13</v>
      </c>
      <c r="C40" s="0" t="n">
        <f aca="false">(1907/(1+2.71828^(-0.34*(B40-13))))</f>
        <v>953.5</v>
      </c>
      <c r="D40" s="0" t="n">
        <f aca="false">(1728/(1+2.71828^(-0.44*(B40-12.1))))</f>
        <v>1032.87083012536</v>
      </c>
      <c r="E40" s="0" t="n">
        <v>0.0575</v>
      </c>
      <c r="F40" s="0" t="s">
        <v>545</v>
      </c>
      <c r="G40" s="0" t="n">
        <f aca="false">E40/SUM(E33:E42)</f>
        <v>0.159279778393352</v>
      </c>
      <c r="J40" s="0" t="s">
        <v>546</v>
      </c>
      <c r="K40" s="0" t="n">
        <f aca="false">E40/SUM(E39:E58)</f>
        <v>0.0665124349334876</v>
      </c>
      <c r="L40" s="0" t="n">
        <f aca="false">D40*K40</f>
        <v>68.6987538834104</v>
      </c>
    </row>
    <row r="41" customFormat="false" ht="12.8" hidden="false" customHeight="false" outlineLevel="0" collapsed="false">
      <c r="A41" s="0" t="s">
        <v>547</v>
      </c>
      <c r="B41" s="0" t="n">
        <v>14</v>
      </c>
      <c r="C41" s="0" t="n">
        <f aca="false">(1907/(1+2.71828^(-0.34*(B41-13))))</f>
        <v>1114.05122129552</v>
      </c>
      <c r="D41" s="0" t="n">
        <f aca="false">(1728/(1+2.71828^(-0.44*(B41-12.1))))</f>
        <v>1205.49078654863</v>
      </c>
      <c r="E41" s="0" t="n">
        <v>0.065</v>
      </c>
      <c r="F41" s="0" t="s">
        <v>545</v>
      </c>
      <c r="G41" s="0" t="n">
        <f aca="false">E41/SUM(E33:E42)</f>
        <v>0.18005540166205</v>
      </c>
      <c r="J41" s="0" t="s">
        <v>546</v>
      </c>
      <c r="K41" s="0" t="n">
        <f aca="false">E41/SUM(E39:E58)</f>
        <v>0.075187969924812</v>
      </c>
      <c r="L41" s="0" t="n">
        <f aca="false">D41*K41</f>
        <v>90.6384050036561</v>
      </c>
    </row>
    <row r="42" customFormat="false" ht="12.8" hidden="false" customHeight="false" outlineLevel="0" collapsed="false">
      <c r="A42" s="0" t="s">
        <v>547</v>
      </c>
      <c r="B42" s="0" t="n">
        <v>15</v>
      </c>
      <c r="C42" s="0" t="n">
        <f aca="false">(1907/(1+2.71828^(-0.34*(B42-13))))</f>
        <v>1265.74950126865</v>
      </c>
      <c r="D42" s="0" t="n">
        <f aca="false">(1728/(1+2.71828^(-0.44*(B42-12.1))))</f>
        <v>1350.89505607891</v>
      </c>
      <c r="E42" s="0" t="n">
        <v>0.07</v>
      </c>
      <c r="F42" s="0" t="s">
        <v>545</v>
      </c>
      <c r="G42" s="0" t="n">
        <f aca="false">E42/SUM(E33:E42)</f>
        <v>0.193905817174515</v>
      </c>
      <c r="J42" s="0" t="s">
        <v>546</v>
      </c>
      <c r="K42" s="0" t="n">
        <f aca="false">E42/SUM(E39:E58)</f>
        <v>0.0809716599190283</v>
      </c>
      <c r="L42" s="0" t="n">
        <f aca="false">D42*K42</f>
        <v>109.384215067119</v>
      </c>
    </row>
    <row r="43" customFormat="false" ht="12.8" hidden="false" customHeight="false" outlineLevel="0" collapsed="false">
      <c r="A43" s="0" t="s">
        <v>547</v>
      </c>
      <c r="B43" s="0" t="n">
        <v>16</v>
      </c>
      <c r="C43" s="0" t="n">
        <f aca="false">(1907/(1+2.71828^(-0.34*(B43-13))))</f>
        <v>1401.59249232143</v>
      </c>
      <c r="D43" s="0" t="n">
        <f aca="false">(1728/(1+2.71828^(-0.44*(B43-12.1))))</f>
        <v>1464.67482202517</v>
      </c>
      <c r="E43" s="0" t="n">
        <v>0.073</v>
      </c>
      <c r="F43" s="0" t="s">
        <v>546</v>
      </c>
      <c r="G43" s="0" t="n">
        <f aca="false">E43/SUM(E43:E58)</f>
        <v>0.116893514811849</v>
      </c>
      <c r="I43" s="0" t="n">
        <f aca="false">SUM(E43:E58)</f>
        <v>0.6245</v>
      </c>
      <c r="J43" s="0" t="s">
        <v>546</v>
      </c>
      <c r="K43" s="0" t="n">
        <f aca="false">E43/SUM(E39:E58)</f>
        <v>0.0844418739155581</v>
      </c>
      <c r="L43" s="0" t="n">
        <f aca="false">D43*K43</f>
        <v>123.679886648742</v>
      </c>
    </row>
    <row r="44" customFormat="false" ht="12.8" hidden="false" customHeight="false" outlineLevel="0" collapsed="false">
      <c r="A44" s="0" t="s">
        <v>547</v>
      </c>
      <c r="B44" s="0" t="n">
        <v>17</v>
      </c>
      <c r="C44" s="0" t="n">
        <f aca="false">(1907/(1+2.71828^(-0.34*(B44-13))))</f>
        <v>1517.51346001098</v>
      </c>
      <c r="D44" s="0" t="n">
        <f aca="false">(1728/(1+2.71828^(-0.44*(B44-12.1))))</f>
        <v>1548.68196627293</v>
      </c>
      <c r="E44" s="0" t="n">
        <v>0.075</v>
      </c>
      <c r="F44" s="0" t="s">
        <v>546</v>
      </c>
      <c r="G44" s="0" t="n">
        <f aca="false">E44/SUM(E43:E58)</f>
        <v>0.120096076861489</v>
      </c>
      <c r="J44" s="0" t="s">
        <v>546</v>
      </c>
      <c r="K44" s="0" t="n">
        <f aca="false">E44/SUM(E39:E58)</f>
        <v>0.0867553499132446</v>
      </c>
      <c r="L44" s="0" t="n">
        <f aca="false">D44*K44</f>
        <v>134.35644588834</v>
      </c>
    </row>
    <row r="45" customFormat="false" ht="12.8" hidden="false" customHeight="false" outlineLevel="0" collapsed="false">
      <c r="A45" s="0" t="s">
        <v>547</v>
      </c>
      <c r="B45" s="0" t="n">
        <v>18</v>
      </c>
      <c r="C45" s="0" t="n">
        <f aca="false">(1907/(1+2.71828^(-0.34*(B45-13))))</f>
        <v>1612.43445467718</v>
      </c>
      <c r="D45" s="0" t="n">
        <f aca="false">(1728/(1+2.71828^(-0.44*(B45-12.1))))</f>
        <v>1608.08300282056</v>
      </c>
      <c r="E45" s="0" t="n">
        <v>0.0725</v>
      </c>
      <c r="F45" s="0" t="s">
        <v>546</v>
      </c>
      <c r="G45" s="0" t="n">
        <f aca="false">E45/SUM(E43:E58)</f>
        <v>0.11609287429944</v>
      </c>
      <c r="J45" s="0" t="s">
        <v>546</v>
      </c>
      <c r="K45" s="0" t="n">
        <f aca="false">E45/SUM(E39:E58)</f>
        <v>0.0838635049161365</v>
      </c>
      <c r="L45" s="0" t="n">
        <f aca="false">D45*K45</f>
        <v>134.859476812598</v>
      </c>
    </row>
    <row r="46" customFormat="false" ht="12.8" hidden="false" customHeight="false" outlineLevel="0" collapsed="false">
      <c r="A46" s="0" t="s">
        <v>547</v>
      </c>
      <c r="B46" s="0" t="n">
        <v>19</v>
      </c>
      <c r="C46" s="0" t="n">
        <f aca="false">(1907/(1+2.71828^(-0.34*(B46-13))))</f>
        <v>1687.56747552897</v>
      </c>
      <c r="D46" s="0" t="n">
        <f aca="false">(1728/(1+2.71828^(-0.44*(B46-12.1))))</f>
        <v>1648.8129386235</v>
      </c>
      <c r="E46" s="0" t="n">
        <v>0.07</v>
      </c>
      <c r="F46" s="0" t="s">
        <v>546</v>
      </c>
      <c r="G46" s="0" t="n">
        <f aca="false">E46/SUM(E43:E58)</f>
        <v>0.11208967173739</v>
      </c>
      <c r="J46" s="0" t="s">
        <v>546</v>
      </c>
      <c r="K46" s="0" t="n">
        <f aca="false">E46/SUM(E39:E58)</f>
        <v>0.0809716599190283</v>
      </c>
      <c r="L46" s="0" t="n">
        <f aca="false">D46*K46</f>
        <v>133.507120536316</v>
      </c>
    </row>
    <row r="47" customFormat="false" ht="12.8" hidden="false" customHeight="false" outlineLevel="0" collapsed="false">
      <c r="A47" s="0" t="s">
        <v>547</v>
      </c>
      <c r="B47" s="0" t="n">
        <v>20</v>
      </c>
      <c r="C47" s="0" t="n">
        <f aca="false">(1907/(1+2.71828^(-0.34*(B47-13))))</f>
        <v>1745.45671444243</v>
      </c>
      <c r="D47" s="0" t="n">
        <f aca="false">(1728/(1+2.71828^(-0.44*(B47-12.1))))</f>
        <v>1676.1549195872</v>
      </c>
      <c r="E47" s="0" t="n">
        <v>0.065</v>
      </c>
      <c r="F47" s="0" t="s">
        <v>546</v>
      </c>
      <c r="G47" s="0" t="n">
        <f aca="false">E47/SUM(E43:E58)</f>
        <v>0.104083266613291</v>
      </c>
      <c r="J47" s="0" t="s">
        <v>546</v>
      </c>
      <c r="K47" s="0" t="n">
        <f aca="false">E47/SUM(E39:E58)</f>
        <v>0.075187969924812</v>
      </c>
      <c r="L47" s="0" t="n">
        <f aca="false">D47*K47</f>
        <v>126.026685683248</v>
      </c>
    </row>
    <row r="48" customFormat="false" ht="12.8" hidden="false" customHeight="false" outlineLevel="0" collapsed="false">
      <c r="A48" s="0" t="s">
        <v>547</v>
      </c>
      <c r="B48" s="0" t="n">
        <v>21</v>
      </c>
      <c r="C48" s="0" t="n">
        <f aca="false">(1907/(1+2.71828^(-0.34*(B48-13))))</f>
        <v>1789.14058752527</v>
      </c>
      <c r="D48" s="0" t="n">
        <f aca="false">(1728/(1+2.71828^(-0.44*(B48-12.1))))</f>
        <v>1694.24941558449</v>
      </c>
      <c r="E48" s="0" t="n">
        <v>0.0575</v>
      </c>
      <c r="F48" s="0" t="s">
        <v>546</v>
      </c>
      <c r="G48" s="0" t="n">
        <f aca="false">E48/SUM(E43:E58)</f>
        <v>0.0920736589271417</v>
      </c>
      <c r="J48" s="0" t="s">
        <v>546</v>
      </c>
      <c r="K48" s="0" t="n">
        <f aca="false">E48/SUM(E39:E58)</f>
        <v>0.0665124349334876</v>
      </c>
      <c r="L48" s="0" t="n">
        <f aca="false">D48*K48</f>
        <v>112.688654015163</v>
      </c>
    </row>
    <row r="49" customFormat="false" ht="12.8" hidden="false" customHeight="false" outlineLevel="0" collapsed="false">
      <c r="A49" s="0" t="s">
        <v>547</v>
      </c>
      <c r="B49" s="0" t="n">
        <v>22</v>
      </c>
      <c r="C49" s="0" t="n">
        <f aca="false">(1907/(1+2.71828^(-0.34*(B49-13))))</f>
        <v>1821.58968235644</v>
      </c>
      <c r="D49" s="0" t="n">
        <f aca="false">(1728/(1+2.71828^(-0.44*(B49-12.1))))</f>
        <v>1706.11120546265</v>
      </c>
      <c r="E49" s="0" t="n">
        <v>0.05</v>
      </c>
      <c r="F49" s="0" t="s">
        <v>546</v>
      </c>
      <c r="G49" s="0" t="n">
        <f aca="false">E49/SUM(E43:E58)</f>
        <v>0.0800640512409928</v>
      </c>
      <c r="J49" s="0" t="s">
        <v>546</v>
      </c>
      <c r="K49" s="0" t="n">
        <f aca="false">E49/SUM(E39:E58)</f>
        <v>0.0578368999421631</v>
      </c>
      <c r="L49" s="0" t="n">
        <f aca="false">D49*K49</f>
        <v>98.6761830805466</v>
      </c>
    </row>
    <row r="50" customFormat="false" ht="12.8" hidden="false" customHeight="false" outlineLevel="0" collapsed="false">
      <c r="A50" s="0" t="s">
        <v>547</v>
      </c>
      <c r="B50" s="0" t="n">
        <v>23</v>
      </c>
      <c r="C50" s="0" t="n">
        <f aca="false">(1907/(1+2.71828^(-0.34*(B50-13))))</f>
        <v>1845.41241251709</v>
      </c>
      <c r="D50" s="0" t="n">
        <f aca="false">(1728/(1+2.71828^(-0.44*(B50-12.1))))</f>
        <v>1713.83896234227</v>
      </c>
      <c r="E50" s="0" t="n">
        <v>0.0425</v>
      </c>
      <c r="F50" s="0" t="s">
        <v>546</v>
      </c>
      <c r="G50" s="0" t="n">
        <f aca="false">E50/SUM(E43:E58)</f>
        <v>0.0680544435548439</v>
      </c>
      <c r="J50" s="0" t="s">
        <v>546</v>
      </c>
      <c r="K50" s="0" t="n">
        <f aca="false">E50/SUM(E39:E58)</f>
        <v>0.0491613649508386</v>
      </c>
      <c r="L50" s="0" t="n">
        <f aca="false">D50*K50</f>
        <v>84.2546626946752</v>
      </c>
    </row>
    <row r="51" customFormat="false" ht="12.8" hidden="false" customHeight="false" outlineLevel="0" collapsed="false">
      <c r="A51" s="0" t="s">
        <v>547</v>
      </c>
      <c r="B51" s="0" t="n">
        <v>24</v>
      </c>
      <c r="C51" s="0" t="n">
        <f aca="false">(1907/(1+2.71828^(-0.34*(B51-13))))</f>
        <v>1862.75188822334</v>
      </c>
      <c r="D51" s="0" t="n">
        <f aca="false">(1728/(1+2.71828^(-0.44*(B51-12.1))))</f>
        <v>1718.85309051017</v>
      </c>
      <c r="E51" s="0" t="n">
        <v>0.0375</v>
      </c>
      <c r="F51" s="0" t="s">
        <v>546</v>
      </c>
      <c r="G51" s="0" t="n">
        <f aca="false">E51/SUM(E43:E58)</f>
        <v>0.0600480384307446</v>
      </c>
      <c r="J51" s="0" t="s">
        <v>546</v>
      </c>
      <c r="K51" s="0" t="n">
        <f aca="false">E51/SUM(E39:E58)</f>
        <v>0.0433776749566223</v>
      </c>
      <c r="L51" s="0" t="n">
        <f aca="false">D51*K51</f>
        <v>74.5598506583359</v>
      </c>
    </row>
    <row r="52" customFormat="false" ht="12.8" hidden="false" customHeight="false" outlineLevel="0" collapsed="false">
      <c r="A52" s="0" t="s">
        <v>547</v>
      </c>
      <c r="B52" s="0" t="n">
        <v>25</v>
      </c>
      <c r="C52" s="0" t="n">
        <f aca="false">(1907/(1+2.71828^(-0.34*(B52-13))))</f>
        <v>1875.29345333297</v>
      </c>
      <c r="D52" s="0" t="n">
        <f aca="false">(1728/(1+2.71828^(-0.44*(B52-12.1))))</f>
        <v>1722.09793450302</v>
      </c>
      <c r="E52" s="0" t="n">
        <v>0.028</v>
      </c>
      <c r="F52" s="0" t="s">
        <v>546</v>
      </c>
      <c r="G52" s="0" t="n">
        <f aca="false">E52/SUM(E43:E58)</f>
        <v>0.044835868694956</v>
      </c>
      <c r="J52" s="0" t="s">
        <v>546</v>
      </c>
      <c r="K52" s="0" t="n">
        <f aca="false">E52/SUM(E39:E58)</f>
        <v>0.0323886639676113</v>
      </c>
      <c r="L52" s="0" t="n">
        <f aca="false">D52*K52</f>
        <v>55.7764513199357</v>
      </c>
    </row>
    <row r="53" customFormat="false" ht="12.8" hidden="false" customHeight="false" outlineLevel="0" collapsed="false">
      <c r="A53" s="0" t="s">
        <v>547</v>
      </c>
      <c r="B53" s="0" t="n">
        <v>26</v>
      </c>
      <c r="C53" s="0" t="n">
        <f aca="false">(1907/(1+2.71828^(-0.34*(B53-13))))</f>
        <v>1884.32354533602</v>
      </c>
      <c r="D53" s="0" t="n">
        <f aca="false">(1728/(1+2.71828^(-0.44*(B53-12.1))))</f>
        <v>1724.19422663899</v>
      </c>
      <c r="E53" s="0" t="n">
        <v>0.02</v>
      </c>
      <c r="F53" s="0" t="s">
        <v>546</v>
      </c>
      <c r="G53" s="0" t="n">
        <f aca="false">E53/SUM(E43:E58)</f>
        <v>0.0320256204963971</v>
      </c>
      <c r="J53" s="0" t="s">
        <v>546</v>
      </c>
      <c r="K53" s="0" t="n">
        <f aca="false">E53/SUM(E39:E58)</f>
        <v>0.0231347599768652</v>
      </c>
      <c r="L53" s="0" t="n">
        <f aca="false">D53*K53</f>
        <v>39.8888195867897</v>
      </c>
    </row>
    <row r="54" customFormat="false" ht="12.8" hidden="false" customHeight="false" outlineLevel="0" collapsed="false">
      <c r="A54" s="0" t="s">
        <v>547</v>
      </c>
      <c r="B54" s="0" t="n">
        <v>27</v>
      </c>
      <c r="C54" s="0" t="n">
        <f aca="false">(1907/(1+2.71828^(-0.34*(B54-13))))</f>
        <v>1890.80405912581</v>
      </c>
      <c r="D54" s="0" t="n">
        <f aca="false">(1728/(1+2.71828^(-0.44*(B54-12.1))))</f>
        <v>1725.54701953413</v>
      </c>
      <c r="E54" s="0" t="n">
        <v>0.015</v>
      </c>
      <c r="F54" s="0" t="s">
        <v>546</v>
      </c>
      <c r="G54" s="0" t="n">
        <f aca="false">E54/SUM(E43:E58)</f>
        <v>0.0240192153722978</v>
      </c>
      <c r="J54" s="0" t="s">
        <v>546</v>
      </c>
      <c r="K54" s="0" t="n">
        <f aca="false">E54/SUM(E39:E58)</f>
        <v>0.0173510699826489</v>
      </c>
      <c r="L54" s="0" t="n">
        <f aca="false">D54*K54</f>
        <v>29.940087094288</v>
      </c>
    </row>
    <row r="55" customFormat="false" ht="12.8" hidden="false" customHeight="false" outlineLevel="0" collapsed="false">
      <c r="A55" s="0" t="s">
        <v>547</v>
      </c>
      <c r="B55" s="0" t="n">
        <v>28</v>
      </c>
      <c r="C55" s="0" t="n">
        <f aca="false">(1907/(1+2.71828^(-0.34*(B55-13))))</f>
        <v>1895.44391915238</v>
      </c>
      <c r="D55" s="0" t="n">
        <f aca="false">(1728/(1+2.71828^(-0.44*(B55-12.1))))</f>
        <v>1726.41939207928</v>
      </c>
      <c r="E55" s="0" t="n">
        <v>0.01</v>
      </c>
      <c r="F55" s="0" t="s">
        <v>546</v>
      </c>
      <c r="G55" s="0" t="n">
        <f aca="false">E55/SUM(E43:E58)</f>
        <v>0.0160128102481986</v>
      </c>
      <c r="J55" s="0" t="s">
        <v>546</v>
      </c>
      <c r="K55" s="0" t="n">
        <f aca="false">E55/SUM(E39:E58)</f>
        <v>0.0115673799884326</v>
      </c>
      <c r="L55" s="0" t="n">
        <f aca="false">D55*K55</f>
        <v>19.9701491275799</v>
      </c>
    </row>
    <row r="56" customFormat="false" ht="12.8" hidden="false" customHeight="false" outlineLevel="0" collapsed="false">
      <c r="A56" s="0" t="s">
        <v>547</v>
      </c>
      <c r="B56" s="0" t="n">
        <v>29</v>
      </c>
      <c r="C56" s="0" t="n">
        <f aca="false">(1907/(1+2.71828^(-0.34*(B56-13))))</f>
        <v>1898.76033115701</v>
      </c>
      <c r="D56" s="0" t="n">
        <f aca="false">(1728/(1+2.71828^(-0.44*(B56-12.1))))</f>
        <v>1726.9816990705</v>
      </c>
      <c r="E56" s="0" t="n">
        <v>0.005</v>
      </c>
      <c r="F56" s="0" t="s">
        <v>546</v>
      </c>
      <c r="G56" s="0" t="n">
        <f aca="false">E56/SUM(E43:E58)</f>
        <v>0.00800640512409928</v>
      </c>
      <c r="J56" s="0" t="s">
        <v>546</v>
      </c>
      <c r="K56" s="0" t="n">
        <f aca="false">E56/SUM(E39:E58)</f>
        <v>0.00578368999421631</v>
      </c>
      <c r="L56" s="0" t="n">
        <f aca="false">D56*K56</f>
        <v>9.98832677310875</v>
      </c>
    </row>
    <row r="57" customFormat="false" ht="12.8" hidden="false" customHeight="false" outlineLevel="0" collapsed="false">
      <c r="A57" s="0" t="s">
        <v>547</v>
      </c>
      <c r="B57" s="0" t="n">
        <v>30</v>
      </c>
      <c r="C57" s="0" t="n">
        <f aca="false">(1907/(1+2.71828^(-0.34*(B57-13))))</f>
        <v>1901.12793402699</v>
      </c>
      <c r="D57" s="0" t="n">
        <f aca="false">(1728/(1+2.71828^(-0.44*(B57-12.1))))</f>
        <v>1727.3440393206</v>
      </c>
      <c r="E57" s="0" t="n">
        <v>0.0025</v>
      </c>
      <c r="F57" s="0" t="s">
        <v>546</v>
      </c>
      <c r="G57" s="0" t="n">
        <f aca="false">E57/SUM(E43:E58)</f>
        <v>0.00400320256204964</v>
      </c>
      <c r="J57" s="0" t="s">
        <v>546</v>
      </c>
      <c r="K57" s="0" t="n">
        <f aca="false">E57/SUM(E39:E58)</f>
        <v>0.00289184499710816</v>
      </c>
      <c r="L57" s="0" t="n">
        <f aca="false">D57*K57</f>
        <v>4.99521121839386</v>
      </c>
    </row>
    <row r="58" customFormat="false" ht="12.8" hidden="false" customHeight="false" outlineLevel="0" collapsed="false">
      <c r="A58" s="0" t="s">
        <v>547</v>
      </c>
      <c r="B58" s="0" t="n">
        <v>31</v>
      </c>
      <c r="C58" s="0" t="n">
        <f aca="false">(1907/(1+2.71828^(-0.34*(B58-13))))</f>
        <v>1902.81672400555</v>
      </c>
      <c r="D58" s="0" t="n">
        <f aca="false">(1728/(1+2.71828^(-0.44*(B58-12.1))))</f>
        <v>1727.57748021316</v>
      </c>
      <c r="E58" s="0" t="n">
        <v>0.001</v>
      </c>
      <c r="F58" s="0" t="s">
        <v>546</v>
      </c>
      <c r="G58" s="0" t="n">
        <f aca="false">E58/SUM(E43:E58)</f>
        <v>0.00160128102481986</v>
      </c>
      <c r="J58" s="0" t="s">
        <v>546</v>
      </c>
      <c r="K58" s="0" t="n">
        <f aca="false">E58/SUM(E39:E58)</f>
        <v>0.00115673799884326</v>
      </c>
      <c r="L58" s="0" t="n">
        <f aca="false">D58*K58</f>
        <v>1.99835451730845</v>
      </c>
    </row>
    <row r="59" customFormat="false" ht="12.8" hidden="false" customHeight="false" outlineLevel="0" collapsed="false">
      <c r="A59" s="3" t="s">
        <v>548</v>
      </c>
      <c r="M59" s="0" t="s">
        <v>549</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18430</TotalTime>
  <Application>LibreOffice/24.2.5.2$Windows_x86 LibreOffice_project/bffef4ea93e59bebbeaf7f431bb02b1a39ee8a59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2023-03-21T11:20:17Z</dcterms:created>
  <dc:creator/>
  <dc:description/>
  <dc:language>en-CA</dc:language>
  <cp:lastModifiedBy/>
  <dcterms:modified xsi:type="dcterms:W3CDTF">2024-08-14T15:15:42Z</dcterms:modified>
  <cp:revision>3255</cp:revision>
  <dc:subject/>
  <dc:title/>
</cp:coreProperties>
</file>