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win\Documents\GitHub\MAE3402-Aircraft-Specifications\MATLAB Files\"/>
    </mc:Choice>
  </mc:AlternateContent>
  <bookViews>
    <workbookView xWindow="0" yWindow="0" windowWidth="23040" windowHeight="850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" i="1" l="1"/>
  <c r="S2" i="1"/>
  <c r="N20" i="1"/>
  <c r="R20" i="1" s="1"/>
  <c r="I2" i="1"/>
  <c r="P2" i="1"/>
  <c r="H11" i="1"/>
  <c r="H2" i="1"/>
  <c r="Q20" i="1" l="1"/>
  <c r="Q23" i="1" s="1"/>
  <c r="Q25" i="1" s="1"/>
  <c r="C20" i="1"/>
  <c r="B20" i="1"/>
  <c r="S23" i="1" l="1"/>
  <c r="U2" i="1"/>
  <c r="G20" i="1"/>
  <c r="F20" i="1"/>
  <c r="F23" i="1" s="1"/>
  <c r="F25" i="1" s="1"/>
  <c r="V4" i="1" s="1"/>
  <c r="D2" i="1"/>
  <c r="U4" i="1" l="1"/>
  <c r="G2" i="1"/>
  <c r="E2" i="1"/>
  <c r="H23" i="1"/>
  <c r="K2" i="1" l="1"/>
  <c r="Q4" i="1"/>
  <c r="O2" i="1"/>
  <c r="X2" i="1" s="1"/>
  <c r="O4" i="1" l="1"/>
  <c r="L2" i="1"/>
  <c r="S4" i="1"/>
  <c r="X4" i="1" s="1"/>
</calcChain>
</file>

<file path=xl/sharedStrings.xml><?xml version="1.0" encoding="utf-8"?>
<sst xmlns="http://schemas.openxmlformats.org/spreadsheetml/2006/main" count="55" uniqueCount="40">
  <si>
    <t>Vmax</t>
  </si>
  <si>
    <t>Vdive</t>
  </si>
  <si>
    <t>Fuselage C</t>
  </si>
  <si>
    <t>Mfuse</t>
  </si>
  <si>
    <t>Length</t>
  </si>
  <si>
    <t>Wfuse</t>
  </si>
  <si>
    <t>Hfuse</t>
  </si>
  <si>
    <t>Mpayload</t>
  </si>
  <si>
    <t>Lifting Surface C</t>
  </si>
  <si>
    <t>A</t>
  </si>
  <si>
    <t>t/c</t>
  </si>
  <si>
    <t>S</t>
  </si>
  <si>
    <t>lamba</t>
  </si>
  <si>
    <t>M0</t>
  </si>
  <si>
    <t>N</t>
  </si>
  <si>
    <t>Mlifting</t>
  </si>
  <si>
    <t>Mpower</t>
  </si>
  <si>
    <t>Systems C</t>
  </si>
  <si>
    <t>Msys (This weight includes equipment, landing gear and passenger furnishings)</t>
  </si>
  <si>
    <t>Mbatt</t>
  </si>
  <si>
    <t>Mlifting correction</t>
  </si>
  <si>
    <t>Total</t>
  </si>
  <si>
    <t>Nl</t>
  </si>
  <si>
    <t>Wpounds</t>
  </si>
  <si>
    <t>Lm(inches)</t>
  </si>
  <si>
    <t>Ln(inches)</t>
  </si>
  <si>
    <t>Wmain</t>
  </si>
  <si>
    <t>Wnose</t>
  </si>
  <si>
    <t>Wland(imperial)</t>
  </si>
  <si>
    <t>Wland(metric)</t>
  </si>
  <si>
    <t>WeightSaved</t>
  </si>
  <si>
    <t>Preliminary Calculations Howe</t>
  </si>
  <si>
    <t>Alterations</t>
  </si>
  <si>
    <t>Msys(excluding landing gear)</t>
  </si>
  <si>
    <t>Mlanding</t>
  </si>
  <si>
    <t>Msecondarylifting</t>
  </si>
  <si>
    <t>MliftingSec</t>
  </si>
  <si>
    <t>Mhighlift</t>
  </si>
  <si>
    <t>Weight Savings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</si>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</sst>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5"/>
  <sheetViews>
    <sheetView tabSelected="1" workbookViewId="0">
      <selection activeCell="E4" sqref="E4"/>
    </sheetView>
  </sheetViews>
  <sheetFormatPr defaultRowHeight="14.4" x14ac:dyDescent="0.3"/>
  <sheetData>
    <row r="1" spans="2:24" x14ac:dyDescent="0.3">
      <c r="C1" t="s">
        <v>0</v>
      </c>
      <c r="D1" t="s">
        <v>1</v>
      </c>
      <c r="E1" t="s">
        <v>3</v>
      </c>
      <c r="F1" t="s">
        <v>7</v>
      </c>
      <c r="G1" t="s">
        <v>15</v>
      </c>
      <c r="H1" t="s">
        <v>16</v>
      </c>
      <c r="I1" t="s">
        <v>18</v>
      </c>
      <c r="J1" t="s">
        <v>19</v>
      </c>
      <c r="K1" t="s">
        <v>35</v>
      </c>
      <c r="L1" t="s">
        <v>21</v>
      </c>
      <c r="O1" t="s">
        <v>3</v>
      </c>
      <c r="P1" t="s">
        <v>7</v>
      </c>
      <c r="Q1" t="s">
        <v>15</v>
      </c>
      <c r="R1" t="s">
        <v>37</v>
      </c>
      <c r="S1" t="s">
        <v>36</v>
      </c>
      <c r="T1" t="s">
        <v>16</v>
      </c>
      <c r="U1" t="s">
        <v>33</v>
      </c>
      <c r="V1" t="s">
        <v>34</v>
      </c>
      <c r="W1" t="s">
        <v>19</v>
      </c>
      <c r="X1" t="s">
        <v>21</v>
      </c>
    </row>
    <row r="2" spans="2:24" x14ac:dyDescent="0.3">
      <c r="B2" t="s">
        <v>31</v>
      </c>
      <c r="C2">
        <v>89.34</v>
      </c>
      <c r="D2">
        <f>C2*1.25</f>
        <v>111.67500000000001</v>
      </c>
      <c r="E2">
        <f>B8*(C8*(D8+E8)*D2^0.5)^1.5</f>
        <v>345.55751568452854</v>
      </c>
      <c r="F2">
        <v>720</v>
      </c>
      <c r="G2">
        <f>B11*(C11^0.5*E11^1.5*((1+2*F11)/(3+3*F11))*G11/E11*H11^0.3*(D2/D11)^0.5)^0.9</f>
        <v>1137.1816831882688</v>
      </c>
      <c r="H2">
        <f>162.4*2</f>
        <v>324.8</v>
      </c>
      <c r="I2">
        <f>G11*B14</f>
        <v>927.33600000000001</v>
      </c>
      <c r="J2">
        <v>4000</v>
      </c>
      <c r="K2">
        <f>G2*0.24</f>
        <v>272.9236039651845</v>
      </c>
      <c r="L2">
        <f>E2+F2+H2+I2+J2+K2+G2</f>
        <v>7727.7988028379814</v>
      </c>
      <c r="N2" t="s">
        <v>32</v>
      </c>
      <c r="O2">
        <f>E2*0.9</f>
        <v>311.00176411607572</v>
      </c>
      <c r="P2">
        <f>F2</f>
        <v>720</v>
      </c>
      <c r="Q2">
        <v>520</v>
      </c>
      <c r="R2">
        <v>201.95500000000001</v>
      </c>
      <c r="S2">
        <f>(Q2+R2)*0.24</f>
        <v>173.26920000000001</v>
      </c>
      <c r="T2">
        <v>324.8</v>
      </c>
      <c r="U2">
        <f>6900*B14-Q25</f>
        <v>390.46927775132491</v>
      </c>
      <c r="V2">
        <v>368.5</v>
      </c>
      <c r="W2">
        <v>3890</v>
      </c>
      <c r="X2">
        <f>W2+V2+U2+T2+S2+R2+Q2+P2+O2</f>
        <v>6899.9952418674002</v>
      </c>
    </row>
    <row r="4" spans="2:24" x14ac:dyDescent="0.3">
      <c r="N4" t="s">
        <v>38</v>
      </c>
      <c r="O4">
        <f>E2-O2</f>
        <v>34.55575156845282</v>
      </c>
      <c r="P4">
        <v>0</v>
      </c>
      <c r="Q4">
        <f>G2-Q2-R2</f>
        <v>415.22668318826879</v>
      </c>
      <c r="R4" t="s">
        <v>39</v>
      </c>
      <c r="S4">
        <f>K2-S2</f>
        <v>99.654403965184486</v>
      </c>
      <c r="T4">
        <v>0</v>
      </c>
      <c r="U4">
        <f>I2-U2-V2-V4</f>
        <v>61.361106080440436</v>
      </c>
      <c r="V4">
        <f>F25-V2</f>
        <v>107.00561616823472</v>
      </c>
      <c r="W4">
        <f>J2-W2</f>
        <v>110</v>
      </c>
      <c r="X4">
        <f>W4+V4+U4+S4+Q4+O4</f>
        <v>827.80356097058132</v>
      </c>
    </row>
    <row r="7" spans="2:24" x14ac:dyDescent="0.3">
      <c r="B7" t="s">
        <v>2</v>
      </c>
      <c r="C7" t="s">
        <v>4</v>
      </c>
      <c r="D7" t="s">
        <v>5</v>
      </c>
      <c r="E7" t="s">
        <v>6</v>
      </c>
    </row>
    <row r="8" spans="2:24" x14ac:dyDescent="0.3">
      <c r="B8">
        <v>3.4000000000000002E-2</v>
      </c>
      <c r="C8">
        <v>12</v>
      </c>
      <c r="D8">
        <v>1.8</v>
      </c>
      <c r="E8">
        <v>1.9</v>
      </c>
    </row>
    <row r="10" spans="2:24" x14ac:dyDescent="0.3">
      <c r="B10" t="s">
        <v>8</v>
      </c>
      <c r="C10" t="s">
        <v>9</v>
      </c>
      <c r="D10" t="s">
        <v>10</v>
      </c>
      <c r="E10" t="s">
        <v>11</v>
      </c>
      <c r="F10" t="s">
        <v>12</v>
      </c>
      <c r="G10" t="s">
        <v>13</v>
      </c>
      <c r="H10" t="s">
        <v>14</v>
      </c>
    </row>
    <row r="11" spans="2:24" x14ac:dyDescent="0.3">
      <c r="B11">
        <v>1.64E-3</v>
      </c>
      <c r="C11">
        <v>20</v>
      </c>
      <c r="D11">
        <v>0.18</v>
      </c>
      <c r="E11">
        <v>24.5</v>
      </c>
      <c r="F11">
        <v>0.4</v>
      </c>
      <c r="G11">
        <v>7727.8</v>
      </c>
      <c r="H11">
        <f>3.5*1.65</f>
        <v>5.7749999999999995</v>
      </c>
    </row>
    <row r="13" spans="2:24" x14ac:dyDescent="0.3">
      <c r="B13" t="s">
        <v>17</v>
      </c>
      <c r="D13" t="s">
        <v>20</v>
      </c>
    </row>
    <row r="14" spans="2:24" x14ac:dyDescent="0.3">
      <c r="B14">
        <v>0.12</v>
      </c>
      <c r="D14">
        <v>1.24</v>
      </c>
    </row>
    <row r="19" spans="2:19" x14ac:dyDescent="0.3">
      <c r="B19" t="s">
        <v>22</v>
      </c>
      <c r="C19" t="s">
        <v>23</v>
      </c>
      <c r="D19" t="s">
        <v>24</v>
      </c>
      <c r="E19" t="s">
        <v>25</v>
      </c>
      <c r="F19" t="s">
        <v>26</v>
      </c>
      <c r="G19" t="s">
        <v>27</v>
      </c>
      <c r="M19" t="s">
        <v>22</v>
      </c>
      <c r="N19" t="s">
        <v>23</v>
      </c>
      <c r="O19" t="s">
        <v>24</v>
      </c>
      <c r="P19" t="s">
        <v>25</v>
      </c>
      <c r="Q19" t="s">
        <v>26</v>
      </c>
      <c r="R19" t="s">
        <v>27</v>
      </c>
    </row>
    <row r="20" spans="2:19" x14ac:dyDescent="0.3">
      <c r="B20">
        <f>3.5*1.5</f>
        <v>5.25</v>
      </c>
      <c r="C20">
        <f>G11*2.20462</f>
        <v>17036.862435999999</v>
      </c>
      <c r="D20">
        <v>29.92126</v>
      </c>
      <c r="E20">
        <v>29.92126</v>
      </c>
      <c r="F20">
        <f>0.095*(B20*C20)^0.768*(D20/12)^0.409</f>
        <v>876.60474349598735</v>
      </c>
      <c r="G20">
        <f>0.125*(B20*C20)^0.566*(E20/12)^0.845</f>
        <v>171.70444802082616</v>
      </c>
      <c r="M20">
        <v>5.25</v>
      </c>
      <c r="N20">
        <f>6900*2.20462</f>
        <v>15211.877999999999</v>
      </c>
      <c r="O20">
        <v>29.92126</v>
      </c>
      <c r="P20">
        <v>29.92126</v>
      </c>
      <c r="Q20">
        <f>0.095*(M20*N20)^0.768*(O20/12)^0.409</f>
        <v>803.55018797948014</v>
      </c>
      <c r="R20">
        <f>0.125*(M20*N20)^0.566*(P20/12)^0.845</f>
        <v>161.03879290439386</v>
      </c>
    </row>
    <row r="22" spans="2:19" x14ac:dyDescent="0.3">
      <c r="F22" t="s">
        <v>28</v>
      </c>
      <c r="H22" t="s">
        <v>30</v>
      </c>
      <c r="Q22" t="s">
        <v>28</v>
      </c>
      <c r="S22" t="s">
        <v>30</v>
      </c>
    </row>
    <row r="23" spans="2:19" x14ac:dyDescent="0.3">
      <c r="F23">
        <f>F20+G20</f>
        <v>1048.3091915168136</v>
      </c>
      <c r="H23">
        <f>F25-368.5</f>
        <v>107.00561616823472</v>
      </c>
      <c r="Q23">
        <f>Q20+R20</f>
        <v>964.588980883874</v>
      </c>
      <c r="S23">
        <f>Q25-368.5</f>
        <v>69.03072224867509</v>
      </c>
    </row>
    <row r="24" spans="2:19" x14ac:dyDescent="0.3">
      <c r="F24" t="s">
        <v>29</v>
      </c>
      <c r="Q24" t="s">
        <v>29</v>
      </c>
    </row>
    <row r="25" spans="2:19" x14ac:dyDescent="0.3">
      <c r="F25">
        <f>F23/2.20462</f>
        <v>475.50561616823472</v>
      </c>
      <c r="Q25">
        <f>Q23/2.20462</f>
        <v>437.53072224867509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Matalanis</dc:creator>
  <cp:lastModifiedBy>Alwin Wang</cp:lastModifiedBy>
  <dcterms:created xsi:type="dcterms:W3CDTF">2016-09-18T06:50:04Z</dcterms:created>
  <dcterms:modified xsi:type="dcterms:W3CDTF">2016-10-12T09:54:00Z</dcterms:modified>
</cp:coreProperties>
</file>