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OneDrive\Área de Trabalho\Curso Excel\Capítulo 17\"/>
    </mc:Choice>
  </mc:AlternateContent>
  <bookViews>
    <workbookView xWindow="0" yWindow="0" windowWidth="28800" windowHeight="11835"/>
  </bookViews>
  <sheets>
    <sheet name="Dashboard" sheetId="9" r:id="rId1"/>
    <sheet name="DashboardAux" sheetId="10" state="hidden" r:id="rId2"/>
    <sheet name="ReCarteira" sheetId="7" r:id="rId3"/>
    <sheet name="ReCarteiraAções" sheetId="11" r:id="rId4"/>
    <sheet name="ReCarteiraFII" sheetId="12" r:id="rId5"/>
    <sheet name="ReAportes" sheetId="5" r:id="rId6"/>
    <sheet name="TbAportes" sheetId="3" r:id="rId7"/>
    <sheet name="ReProventos" sheetId="6" r:id="rId8"/>
    <sheet name="TbProventos" sheetId="4" r:id="rId9"/>
    <sheet name="TbAtivos" sheetId="2" r:id="rId10"/>
  </sheets>
  <definedNames>
    <definedName name="pubhtml" localSheetId="9">TbAtivos!$A$1:$D$13</definedName>
    <definedName name="TbAtivos_Ativos">TbAtivos!$B$4:$B$12</definedName>
  </definedNames>
  <calcPr calcId="152511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C2" i="12"/>
  <c r="D2" i="12"/>
  <c r="E2" i="12"/>
  <c r="G2" i="12" s="1"/>
  <c r="B3" i="12"/>
  <c r="C3" i="12"/>
  <c r="D3" i="12"/>
  <c r="E3" i="12"/>
  <c r="G3" i="12" s="1"/>
  <c r="B4" i="12"/>
  <c r="C4" i="12"/>
  <c r="D4" i="12"/>
  <c r="E4" i="12"/>
  <c r="G4" i="12" s="1"/>
  <c r="B5" i="12"/>
  <c r="C5" i="12"/>
  <c r="D5" i="12"/>
  <c r="E5" i="12"/>
  <c r="G5" i="12" s="1"/>
  <c r="E6" i="11"/>
  <c r="D6" i="11"/>
  <c r="C6" i="11"/>
  <c r="B6" i="11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C9" i="10"/>
  <c r="L5" i="10" s="1"/>
  <c r="H1" i="9"/>
  <c r="AD6" i="10" l="1"/>
  <c r="AD11" i="10"/>
  <c r="AD7" i="10"/>
  <c r="AD12" i="10"/>
  <c r="AD8" i="10"/>
  <c r="AD13" i="10"/>
  <c r="AD9" i="10"/>
  <c r="AD5" i="10"/>
  <c r="AD10" i="10"/>
  <c r="D7" i="11"/>
  <c r="AD4" i="10"/>
  <c r="F5" i="12"/>
  <c r="F4" i="12"/>
  <c r="F3" i="12"/>
  <c r="F2" i="12"/>
  <c r="D6" i="12"/>
  <c r="H5" i="12"/>
  <c r="I5" i="12"/>
  <c r="H4" i="12"/>
  <c r="I4" i="12"/>
  <c r="H3" i="12"/>
  <c r="I3" i="12"/>
  <c r="H2" i="12"/>
  <c r="I2" i="12"/>
  <c r="F3" i="11"/>
  <c r="F4" i="11"/>
  <c r="F6" i="11"/>
  <c r="G2" i="11"/>
  <c r="G3" i="11"/>
  <c r="H3" i="11" s="1"/>
  <c r="G4" i="11"/>
  <c r="H4" i="11" s="1"/>
  <c r="G5" i="11"/>
  <c r="H5" i="11" s="1"/>
  <c r="G6" i="11"/>
  <c r="H6" i="11" s="1"/>
  <c r="F5" i="11"/>
  <c r="F2" i="11"/>
  <c r="D2" i="7"/>
  <c r="E2" i="7"/>
  <c r="E3" i="7"/>
  <c r="G3" i="7" s="1"/>
  <c r="E4" i="7"/>
  <c r="E5" i="7"/>
  <c r="E6" i="7"/>
  <c r="E7" i="7"/>
  <c r="G7" i="7" s="1"/>
  <c r="E8" i="7"/>
  <c r="E9" i="7"/>
  <c r="E10" i="7"/>
  <c r="D3" i="7"/>
  <c r="D4" i="7"/>
  <c r="D5" i="7"/>
  <c r="D6" i="7"/>
  <c r="D7" i="7"/>
  <c r="D8" i="7"/>
  <c r="D9" i="7"/>
  <c r="D10" i="7"/>
  <c r="C2" i="7"/>
  <c r="C3" i="7"/>
  <c r="C4" i="7"/>
  <c r="C5" i="7"/>
  <c r="C6" i="7"/>
  <c r="C7" i="7"/>
  <c r="C8" i="7"/>
  <c r="C9" i="7"/>
  <c r="C10" i="7"/>
  <c r="B2" i="7"/>
  <c r="B3" i="7"/>
  <c r="B4" i="7"/>
  <c r="B5" i="7"/>
  <c r="B6" i="7"/>
  <c r="B7" i="7"/>
  <c r="B8" i="7"/>
  <c r="B9" i="7"/>
  <c r="B10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AD18" i="10" l="1"/>
  <c r="AD22" i="10"/>
  <c r="AD26" i="10"/>
  <c r="AD21" i="10"/>
  <c r="AD25" i="10"/>
  <c r="AD19" i="10"/>
  <c r="AD23" i="10"/>
  <c r="AD20" i="10"/>
  <c r="AD24" i="10"/>
  <c r="AD17" i="10"/>
  <c r="AE5" i="10"/>
  <c r="AC5" i="10" s="1"/>
  <c r="AE12" i="10"/>
  <c r="AC12" i="10" s="1"/>
  <c r="AE9" i="10"/>
  <c r="AC9" i="10" s="1"/>
  <c r="AE7" i="10"/>
  <c r="AC7" i="10" s="1"/>
  <c r="AE13" i="10"/>
  <c r="AC13" i="10" s="1"/>
  <c r="AE11" i="10"/>
  <c r="AC11" i="10" s="1"/>
  <c r="AE10" i="10"/>
  <c r="AC10" i="10" s="1"/>
  <c r="AE8" i="10"/>
  <c r="AC8" i="10" s="1"/>
  <c r="AE6" i="10"/>
  <c r="AC6" i="10" s="1"/>
  <c r="AE4" i="10"/>
  <c r="I4" i="11"/>
  <c r="Y5" i="10"/>
  <c r="Z5" i="10" s="1"/>
  <c r="Y9" i="10"/>
  <c r="Y13" i="10"/>
  <c r="Y8" i="10"/>
  <c r="Z8" i="10" s="1"/>
  <c r="Y12" i="10"/>
  <c r="Y6" i="10"/>
  <c r="Z6" i="10" s="1"/>
  <c r="Y10" i="10"/>
  <c r="Y7" i="10"/>
  <c r="Z7" i="10" s="1"/>
  <c r="Y11" i="10"/>
  <c r="Y4" i="10"/>
  <c r="Z4" i="10" s="1"/>
  <c r="H2" i="11"/>
  <c r="G6" i="12"/>
  <c r="H6" i="12"/>
  <c r="I6" i="11"/>
  <c r="I2" i="11"/>
  <c r="G7" i="11"/>
  <c r="I3" i="11"/>
  <c r="I5" i="11"/>
  <c r="I4" i="10"/>
  <c r="H4" i="10"/>
  <c r="D11" i="7"/>
  <c r="G4" i="10" s="1"/>
  <c r="G10" i="7"/>
  <c r="I10" i="7" s="1"/>
  <c r="G6" i="7"/>
  <c r="G2" i="7"/>
  <c r="G9" i="7"/>
  <c r="H9" i="7" s="1"/>
  <c r="G5" i="7"/>
  <c r="H5" i="7" s="1"/>
  <c r="G8" i="7"/>
  <c r="H8" i="7" s="1"/>
  <c r="G4" i="7"/>
  <c r="H4" i="7" s="1"/>
  <c r="I7" i="7"/>
  <c r="I3" i="7"/>
  <c r="F7" i="7"/>
  <c r="F3" i="7"/>
  <c r="F8" i="7"/>
  <c r="F10" i="7"/>
  <c r="F6" i="7"/>
  <c r="F9" i="7"/>
  <c r="F5" i="7"/>
  <c r="F2" i="7"/>
  <c r="H3" i="7"/>
  <c r="H7" i="7"/>
  <c r="F4" i="7"/>
  <c r="AE26" i="10" l="1"/>
  <c r="AC26" i="10" s="1"/>
  <c r="AE20" i="10"/>
  <c r="AC20" i="10" s="1"/>
  <c r="AE23" i="10"/>
  <c r="AC23" i="10" s="1"/>
  <c r="AE19" i="10"/>
  <c r="AC19" i="10" s="1"/>
  <c r="AE22" i="10"/>
  <c r="AC22" i="10" s="1"/>
  <c r="AE21" i="10"/>
  <c r="AC21" i="10" s="1"/>
  <c r="AE24" i="10"/>
  <c r="AC24" i="10" s="1"/>
  <c r="AE25" i="10"/>
  <c r="AC25" i="10" s="1"/>
  <c r="AE18" i="10"/>
  <c r="AC18" i="10" s="1"/>
  <c r="AE17" i="10"/>
  <c r="AC17" i="10" s="1"/>
  <c r="Y17" i="10"/>
  <c r="Y18" i="10"/>
  <c r="Y22" i="10"/>
  <c r="Y26" i="10"/>
  <c r="Y21" i="10"/>
  <c r="Y25" i="10"/>
  <c r="Y19" i="10"/>
  <c r="Y23" i="10"/>
  <c r="Y20" i="10"/>
  <c r="Y24" i="10"/>
  <c r="Z11" i="10"/>
  <c r="Z13" i="10"/>
  <c r="X13" i="10" s="1"/>
  <c r="Z9" i="10"/>
  <c r="X9" i="10" s="1"/>
  <c r="H7" i="11"/>
  <c r="AC4" i="10"/>
  <c r="X8" i="10"/>
  <c r="X4" i="10"/>
  <c r="X6" i="10"/>
  <c r="X11" i="10"/>
  <c r="X7" i="10"/>
  <c r="X5" i="10"/>
  <c r="T6" i="10"/>
  <c r="U6" i="10" s="1"/>
  <c r="T10" i="10"/>
  <c r="U10" i="10" s="1"/>
  <c r="T4" i="10"/>
  <c r="U4" i="10" s="1"/>
  <c r="T8" i="10"/>
  <c r="U8" i="10" s="1"/>
  <c r="T12" i="10"/>
  <c r="U12" i="10" s="1"/>
  <c r="T5" i="10"/>
  <c r="U5" i="10" s="1"/>
  <c r="T9" i="10"/>
  <c r="U9" i="10" s="1"/>
  <c r="T7" i="10"/>
  <c r="T11" i="10"/>
  <c r="U11" i="10" s="1"/>
  <c r="T13" i="10"/>
  <c r="U13" i="10" s="1"/>
  <c r="C12" i="10"/>
  <c r="H6" i="7"/>
  <c r="I5" i="10"/>
  <c r="I2" i="7"/>
  <c r="H5" i="10"/>
  <c r="L3" i="10" s="1"/>
  <c r="I8" i="7"/>
  <c r="I4" i="7"/>
  <c r="I6" i="7"/>
  <c r="H2" i="7"/>
  <c r="G11" i="7"/>
  <c r="G5" i="10" s="1"/>
  <c r="I5" i="7"/>
  <c r="I9" i="7"/>
  <c r="H10" i="7"/>
  <c r="Z24" i="10" l="1"/>
  <c r="X24" i="10" s="1"/>
  <c r="Z25" i="10"/>
  <c r="X25" i="10" s="1"/>
  <c r="Z18" i="10"/>
  <c r="X18" i="10" s="1"/>
  <c r="Z23" i="10"/>
  <c r="X23" i="10" s="1"/>
  <c r="Z26" i="10"/>
  <c r="X26" i="10" s="1"/>
  <c r="Z19" i="10"/>
  <c r="X19" i="10" s="1"/>
  <c r="Z22" i="10"/>
  <c r="X22" i="10" s="1"/>
  <c r="Z20" i="10"/>
  <c r="X20" i="10" s="1"/>
  <c r="Z21" i="10"/>
  <c r="X21" i="10" s="1"/>
  <c r="Z17" i="10"/>
  <c r="X17" i="10" s="1"/>
  <c r="T18" i="10"/>
  <c r="T22" i="10"/>
  <c r="T26" i="10"/>
  <c r="U26" i="10" s="1"/>
  <c r="S26" i="10" s="1"/>
  <c r="O26" i="10" s="1"/>
  <c r="T19" i="10"/>
  <c r="T23" i="10"/>
  <c r="P23" i="10" s="1"/>
  <c r="T20" i="10"/>
  <c r="T24" i="10"/>
  <c r="T21" i="10"/>
  <c r="T25" i="10"/>
  <c r="T17" i="10"/>
  <c r="P8" i="10"/>
  <c r="P5" i="10"/>
  <c r="P11" i="10"/>
  <c r="P9" i="10"/>
  <c r="U7" i="10"/>
  <c r="S7" i="10" s="1"/>
  <c r="O7" i="10" s="1"/>
  <c r="P7" i="10"/>
  <c r="P4" i="10"/>
  <c r="P13" i="10"/>
  <c r="P6" i="10"/>
  <c r="P12" i="10"/>
  <c r="P10" i="10"/>
  <c r="B8" i="9"/>
  <c r="Z10" i="10"/>
  <c r="X10" i="10" s="1"/>
  <c r="Z12" i="10"/>
  <c r="X12" i="10" s="1"/>
  <c r="S4" i="10"/>
  <c r="O4" i="10" s="1"/>
  <c r="S9" i="10"/>
  <c r="O9" i="10" s="1"/>
  <c r="S8" i="10"/>
  <c r="O8" i="10" s="1"/>
  <c r="S5" i="10"/>
  <c r="O5" i="10" s="1"/>
  <c r="S10" i="10"/>
  <c r="S11" i="10"/>
  <c r="O11" i="10" s="1"/>
  <c r="S12" i="10"/>
  <c r="S6" i="10"/>
  <c r="O6" i="10" s="1"/>
  <c r="S13" i="10"/>
  <c r="O13" i="10" s="1"/>
  <c r="I6" i="10"/>
  <c r="I7" i="10" s="1"/>
  <c r="L4" i="10"/>
  <c r="H6" i="10"/>
  <c r="C13" i="10"/>
  <c r="G6" i="10"/>
  <c r="H11" i="7"/>
  <c r="P26" i="10" l="1"/>
  <c r="P21" i="10"/>
  <c r="U21" i="10"/>
  <c r="S21" i="10" s="1"/>
  <c r="O21" i="10" s="1"/>
  <c r="P19" i="10"/>
  <c r="U19" i="10"/>
  <c r="S19" i="10" s="1"/>
  <c r="O19" i="10" s="1"/>
  <c r="P24" i="10"/>
  <c r="U24" i="10"/>
  <c r="S24" i="10" s="1"/>
  <c r="O24" i="10" s="1"/>
  <c r="U20" i="10"/>
  <c r="S20" i="10" s="1"/>
  <c r="O20" i="10" s="1"/>
  <c r="P22" i="10"/>
  <c r="U22" i="10"/>
  <c r="S22" i="10" s="1"/>
  <c r="O22" i="10" s="1"/>
  <c r="P20" i="10"/>
  <c r="P25" i="10"/>
  <c r="U25" i="10"/>
  <c r="S25" i="10" s="1"/>
  <c r="O25" i="10" s="1"/>
  <c r="U23" i="10"/>
  <c r="S23" i="10" s="1"/>
  <c r="O23" i="10" s="1"/>
  <c r="P18" i="10"/>
  <c r="U18" i="10"/>
  <c r="S18" i="10" s="1"/>
  <c r="O18" i="10" s="1"/>
  <c r="P17" i="10"/>
  <c r="U17" i="10"/>
  <c r="S17" i="10" s="1"/>
  <c r="O17" i="10" s="1"/>
  <c r="O10" i="10"/>
  <c r="O12" i="10"/>
  <c r="B5" i="9"/>
  <c r="C14" i="10"/>
  <c r="H7" i="10"/>
  <c r="G7" i="10"/>
  <c r="C15" i="10" l="1"/>
  <c r="B14" i="9" s="1"/>
  <c r="B11" i="9"/>
</calcChain>
</file>

<file path=xl/comments1.xml><?xml version="1.0" encoding="utf-8"?>
<comments xmlns="http://schemas.openxmlformats.org/spreadsheetml/2006/main">
  <authors>
    <author>Daniel Rausch Dias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Deixe em branco para a data de hoje.</t>
        </r>
      </text>
    </comment>
  </commentList>
</comments>
</file>

<file path=xl/comments2.xml><?xml version="1.0" encoding="utf-8"?>
<comments xmlns="http://schemas.openxmlformats.org/spreadsheetml/2006/main">
  <authors>
    <author>Daniel Rausch Dias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Deixe em branco para a data de hoje.</t>
        </r>
      </text>
    </comment>
  </commentList>
</comments>
</file>

<file path=xl/comments3.xml><?xml version="1.0" encoding="utf-8"?>
<comments xmlns="http://schemas.openxmlformats.org/spreadsheetml/2006/main">
  <authors>
    <author>Daniel Rausch Dias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Deixe em branco para 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HcMoix49Z3klyLdRwelpz-goaIde0F5N2tfe4DylJzSUYusnvwG-nzSvfE6n7VXS0GXqX0JJ3PXG2/pubhtml"/>
  </connection>
</connections>
</file>

<file path=xl/sharedStrings.xml><?xml version="1.0" encoding="utf-8"?>
<sst xmlns="http://schemas.openxmlformats.org/spreadsheetml/2006/main" count="318" uniqueCount="83">
  <si>
    <t>base-ativos : PÃ¡gina1</t>
  </si>
  <si>
    <t>ATIVO</t>
  </si>
  <si>
    <t>TIPO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</si>
  <si>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</si>
  <si>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</si>
  <si>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</si>
  <si>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</si>
  <si>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</si>
  <si>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</si>
  <si>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</si>
  <si>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</si>
  <si>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</si>
  <si>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</si>
  <si>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Sheets–Report Abuse–Updated automatically every 5 minutes</t>
  </si>
  <si>
    <t>COTACAO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</si>
  <si>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</si>
  <si>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</si>
  <si>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</si>
  <si>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</si>
  <si>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</si>
  <si>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</si>
  <si>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</si>
  <si>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</si>
  <si>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</si>
  <si>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</si>
  <si>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</si>
  <si>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</si>
  <si>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</si>
  <si>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</si>
  <si>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</si>
  <si>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</si>
  <si>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</si>
  <si>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</si>
  <si>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</si>
  <si>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</si>
  <si>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</si>
  <si>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</si>
  <si>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</si>
  <si>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</si>
  <si>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</si>
  <si>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</si>
  <si>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</si>
  <si>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</si>
  <si>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</si>
  <si>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</si>
  <si>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</si>
  <si>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</si>
  <si>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</si>
  <si>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</si>
  <si>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</si>
  <si>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</si>
  <si>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</si>
  <si>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</si>
  <si>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</si>
  <si>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Valorização</t>
  </si>
  <si>
    <t>Valorização %</t>
  </si>
  <si>
    <t>Até qual data?</t>
  </si>
  <si>
    <t>Valor Atual</t>
  </si>
  <si>
    <t>Caixa:</t>
  </si>
  <si>
    <t>Carteira atual</t>
  </si>
  <si>
    <t>Até:</t>
  </si>
  <si>
    <t>Valores para a caixa de combinação:</t>
  </si>
  <si>
    <t>Tudo</t>
  </si>
  <si>
    <t>Ações</t>
  </si>
  <si>
    <t>Fundos Imobiliários</t>
  </si>
  <si>
    <t>Entradas do usuário:</t>
  </si>
  <si>
    <t>Caixa de combinação</t>
  </si>
  <si>
    <t>Valor em caixa</t>
  </si>
  <si>
    <t>Matriz auxiliar: somatório por tipo de ativo</t>
  </si>
  <si>
    <t>Indicadores-chave de desempenho (KPI):</t>
  </si>
  <si>
    <t>Gráfico: Composição do patrimônio</t>
  </si>
  <si>
    <t>Caixa</t>
  </si>
  <si>
    <t>Ordem</t>
  </si>
  <si>
    <t>Valor</t>
  </si>
  <si>
    <t>Gráfico: Maiores valores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</si>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</sst>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%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/>
      <bottom style="medium">
        <color theme="8" tint="0.39994506668294322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44" fontId="3" fillId="0" borderId="0" xfId="0" applyNumberFormat="1" applyFont="1"/>
    <xf numFmtId="0" fontId="4" fillId="0" borderId="0" xfId="0" applyFont="1"/>
    <xf numFmtId="14" fontId="0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2" fontId="0" fillId="0" borderId="0" xfId="0" applyNumberFormat="1"/>
    <xf numFmtId="44" fontId="2" fillId="0" borderId="0" xfId="0" applyNumberFormat="1" applyFont="1"/>
    <xf numFmtId="165" fontId="0" fillId="0" borderId="0" xfId="0" applyNumberFormat="1"/>
    <xf numFmtId="0" fontId="0" fillId="4" borderId="0" xfId="0" applyFill="1" applyBorder="1"/>
    <xf numFmtId="0" fontId="0" fillId="4" borderId="3" xfId="0" applyFill="1" applyBorder="1"/>
    <xf numFmtId="0" fontId="0" fillId="4" borderId="0" xfId="0" applyFill="1" applyBorder="1" applyAlignment="1">
      <alignment horizontal="right" vertical="center"/>
    </xf>
    <xf numFmtId="0" fontId="9" fillId="0" borderId="0" xfId="0" applyFont="1"/>
    <xf numFmtId="0" fontId="10" fillId="4" borderId="0" xfId="0" applyFont="1" applyFill="1" applyBorder="1" applyAlignment="1">
      <alignment horizontal="right" vertical="center"/>
    </xf>
    <xf numFmtId="14" fontId="10" fillId="4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right" vertical="center"/>
    </xf>
    <xf numFmtId="10" fontId="0" fillId="5" borderId="0" xfId="0" applyNumberFormat="1" applyFill="1" applyAlignment="1">
      <alignment horizontal="right" vertical="center"/>
    </xf>
    <xf numFmtId="0" fontId="6" fillId="0" borderId="0" xfId="0" applyFont="1"/>
    <xf numFmtId="10" fontId="8" fillId="4" borderId="2" xfId="0" applyNumberFormat="1" applyFont="1" applyFill="1" applyBorder="1" applyAlignment="1">
      <alignment horizontal="center"/>
    </xf>
    <xf numFmtId="166" fontId="8" fillId="4" borderId="2" xfId="0" applyNumberFormat="1" applyFont="1" applyFill="1" applyBorder="1" applyAlignment="1">
      <alignment horizontal="center"/>
    </xf>
    <xf numFmtId="166" fontId="11" fillId="5" borderId="0" xfId="0" applyNumberFormat="1" applyFont="1" applyFill="1"/>
    <xf numFmtId="166" fontId="0" fillId="5" borderId="0" xfId="0" applyNumberFormat="1" applyFill="1"/>
    <xf numFmtId="10" fontId="0" fillId="5" borderId="0" xfId="0" applyNumberFormat="1" applyFill="1"/>
    <xf numFmtId="166" fontId="7" fillId="0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5" formatCode="0.0%"/>
    </dxf>
    <dxf>
      <numFmt numFmtId="165" formatCode="0.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65" formatCode="0.0%"/>
    </dxf>
    <dxf>
      <numFmt numFmtId="165" formatCode="0.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65" formatCode="0.0%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65" formatCode="0.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 do patrimônio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"R$"\ #,##0.00</c:formatCode>
                <c:ptCount val="3"/>
                <c:pt idx="0">
                  <c:v>31496</c:v>
                </c:pt>
                <c:pt idx="1">
                  <c:v>10330.5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1">
                  <c:v>HGBS11</c:v>
                </c:pt>
                <c:pt idx="2">
                  <c:v>TAEE4</c:v>
                </c:pt>
                <c:pt idx="3">
                  <c:v>HGRE11</c:v>
                </c:pt>
                <c:pt idx="4">
                  <c:v>HGLG11</c:v>
                </c:pt>
                <c:pt idx="5">
                  <c:v>KNRI11</c:v>
                </c:pt>
                <c:pt idx="6">
                  <c:v>ITSA4</c:v>
                </c:pt>
                <c:pt idx="7">
                  <c:v>FLRY3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DashboardAux!$P$4:$P$13</c:f>
              <c:numCache>
                <c:formatCode>"R$"\ #,##0.00</c:formatCode>
                <c:ptCount val="10"/>
                <c:pt idx="0">
                  <c:v>0</c:v>
                </c:pt>
                <c:pt idx="1">
                  <c:v>2061.9</c:v>
                </c:pt>
                <c:pt idx="2">
                  <c:v>2394</c:v>
                </c:pt>
                <c:pt idx="3">
                  <c:v>2504.2000000000003</c:v>
                </c:pt>
                <c:pt idx="4">
                  <c:v>2807.72</c:v>
                </c:pt>
                <c:pt idx="5">
                  <c:v>2956.68</c:v>
                </c:pt>
                <c:pt idx="6">
                  <c:v>3138.0000000000005</c:v>
                </c:pt>
                <c:pt idx="7">
                  <c:v>3176</c:v>
                </c:pt>
                <c:pt idx="8">
                  <c:v>5712</c:v>
                </c:pt>
                <c:pt idx="9">
                  <c:v>17076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34734784"/>
        <c:axId val="34737528"/>
      </c:barChart>
      <c:catAx>
        <c:axId val="3473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7528"/>
        <c:crosses val="autoZero"/>
        <c:auto val="1"/>
        <c:lblAlgn val="ctr"/>
        <c:lblOffset val="100"/>
        <c:noMultiLvlLbl val="0"/>
      </c:catAx>
      <c:valAx>
        <c:axId val="34737528"/>
        <c:scaling>
          <c:orientation val="minMax"/>
        </c:scaling>
        <c:delete val="1"/>
        <c:axPos val="b"/>
        <c:numFmt formatCode="0" sourceLinked="0"/>
        <c:majorTickMark val="out"/>
        <c:minorTickMark val="none"/>
        <c:tickLblPos val="nextTo"/>
        <c:crossAx val="347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 valorizações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DashboardAux!$O$17:$O$26</c:f>
              <c:strCache>
                <c:ptCount val="10"/>
                <c:pt idx="1">
                  <c:v>FLRY3</c:v>
                </c:pt>
                <c:pt idx="2">
                  <c:v>HGRE11</c:v>
                </c:pt>
                <c:pt idx="3">
                  <c:v>KNRI11</c:v>
                </c:pt>
                <c:pt idx="4">
                  <c:v>HGLG11</c:v>
                </c:pt>
                <c:pt idx="5">
                  <c:v>HGBS11</c:v>
                </c:pt>
                <c:pt idx="6">
                  <c:v>ITSA4</c:v>
                </c:pt>
                <c:pt idx="7">
                  <c:v>TAEE4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DashboardAux!$P$17:$P$26</c:f>
              <c:numCache>
                <c:formatCode>0.00%</c:formatCode>
                <c:ptCount val="10"/>
                <c:pt idx="0">
                  <c:v>0</c:v>
                </c:pt>
                <c:pt idx="1">
                  <c:v>-0.2113235659299727</c:v>
                </c:pt>
                <c:pt idx="2">
                  <c:v>4.6658669565953215E-3</c:v>
                </c:pt>
                <c:pt idx="3">
                  <c:v>0.1219519599286607</c:v>
                </c:pt>
                <c:pt idx="4">
                  <c:v>0.19436279410075663</c:v>
                </c:pt>
                <c:pt idx="5">
                  <c:v>0.20272989762883897</c:v>
                </c:pt>
                <c:pt idx="6">
                  <c:v>0.24920382165605104</c:v>
                </c:pt>
                <c:pt idx="7">
                  <c:v>0.4642201834862385</c:v>
                </c:pt>
                <c:pt idx="8">
                  <c:v>1.0327402135231316</c:v>
                </c:pt>
                <c:pt idx="9">
                  <c:v>1.5817961899002118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6571784"/>
        <c:axId val="476573744"/>
      </c:barChart>
      <c:catAx>
        <c:axId val="476571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573744"/>
        <c:crosses val="autoZero"/>
        <c:auto val="1"/>
        <c:lblAlgn val="ctr"/>
        <c:lblOffset val="100"/>
        <c:noMultiLvlLbl val="0"/>
      </c:catAx>
      <c:valAx>
        <c:axId val="47657374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765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2228849</xdr:colOff>
          <xdr:row>1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190500</xdr:rowOff>
    </xdr:from>
    <xdr:to>
      <xdr:col>5</xdr:col>
      <xdr:colOff>333376</xdr:colOff>
      <xdr:row>14</xdr:row>
      <xdr:rowOff>9900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3</xdr:row>
      <xdr:rowOff>190500</xdr:rowOff>
    </xdr:from>
    <xdr:to>
      <xdr:col>6</xdr:col>
      <xdr:colOff>14288</xdr:colOff>
      <xdr:row>14</xdr:row>
      <xdr:rowOff>9900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</xdr:row>
      <xdr:rowOff>190500</xdr:rowOff>
    </xdr:from>
    <xdr:to>
      <xdr:col>7</xdr:col>
      <xdr:colOff>1590675</xdr:colOff>
      <xdr:row>14</xdr:row>
      <xdr:rowOff>9900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Rausch Dias" refreshedDate="45339.661880671294" createdVersion="5" refreshedVersion="5" minRefreshableVersion="3" recordCount="28">
  <cacheSource type="worksheet">
    <worksheetSource name="Tb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Rausch Dias" refreshedDate="45339.666368171296" createdVersion="5" refreshedVersion="5" minRefreshableVersion="3" recordCount="71">
  <cacheSource type="worksheet">
    <worksheetSource name="TbProventos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í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Aporte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ReProventos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8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5" name="TbCarteira" displayName="TbCarteira" ref="A1:I11" totalsRowCount="1">
  <autoFilter ref="A1:I10"/>
  <tableColumns count="9">
    <tableColumn id="1" name="Ativo" totalsRowLabel="Total"/>
    <tableColumn id="2" name="Tipo" dataDxfId="48">
      <calculatedColumnFormula>VLOOKUP(TbCarteira[[#This Row],[Ativo]],TbAtivos!B:C,2,0)</calculatedColumnFormula>
    </tableColumn>
    <tableColumn id="3" name="Cotação" dataDxfId="47">
      <calculatedColumnFormula>VLOOKUP(TbCarteira[[#This Row],[Ativo]],TbAtivos!B:D,3,0)</calculatedColumnFormula>
    </tableColumn>
    <tableColumn id="4" name="Total aportado" totalsRowFunction="sum" dataDxfId="46">
      <calculatedColumnFormula>SUMIFS(TbAportes[Total],TbAportes[Data],"&lt;="&amp;IF($L$1="",TODAY(),$L$1),TbAportes[Ativo],TbCarteira[[#This Row],[Ativo]])</calculatedColumnFormula>
    </tableColumn>
    <tableColumn id="5" name="Total Qte" dataDxfId="45">
      <calculatedColumnFormula>SUMIFS(TbAportes[Qte],TbAportes[Data],"&lt;="&amp;IF($L$1="",TODAY(),$L$1),TbAportes[Ativo],TbCarteira[[#This Row],[Ativo]])</calculatedColumnFormula>
    </tableColumn>
    <tableColumn id="6" name="PM" dataDxfId="44">
      <calculatedColumnFormula>IF(TbCarteira[[#This Row],[Total aportado]]&lt;=0,0,TbCarteira[[#This Row],[Total aportado]]/TbCarteira[[#This Row],[Total Qte]])</calculatedColumnFormula>
    </tableColumn>
    <tableColumn id="7" name="Valor Atual" totalsRowFunction="sum" dataDxfId="43">
      <calculatedColumnFormula>TbCarteira[[#This Row],[Cotação]]*TbCarteira[[#This Row],[Total Qte]]</calculatedColumnFormula>
    </tableColumn>
    <tableColumn id="8" name="Valorização" totalsRowFunction="sum" dataDxfId="42">
      <calculatedColumnFormula>TbCarteira[[#This Row],[Valor Atual]]-TbCarteira[[#This Row],[Total aportado]]</calculatedColumnFormula>
    </tableColumn>
    <tableColumn id="9" name="Valorização %" dataDxfId="41" totalsRowDxfId="24">
      <calculatedColumnFormula>IF(TbCarteira[[#This Row],[Valor Atual]]&lt;=0,0,TbCarteira[[#This Row],[Valor Atual]]/TbCarteira[[#This Row],[Total aportado]]-1)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bCarteiraAções" displayName="TbCarteiraAções" ref="A1:I7" totalsRowCount="1">
  <autoFilter ref="A1:I6"/>
  <sortState ref="A2:I10">
    <sortCondition ref="B1:B10"/>
  </sortState>
  <tableColumns count="9">
    <tableColumn id="1" name="Ativo" totalsRowLabel="Total"/>
    <tableColumn id="2" name="Tipo" dataDxfId="23">
      <calculatedColumnFormula>VLOOKUP(TbCarteiraAções[[#This Row],[Ativo]],TbAtivos!B:C,2,0)</calculatedColumnFormula>
    </tableColumn>
    <tableColumn id="3" name="Cotação" dataDxfId="22">
      <calculatedColumnFormula>VLOOKUP(TbCarteiraAções[[#This Row],[Ativo]],TbAtivos!B:D,3,0)</calculatedColumnFormula>
    </tableColumn>
    <tableColumn id="4" name="Total aportado" totalsRowFunction="sum" dataDxfId="21">
      <calculatedColumnFormula>SUMIFS(TbAportes[Total],TbAportes[Data],"&lt;="&amp;IF($L$1="",TODAY(),$L$1),TbAportes[Ativo],TbCarteiraAções[[#This Row],[Ativo]])</calculatedColumnFormula>
    </tableColumn>
    <tableColumn id="5" name="Total Qte" dataDxfId="20">
      <calculatedColumnFormula>SUMIFS(TbAportes[Qte],TbAportes[Data],"&lt;="&amp;IF($L$1="",TODAY(),$L$1),TbAportes[Ativo],TbCarteiraAções[[#This Row],[Ativo]])</calculatedColumnFormula>
    </tableColumn>
    <tableColumn id="6" name="PM" dataDxfId="19">
      <calculatedColumnFormula>IF(TbCarteiraAções[[#This Row],[Total aportado]]&lt;=0,0,TbCarteiraAções[[#This Row],[Total aportado]]/TbCarteiraAções[[#This Row],[Total Qte]])</calculatedColumnFormula>
    </tableColumn>
    <tableColumn id="7" name="Valor Atual" totalsRowFunction="sum" dataDxfId="18">
      <calculatedColumnFormula>TbCarteiraAções[[#This Row],[Cotação]]*TbCarteiraAções[[#This Row],[Total Qte]]</calculatedColumnFormula>
    </tableColumn>
    <tableColumn id="8" name="Valorização" totalsRowFunction="sum" dataDxfId="17">
      <calculatedColumnFormula>TbCarteiraAções[[#This Row],[Valor Atual]]-TbCarteiraAções[[#This Row],[Total aportado]]</calculatedColumnFormula>
    </tableColumn>
    <tableColumn id="9" name="Valorização %" dataDxfId="15" totalsRowDxfId="16">
      <calculatedColumnFormula>IF(TbCarteiraAções[[#This Row],[Valor Atual]]&lt;=0,0,TbCarteiraAções[[#This Row],[Valor Atual]]/TbCarteiraAções[[#This Row],[Total aportado]]-1)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14">
      <calculatedColumnFormula>VLOOKUP(TbCarteiraFII[[#This Row],[Ativo]],TbAtivos!B:C,2,0)</calculatedColumnFormula>
    </tableColumn>
    <tableColumn id="3" name="Cotação" dataDxfId="13">
      <calculatedColumnFormula>VLOOKUP(TbCarteiraFII[[#This Row],[Ativo]],TbAtivos!B:D,3,0)</calculatedColumnFormula>
    </tableColumn>
    <tableColumn id="4" name="Total aportado" totalsRowFunction="sum" dataDxfId="12">
      <calculatedColumnFormula>SUMIFS(TbAportes[Total],TbAportes[Data],"&lt;="&amp;IF($L$1="",TODAY(),$L$1),TbAportes[Ativo],TbCarteiraFII[[#This Row],[Ativo]])</calculatedColumnFormula>
    </tableColumn>
    <tableColumn id="5" name="Total Qte" dataDxfId="11">
      <calculatedColumnFormula>SUMIFS(TbAportes[Qte],TbAportes[Data],"&lt;="&amp;IF($L$1="",TODAY(),$L$1),TbAportes[Ativo],TbCarteiraFII[[#This Row],[Ativo]])</calculatedColumnFormula>
    </tableColumn>
    <tableColumn id="6" name="PM" dataDxfId="10">
      <calculatedColumnFormula>IF(TbCarteiraFII[[#This Row],[Total aportado]]&lt;=0,0,TbCarteiraFII[[#This Row],[Total aportado]]/TbCarteiraFII[[#This Row],[Total Qte]])</calculatedColumnFormula>
    </tableColumn>
    <tableColumn id="7" name="Valor Atual" totalsRowFunction="sum" dataDxfId="9">
      <calculatedColumnFormula>TbCarteiraFII[[#This Row],[Cotação]]*TbCarteiraFII[[#This Row],[Total Qte]]</calculatedColumnFormula>
    </tableColumn>
    <tableColumn id="8" name="Valorização" totalsRowFunction="sum" dataDxfId="8">
      <calculatedColumnFormula>TbCarteiraFII[[#This Row],[Valor Atual]]-TbCarteiraFII[[#This Row],[Total aportado]]</calculatedColumnFormula>
    </tableColumn>
    <tableColumn id="9" name="Valorização %" dataDxfId="6" totalsRowDxfId="7">
      <calculatedColumnFormula>IF(TbCarteiraFII[[#This Row],[Valor Atual]]&lt;=0,0,TbCarteiraFII[[#This Row],[Valor Atual]]/TbCarteiraFII[[#This Row],[Total aportado]]-1)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>
  <autoFilter ref="A1:J29"/>
  <tableColumns count="10">
    <tableColumn id="1" name="Data" dataDxfId="40"/>
    <tableColumn id="2" name="Ativo"/>
    <tableColumn id="3" name="Qte" dataDxfId="39"/>
    <tableColumn id="4" name="Valor unitário" dataDxfId="38"/>
    <tableColumn id="5" name="Custo" dataDxfId="37"/>
    <tableColumn id="6" name="Total" dataDxfId="36">
      <calculatedColumnFormula>(TbAportes[[#This Row],[Qte]]*TbAportes[[#This Row],[Valor unitário]])+TbAportes[[#This Row],[Custo]]</calculatedColumnFormula>
    </tableColumn>
    <tableColumn id="7" name="Tipo" dataDxfId="35">
      <calculatedColumnFormula>VLOOKUP(TbAportes[[#This Row],[Ativo]],TbAtivos!B:C,2,0)</calculatedColumnFormula>
    </tableColumn>
    <tableColumn id="8" name="Ano" dataDxfId="34">
      <calculatedColumnFormula>YEAR(TbAportes[[#This Row],[Data]])</calculatedColumnFormula>
    </tableColumn>
    <tableColumn id="9" name="Mês" dataDxfId="33">
      <calculatedColumnFormula>MONTH(TbAportes[[#This Row],[Data]])</calculatedColumnFormula>
    </tableColumn>
    <tableColumn id="10" name="Ano/Mês" dataDxfId="32">
      <calculatedColumnFormula>TbAportes[[#This Row],[Ano]]&amp;"/"&amp;IF(TbAportes[[#This Row],[Mês]]&lt;10,"0"&amp;TbAportes[[#This Row],[Mês]],TbAportes[[#This Row],[Mês]])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31">
  <autoFilter ref="A1:I72"/>
  <tableColumns count="9">
    <tableColumn id="1" name="Cod"/>
    <tableColumn id="2" name="Ativo"/>
    <tableColumn id="3" name="Qte"/>
    <tableColumn id="4" name="Valor Bruto" dataDxfId="30"/>
    <tableColumn id="5" name="IR" dataDxfId="29"/>
    <tableColumn id="6" name="Valor Líquido" dataDxfId="28"/>
    <tableColumn id="7" name="Data" dataDxfId="27"/>
    <tableColumn id="8" name="Ano/Mês" dataDxfId="26">
      <calculatedColumnFormula>YEAR(TbProventos[[#This Row],[Data]])&amp;"/"&amp;IF(MONTH(TbProventos[[#This Row],[Data]])&lt;10,"0"&amp;MONTH(TbProventos[[#This Row],[Data]]),MONTH(TbProventos[[#This Row],[Data]]))</calculatedColumnFormula>
    </tableColumn>
    <tableColumn id="9" name="Tipo" dataDxfId="25">
      <calculatedColumnFormula>VLOOKUP(TbProventos[[#This Row],[Ativo]],TbAtivos!B:C,2,0)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tabSelected="1" workbookViewId="0">
      <selection activeCell="E1" sqref="E1"/>
    </sheetView>
  </sheetViews>
  <sheetFormatPr defaultColWidth="0" defaultRowHeight="15" zeroHeight="1" x14ac:dyDescent="0.25"/>
  <cols>
    <col min="1" max="1" width="2.7109375" customWidth="1"/>
    <col min="2" max="2" width="33.42578125" customWidth="1"/>
    <col min="3" max="3" width="2.140625" customWidth="1"/>
    <col min="4" max="4" width="17" customWidth="1"/>
    <col min="5" max="5" width="22.85546875" customWidth="1"/>
    <col min="6" max="6" width="46.85546875" customWidth="1"/>
    <col min="7" max="7" width="20.140625" customWidth="1"/>
    <col min="8" max="8" width="29.140625" customWidth="1"/>
    <col min="9" max="16384" width="9.140625" hidden="1"/>
  </cols>
  <sheetData>
    <row r="1" spans="1:8" ht="27" customHeight="1" x14ac:dyDescent="0.25">
      <c r="A1" s="15"/>
      <c r="B1" s="15"/>
      <c r="C1" s="15"/>
      <c r="D1" s="17" t="s">
        <v>58</v>
      </c>
      <c r="E1" s="38">
        <v>15000</v>
      </c>
      <c r="F1" s="15"/>
      <c r="G1" s="19" t="s">
        <v>60</v>
      </c>
      <c r="H1" s="20">
        <f ca="1">IF(ReCarteira!L1="",TODAY(),ReCarteira!L1)</f>
        <v>45340</v>
      </c>
    </row>
    <row r="2" spans="1:8" ht="12.75" customHeight="1" thickBot="1" x14ac:dyDescent="0.3">
      <c r="A2" s="16"/>
      <c r="B2" s="16"/>
      <c r="C2" s="16"/>
      <c r="D2" s="16"/>
      <c r="E2" s="16"/>
      <c r="F2" s="16"/>
      <c r="G2" s="16"/>
      <c r="H2" s="16"/>
    </row>
    <row r="3" spans="1:8" x14ac:dyDescent="0.25"/>
    <row r="4" spans="1:8" ht="15.75" thickBot="1" x14ac:dyDescent="0.3">
      <c r="B4" s="18" t="s">
        <v>59</v>
      </c>
    </row>
    <row r="5" spans="1:8" ht="37.5" customHeight="1" thickBot="1" x14ac:dyDescent="0.55000000000000004">
      <c r="B5" s="34">
        <f ca="1">DashboardAux!C13</f>
        <v>41826.5</v>
      </c>
    </row>
    <row r="6" spans="1:8" x14ac:dyDescent="0.25"/>
    <row r="7" spans="1:8" ht="15.75" thickBot="1" x14ac:dyDescent="0.3">
      <c r="B7" s="18" t="s">
        <v>51</v>
      </c>
    </row>
    <row r="8" spans="1:8" ht="37.5" customHeight="1" thickBot="1" x14ac:dyDescent="0.55000000000000004">
      <c r="B8" s="34">
        <f ca="1">DashboardAux!C12</f>
        <v>26791.03</v>
      </c>
    </row>
    <row r="9" spans="1:8" x14ac:dyDescent="0.25"/>
    <row r="10" spans="1:8" ht="15.75" thickBot="1" x14ac:dyDescent="0.3">
      <c r="B10" s="18" t="s">
        <v>54</v>
      </c>
    </row>
    <row r="11" spans="1:8" ht="37.5" customHeight="1" thickBot="1" x14ac:dyDescent="0.55000000000000004">
      <c r="B11" s="34">
        <f ca="1">DashboardAux!C14</f>
        <v>15035.470000000001</v>
      </c>
    </row>
    <row r="12" spans="1:8" x14ac:dyDescent="0.25"/>
    <row r="13" spans="1:8" ht="15.75" thickBot="1" x14ac:dyDescent="0.3">
      <c r="B13" s="18" t="s">
        <v>55</v>
      </c>
    </row>
    <row r="14" spans="1:8" ht="37.5" customHeight="1" thickBot="1" x14ac:dyDescent="0.55000000000000004">
      <c r="B14" s="33">
        <f ca="1">DashboardAux!C15</f>
        <v>0.56121283877476913</v>
      </c>
    </row>
    <row r="15" spans="1:8" x14ac:dyDescent="0.25"/>
    <row r="16" spans="1:8" x14ac:dyDescent="0.25"/>
  </sheetData>
  <sheetProtection sheet="1" objects="1" scenarios="1" selectLockedCells="1"/>
  <conditionalFormatting sqref="B11">
    <cfRule type="cellIs" dxfId="5" priority="2" operator="lessThan">
      <formula>0</formula>
    </cfRule>
  </conditionalFormatting>
  <conditionalFormatting sqref="B14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locked="0"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2228850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B4" sqref="B4:B12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14</v>
      </c>
    </row>
    <row r="4" spans="1:4" x14ac:dyDescent="0.25">
      <c r="A4">
        <v>2</v>
      </c>
      <c r="B4" t="s">
        <v>3</v>
      </c>
      <c r="C4" t="s">
        <v>4</v>
      </c>
      <c r="D4">
        <v>19.04</v>
      </c>
    </row>
    <row r="5" spans="1:4" x14ac:dyDescent="0.25">
      <c r="A5">
        <v>3</v>
      </c>
      <c r="B5" t="s">
        <v>5</v>
      </c>
      <c r="C5" t="s">
        <v>4</v>
      </c>
      <c r="D5">
        <v>15.88</v>
      </c>
    </row>
    <row r="6" spans="1:4" x14ac:dyDescent="0.25">
      <c r="A6">
        <v>4</v>
      </c>
      <c r="B6" t="s">
        <v>6</v>
      </c>
      <c r="C6" t="s">
        <v>4</v>
      </c>
      <c r="D6">
        <v>10.46</v>
      </c>
    </row>
    <row r="7" spans="1:4" x14ac:dyDescent="0.25">
      <c r="A7">
        <v>5</v>
      </c>
      <c r="B7" t="s">
        <v>7</v>
      </c>
      <c r="C7" t="s">
        <v>4</v>
      </c>
      <c r="D7">
        <v>42.69</v>
      </c>
    </row>
    <row r="8" spans="1:4" x14ac:dyDescent="0.25">
      <c r="A8">
        <v>6</v>
      </c>
      <c r="B8" t="s">
        <v>8</v>
      </c>
      <c r="C8" t="s">
        <v>9</v>
      </c>
      <c r="D8">
        <v>229.1</v>
      </c>
    </row>
    <row r="9" spans="1:4" x14ac:dyDescent="0.25">
      <c r="A9">
        <v>7</v>
      </c>
      <c r="B9" t="s">
        <v>10</v>
      </c>
      <c r="C9" t="s">
        <v>9</v>
      </c>
      <c r="D9">
        <v>165.16</v>
      </c>
    </row>
    <row r="10" spans="1:4" x14ac:dyDescent="0.25">
      <c r="A10">
        <v>8</v>
      </c>
      <c r="B10" t="s">
        <v>11</v>
      </c>
      <c r="C10" t="s">
        <v>9</v>
      </c>
      <c r="D10">
        <v>131.80000000000001</v>
      </c>
    </row>
    <row r="11" spans="1:4" x14ac:dyDescent="0.25">
      <c r="A11">
        <v>9</v>
      </c>
      <c r="B11" t="s">
        <v>12</v>
      </c>
      <c r="C11" t="s">
        <v>9</v>
      </c>
      <c r="D11">
        <v>164.26</v>
      </c>
    </row>
    <row r="12" spans="1:4" x14ac:dyDescent="0.25">
      <c r="A12">
        <v>10</v>
      </c>
      <c r="B12" t="s">
        <v>15</v>
      </c>
      <c r="C12" t="s">
        <v>4</v>
      </c>
      <c r="D12">
        <v>11.97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6"/>
  <sheetViews>
    <sheetView topLeftCell="J1" workbookViewId="0">
      <selection activeCell="O17" sqref="O17:P26"/>
    </sheetView>
  </sheetViews>
  <sheetFormatPr defaultRowHeight="15" x14ac:dyDescent="0.25"/>
  <cols>
    <col min="1" max="1" width="2.28515625" customWidth="1"/>
    <col min="2" max="2" width="19.7109375" bestFit="1" customWidth="1"/>
    <col min="3" max="3" width="24.5703125" customWidth="1"/>
    <col min="4" max="4" width="2.7109375" customWidth="1"/>
    <col min="5" max="5" width="10" customWidth="1"/>
    <col min="6" max="6" width="15.140625" customWidth="1"/>
    <col min="7" max="8" width="16.7109375" customWidth="1"/>
    <col min="9" max="9" width="15.85546875" customWidth="1"/>
    <col min="10" max="10" width="2.7109375" customWidth="1"/>
    <col min="11" max="11" width="18.85546875" customWidth="1"/>
    <col min="12" max="12" width="17" customWidth="1"/>
    <col min="13" max="13" width="2.7109375" customWidth="1"/>
    <col min="16" max="16" width="14.28515625" customWidth="1"/>
    <col min="17" max="17" width="2.7109375" customWidth="1"/>
    <col min="18" max="18" width="8.42578125" customWidth="1"/>
    <col min="20" max="20" width="15.140625" customWidth="1"/>
    <col min="21" max="21" width="9.140625" customWidth="1"/>
    <col min="22" max="22" width="2.7109375" customWidth="1"/>
    <col min="25" max="25" width="15.42578125" customWidth="1"/>
    <col min="27" max="27" width="2.7109375" customWidth="1"/>
    <col min="30" max="30" width="16.42578125" customWidth="1"/>
  </cols>
  <sheetData>
    <row r="2" spans="2:31" x14ac:dyDescent="0.25">
      <c r="B2" s="23" t="s">
        <v>61</v>
      </c>
      <c r="C2" s="23"/>
      <c r="E2" s="23" t="s">
        <v>68</v>
      </c>
      <c r="F2" s="23"/>
      <c r="G2" s="23"/>
      <c r="H2" s="23"/>
      <c r="I2" s="23"/>
      <c r="K2" s="23" t="s">
        <v>70</v>
      </c>
      <c r="L2" s="23"/>
      <c r="N2" s="23" t="s">
        <v>74</v>
      </c>
      <c r="O2" s="23"/>
      <c r="P2" s="23"/>
      <c r="R2" s="23" t="s">
        <v>75</v>
      </c>
      <c r="S2" s="23"/>
      <c r="T2" s="23"/>
      <c r="U2" s="23"/>
      <c r="W2" s="23" t="s">
        <v>77</v>
      </c>
      <c r="X2" s="23"/>
      <c r="Y2" s="23"/>
      <c r="Z2" s="23"/>
      <c r="AB2" s="23" t="s">
        <v>78</v>
      </c>
      <c r="AC2" s="23"/>
      <c r="AD2" s="23"/>
      <c r="AE2" s="23"/>
    </row>
    <row r="3" spans="2:31" x14ac:dyDescent="0.25">
      <c r="B3" s="27">
        <v>1</v>
      </c>
      <c r="C3" s="25" t="s">
        <v>62</v>
      </c>
      <c r="E3" s="22"/>
      <c r="F3" s="22"/>
      <c r="G3" s="26" t="s">
        <v>62</v>
      </c>
      <c r="H3" s="26" t="s">
        <v>63</v>
      </c>
      <c r="I3" s="26" t="s">
        <v>9</v>
      </c>
      <c r="K3" s="27" t="s">
        <v>63</v>
      </c>
      <c r="L3" s="35">
        <f ca="1">H5</f>
        <v>31496</v>
      </c>
      <c r="N3" s="22" t="s">
        <v>72</v>
      </c>
      <c r="O3" s="22" t="s">
        <v>17</v>
      </c>
      <c r="P3" s="22" t="s">
        <v>73</v>
      </c>
      <c r="R3" s="22" t="s">
        <v>72</v>
      </c>
      <c r="S3" s="22" t="s">
        <v>17</v>
      </c>
      <c r="T3" s="22" t="s">
        <v>73</v>
      </c>
      <c r="U3" s="22" t="s">
        <v>76</v>
      </c>
      <c r="W3" s="22" t="s">
        <v>72</v>
      </c>
      <c r="X3" s="22" t="s">
        <v>17</v>
      </c>
      <c r="Y3" s="22" t="s">
        <v>73</v>
      </c>
      <c r="Z3" s="22" t="s">
        <v>76</v>
      </c>
      <c r="AB3" s="22" t="s">
        <v>72</v>
      </c>
      <c r="AC3" s="22" t="s">
        <v>17</v>
      </c>
      <c r="AD3" s="22" t="s">
        <v>73</v>
      </c>
      <c r="AE3" s="22" t="s">
        <v>76</v>
      </c>
    </row>
    <row r="4" spans="2:31" x14ac:dyDescent="0.25">
      <c r="B4" s="27">
        <v>2</v>
      </c>
      <c r="C4" s="25" t="s">
        <v>63</v>
      </c>
      <c r="E4" s="22">
        <v>1</v>
      </c>
      <c r="F4" s="22" t="s">
        <v>51</v>
      </c>
      <c r="G4" s="30">
        <f ca="1">TbCarteira[[#Totals],[Total aportado]]</f>
        <v>26791.03</v>
      </c>
      <c r="H4" s="30">
        <f ca="1">SUMIF(TbCarteira[Tipo],"Empresa",TbCarteira[Total aportado])</f>
        <v>17598</v>
      </c>
      <c r="I4" s="30">
        <f ca="1">SUMIF(TbCarteira[Tipo],"FII",TbCarteira[Total aportado])</f>
        <v>9193.0299999999988</v>
      </c>
      <c r="K4" s="27" t="s">
        <v>9</v>
      </c>
      <c r="L4" s="35">
        <f ca="1">I5</f>
        <v>10330.5</v>
      </c>
      <c r="N4" s="21">
        <v>10</v>
      </c>
      <c r="O4" s="21" t="str">
        <f ca="1">IF($C$8=1,S4,IF($C$8=2,X4,IF($C$8=3,AC4)))</f>
        <v/>
      </c>
      <c r="P4" s="36">
        <f ca="1">IF($C$8=1,T4,IF($C$8=2,Y4,IF($C$8=3,AD4)))</f>
        <v>0</v>
      </c>
      <c r="R4" s="21">
        <v>10</v>
      </c>
      <c r="S4" s="21" t="str">
        <f ca="1">IFERROR(INDEX(TbCarteira[Ativo],U4,1),"")</f>
        <v/>
      </c>
      <c r="T4" s="36">
        <f ca="1">IF(ISNUMBER(LARGE(TbCarteira[Valor Atual],R4)),LARGE(TbCarteira[Valor Atual],R4),0)</f>
        <v>0</v>
      </c>
      <c r="U4" s="24" t="str">
        <f ca="1">IF(ISNA(MATCH(T4,TbCarteira[Valor Atual],0)),"-",MATCH(T4,TbCarteira[Valor Atual],0))</f>
        <v>-</v>
      </c>
      <c r="W4" s="21">
        <v>10</v>
      </c>
      <c r="X4" s="21" t="str">
        <f ca="1">IFERROR(INDEX(TbCarteiraAções[Ativo],Z4,1),"")</f>
        <v/>
      </c>
      <c r="Y4" s="36">
        <f ca="1">IF(ISNUMBER(LARGE(TbCarteiraAções[Valor Atual],W4)),LARGE(TbCarteiraAções[Valor Atual],W4),0)</f>
        <v>0</v>
      </c>
      <c r="Z4" s="24" t="str">
        <f ca="1">IF(ISNA(MATCH(Y4,TbCarteiraAções[Valor Atual],0)),"-",MATCH(Y4,TbCarteiraAções[Valor Atual],0))</f>
        <v>-</v>
      </c>
      <c r="AB4" s="21">
        <v>10</v>
      </c>
      <c r="AC4" s="21" t="str">
        <f ca="1">IFERROR(INDEX(TbCarteiraFII[Ativo],AE4,1),"")</f>
        <v/>
      </c>
      <c r="AD4" s="36">
        <f ca="1">IF(ISNUMBER(LARGE(TbCarteiraFII[Valor Atual],AB4)),LARGE(TbCarteiraFII[Valor Atual],AB4),0)</f>
        <v>0</v>
      </c>
      <c r="AE4" s="24" t="str">
        <f ca="1">IF(ISNA(MATCH(AD4,TbCarteiraFII[Valor Atual],0)),"-",MATCH(AD4,TbCarteiraFII[Valor Atual],0))</f>
        <v>-</v>
      </c>
    </row>
    <row r="5" spans="2:31" x14ac:dyDescent="0.25">
      <c r="B5" s="27">
        <v>3</v>
      </c>
      <c r="C5" s="25" t="s">
        <v>64</v>
      </c>
      <c r="E5" s="22">
        <v>2</v>
      </c>
      <c r="F5" s="22" t="s">
        <v>59</v>
      </c>
      <c r="G5" s="30">
        <f ca="1">TbCarteira[[#Totals],[Valor Atual]]</f>
        <v>41826.5</v>
      </c>
      <c r="H5" s="30">
        <f ca="1">SUMIF(TbCarteira[Tipo],"Empresa",TbCarteira[Valor Atual])</f>
        <v>31496</v>
      </c>
      <c r="I5" s="30">
        <f ca="1">SUMIF(TbCarteira[Tipo],"FII",TbCarteira[Valor Atual])</f>
        <v>10330.5</v>
      </c>
      <c r="K5" s="27" t="s">
        <v>71</v>
      </c>
      <c r="L5" s="35">
        <f>C9</f>
        <v>15000</v>
      </c>
      <c r="N5" s="21">
        <v>9</v>
      </c>
      <c r="O5" s="21" t="str">
        <f ca="1">IF($C$8=1,S5,IF($C$8=2,X5,IF($C$8=3,AC5)))</f>
        <v>HGBS11</v>
      </c>
      <c r="P5" s="36">
        <f ca="1">IF($C$8=1,T5,IF($C$8=2,Y5,IF($C$8=3,AD5)))</f>
        <v>2061.9</v>
      </c>
      <c r="R5" s="21">
        <v>9</v>
      </c>
      <c r="S5" s="21" t="str">
        <f ca="1">IFERROR(INDEX(TbCarteira[Ativo],U5,1),"")</f>
        <v>HGBS11</v>
      </c>
      <c r="T5" s="36">
        <f ca="1">IF(ISNUMBER(LARGE(TbCarteira[Valor Atual],R5)),LARGE(TbCarteira[Valor Atual],R5),0)</f>
        <v>2061.9</v>
      </c>
      <c r="U5" s="24">
        <f ca="1">IF(ISNA(MATCH(T5,TbCarteira[Valor Atual],0)),"-",MATCH(T5,TbCarteira[Valor Atual],0))</f>
        <v>5</v>
      </c>
      <c r="W5" s="21">
        <v>9</v>
      </c>
      <c r="X5" s="21" t="str">
        <f ca="1">IFERROR(INDEX(TbCarteiraAções[Ativo],Z5,1),"")</f>
        <v/>
      </c>
      <c r="Y5" s="36">
        <f ca="1">IF(ISNUMBER(LARGE(TbCarteiraAções[Valor Atual],W5)),LARGE(TbCarteiraAções[Valor Atual],W5),0)</f>
        <v>0</v>
      </c>
      <c r="Z5" s="24" t="str">
        <f ca="1">IF(ISNA(MATCH(Y5,TbCarteiraAções[Valor Atual],0)),"-",MATCH(Y5,TbCarteiraAções[Valor Atual],0))</f>
        <v>-</v>
      </c>
      <c r="AB5" s="21">
        <v>9</v>
      </c>
      <c r="AC5" s="21" t="str">
        <f ca="1">IFERROR(INDEX(TbCarteiraFII[Ativo],AE5,1),"")</f>
        <v/>
      </c>
      <c r="AD5" s="36">
        <f ca="1">IF(ISNUMBER(LARGE(TbCarteiraFII[Valor Atual],AB5)),LARGE(TbCarteiraFII[Valor Atual],AB5),0)</f>
        <v>0</v>
      </c>
      <c r="AE5" s="24" t="str">
        <f ca="1">IF(ISNA(MATCH(AD5,TbCarteiraFII[Valor Atual],0)),"-",MATCH(AD5,TbCarteiraFII[Valor Atual],0))</f>
        <v>-</v>
      </c>
    </row>
    <row r="6" spans="2:31" x14ac:dyDescent="0.25">
      <c r="E6" s="22">
        <v>3</v>
      </c>
      <c r="F6" s="22" t="s">
        <v>54</v>
      </c>
      <c r="G6" s="30">
        <f ca="1">G5-G4</f>
        <v>15035.470000000001</v>
      </c>
      <c r="H6" s="30">
        <f ca="1">H5-H4</f>
        <v>13898</v>
      </c>
      <c r="I6" s="30">
        <f ca="1">I5-I4</f>
        <v>1137.4700000000012</v>
      </c>
      <c r="N6" s="21">
        <v>8</v>
      </c>
      <c r="O6" s="21" t="str">
        <f ca="1">IF($C$8=1,S6,IF($C$8=2,X6,IF($C$8=3,AC6)))</f>
        <v>TAEE4</v>
      </c>
      <c r="P6" s="36">
        <f ca="1">IF($C$8=1,T6,IF($C$8=2,Y6,IF($C$8=3,AD6)))</f>
        <v>2394</v>
      </c>
      <c r="R6" s="21">
        <v>8</v>
      </c>
      <c r="S6" s="21" t="str">
        <f ca="1">IFERROR(INDEX(TbCarteira[Ativo],U6,1),"")</f>
        <v>TAEE4</v>
      </c>
      <c r="T6" s="36">
        <f ca="1">IF(ISNUMBER(LARGE(TbCarteira[Valor Atual],R6)),LARGE(TbCarteira[Valor Atual],R6),0)</f>
        <v>2394</v>
      </c>
      <c r="U6" s="24">
        <f ca="1">IF(ISNA(MATCH(T6,TbCarteira[Valor Atual],0)),"-",MATCH(T6,TbCarteira[Valor Atual],0))</f>
        <v>9</v>
      </c>
      <c r="W6" s="21">
        <v>8</v>
      </c>
      <c r="X6" s="21" t="str">
        <f ca="1">IFERROR(INDEX(TbCarteiraAções[Ativo],Z6,1),"")</f>
        <v/>
      </c>
      <c r="Y6" s="36">
        <f ca="1">IF(ISNUMBER(LARGE(TbCarteiraAções[Valor Atual],W6)),LARGE(TbCarteiraAções[Valor Atual],W6),0)</f>
        <v>0</v>
      </c>
      <c r="Z6" s="24" t="str">
        <f ca="1">IF(ISNA(MATCH(Y6,TbCarteiraAções[Valor Atual],0)),"-",MATCH(Y6,TbCarteiraAções[Valor Atual],0))</f>
        <v>-</v>
      </c>
      <c r="AB6" s="21">
        <v>8</v>
      </c>
      <c r="AC6" s="21" t="str">
        <f ca="1">IFERROR(INDEX(TbCarteiraFII[Ativo],AE6,1),"")</f>
        <v/>
      </c>
      <c r="AD6" s="36">
        <f ca="1">IF(ISNUMBER(LARGE(TbCarteiraFII[Valor Atual],AB6)),LARGE(TbCarteiraFII[Valor Atual],AB6),0)</f>
        <v>0</v>
      </c>
      <c r="AE6" s="24" t="str">
        <f ca="1">IF(ISNA(MATCH(AD6,TbCarteiraFII[Valor Atual],0)),"-",MATCH(AD6,TbCarteiraFII[Valor Atual],0))</f>
        <v>-</v>
      </c>
    </row>
    <row r="7" spans="2:31" x14ac:dyDescent="0.25">
      <c r="B7" s="23" t="s">
        <v>65</v>
      </c>
      <c r="C7" s="23"/>
      <c r="E7" s="22">
        <v>4</v>
      </c>
      <c r="F7" s="22" t="s">
        <v>55</v>
      </c>
      <c r="G7" s="31">
        <f ca="1">G6/G4</f>
        <v>0.56121283877476913</v>
      </c>
      <c r="H7" s="31">
        <f ca="1">H6/H4</f>
        <v>0.78974883509489713</v>
      </c>
      <c r="I7" s="31">
        <f ca="1">I6/I4</f>
        <v>0.12373178375356127</v>
      </c>
      <c r="N7" s="21">
        <v>7</v>
      </c>
      <c r="O7" s="21" t="str">
        <f ca="1">IF($C$8=1,S7,IF($C$8=2,X7,IF($C$8=3,AC7)))</f>
        <v>HGRE11</v>
      </c>
      <c r="P7" s="36">
        <f ca="1">IF($C$8=1,T7,IF($C$8=2,Y7,IF($C$8=3,AD7)))</f>
        <v>2504.2000000000003</v>
      </c>
      <c r="R7" s="21">
        <v>7</v>
      </c>
      <c r="S7" s="21" t="str">
        <f ca="1">IFERROR(INDEX(TbCarteira[Ativo],U7,1),"")</f>
        <v>HGRE11</v>
      </c>
      <c r="T7" s="36">
        <f ca="1">IF(ISNUMBER(LARGE(TbCarteira[Valor Atual],R7)),LARGE(TbCarteira[Valor Atual],R7),0)</f>
        <v>2504.2000000000003</v>
      </c>
      <c r="U7" s="24">
        <f ca="1">IF(ISNA(MATCH(T7,TbCarteira[Valor Atual],0)),"-",MATCH(T7,TbCarteira[Valor Atual],0))</f>
        <v>7</v>
      </c>
      <c r="W7" s="21">
        <v>7</v>
      </c>
      <c r="X7" s="21" t="str">
        <f ca="1">IFERROR(INDEX(TbCarteiraAções[Ativo],Z7,1),"")</f>
        <v/>
      </c>
      <c r="Y7" s="36">
        <f ca="1">IF(ISNUMBER(LARGE(TbCarteiraAções[Valor Atual],W7)),LARGE(TbCarteiraAções[Valor Atual],W7),0)</f>
        <v>0</v>
      </c>
      <c r="Z7" s="24" t="str">
        <f ca="1">IF(ISNA(MATCH(Y7,TbCarteiraAções[Valor Atual],0)),"-",MATCH(Y7,TbCarteiraAções[Valor Atual],0))</f>
        <v>-</v>
      </c>
      <c r="AB7" s="21">
        <v>7</v>
      </c>
      <c r="AC7" s="21" t="str">
        <f ca="1">IFERROR(INDEX(TbCarteiraFII[Ativo],AE7,1),"")</f>
        <v/>
      </c>
      <c r="AD7" s="36">
        <f ca="1">IF(ISNUMBER(LARGE(TbCarteiraFII[Valor Atual],AB7)),LARGE(TbCarteiraFII[Valor Atual],AB7),0)</f>
        <v>0</v>
      </c>
      <c r="AE7" s="24" t="str">
        <f ca="1">IF(ISNA(MATCH(AD7,TbCarteiraFII[Valor Atual],0)),"-",MATCH(AD7,TbCarteiraFII[Valor Atual],0))</f>
        <v>-</v>
      </c>
    </row>
    <row r="8" spans="2:31" x14ac:dyDescent="0.25">
      <c r="B8" s="27" t="s">
        <v>66</v>
      </c>
      <c r="C8" s="26">
        <v>1</v>
      </c>
      <c r="N8" s="21">
        <v>6</v>
      </c>
      <c r="O8" s="21" t="str">
        <f ca="1">IF($C$8=1,S8,IF($C$8=2,X8,IF($C$8=3,AC8)))</f>
        <v>HGLG11</v>
      </c>
      <c r="P8" s="36">
        <f ca="1">IF($C$8=1,T8,IF($C$8=2,Y8,IF($C$8=3,AD8)))</f>
        <v>2807.72</v>
      </c>
      <c r="R8" s="21">
        <v>6</v>
      </c>
      <c r="S8" s="21" t="str">
        <f ca="1">IFERROR(INDEX(TbCarteira[Ativo],U8,1),"")</f>
        <v>HGLG11</v>
      </c>
      <c r="T8" s="36">
        <f ca="1">IF(ISNUMBER(LARGE(TbCarteira[Valor Atual],R8)),LARGE(TbCarteira[Valor Atual],R8),0)</f>
        <v>2807.72</v>
      </c>
      <c r="U8" s="24">
        <f ca="1">IF(ISNA(MATCH(T8,TbCarteira[Valor Atual],0)),"-",MATCH(T8,TbCarteira[Valor Atual],0))</f>
        <v>6</v>
      </c>
      <c r="W8" s="21">
        <v>6</v>
      </c>
      <c r="X8" s="21" t="str">
        <f ca="1">IFERROR(INDEX(TbCarteiraAções[Ativo],Z8,1),"")</f>
        <v/>
      </c>
      <c r="Y8" s="36">
        <f ca="1">IF(ISNUMBER(LARGE(TbCarteiraAções[Valor Atual],W8)),LARGE(TbCarteiraAções[Valor Atual],W8),0)</f>
        <v>0</v>
      </c>
      <c r="Z8" s="24" t="str">
        <f ca="1">IF(ISNA(MATCH(Y8,TbCarteiraAções[Valor Atual],0)),"-",MATCH(Y8,TbCarteiraAções[Valor Atual],0))</f>
        <v>-</v>
      </c>
      <c r="AB8" s="21">
        <v>6</v>
      </c>
      <c r="AC8" s="21" t="str">
        <f ca="1">IFERROR(INDEX(TbCarteiraFII[Ativo],AE8,1),"")</f>
        <v/>
      </c>
      <c r="AD8" s="36">
        <f ca="1">IF(ISNUMBER(LARGE(TbCarteiraFII[Valor Atual],AB8)),LARGE(TbCarteiraFII[Valor Atual],AB8),0)</f>
        <v>0</v>
      </c>
      <c r="AE8" s="24" t="str">
        <f ca="1">IF(ISNA(MATCH(AD8,TbCarteiraFII[Valor Atual],0)),"-",MATCH(AD8,TbCarteiraFII[Valor Atual],0))</f>
        <v>-</v>
      </c>
    </row>
    <row r="9" spans="2:31" x14ac:dyDescent="0.25">
      <c r="B9" s="27" t="s">
        <v>67</v>
      </c>
      <c r="C9" s="28">
        <f>Dashboard!$E$1</f>
        <v>15000</v>
      </c>
      <c r="G9" s="3"/>
      <c r="N9" s="21">
        <v>5</v>
      </c>
      <c r="O9" s="21" t="str">
        <f ca="1">IF($C$8=1,S9,IF($C$8=2,X9,IF($C$8=3,AC9)))</f>
        <v>KNRI11</v>
      </c>
      <c r="P9" s="36">
        <f ca="1">IF($C$8=1,T9,IF($C$8=2,Y9,IF($C$8=3,AD9)))</f>
        <v>2956.68</v>
      </c>
      <c r="R9" s="21">
        <v>5</v>
      </c>
      <c r="S9" s="21" t="str">
        <f ca="1">IFERROR(INDEX(TbCarteira[Ativo],U9,1),"")</f>
        <v>KNRI11</v>
      </c>
      <c r="T9" s="36">
        <f ca="1">IF(ISNUMBER(LARGE(TbCarteira[Valor Atual],R9)),LARGE(TbCarteira[Valor Atual],R9),0)</f>
        <v>2956.68</v>
      </c>
      <c r="U9" s="24">
        <f ca="1">IF(ISNA(MATCH(T9,TbCarteira[Valor Atual],0)),"-",MATCH(T9,TbCarteira[Valor Atual],0))</f>
        <v>8</v>
      </c>
      <c r="W9" s="21">
        <v>5</v>
      </c>
      <c r="X9" s="21" t="str">
        <f ca="1">IFERROR(INDEX(TbCarteiraAções[Ativo],Z9,1),"")</f>
        <v>TAEE4</v>
      </c>
      <c r="Y9" s="36">
        <f ca="1">IF(ISNUMBER(LARGE(TbCarteiraAções[Valor Atual],W9)),LARGE(TbCarteiraAções[Valor Atual],W9),0)</f>
        <v>2394</v>
      </c>
      <c r="Z9" s="24">
        <f ca="1">IF(ISNA(MATCH(Y9,TbCarteiraAções[Valor Atual],0)),"-",MATCH(Y9,TbCarteiraAções[Valor Atual],0))</f>
        <v>5</v>
      </c>
      <c r="AB9" s="21">
        <v>5</v>
      </c>
      <c r="AC9" s="21" t="str">
        <f ca="1">IFERROR(INDEX(TbCarteiraFII[Ativo],AE9,1),"")</f>
        <v/>
      </c>
      <c r="AD9" s="36">
        <f ca="1">IF(ISNUMBER(LARGE(TbCarteiraFII[Valor Atual],AB9)),LARGE(TbCarteiraFII[Valor Atual],AB9),0)</f>
        <v>0</v>
      </c>
      <c r="AE9" s="24" t="str">
        <f ca="1">IF(ISNA(MATCH(AD9,TbCarteiraFII[Valor Atual],0)),"-",MATCH(AD9,TbCarteiraFII[Valor Atual],0))</f>
        <v>-</v>
      </c>
    </row>
    <row r="10" spans="2:31" x14ac:dyDescent="0.25">
      <c r="N10" s="21">
        <v>4</v>
      </c>
      <c r="O10" s="21" t="str">
        <f ca="1">IF($C$8=1,S10,IF($C$8=2,X10,IF($C$8=3,AC10)))</f>
        <v>ITSA4</v>
      </c>
      <c r="P10" s="36">
        <f ca="1">IF($C$8=1,T10,IF($C$8=2,Y10,IF($C$8=3,AD10)))</f>
        <v>3138.0000000000005</v>
      </c>
      <c r="R10" s="21">
        <v>4</v>
      </c>
      <c r="S10" s="21" t="str">
        <f ca="1">IFERROR(INDEX(TbCarteira[Ativo],U10,1),"")</f>
        <v>ITSA4</v>
      </c>
      <c r="T10" s="36">
        <f ca="1">IF(ISNUMBER(LARGE(TbCarteira[Valor Atual],R10)),LARGE(TbCarteira[Valor Atual],R10),0)</f>
        <v>3138.0000000000005</v>
      </c>
      <c r="U10" s="24">
        <f ca="1">IF(ISNA(MATCH(T10,TbCarteira[Valor Atual],0)),"-",MATCH(T10,TbCarteira[Valor Atual],0))</f>
        <v>3</v>
      </c>
      <c r="W10" s="21">
        <v>4</v>
      </c>
      <c r="X10" s="21" t="str">
        <f ca="1">IFERROR(INDEX(TbCarteiraAções[Ativo],Z10,1),"")</f>
        <v>ITSA4</v>
      </c>
      <c r="Y10" s="36">
        <f ca="1">IF(ISNUMBER(LARGE(TbCarteiraAções[Valor Atual],W10)),LARGE(TbCarteiraAções[Valor Atual],W10),0)</f>
        <v>3138.0000000000005</v>
      </c>
      <c r="Z10" s="24">
        <f ca="1">IF(ISNA(MATCH(Y10,TbCarteiraAções[Valor Atual],0)),"-",MATCH(Y10,TbCarteiraAções[Valor Atual],0))</f>
        <v>3</v>
      </c>
      <c r="AB10" s="21">
        <v>4</v>
      </c>
      <c r="AC10" s="21" t="str">
        <f ca="1">IFERROR(INDEX(TbCarteiraFII[Ativo],AE10,1),"")</f>
        <v>HGBS11</v>
      </c>
      <c r="AD10" s="36">
        <f ca="1">IF(ISNUMBER(LARGE(TbCarteiraFII[Valor Atual],AB10)),LARGE(TbCarteiraFII[Valor Atual],AB10),0)</f>
        <v>2061.9</v>
      </c>
      <c r="AE10" s="24">
        <f ca="1">IF(ISNA(MATCH(AD10,TbCarteiraFII[Valor Atual],0)),"-",MATCH(AD10,TbCarteiraFII[Valor Atual],0))</f>
        <v>1</v>
      </c>
    </row>
    <row r="11" spans="2:31" x14ac:dyDescent="0.25">
      <c r="B11" s="23" t="s">
        <v>69</v>
      </c>
      <c r="C11" s="23"/>
      <c r="N11" s="21">
        <v>3</v>
      </c>
      <c r="O11" s="21" t="str">
        <f ca="1">IF($C$8=1,S11,IF($C$8=2,X11,IF($C$8=3,AC11)))</f>
        <v>FLRY3</v>
      </c>
      <c r="P11" s="36">
        <f ca="1">IF($C$8=1,T11,IF($C$8=2,Y11,IF($C$8=3,AD11)))</f>
        <v>3176</v>
      </c>
      <c r="R11" s="21">
        <v>3</v>
      </c>
      <c r="S11" s="21" t="str">
        <f ca="1">IFERROR(INDEX(TbCarteira[Ativo],U11,1),"")</f>
        <v>FLRY3</v>
      </c>
      <c r="T11" s="36">
        <f ca="1">IF(ISNUMBER(LARGE(TbCarteira[Valor Atual],R11)),LARGE(TbCarteira[Valor Atual],R11),0)</f>
        <v>3176</v>
      </c>
      <c r="U11" s="24">
        <f ca="1">IF(ISNA(MATCH(T11,TbCarteira[Valor Atual],0)),"-",MATCH(T11,TbCarteira[Valor Atual],0))</f>
        <v>2</v>
      </c>
      <c r="W11" s="21">
        <v>3</v>
      </c>
      <c r="X11" s="21" t="str">
        <f ca="1">IFERROR(INDEX(TbCarteiraAções[Ativo],Z11,1),"")</f>
        <v>FLRY3</v>
      </c>
      <c r="Y11" s="36">
        <f ca="1">IF(ISNUMBER(LARGE(TbCarteiraAções[Valor Atual],W11)),LARGE(TbCarteiraAções[Valor Atual],W11),0)</f>
        <v>3176</v>
      </c>
      <c r="Z11" s="24">
        <f ca="1">IF(ISNA(MATCH(Y11,TbCarteiraAções[Valor Atual],0)),"-",MATCH(Y11,TbCarteiraAções[Valor Atual],0))</f>
        <v>2</v>
      </c>
      <c r="AB11" s="21">
        <v>3</v>
      </c>
      <c r="AC11" s="21" t="str">
        <f ca="1">IFERROR(INDEX(TbCarteiraFII[Ativo],AE11,1),"")</f>
        <v>HGRE11</v>
      </c>
      <c r="AD11" s="36">
        <f ca="1">IF(ISNUMBER(LARGE(TbCarteiraFII[Valor Atual],AB11)),LARGE(TbCarteiraFII[Valor Atual],AB11),0)</f>
        <v>2504.2000000000003</v>
      </c>
      <c r="AE11" s="24">
        <f ca="1">IF(ISNA(MATCH(AD11,TbCarteiraFII[Valor Atual],0)),"-",MATCH(AD11,TbCarteiraFII[Valor Atual],0))</f>
        <v>3</v>
      </c>
    </row>
    <row r="12" spans="2:31" x14ac:dyDescent="0.25">
      <c r="B12" s="27" t="s">
        <v>51</v>
      </c>
      <c r="C12" s="28">
        <f ca="1">INDEX($G$4:$I$7,E4,$C$8)</f>
        <v>26791.03</v>
      </c>
      <c r="N12" s="21">
        <v>2</v>
      </c>
      <c r="O12" s="21" t="str">
        <f ca="1">IF($C$8=1,S12,IF($C$8=2,X12,IF($C$8=3,AC12)))</f>
        <v>CSNA3</v>
      </c>
      <c r="P12" s="36">
        <f ca="1">IF($C$8=1,T12,IF($C$8=2,Y12,IF($C$8=3,AD12)))</f>
        <v>5712</v>
      </c>
      <c r="R12" s="21">
        <v>2</v>
      </c>
      <c r="S12" s="21" t="str">
        <f ca="1">IFERROR(INDEX(TbCarteira[Ativo],U12,1),"")</f>
        <v>CSNA3</v>
      </c>
      <c r="T12" s="36">
        <f ca="1">IF(ISNUMBER(LARGE(TbCarteira[Valor Atual],R12)),LARGE(TbCarteira[Valor Atual],R12),0)</f>
        <v>5712</v>
      </c>
      <c r="U12" s="24">
        <f ca="1">IF(ISNA(MATCH(T12,TbCarteira[Valor Atual],0)),"-",MATCH(T12,TbCarteira[Valor Atual],0))</f>
        <v>1</v>
      </c>
      <c r="W12" s="21">
        <v>2</v>
      </c>
      <c r="X12" s="21" t="str">
        <f ca="1">IFERROR(INDEX(TbCarteiraAções[Ativo],Z12,1),"")</f>
        <v>CSNA3</v>
      </c>
      <c r="Y12" s="36">
        <f ca="1">IF(ISNUMBER(LARGE(TbCarteiraAções[Valor Atual],W12)),LARGE(TbCarteiraAções[Valor Atual],W12),0)</f>
        <v>5712</v>
      </c>
      <c r="Z12" s="24">
        <f ca="1">IF(ISNA(MATCH(Y12,TbCarteiraAções[Valor Atual],0)),"-",MATCH(Y12,TbCarteiraAções[Valor Atual],0))</f>
        <v>1</v>
      </c>
      <c r="AB12" s="21">
        <v>2</v>
      </c>
      <c r="AC12" s="21" t="str">
        <f ca="1">IFERROR(INDEX(TbCarteiraFII[Ativo],AE12,1),"")</f>
        <v>HGLG11</v>
      </c>
      <c r="AD12" s="36">
        <f ca="1">IF(ISNUMBER(LARGE(TbCarteiraFII[Valor Atual],AB12)),LARGE(TbCarteiraFII[Valor Atual],AB12),0)</f>
        <v>2807.72</v>
      </c>
      <c r="AE12" s="24">
        <f ca="1">IF(ISNA(MATCH(AD12,TbCarteiraFII[Valor Atual],0)),"-",MATCH(AD12,TbCarteiraFII[Valor Atual],0))</f>
        <v>2</v>
      </c>
    </row>
    <row r="13" spans="2:31" x14ac:dyDescent="0.25">
      <c r="B13" s="27" t="s">
        <v>59</v>
      </c>
      <c r="C13" s="28">
        <f ca="1">INDEX($G$4:$I$7,E5,$C$8)</f>
        <v>41826.5</v>
      </c>
      <c r="N13" s="21">
        <v>1</v>
      </c>
      <c r="O13" s="21" t="str">
        <f ca="1">IF($C$8=1,S13,IF($C$8=2,X13,IF($C$8=3,AC13)))</f>
        <v>PETR4</v>
      </c>
      <c r="P13" s="36">
        <f ca="1">IF($C$8=1,T13,IF($C$8=2,Y13,IF($C$8=3,AD13)))</f>
        <v>17076</v>
      </c>
      <c r="R13" s="21">
        <v>1</v>
      </c>
      <c r="S13" s="21" t="str">
        <f ca="1">IFERROR(INDEX(TbCarteira[Ativo],U13,1),"")</f>
        <v>PETR4</v>
      </c>
      <c r="T13" s="36">
        <f ca="1">IF(ISNUMBER(LARGE(TbCarteira[Valor Atual],R13)),LARGE(TbCarteira[Valor Atual],R13),0)</f>
        <v>17076</v>
      </c>
      <c r="U13" s="24">
        <f ca="1">IF(ISNA(MATCH(T13,TbCarteira[Valor Atual],0)),"-",MATCH(T13,TbCarteira[Valor Atual],0))</f>
        <v>4</v>
      </c>
      <c r="W13" s="21">
        <v>1</v>
      </c>
      <c r="X13" s="21" t="str">
        <f ca="1">IFERROR(INDEX(TbCarteiraAções[Ativo],Z13,1),"")</f>
        <v>PETR4</v>
      </c>
      <c r="Y13" s="36">
        <f ca="1">IF(ISNUMBER(LARGE(TbCarteiraAções[Valor Atual],W13)),LARGE(TbCarteiraAções[Valor Atual],W13),0)</f>
        <v>17076</v>
      </c>
      <c r="Z13" s="24">
        <f ca="1">IF(ISNA(MATCH(Y13,TbCarteiraAções[Valor Atual],0)),"-",MATCH(Y13,TbCarteiraAções[Valor Atual],0))</f>
        <v>4</v>
      </c>
      <c r="AB13" s="21">
        <v>1</v>
      </c>
      <c r="AC13" s="21" t="str">
        <f ca="1">IFERROR(INDEX(TbCarteiraFII[Ativo],AE13,1),"")</f>
        <v>KNRI11</v>
      </c>
      <c r="AD13" s="36">
        <f ca="1">IF(ISNUMBER(LARGE(TbCarteiraFII[Valor Atual],AB13)),LARGE(TbCarteiraFII[Valor Atual],AB13),0)</f>
        <v>2956.68</v>
      </c>
      <c r="AE13" s="24">
        <f ca="1">IF(ISNA(MATCH(AD13,TbCarteiraFII[Valor Atual],0)),"-",MATCH(AD13,TbCarteiraFII[Valor Atual],0))</f>
        <v>4</v>
      </c>
    </row>
    <row r="14" spans="2:31" x14ac:dyDescent="0.25">
      <c r="B14" s="27" t="s">
        <v>54</v>
      </c>
      <c r="C14" s="28">
        <f ca="1">INDEX($G$4:$I$7,E6,$C$8)</f>
        <v>15035.470000000001</v>
      </c>
      <c r="F14" s="32"/>
    </row>
    <row r="15" spans="2:31" x14ac:dyDescent="0.25">
      <c r="B15" s="27" t="s">
        <v>55</v>
      </c>
      <c r="C15" s="29">
        <f ca="1">INDEX($G$4:$I$7,E7,$C$8)</f>
        <v>0.56121283877476913</v>
      </c>
      <c r="N15" s="23" t="s">
        <v>79</v>
      </c>
      <c r="O15" s="23"/>
      <c r="P15" s="23"/>
      <c r="R15" s="23" t="s">
        <v>80</v>
      </c>
      <c r="S15" s="23"/>
      <c r="T15" s="23"/>
      <c r="U15" s="23"/>
      <c r="W15" s="23" t="s">
        <v>81</v>
      </c>
      <c r="X15" s="23"/>
      <c r="Y15" s="23"/>
      <c r="Z15" s="23"/>
      <c r="AB15" s="23" t="s">
        <v>82</v>
      </c>
      <c r="AC15" s="23"/>
      <c r="AD15" s="23"/>
      <c r="AE15" s="23"/>
    </row>
    <row r="16" spans="2:31" x14ac:dyDescent="0.25">
      <c r="N16" s="22" t="s">
        <v>72</v>
      </c>
      <c r="O16" s="22" t="s">
        <v>17</v>
      </c>
      <c r="P16" s="22" t="s">
        <v>55</v>
      </c>
      <c r="R16" s="22" t="s">
        <v>72</v>
      </c>
      <c r="S16" s="22" t="s">
        <v>17</v>
      </c>
      <c r="T16" s="22" t="s">
        <v>55</v>
      </c>
      <c r="U16" s="22" t="s">
        <v>76</v>
      </c>
      <c r="W16" s="22" t="s">
        <v>72</v>
      </c>
      <c r="X16" s="22" t="s">
        <v>17</v>
      </c>
      <c r="Y16" s="22" t="s">
        <v>55</v>
      </c>
      <c r="Z16" s="22" t="s">
        <v>76</v>
      </c>
      <c r="AB16" s="22" t="s">
        <v>72</v>
      </c>
      <c r="AC16" s="22" t="s">
        <v>17</v>
      </c>
      <c r="AD16" s="22" t="s">
        <v>55</v>
      </c>
      <c r="AE16" s="22" t="s">
        <v>76</v>
      </c>
    </row>
    <row r="17" spans="14:31" x14ac:dyDescent="0.25">
      <c r="N17" s="21">
        <v>10</v>
      </c>
      <c r="O17" s="21" t="str">
        <f ca="1">IF($C$8=1,S17,IF($C$8=2,X17,IF($C$8=3,AC17)))</f>
        <v/>
      </c>
      <c r="P17" s="37">
        <f ca="1">IF($C$8=1,T17,IF($C$8=2,Y17,IF($C$8=3,AD17)))</f>
        <v>0</v>
      </c>
      <c r="R17" s="21">
        <v>10</v>
      </c>
      <c r="S17" s="21" t="str">
        <f ca="1">IFERROR(INDEX(TbCarteira[Ativo],U17,1),"")</f>
        <v/>
      </c>
      <c r="T17" s="37">
        <f ca="1">IF(ISNUMBER(LARGE(TbCarteira[Valorização %],R17)),LARGE(TbCarteira[Valorização %],R17),0)</f>
        <v>0</v>
      </c>
      <c r="U17" s="24" t="str">
        <f ca="1">IF(ISNA(MATCH(T17,TbCarteira[Valorização %],0)),"-",MATCH(T17,TbCarteira[Valorização %],0))</f>
        <v>-</v>
      </c>
      <c r="W17" s="21">
        <v>10</v>
      </c>
      <c r="X17" s="21" t="str">
        <f ca="1">IFERROR(INDEX(TbCarteiraAções[Ativo],Z17,1),"")</f>
        <v/>
      </c>
      <c r="Y17" s="37">
        <f ca="1">IF(ISNUMBER(LARGE(TbCarteiraAções[Valorização %],W17)),LARGE(TbCarteiraAções[Valorização %],W17),0)</f>
        <v>0</v>
      </c>
      <c r="Z17" s="24" t="str">
        <f ca="1">IF(ISNA(MATCH(Y17,TbCarteiraAções[Valorização %],0)),"-",MATCH(Y17,TbCarteiraAções[Valorização %],0))</f>
        <v>-</v>
      </c>
      <c r="AB17" s="21">
        <v>10</v>
      </c>
      <c r="AC17" s="21" t="str">
        <f ca="1">IFERROR(INDEX(TbCarteiraFII[Ativo],AE17,1),"")</f>
        <v/>
      </c>
      <c r="AD17" s="37">
        <f ca="1">IF(ISNUMBER(LARGE(TbCarteiraFII[Valorização %],AB17)),LARGE(TbCarteiraFII[Valorização %],AB17),0)</f>
        <v>0</v>
      </c>
      <c r="AE17" s="24" t="str">
        <f ca="1">IF(ISNA(MATCH(AD17,TbCarteiraFII[Valorização %],0)),"-",MATCH(AD17,TbCarteiraFII[Valorização %],0))</f>
        <v>-</v>
      </c>
    </row>
    <row r="18" spans="14:31" x14ac:dyDescent="0.25">
      <c r="N18" s="21">
        <v>9</v>
      </c>
      <c r="O18" s="21" t="str">
        <f ca="1">IF($C$8=1,S18,IF($C$8=2,X18,IF($C$8=3,AC18)))</f>
        <v>FLRY3</v>
      </c>
      <c r="P18" s="37">
        <f ca="1">IF($C$8=1,T18,IF($C$8=2,Y18,IF($C$8=3,AD18)))</f>
        <v>-0.2113235659299727</v>
      </c>
      <c r="R18" s="21">
        <v>9</v>
      </c>
      <c r="S18" s="21" t="str">
        <f ca="1">IFERROR(INDEX(TbCarteira[Ativo],U18,1),"")</f>
        <v>FLRY3</v>
      </c>
      <c r="T18" s="37">
        <f ca="1">IF(ISNUMBER(LARGE(TbCarteira[Valorização %],R18)),LARGE(TbCarteira[Valorização %],R18),0)</f>
        <v>-0.2113235659299727</v>
      </c>
      <c r="U18" s="24">
        <f ca="1">IF(ISNA(MATCH(T18,TbCarteira[Valorização %],0)),"-",MATCH(T18,TbCarteira[Valorização %],0))</f>
        <v>2</v>
      </c>
      <c r="W18" s="21">
        <v>9</v>
      </c>
      <c r="X18" s="21" t="str">
        <f ca="1">IFERROR(INDEX(TbCarteiraAções[Ativo],Z18,1),"")</f>
        <v/>
      </c>
      <c r="Y18" s="37">
        <f ca="1">IF(ISNUMBER(LARGE(TbCarteiraAções[Valorização %],W18)),LARGE(TbCarteiraAções[Valorização %],W18),0)</f>
        <v>0</v>
      </c>
      <c r="Z18" s="24" t="str">
        <f ca="1">IF(ISNA(MATCH(Y18,TbCarteiraAções[Valorização %],0)),"-",MATCH(Y18,TbCarteiraAções[Valorização %],0))</f>
        <v>-</v>
      </c>
      <c r="AB18" s="21">
        <v>9</v>
      </c>
      <c r="AC18" s="21" t="str">
        <f ca="1">IFERROR(INDEX(TbCarteiraFII[Ativo],AE18,1),"")</f>
        <v/>
      </c>
      <c r="AD18" s="37">
        <f ca="1">IF(ISNUMBER(LARGE(TbCarteiraFII[Valorização %],AB18)),LARGE(TbCarteiraFII[Valorização %],AB18),0)</f>
        <v>0</v>
      </c>
      <c r="AE18" s="24" t="str">
        <f ca="1">IF(ISNA(MATCH(AD18,TbCarteiraFII[Valorização %],0)),"-",MATCH(AD18,TbCarteiraFII[Valorização %],0))</f>
        <v>-</v>
      </c>
    </row>
    <row r="19" spans="14:31" x14ac:dyDescent="0.25">
      <c r="N19" s="21">
        <v>8</v>
      </c>
      <c r="O19" s="21" t="str">
        <f ca="1">IF($C$8=1,S19,IF($C$8=2,X19,IF($C$8=3,AC19)))</f>
        <v>HGRE11</v>
      </c>
      <c r="P19" s="37">
        <f ca="1">IF($C$8=1,T19,IF($C$8=2,Y19,IF($C$8=3,AD19)))</f>
        <v>4.6658669565953215E-3</v>
      </c>
      <c r="R19" s="21">
        <v>8</v>
      </c>
      <c r="S19" s="21" t="str">
        <f ca="1">IFERROR(INDEX(TbCarteira[Ativo],U19,1),"")</f>
        <v>HGRE11</v>
      </c>
      <c r="T19" s="37">
        <f ca="1">IF(ISNUMBER(LARGE(TbCarteira[Valorização %],R19)),LARGE(TbCarteira[Valorização %],R19),0)</f>
        <v>4.6658669565953215E-3</v>
      </c>
      <c r="U19" s="24">
        <f ca="1">IF(ISNA(MATCH(T19,TbCarteira[Valorização %],0)),"-",MATCH(T19,TbCarteira[Valorização %],0))</f>
        <v>7</v>
      </c>
      <c r="W19" s="21">
        <v>8</v>
      </c>
      <c r="X19" s="21" t="str">
        <f ca="1">IFERROR(INDEX(TbCarteiraAções[Ativo],Z19,1),"")</f>
        <v/>
      </c>
      <c r="Y19" s="37">
        <f ca="1">IF(ISNUMBER(LARGE(TbCarteiraAções[Valorização %],W19)),LARGE(TbCarteiraAções[Valorização %],W19),0)</f>
        <v>0</v>
      </c>
      <c r="Z19" s="24" t="str">
        <f ca="1">IF(ISNA(MATCH(Y19,TbCarteiraAções[Valorização %],0)),"-",MATCH(Y19,TbCarteiraAções[Valorização %],0))</f>
        <v>-</v>
      </c>
      <c r="AB19" s="21">
        <v>8</v>
      </c>
      <c r="AC19" s="21" t="str">
        <f ca="1">IFERROR(INDEX(TbCarteiraFII[Ativo],AE19,1),"")</f>
        <v/>
      </c>
      <c r="AD19" s="37">
        <f ca="1">IF(ISNUMBER(LARGE(TbCarteiraFII[Valorização %],AB19)),LARGE(TbCarteiraFII[Valorização %],AB19),0)</f>
        <v>0</v>
      </c>
      <c r="AE19" s="24" t="str">
        <f ca="1">IF(ISNA(MATCH(AD19,TbCarteiraFII[Valorização %],0)),"-",MATCH(AD19,TbCarteiraFII[Valorização %],0))</f>
        <v>-</v>
      </c>
    </row>
    <row r="20" spans="14:31" x14ac:dyDescent="0.25">
      <c r="N20" s="21">
        <v>7</v>
      </c>
      <c r="O20" s="21" t="str">
        <f ca="1">IF($C$8=1,S20,IF($C$8=2,X20,IF($C$8=3,AC20)))</f>
        <v>KNRI11</v>
      </c>
      <c r="P20" s="37">
        <f ca="1">IF($C$8=1,T20,IF($C$8=2,Y20,IF($C$8=3,AD20)))</f>
        <v>0.1219519599286607</v>
      </c>
      <c r="R20" s="21">
        <v>7</v>
      </c>
      <c r="S20" s="21" t="str">
        <f ca="1">IFERROR(INDEX(TbCarteira[Ativo],U20,1),"")</f>
        <v>KNRI11</v>
      </c>
      <c r="T20" s="37">
        <f ca="1">IF(ISNUMBER(LARGE(TbCarteira[Valorização %],R20)),LARGE(TbCarteira[Valorização %],R20),0)</f>
        <v>0.1219519599286607</v>
      </c>
      <c r="U20" s="24">
        <f ca="1">IF(ISNA(MATCH(T20,TbCarteira[Valorização %],0)),"-",MATCH(T20,TbCarteira[Valorização %],0))</f>
        <v>8</v>
      </c>
      <c r="W20" s="21">
        <v>7</v>
      </c>
      <c r="X20" s="21" t="str">
        <f ca="1">IFERROR(INDEX(TbCarteiraAções[Ativo],Z20,1),"")</f>
        <v/>
      </c>
      <c r="Y20" s="37">
        <f ca="1">IF(ISNUMBER(LARGE(TbCarteiraAções[Valorização %],W20)),LARGE(TbCarteiraAções[Valorização %],W20),0)</f>
        <v>0</v>
      </c>
      <c r="Z20" s="24" t="str">
        <f ca="1">IF(ISNA(MATCH(Y20,TbCarteiraAções[Valorização %],0)),"-",MATCH(Y20,TbCarteiraAções[Valorização %],0))</f>
        <v>-</v>
      </c>
      <c r="AB20" s="21">
        <v>7</v>
      </c>
      <c r="AC20" s="21" t="str">
        <f ca="1">IFERROR(INDEX(TbCarteiraFII[Ativo],AE20,1),"")</f>
        <v/>
      </c>
      <c r="AD20" s="37">
        <f ca="1">IF(ISNUMBER(LARGE(TbCarteiraFII[Valorização %],AB20)),LARGE(TbCarteiraFII[Valorização %],AB20),0)</f>
        <v>0</v>
      </c>
      <c r="AE20" s="24" t="str">
        <f ca="1">IF(ISNA(MATCH(AD20,TbCarteiraFII[Valorização %],0)),"-",MATCH(AD20,TbCarteiraFII[Valorização %],0))</f>
        <v>-</v>
      </c>
    </row>
    <row r="21" spans="14:31" x14ac:dyDescent="0.25">
      <c r="N21" s="21">
        <v>6</v>
      </c>
      <c r="O21" s="21" t="str">
        <f ca="1">IF($C$8=1,S21,IF($C$8=2,X21,IF($C$8=3,AC21)))</f>
        <v>HGLG11</v>
      </c>
      <c r="P21" s="37">
        <f ca="1">IF($C$8=1,T21,IF($C$8=2,Y21,IF($C$8=3,AD21)))</f>
        <v>0.19436279410075663</v>
      </c>
      <c r="R21" s="21">
        <v>6</v>
      </c>
      <c r="S21" s="21" t="str">
        <f ca="1">IFERROR(INDEX(TbCarteira[Ativo],U21,1),"")</f>
        <v>HGLG11</v>
      </c>
      <c r="T21" s="37">
        <f ca="1">IF(ISNUMBER(LARGE(TbCarteira[Valorização %],R21)),LARGE(TbCarteira[Valorização %],R21),0)</f>
        <v>0.19436279410075663</v>
      </c>
      <c r="U21" s="24">
        <f ca="1">IF(ISNA(MATCH(T21,TbCarteira[Valorização %],0)),"-",MATCH(T21,TbCarteira[Valorização %],0))</f>
        <v>6</v>
      </c>
      <c r="W21" s="21">
        <v>6</v>
      </c>
      <c r="X21" s="21" t="str">
        <f ca="1">IFERROR(INDEX(TbCarteiraAções[Ativo],Z21,1),"")</f>
        <v/>
      </c>
      <c r="Y21" s="37">
        <f ca="1">IF(ISNUMBER(LARGE(TbCarteiraAções[Valorização %],W21)),LARGE(TbCarteiraAções[Valorização %],W21),0)</f>
        <v>0</v>
      </c>
      <c r="Z21" s="24" t="str">
        <f ca="1">IF(ISNA(MATCH(Y21,TbCarteiraAções[Valorização %],0)),"-",MATCH(Y21,TbCarteiraAções[Valorização %],0))</f>
        <v>-</v>
      </c>
      <c r="AB21" s="21">
        <v>6</v>
      </c>
      <c r="AC21" s="21" t="str">
        <f ca="1">IFERROR(INDEX(TbCarteiraFII[Ativo],AE21,1),"")</f>
        <v/>
      </c>
      <c r="AD21" s="37">
        <f ca="1">IF(ISNUMBER(LARGE(TbCarteiraFII[Valorização %],AB21)),LARGE(TbCarteiraFII[Valorização %],AB21),0)</f>
        <v>0</v>
      </c>
      <c r="AE21" s="24" t="str">
        <f ca="1">IF(ISNA(MATCH(AD21,TbCarteiraFII[Valorização %],0)),"-",MATCH(AD21,TbCarteiraFII[Valorização %],0))</f>
        <v>-</v>
      </c>
    </row>
    <row r="22" spans="14:31" x14ac:dyDescent="0.25">
      <c r="N22" s="21">
        <v>5</v>
      </c>
      <c r="O22" s="21" t="str">
        <f ca="1">IF($C$8=1,S22,IF($C$8=2,X22,IF($C$8=3,AC22)))</f>
        <v>HGBS11</v>
      </c>
      <c r="P22" s="37">
        <f ca="1">IF($C$8=1,T22,IF($C$8=2,Y22,IF($C$8=3,AD22)))</f>
        <v>0.20272989762883897</v>
      </c>
      <c r="R22" s="21">
        <v>5</v>
      </c>
      <c r="S22" s="21" t="str">
        <f ca="1">IFERROR(INDEX(TbCarteira[Ativo],U22,1),"")</f>
        <v>HGBS11</v>
      </c>
      <c r="T22" s="37">
        <f ca="1">IF(ISNUMBER(LARGE(TbCarteira[Valorização %],R22)),LARGE(TbCarteira[Valorização %],R22),0)</f>
        <v>0.20272989762883897</v>
      </c>
      <c r="U22" s="24">
        <f ca="1">IF(ISNA(MATCH(T22,TbCarteira[Valorização %],0)),"-",MATCH(T22,TbCarteira[Valorização %],0))</f>
        <v>5</v>
      </c>
      <c r="W22" s="21">
        <v>5</v>
      </c>
      <c r="X22" s="21" t="str">
        <f ca="1">IFERROR(INDEX(TbCarteiraAções[Ativo],Z22,1),"")</f>
        <v>FLRY3</v>
      </c>
      <c r="Y22" s="37">
        <f ca="1">IF(ISNUMBER(LARGE(TbCarteiraAções[Valorização %],W22)),LARGE(TbCarteiraAções[Valorização %],W22),0)</f>
        <v>-0.2113235659299727</v>
      </c>
      <c r="Z22" s="24">
        <f ca="1">IF(ISNA(MATCH(Y22,TbCarteiraAções[Valorização %],0)),"-",MATCH(Y22,TbCarteiraAções[Valorização %],0))</f>
        <v>2</v>
      </c>
      <c r="AB22" s="21">
        <v>5</v>
      </c>
      <c r="AC22" s="21" t="str">
        <f ca="1">IFERROR(INDEX(TbCarteiraFII[Ativo],AE22,1),"")</f>
        <v/>
      </c>
      <c r="AD22" s="37">
        <f ca="1">IF(ISNUMBER(LARGE(TbCarteiraFII[Valorização %],AB22)),LARGE(TbCarteiraFII[Valorização %],AB22),0)</f>
        <v>0</v>
      </c>
      <c r="AE22" s="24" t="str">
        <f ca="1">IF(ISNA(MATCH(AD22,TbCarteiraFII[Valorização %],0)),"-",MATCH(AD22,TbCarteiraFII[Valorização %],0))</f>
        <v>-</v>
      </c>
    </row>
    <row r="23" spans="14:31" x14ac:dyDescent="0.25">
      <c r="N23" s="21">
        <v>4</v>
      </c>
      <c r="O23" s="21" t="str">
        <f ca="1">IF($C$8=1,S23,IF($C$8=2,X23,IF($C$8=3,AC23)))</f>
        <v>ITSA4</v>
      </c>
      <c r="P23" s="37">
        <f ca="1">IF($C$8=1,T23,IF($C$8=2,Y23,IF($C$8=3,AD23)))</f>
        <v>0.24920382165605104</v>
      </c>
      <c r="R23" s="21">
        <v>4</v>
      </c>
      <c r="S23" s="21" t="str">
        <f ca="1">IFERROR(INDEX(TbCarteira[Ativo],U23,1),"")</f>
        <v>ITSA4</v>
      </c>
      <c r="T23" s="37">
        <f ca="1">IF(ISNUMBER(LARGE(TbCarteira[Valorização %],R23)),LARGE(TbCarteira[Valorização %],R23),0)</f>
        <v>0.24920382165605104</v>
      </c>
      <c r="U23" s="24">
        <f ca="1">IF(ISNA(MATCH(T23,TbCarteira[Valorização %],0)),"-",MATCH(T23,TbCarteira[Valorização %],0))</f>
        <v>3</v>
      </c>
      <c r="W23" s="21">
        <v>4</v>
      </c>
      <c r="X23" s="21" t="str">
        <f ca="1">IFERROR(INDEX(TbCarteiraAções[Ativo],Z23,1),"")</f>
        <v>ITSA4</v>
      </c>
      <c r="Y23" s="37">
        <f ca="1">IF(ISNUMBER(LARGE(TbCarteiraAções[Valorização %],W23)),LARGE(TbCarteiraAções[Valorização %],W23),0)</f>
        <v>0.24920382165605104</v>
      </c>
      <c r="Z23" s="24">
        <f ca="1">IF(ISNA(MATCH(Y23,TbCarteiraAções[Valorização %],0)),"-",MATCH(Y23,TbCarteiraAções[Valorização %],0))</f>
        <v>3</v>
      </c>
      <c r="AB23" s="21">
        <v>4</v>
      </c>
      <c r="AC23" s="21" t="str">
        <f ca="1">IFERROR(INDEX(TbCarteiraFII[Ativo],AE23,1),"")</f>
        <v>HGRE11</v>
      </c>
      <c r="AD23" s="37">
        <f ca="1">IF(ISNUMBER(LARGE(TbCarteiraFII[Valorização %],AB23)),LARGE(TbCarteiraFII[Valorização %],AB23),0)</f>
        <v>4.6658669565953215E-3</v>
      </c>
      <c r="AE23" s="24">
        <f ca="1">IF(ISNA(MATCH(AD23,TbCarteiraFII[Valorização %],0)),"-",MATCH(AD23,TbCarteiraFII[Valorização %],0))</f>
        <v>3</v>
      </c>
    </row>
    <row r="24" spans="14:31" x14ac:dyDescent="0.25">
      <c r="N24" s="21">
        <v>3</v>
      </c>
      <c r="O24" s="21" t="str">
        <f ca="1">IF($C$8=1,S24,IF($C$8=2,X24,IF($C$8=3,AC24)))</f>
        <v>TAEE4</v>
      </c>
      <c r="P24" s="37">
        <f ca="1">IF($C$8=1,T24,IF($C$8=2,Y24,IF($C$8=3,AD24)))</f>
        <v>0.4642201834862385</v>
      </c>
      <c r="R24" s="21">
        <v>3</v>
      </c>
      <c r="S24" s="21" t="str">
        <f ca="1">IFERROR(INDEX(TbCarteira[Ativo],U24,1),"")</f>
        <v>TAEE4</v>
      </c>
      <c r="T24" s="37">
        <f ca="1">IF(ISNUMBER(LARGE(TbCarteira[Valorização %],R24)),LARGE(TbCarteira[Valorização %],R24),0)</f>
        <v>0.4642201834862385</v>
      </c>
      <c r="U24" s="24">
        <f ca="1">IF(ISNA(MATCH(T24,TbCarteira[Valorização %],0)),"-",MATCH(T24,TbCarteira[Valorização %],0))</f>
        <v>9</v>
      </c>
      <c r="W24" s="21">
        <v>3</v>
      </c>
      <c r="X24" s="21" t="str">
        <f ca="1">IFERROR(INDEX(TbCarteiraAções[Ativo],Z24,1),"")</f>
        <v>TAEE4</v>
      </c>
      <c r="Y24" s="37">
        <f ca="1">IF(ISNUMBER(LARGE(TbCarteiraAções[Valorização %],W24)),LARGE(TbCarteiraAções[Valorização %],W24),0)</f>
        <v>0.4642201834862385</v>
      </c>
      <c r="Z24" s="24">
        <f ca="1">IF(ISNA(MATCH(Y24,TbCarteiraAções[Valorização %],0)),"-",MATCH(Y24,TbCarteiraAções[Valorização %],0))</f>
        <v>5</v>
      </c>
      <c r="AB24" s="21">
        <v>3</v>
      </c>
      <c r="AC24" s="21" t="str">
        <f ca="1">IFERROR(INDEX(TbCarteiraFII[Ativo],AE24,1),"")</f>
        <v>KNRI11</v>
      </c>
      <c r="AD24" s="37">
        <f ca="1">IF(ISNUMBER(LARGE(TbCarteiraFII[Valorização %],AB24)),LARGE(TbCarteiraFII[Valorização %],AB24),0)</f>
        <v>0.1219519599286607</v>
      </c>
      <c r="AE24" s="24">
        <f ca="1">IF(ISNA(MATCH(AD24,TbCarteiraFII[Valorização %],0)),"-",MATCH(AD24,TbCarteiraFII[Valorização %],0))</f>
        <v>4</v>
      </c>
    </row>
    <row r="25" spans="14:31" x14ac:dyDescent="0.25">
      <c r="N25" s="21">
        <v>2</v>
      </c>
      <c r="O25" s="21" t="str">
        <f ca="1">IF($C$8=1,S25,IF($C$8=2,X25,IF($C$8=3,AC25)))</f>
        <v>CSNA3</v>
      </c>
      <c r="P25" s="37">
        <f ca="1">IF($C$8=1,T25,IF($C$8=2,Y25,IF($C$8=3,AD25)))</f>
        <v>1.0327402135231316</v>
      </c>
      <c r="R25" s="21">
        <v>2</v>
      </c>
      <c r="S25" s="21" t="str">
        <f ca="1">IFERROR(INDEX(TbCarteira[Ativo],U25,1),"")</f>
        <v>CSNA3</v>
      </c>
      <c r="T25" s="37">
        <f ca="1">IF(ISNUMBER(LARGE(TbCarteira[Valorização %],R25)),LARGE(TbCarteira[Valorização %],R25),0)</f>
        <v>1.0327402135231316</v>
      </c>
      <c r="U25" s="24">
        <f ca="1">IF(ISNA(MATCH(T25,TbCarteira[Valorização %],0)),"-",MATCH(T25,TbCarteira[Valorização %],0))</f>
        <v>1</v>
      </c>
      <c r="W25" s="21">
        <v>2</v>
      </c>
      <c r="X25" s="21" t="str">
        <f ca="1">IFERROR(INDEX(TbCarteiraAções[Ativo],Z25,1),"")</f>
        <v>CSNA3</v>
      </c>
      <c r="Y25" s="37">
        <f ca="1">IF(ISNUMBER(LARGE(TbCarteiraAções[Valorização %],W25)),LARGE(TbCarteiraAções[Valorização %],W25),0)</f>
        <v>1.0327402135231316</v>
      </c>
      <c r="Z25" s="24">
        <f ca="1">IF(ISNA(MATCH(Y25,TbCarteiraAções[Valorização %],0)),"-",MATCH(Y25,TbCarteiraAções[Valorização %],0))</f>
        <v>1</v>
      </c>
      <c r="AB25" s="21">
        <v>2</v>
      </c>
      <c r="AC25" s="21" t="str">
        <f ca="1">IFERROR(INDEX(TbCarteiraFII[Ativo],AE25,1),"")</f>
        <v>HGLG11</v>
      </c>
      <c r="AD25" s="37">
        <f ca="1">IF(ISNUMBER(LARGE(TbCarteiraFII[Valorização %],AB25)),LARGE(TbCarteiraFII[Valorização %],AB25),0)</f>
        <v>0.19436279410075663</v>
      </c>
      <c r="AE25" s="24">
        <f ca="1">IF(ISNA(MATCH(AD25,TbCarteiraFII[Valorização %],0)),"-",MATCH(AD25,TbCarteiraFII[Valorização %],0))</f>
        <v>2</v>
      </c>
    </row>
    <row r="26" spans="14:31" x14ac:dyDescent="0.25">
      <c r="N26" s="21">
        <v>1</v>
      </c>
      <c r="O26" s="21" t="str">
        <f ca="1">IF($C$8=1,S26,IF($C$8=2,X26,IF($C$8=3,AC26)))</f>
        <v>PETR4</v>
      </c>
      <c r="P26" s="37">
        <f ca="1">IF($C$8=1,T26,IF($C$8=2,Y26,IF($C$8=3,AD26)))</f>
        <v>1.5817961899002118</v>
      </c>
      <c r="R26" s="21">
        <v>1</v>
      </c>
      <c r="S26" s="21" t="str">
        <f ca="1">IFERROR(INDEX(TbCarteira[Ativo],U26,1),"")</f>
        <v>PETR4</v>
      </c>
      <c r="T26" s="37">
        <f ca="1">IF(ISNUMBER(LARGE(TbCarteira[Valorização %],R26)),LARGE(TbCarteira[Valorização %],R26),0)</f>
        <v>1.5817961899002118</v>
      </c>
      <c r="U26" s="24">
        <f ca="1">IF(ISNA(MATCH(T26,TbCarteira[Valorização %],0)),"-",MATCH(T26,TbCarteira[Valorização %],0))</f>
        <v>4</v>
      </c>
      <c r="W26" s="21">
        <v>1</v>
      </c>
      <c r="X26" s="21" t="str">
        <f ca="1">IFERROR(INDEX(TbCarteiraAções[Ativo],Z26,1),"")</f>
        <v>PETR4</v>
      </c>
      <c r="Y26" s="37">
        <f ca="1">IF(ISNUMBER(LARGE(TbCarteiraAções[Valorização %],W26)),LARGE(TbCarteiraAções[Valorização %],W26),0)</f>
        <v>1.5817961899002118</v>
      </c>
      <c r="Z26" s="24">
        <f ca="1">IF(ISNA(MATCH(Y26,TbCarteiraAções[Valorização %],0)),"-",MATCH(Y26,TbCarteiraAções[Valorização %],0))</f>
        <v>4</v>
      </c>
      <c r="AB26" s="21">
        <v>1</v>
      </c>
      <c r="AC26" s="21" t="str">
        <f ca="1">IFERROR(INDEX(TbCarteiraFII[Ativo],AE26,1),"")</f>
        <v>HGBS11</v>
      </c>
      <c r="AD26" s="37">
        <f ca="1">IF(ISNUMBER(LARGE(TbCarteiraFII[Valorização %],AB26)),LARGE(TbCarteiraFII[Valorização %],AB26),0)</f>
        <v>0.20272989762883897</v>
      </c>
      <c r="AE26" s="24">
        <f ca="1">IF(ISNA(MATCH(AD26,TbCarteiraFII[Valorização %],0)),"-",MATCH(AD26,TbCarteiraFII[Valorização %],0))</f>
        <v>1</v>
      </c>
    </row>
  </sheetData>
  <mergeCells count="13">
    <mergeCell ref="R2:U2"/>
    <mergeCell ref="W2:Z2"/>
    <mergeCell ref="AB2:AE2"/>
    <mergeCell ref="N15:P15"/>
    <mergeCell ref="R15:U15"/>
    <mergeCell ref="W15:Z15"/>
    <mergeCell ref="AB15:AE15"/>
    <mergeCell ref="B2:C2"/>
    <mergeCell ref="B7:C7"/>
    <mergeCell ref="E2:I2"/>
    <mergeCell ref="B11:C11"/>
    <mergeCell ref="K2:L2"/>
    <mergeCell ref="N2:P2"/>
  </mergeCells>
  <conditionalFormatting sqref="G6:I7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C37" sqref="C37"/>
    </sheetView>
  </sheetViews>
  <sheetFormatPr defaultRowHeight="15" x14ac:dyDescent="0.25"/>
  <cols>
    <col min="3" max="3" width="10.140625" customWidth="1"/>
    <col min="4" max="4" width="16" style="3" customWidth="1"/>
    <col min="5" max="5" width="11.28515625" customWidth="1"/>
    <col min="6" max="6" width="12" style="3" customWidth="1"/>
    <col min="7" max="7" width="15.5703125" style="3" customWidth="1"/>
    <col min="8" max="8" width="16.85546875" style="3" customWidth="1"/>
    <col min="9" max="9" width="15.28515625" style="14" customWidth="1"/>
    <col min="11" max="11" width="15.42578125" customWidth="1"/>
    <col min="12" max="12" width="18.42578125" customWidth="1"/>
  </cols>
  <sheetData>
    <row r="1" spans="1:12" x14ac:dyDescent="0.25">
      <c r="A1" t="s">
        <v>17</v>
      </c>
      <c r="B1" t="s">
        <v>22</v>
      </c>
      <c r="C1" t="s">
        <v>50</v>
      </c>
      <c r="D1" s="3" t="s">
        <v>51</v>
      </c>
      <c r="E1" t="s">
        <v>52</v>
      </c>
      <c r="F1" s="3" t="s">
        <v>53</v>
      </c>
      <c r="G1" s="3" t="s">
        <v>57</v>
      </c>
      <c r="H1" s="13" t="s">
        <v>54</v>
      </c>
      <c r="I1" t="s">
        <v>55</v>
      </c>
      <c r="K1" s="6" t="s">
        <v>56</v>
      </c>
      <c r="L1" s="9"/>
    </row>
    <row r="2" spans="1:12" x14ac:dyDescent="0.25">
      <c r="A2" t="s">
        <v>3</v>
      </c>
      <c r="B2" t="str">
        <f>VLOOKUP(TbCarteira[[#This Row],[Ativo]],TbAtivos!B:C,2,0)</f>
        <v>EMPRESA</v>
      </c>
      <c r="C2">
        <f>VLOOKUP(TbCarteira[[#This Row],[Ativo]],TbAtivos!B:D,3,0)</f>
        <v>19.04</v>
      </c>
      <c r="D2" s="3">
        <f ca="1">SUMIFS(TbAportes[Total],TbAportes[Data],"&lt;="&amp;IF($L$1="",TODAY(),$L$1),TbAportes[Ativo],TbCarteira[[#This Row],[Ativo]])</f>
        <v>2810</v>
      </c>
      <c r="E2">
        <f ca="1">SUMIFS(TbAportes[Qte],TbAportes[Data],"&lt;="&amp;IF($L$1="",TODAY(),$L$1),TbAportes[Ativo],TbCarteira[[#This Row],[Ativo]])</f>
        <v>300</v>
      </c>
      <c r="F2" s="3">
        <f ca="1">IF(TbCarteira[[#This Row],[Total aportado]]&lt;=0,0,TbCarteira[[#This Row],[Total aportado]]/TbCarteira[[#This Row],[Total Qte]])</f>
        <v>9.3666666666666671</v>
      </c>
      <c r="G2" s="3">
        <f ca="1">TbCarteira[[#This Row],[Cotação]]*TbCarteira[[#This Row],[Total Qte]]</f>
        <v>5712</v>
      </c>
      <c r="H2" s="3">
        <f ca="1">TbCarteira[[#This Row],[Valor Atual]]-TbCarteira[[#This Row],[Total aportado]]</f>
        <v>2902</v>
      </c>
      <c r="I2" s="14">
        <f ca="1">IF(TbCarteira[[#This Row],[Valor Atual]]&lt;=0,0,TbCarteira[[#This Row],[Valor Atual]]/TbCarteira[[#This Row],[Total aportado]]-1)</f>
        <v>1.0327402135231316</v>
      </c>
    </row>
    <row r="3" spans="1:12" x14ac:dyDescent="0.25">
      <c r="A3" t="s">
        <v>5</v>
      </c>
      <c r="B3" t="str">
        <f>VLOOKUP(TbCarteira[[#This Row],[Ativo]],TbAtivos!B:C,2,0)</f>
        <v>EMPRESA</v>
      </c>
      <c r="C3">
        <f>VLOOKUP(TbCarteira[[#This Row],[Ativo]],TbAtivos!B:D,3,0)</f>
        <v>15.88</v>
      </c>
      <c r="D3" s="3">
        <f ca="1">SUMIFS(TbAportes[Total],TbAportes[Data],"&lt;="&amp;IF($L$1="",TODAY(),$L$1),TbAportes[Ativo],TbCarteira[[#This Row],[Ativo]])</f>
        <v>4027</v>
      </c>
      <c r="E3">
        <f ca="1">SUMIFS(TbAportes[Qte],TbAportes[Data],"&lt;="&amp;IF($L$1="",TODAY(),$L$1),TbAportes[Ativo],TbCarteira[[#This Row],[Ativo]])</f>
        <v>200</v>
      </c>
      <c r="F3" s="3">
        <f ca="1">IF(TbCarteira[[#This Row],[Total aportado]]&lt;=0,0,TbCarteira[[#This Row],[Total aportado]]/TbCarteira[[#This Row],[Total Qte]])</f>
        <v>20.135000000000002</v>
      </c>
      <c r="G3" s="3">
        <f ca="1">TbCarteira[[#This Row],[Cotação]]*TbCarteira[[#This Row],[Total Qte]]</f>
        <v>3176</v>
      </c>
      <c r="H3" s="3">
        <f ca="1">TbCarteira[[#This Row],[Valor Atual]]-TbCarteira[[#This Row],[Total aportado]]</f>
        <v>-851</v>
      </c>
      <c r="I3" s="14">
        <f ca="1">IF(TbCarteira[[#This Row],[Valor Atual]]&lt;=0,0,TbCarteira[[#This Row],[Valor Atual]]/TbCarteira[[#This Row],[Total aportado]]-1)</f>
        <v>-0.2113235659299727</v>
      </c>
    </row>
    <row r="4" spans="1:12" x14ac:dyDescent="0.25">
      <c r="A4" t="s">
        <v>6</v>
      </c>
      <c r="B4" t="str">
        <f>VLOOKUP(TbCarteira[[#This Row],[Ativo]],TbAtivos!B:C,2,0)</f>
        <v>EMPRESA</v>
      </c>
      <c r="C4">
        <f>VLOOKUP(TbCarteira[[#This Row],[Ativo]],TbAtivos!B:D,3,0)</f>
        <v>10.46</v>
      </c>
      <c r="D4" s="3">
        <f ca="1">SUMIFS(TbAportes[Total],TbAportes[Data],"&lt;="&amp;IF($L$1="",TODAY(),$L$1),TbAportes[Ativo],TbCarteira[[#This Row],[Ativo]])</f>
        <v>2512</v>
      </c>
      <c r="E4">
        <f ca="1">SUMIFS(TbAportes[Qte],TbAportes[Data],"&lt;="&amp;IF($L$1="",TODAY(),$L$1),TbAportes[Ativo],TbCarteira[[#This Row],[Ativo]])</f>
        <v>300</v>
      </c>
      <c r="F4" s="3">
        <f ca="1">IF(TbCarteira[[#This Row],[Total aportado]]&lt;=0,0,TbCarteira[[#This Row],[Total aportado]]/TbCarteira[[#This Row],[Total Qte]])</f>
        <v>8.3733333333333331</v>
      </c>
      <c r="G4" s="3">
        <f ca="1">TbCarteira[[#This Row],[Cotação]]*TbCarteira[[#This Row],[Total Qte]]</f>
        <v>3138.0000000000005</v>
      </c>
      <c r="H4" s="3">
        <f ca="1">TbCarteira[[#This Row],[Valor Atual]]-TbCarteira[[#This Row],[Total aportado]]</f>
        <v>626.00000000000045</v>
      </c>
      <c r="I4" s="14">
        <f ca="1">IF(TbCarteira[[#This Row],[Valor Atual]]&lt;=0,0,TbCarteira[[#This Row],[Valor Atual]]/TbCarteira[[#This Row],[Total aportado]]-1)</f>
        <v>0.24920382165605104</v>
      </c>
    </row>
    <row r="5" spans="1:12" x14ac:dyDescent="0.25">
      <c r="A5" t="s">
        <v>7</v>
      </c>
      <c r="B5" t="str">
        <f>VLOOKUP(TbCarteira[[#This Row],[Ativo]],TbAtivos!B:C,2,0)</f>
        <v>EMPRESA</v>
      </c>
      <c r="C5">
        <f>VLOOKUP(TbCarteira[[#This Row],[Ativo]],TbAtivos!B:D,3,0)</f>
        <v>42.69</v>
      </c>
      <c r="D5" s="3">
        <f ca="1">SUMIFS(TbAportes[Total],TbAportes[Data],"&lt;="&amp;IF($L$1="",TODAY(),$L$1),TbAportes[Ativo],TbCarteira[[#This Row],[Ativo]])</f>
        <v>6614</v>
      </c>
      <c r="E5">
        <f ca="1">SUMIFS(TbAportes[Qte],TbAportes[Data],"&lt;="&amp;IF($L$1="",TODAY(),$L$1),TbAportes[Ativo],TbCarteira[[#This Row],[Ativo]])</f>
        <v>400</v>
      </c>
      <c r="F5" s="3">
        <f ca="1">IF(TbCarteira[[#This Row],[Total aportado]]&lt;=0,0,TbCarteira[[#This Row],[Total aportado]]/TbCarteira[[#This Row],[Total Qte]])</f>
        <v>16.535</v>
      </c>
      <c r="G5" s="3">
        <f ca="1">TbCarteira[[#This Row],[Cotação]]*TbCarteira[[#This Row],[Total Qte]]</f>
        <v>17076</v>
      </c>
      <c r="H5" s="3">
        <f ca="1">TbCarteira[[#This Row],[Valor Atual]]-TbCarteira[[#This Row],[Total aportado]]</f>
        <v>10462</v>
      </c>
      <c r="I5" s="14">
        <f ca="1">IF(TbCarteira[[#This Row],[Valor Atual]]&lt;=0,0,TbCarteira[[#This Row],[Valor Atual]]/TbCarteira[[#This Row],[Total aportado]]-1)</f>
        <v>1.5817961899002118</v>
      </c>
    </row>
    <row r="6" spans="1:12" x14ac:dyDescent="0.25">
      <c r="A6" t="s">
        <v>8</v>
      </c>
      <c r="B6" t="str">
        <f>VLOOKUP(TbCarteira[[#This Row],[Ativo]],TbAtivos!B:C,2,0)</f>
        <v>FII</v>
      </c>
      <c r="C6">
        <f>VLOOKUP(TbCarteira[[#This Row],[Ativo]],TbAtivos!B:D,3,0)</f>
        <v>229.1</v>
      </c>
      <c r="D6" s="3">
        <f ca="1">SUMIFS(TbAportes[Total],TbAportes[Data],"&lt;="&amp;IF($L$1="",TODAY(),$L$1),TbAportes[Ativo],TbCarteira[[#This Row],[Ativo]])</f>
        <v>1714.35</v>
      </c>
      <c r="E6">
        <f ca="1">SUMIFS(TbAportes[Qte],TbAportes[Data],"&lt;="&amp;IF($L$1="",TODAY(),$L$1),TbAportes[Ativo],TbCarteira[[#This Row],[Ativo]])</f>
        <v>9</v>
      </c>
      <c r="F6" s="3">
        <f ca="1">IF(TbCarteira[[#This Row],[Total aportado]]&lt;=0,0,TbCarteira[[#This Row],[Total aportado]]/TbCarteira[[#This Row],[Total Qte]])</f>
        <v>190.48333333333332</v>
      </c>
      <c r="G6" s="3">
        <f ca="1">TbCarteira[[#This Row],[Cotação]]*TbCarteira[[#This Row],[Total Qte]]</f>
        <v>2061.9</v>
      </c>
      <c r="H6" s="3">
        <f ca="1">TbCarteira[[#This Row],[Valor Atual]]-TbCarteira[[#This Row],[Total aportado]]</f>
        <v>347.55000000000018</v>
      </c>
      <c r="I6" s="14">
        <f ca="1">IF(TbCarteira[[#This Row],[Valor Atual]]&lt;=0,0,TbCarteira[[#This Row],[Valor Atual]]/TbCarteira[[#This Row],[Total aportado]]-1)</f>
        <v>0.20272989762883897</v>
      </c>
    </row>
    <row r="7" spans="1:12" x14ac:dyDescent="0.25">
      <c r="A7" t="s">
        <v>10</v>
      </c>
      <c r="B7" t="str">
        <f>VLOOKUP(TbCarteira[[#This Row],[Ativo]],TbAtivos!B:C,2,0)</f>
        <v>FII</v>
      </c>
      <c r="C7">
        <f>VLOOKUP(TbCarteira[[#This Row],[Ativo]],TbAtivos!B:D,3,0)</f>
        <v>165.16</v>
      </c>
      <c r="D7" s="3">
        <f ca="1">SUMIFS(TbAportes[Total],TbAportes[Data],"&lt;="&amp;IF($L$1="",TODAY(),$L$1),TbAportes[Ativo],TbCarteira[[#This Row],[Ativo]])</f>
        <v>2350.81</v>
      </c>
      <c r="E7">
        <f ca="1">SUMIFS(TbAportes[Qte],TbAportes[Data],"&lt;="&amp;IF($L$1="",TODAY(),$L$1),TbAportes[Ativo],TbCarteira[[#This Row],[Ativo]])</f>
        <v>17</v>
      </c>
      <c r="F7" s="3">
        <f ca="1">IF(TbCarteira[[#This Row],[Total aportado]]&lt;=0,0,TbCarteira[[#This Row],[Total aportado]]/TbCarteira[[#This Row],[Total Qte]])</f>
        <v>138.28294117647059</v>
      </c>
      <c r="G7" s="3">
        <f ca="1">TbCarteira[[#This Row],[Cotação]]*TbCarteira[[#This Row],[Total Qte]]</f>
        <v>2807.72</v>
      </c>
      <c r="H7" s="3">
        <f ca="1">TbCarteira[[#This Row],[Valor Atual]]-TbCarteira[[#This Row],[Total aportado]]</f>
        <v>456.90999999999985</v>
      </c>
      <c r="I7" s="14">
        <f ca="1">IF(TbCarteira[[#This Row],[Valor Atual]]&lt;=0,0,TbCarteira[[#This Row],[Valor Atual]]/TbCarteira[[#This Row],[Total aportado]]-1)</f>
        <v>0.19436279410075663</v>
      </c>
    </row>
    <row r="8" spans="1:12" x14ac:dyDescent="0.25">
      <c r="A8" t="s">
        <v>11</v>
      </c>
      <c r="B8" t="str">
        <f>VLOOKUP(TbCarteira[[#This Row],[Ativo]],TbAtivos!B:C,2,0)</f>
        <v>FII</v>
      </c>
      <c r="C8">
        <f>VLOOKUP(TbCarteira[[#This Row],[Ativo]],TbAtivos!B:D,3,0)</f>
        <v>131.80000000000001</v>
      </c>
      <c r="D8" s="3">
        <f ca="1">SUMIFS(TbAportes[Total],TbAportes[Data],"&lt;="&amp;IF($L$1="",TODAY(),$L$1),TbAportes[Ativo],TbCarteira[[#This Row],[Ativo]])</f>
        <v>2492.5699999999997</v>
      </c>
      <c r="E8">
        <f ca="1">SUMIFS(TbAportes[Qte],TbAportes[Data],"&lt;="&amp;IF($L$1="",TODAY(),$L$1),TbAportes[Ativo],TbCarteira[[#This Row],[Ativo]])</f>
        <v>19</v>
      </c>
      <c r="F8" s="3">
        <f ca="1">IF(TbCarteira[[#This Row],[Total aportado]]&lt;=0,0,TbCarteira[[#This Row],[Total aportado]]/TbCarteira[[#This Row],[Total Qte]])</f>
        <v>131.18789473684208</v>
      </c>
      <c r="G8" s="3">
        <f ca="1">TbCarteira[[#This Row],[Cotação]]*TbCarteira[[#This Row],[Total Qte]]</f>
        <v>2504.2000000000003</v>
      </c>
      <c r="H8" s="3">
        <f ca="1">TbCarteira[[#This Row],[Valor Atual]]-TbCarteira[[#This Row],[Total aportado]]</f>
        <v>11.630000000000564</v>
      </c>
      <c r="I8" s="14">
        <f ca="1">IF(TbCarteira[[#This Row],[Valor Atual]]&lt;=0,0,TbCarteira[[#This Row],[Valor Atual]]/TbCarteira[[#This Row],[Total aportado]]-1)</f>
        <v>4.6658669565953215E-3</v>
      </c>
    </row>
    <row r="9" spans="1:12" x14ac:dyDescent="0.25">
      <c r="A9" t="s">
        <v>12</v>
      </c>
      <c r="B9" t="str">
        <f>VLOOKUP(TbCarteira[[#This Row],[Ativo]],TbAtivos!B:C,2,0)</f>
        <v>FII</v>
      </c>
      <c r="C9">
        <f>VLOOKUP(TbCarteira[[#This Row],[Ativo]],TbAtivos!B:D,3,0)</f>
        <v>164.26</v>
      </c>
      <c r="D9" s="3">
        <f ca="1">SUMIFS(TbAportes[Total],TbAportes[Data],"&lt;="&amp;IF($L$1="",TODAY(),$L$1),TbAportes[Ativo],TbCarteira[[#This Row],[Ativo]])</f>
        <v>2635.3</v>
      </c>
      <c r="E9">
        <f ca="1">SUMIFS(TbAportes[Qte],TbAportes[Data],"&lt;="&amp;IF($L$1="",TODAY(),$L$1),TbAportes[Ativo],TbCarteira[[#This Row],[Ativo]])</f>
        <v>18</v>
      </c>
      <c r="F9" s="3">
        <f ca="1">IF(TbCarteira[[#This Row],[Total aportado]]&lt;=0,0,TbCarteira[[#This Row],[Total aportado]]/TbCarteira[[#This Row],[Total Qte]])</f>
        <v>146.40555555555557</v>
      </c>
      <c r="G9" s="3">
        <f ca="1">TbCarteira[[#This Row],[Cotação]]*TbCarteira[[#This Row],[Total Qte]]</f>
        <v>2956.68</v>
      </c>
      <c r="H9" s="3">
        <f ca="1">TbCarteira[[#This Row],[Valor Atual]]-TbCarteira[[#This Row],[Total aportado]]</f>
        <v>321.37999999999965</v>
      </c>
      <c r="I9" s="14">
        <f ca="1">IF(TbCarteira[[#This Row],[Valor Atual]]&lt;=0,0,TbCarteira[[#This Row],[Valor Atual]]/TbCarteira[[#This Row],[Total aportado]]-1)</f>
        <v>0.1219519599286607</v>
      </c>
    </row>
    <row r="10" spans="1:12" x14ac:dyDescent="0.25">
      <c r="A10" t="s">
        <v>15</v>
      </c>
      <c r="B10" t="str">
        <f>VLOOKUP(TbCarteira[[#This Row],[Ativo]],TbAtivos!B:C,2,0)</f>
        <v>EMPRESA</v>
      </c>
      <c r="C10">
        <f>VLOOKUP(TbCarteira[[#This Row],[Ativo]],TbAtivos!B:D,3,0)</f>
        <v>11.97</v>
      </c>
      <c r="D10" s="3">
        <f ca="1">SUMIFS(TbAportes[Total],TbAportes[Data],"&lt;="&amp;IF($L$1="",TODAY(),$L$1),TbAportes[Ativo],TbCarteira[[#This Row],[Ativo]])</f>
        <v>1635</v>
      </c>
      <c r="E10">
        <f ca="1">SUMIFS(TbAportes[Qte],TbAportes[Data],"&lt;="&amp;IF($L$1="",TODAY(),$L$1),TbAportes[Ativo],TbCarteira[[#This Row],[Ativo]])</f>
        <v>200</v>
      </c>
      <c r="F10" s="3">
        <f ca="1">IF(TbCarteira[[#This Row],[Total aportado]]&lt;=0,0,TbCarteira[[#This Row],[Total aportado]]/TbCarteira[[#This Row],[Total Qte]])</f>
        <v>8.1750000000000007</v>
      </c>
      <c r="G10" s="3">
        <f ca="1">TbCarteira[[#This Row],[Cotação]]*TbCarteira[[#This Row],[Total Qte]]</f>
        <v>2394</v>
      </c>
      <c r="H10" s="3">
        <f ca="1">TbCarteira[[#This Row],[Valor Atual]]-TbCarteira[[#This Row],[Total aportado]]</f>
        <v>759</v>
      </c>
      <c r="I10" s="14">
        <f ca="1">IF(TbCarteira[[#This Row],[Valor Atual]]&lt;=0,0,TbCarteira[[#This Row],[Valor Atual]]/TbCarteira[[#This Row],[Total aportado]]-1)</f>
        <v>0.4642201834862385</v>
      </c>
    </row>
    <row r="11" spans="1:12" x14ac:dyDescent="0.25">
      <c r="A11" t="s">
        <v>21</v>
      </c>
      <c r="D11" s="3">
        <f ca="1">SUBTOTAL(109,TbCarteira[Total aportado])</f>
        <v>26791.03</v>
      </c>
      <c r="F11"/>
      <c r="G11" s="3">
        <f ca="1">SUBTOTAL(109,TbCarteira[Valor Atual])</f>
        <v>41826.5</v>
      </c>
      <c r="H11" s="3">
        <f ca="1">SUBTOTAL(109,TbCarteira[Valorização])</f>
        <v>15035.47</v>
      </c>
    </row>
  </sheetData>
  <conditionalFormatting sqref="H2:I10 H12:I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C5" sqref="C5"/>
    </sheetView>
  </sheetViews>
  <sheetFormatPr defaultRowHeight="15" x14ac:dyDescent="0.25"/>
  <cols>
    <col min="3" max="3" width="10.140625" customWidth="1"/>
    <col min="4" max="4" width="16" style="3" customWidth="1"/>
    <col min="5" max="5" width="11.28515625" customWidth="1"/>
    <col min="6" max="6" width="12" style="3" customWidth="1"/>
    <col min="7" max="7" width="15.5703125" style="3" customWidth="1"/>
    <col min="8" max="8" width="16.85546875" style="3" customWidth="1"/>
    <col min="9" max="9" width="15.28515625" style="14" customWidth="1"/>
    <col min="11" max="11" width="15.42578125" customWidth="1"/>
    <col min="12" max="12" width="18.42578125" customWidth="1"/>
  </cols>
  <sheetData>
    <row r="1" spans="1:12" x14ac:dyDescent="0.25">
      <c r="A1" t="s">
        <v>17</v>
      </c>
      <c r="B1" t="s">
        <v>22</v>
      </c>
      <c r="C1" t="s">
        <v>50</v>
      </c>
      <c r="D1" s="3" t="s">
        <v>51</v>
      </c>
      <c r="E1" t="s">
        <v>52</v>
      </c>
      <c r="F1" s="3" t="s">
        <v>53</v>
      </c>
      <c r="G1" s="3" t="s">
        <v>57</v>
      </c>
      <c r="H1" s="13" t="s">
        <v>54</v>
      </c>
      <c r="I1" t="s">
        <v>55</v>
      </c>
      <c r="K1" s="6" t="s">
        <v>56</v>
      </c>
      <c r="L1" s="9"/>
    </row>
    <row r="2" spans="1:12" x14ac:dyDescent="0.25">
      <c r="A2" t="s">
        <v>3</v>
      </c>
      <c r="B2" t="str">
        <f>VLOOKUP(TbCarteiraAções[[#This Row],[Ativo]],TbAtivos!B:C,2,0)</f>
        <v>EMPRESA</v>
      </c>
      <c r="C2">
        <f>VLOOKUP(TbCarteiraAções[[#This Row],[Ativo]],TbAtivos!B:D,3,0)</f>
        <v>19.04</v>
      </c>
      <c r="D2" s="3">
        <f ca="1">SUMIFS(TbAportes[Total],TbAportes[Data],"&lt;="&amp;IF($L$1="",TODAY(),$L$1),TbAportes[Ativo],TbCarteiraAções[[#This Row],[Ativo]])</f>
        <v>2810</v>
      </c>
      <c r="E2">
        <f ca="1">SUMIFS(TbAportes[Qte],TbAportes[Data],"&lt;="&amp;IF($L$1="",TODAY(),$L$1),TbAportes[Ativo],TbCarteiraAções[[#This Row],[Ativo]])</f>
        <v>300</v>
      </c>
      <c r="F2" s="3">
        <f ca="1">IF(TbCarteiraAções[[#This Row],[Total aportado]]&lt;=0,0,TbCarteiraAções[[#This Row],[Total aportado]]/TbCarteiraAções[[#This Row],[Total Qte]])</f>
        <v>9.3666666666666671</v>
      </c>
      <c r="G2" s="3">
        <f ca="1">TbCarteiraAções[[#This Row],[Cotação]]*TbCarteiraAções[[#This Row],[Total Qte]]</f>
        <v>5712</v>
      </c>
      <c r="H2" s="3">
        <f ca="1">TbCarteiraAções[[#This Row],[Valor Atual]]-TbCarteiraAções[[#This Row],[Total aportado]]</f>
        <v>2902</v>
      </c>
      <c r="I2" s="14">
        <f ca="1">IF(TbCarteiraAções[[#This Row],[Valor Atual]]&lt;=0,0,TbCarteiraAções[[#This Row],[Valor Atual]]/TbCarteiraAções[[#This Row],[Total aportado]]-1)</f>
        <v>1.0327402135231316</v>
      </c>
    </row>
    <row r="3" spans="1:12" x14ac:dyDescent="0.25">
      <c r="A3" t="s">
        <v>5</v>
      </c>
      <c r="B3" t="str">
        <f>VLOOKUP(TbCarteiraAções[[#This Row],[Ativo]],TbAtivos!B:C,2,0)</f>
        <v>EMPRESA</v>
      </c>
      <c r="C3">
        <f>VLOOKUP(TbCarteiraAções[[#This Row],[Ativo]],TbAtivos!B:D,3,0)</f>
        <v>15.88</v>
      </c>
      <c r="D3" s="3">
        <f ca="1">SUMIFS(TbAportes[Total],TbAportes[Data],"&lt;="&amp;IF($L$1="",TODAY(),$L$1),TbAportes[Ativo],TbCarteiraAções[[#This Row],[Ativo]])</f>
        <v>4027</v>
      </c>
      <c r="E3">
        <f ca="1">SUMIFS(TbAportes[Qte],TbAportes[Data],"&lt;="&amp;IF($L$1="",TODAY(),$L$1),TbAportes[Ativo],TbCarteiraAções[[#This Row],[Ativo]])</f>
        <v>200</v>
      </c>
      <c r="F3" s="3">
        <f ca="1">IF(TbCarteiraAções[[#This Row],[Total aportado]]&lt;=0,0,TbCarteiraAções[[#This Row],[Total aportado]]/TbCarteiraAções[[#This Row],[Total Qte]])</f>
        <v>20.135000000000002</v>
      </c>
      <c r="G3" s="3">
        <f ca="1">TbCarteiraAções[[#This Row],[Cotação]]*TbCarteiraAções[[#This Row],[Total Qte]]</f>
        <v>3176</v>
      </c>
      <c r="H3" s="3">
        <f ca="1">TbCarteiraAções[[#This Row],[Valor Atual]]-TbCarteiraAções[[#This Row],[Total aportado]]</f>
        <v>-851</v>
      </c>
      <c r="I3" s="14">
        <f ca="1">IF(TbCarteiraAções[[#This Row],[Valor Atual]]&lt;=0,0,TbCarteiraAções[[#This Row],[Valor Atual]]/TbCarteiraAções[[#This Row],[Total aportado]]-1)</f>
        <v>-0.2113235659299727</v>
      </c>
    </row>
    <row r="4" spans="1:12" x14ac:dyDescent="0.25">
      <c r="A4" t="s">
        <v>6</v>
      </c>
      <c r="B4" t="str">
        <f>VLOOKUP(TbCarteiraAções[[#This Row],[Ativo]],TbAtivos!B:C,2,0)</f>
        <v>EMPRESA</v>
      </c>
      <c r="C4">
        <f>VLOOKUP(TbCarteiraAções[[#This Row],[Ativo]],TbAtivos!B:D,3,0)</f>
        <v>10.46</v>
      </c>
      <c r="D4" s="3">
        <f ca="1">SUMIFS(TbAportes[Total],TbAportes[Data],"&lt;="&amp;IF($L$1="",TODAY(),$L$1),TbAportes[Ativo],TbCarteiraAções[[#This Row],[Ativo]])</f>
        <v>2512</v>
      </c>
      <c r="E4">
        <f ca="1">SUMIFS(TbAportes[Qte],TbAportes[Data],"&lt;="&amp;IF($L$1="",TODAY(),$L$1),TbAportes[Ativo],TbCarteiraAções[[#This Row],[Ativo]])</f>
        <v>300</v>
      </c>
      <c r="F4" s="3">
        <f ca="1">IF(TbCarteiraAções[[#This Row],[Total aportado]]&lt;=0,0,TbCarteiraAções[[#This Row],[Total aportado]]/TbCarteiraAções[[#This Row],[Total Qte]])</f>
        <v>8.3733333333333331</v>
      </c>
      <c r="G4" s="3">
        <f ca="1">TbCarteiraAções[[#This Row],[Cotação]]*TbCarteiraAções[[#This Row],[Total Qte]]</f>
        <v>3138.0000000000005</v>
      </c>
      <c r="H4" s="3">
        <f ca="1">TbCarteiraAções[[#This Row],[Valor Atual]]-TbCarteiraAções[[#This Row],[Total aportado]]</f>
        <v>626.00000000000045</v>
      </c>
      <c r="I4" s="14">
        <f ca="1">IF(TbCarteiraAções[[#This Row],[Valor Atual]]&lt;=0,0,TbCarteiraAções[[#This Row],[Valor Atual]]/TbCarteiraAções[[#This Row],[Total aportado]]-1)</f>
        <v>0.24920382165605104</v>
      </c>
    </row>
    <row r="5" spans="1:12" x14ac:dyDescent="0.25">
      <c r="A5" t="s">
        <v>7</v>
      </c>
      <c r="B5" t="str">
        <f>VLOOKUP(TbCarteiraAções[[#This Row],[Ativo]],TbAtivos!B:C,2,0)</f>
        <v>EMPRESA</v>
      </c>
      <c r="C5">
        <f>VLOOKUP(TbCarteiraAções[[#This Row],[Ativo]],TbAtivos!B:D,3,0)</f>
        <v>42.69</v>
      </c>
      <c r="D5" s="3">
        <f ca="1">SUMIFS(TbAportes[Total],TbAportes[Data],"&lt;="&amp;IF($L$1="",TODAY(),$L$1),TbAportes[Ativo],TbCarteiraAções[[#This Row],[Ativo]])</f>
        <v>6614</v>
      </c>
      <c r="E5">
        <f ca="1">SUMIFS(TbAportes[Qte],TbAportes[Data],"&lt;="&amp;IF($L$1="",TODAY(),$L$1),TbAportes[Ativo],TbCarteiraAções[[#This Row],[Ativo]])</f>
        <v>400</v>
      </c>
      <c r="F5" s="3">
        <f ca="1">IF(TbCarteiraAções[[#This Row],[Total aportado]]&lt;=0,0,TbCarteiraAções[[#This Row],[Total aportado]]/TbCarteiraAções[[#This Row],[Total Qte]])</f>
        <v>16.535</v>
      </c>
      <c r="G5" s="3">
        <f ca="1">TbCarteiraAções[[#This Row],[Cotação]]*TbCarteiraAções[[#This Row],[Total Qte]]</f>
        <v>17076</v>
      </c>
      <c r="H5" s="3">
        <f ca="1">TbCarteiraAções[[#This Row],[Valor Atual]]-TbCarteiraAções[[#This Row],[Total aportado]]</f>
        <v>10462</v>
      </c>
      <c r="I5" s="14">
        <f ca="1">IF(TbCarteiraAções[[#This Row],[Valor Atual]]&lt;=0,0,TbCarteiraAções[[#This Row],[Valor Atual]]/TbCarteiraAções[[#This Row],[Total aportado]]-1)</f>
        <v>1.5817961899002118</v>
      </c>
    </row>
    <row r="6" spans="1:12" x14ac:dyDescent="0.25">
      <c r="A6" t="s">
        <v>15</v>
      </c>
      <c r="B6" t="str">
        <f>VLOOKUP(TbCarteiraAções[[#This Row],[Ativo]],TbAtivos!B:C,2,0)</f>
        <v>EMPRESA</v>
      </c>
      <c r="C6">
        <f>VLOOKUP(TbCarteiraAções[[#This Row],[Ativo]],TbAtivos!B:D,3,0)</f>
        <v>11.97</v>
      </c>
      <c r="D6" s="3">
        <f ca="1">SUMIFS(TbAportes[Total],TbAportes[Data],"&lt;="&amp;IF($L$1="",TODAY(),$L$1),TbAportes[Ativo],TbCarteiraAções[[#This Row],[Ativo]])</f>
        <v>1635</v>
      </c>
      <c r="E6">
        <f ca="1">SUMIFS(TbAportes[Qte],TbAportes[Data],"&lt;="&amp;IF($L$1="",TODAY(),$L$1),TbAportes[Ativo],TbCarteiraAções[[#This Row],[Ativo]])</f>
        <v>200</v>
      </c>
      <c r="F6" s="3">
        <f ca="1">IF(TbCarteiraAções[[#This Row],[Total aportado]]&lt;=0,0,TbCarteiraAções[[#This Row],[Total aportado]]/TbCarteiraAções[[#This Row],[Total Qte]])</f>
        <v>8.1750000000000007</v>
      </c>
      <c r="G6" s="3">
        <f ca="1">TbCarteiraAções[[#This Row],[Cotação]]*TbCarteiraAções[[#This Row],[Total Qte]]</f>
        <v>2394</v>
      </c>
      <c r="H6" s="3">
        <f ca="1">TbCarteiraAções[[#This Row],[Valor Atual]]-TbCarteiraAções[[#This Row],[Total aportado]]</f>
        <v>759</v>
      </c>
      <c r="I6" s="14">
        <f ca="1">IF(TbCarteiraAções[[#This Row],[Valor Atual]]&lt;=0,0,TbCarteiraAções[[#This Row],[Valor Atual]]/TbCarteiraAções[[#This Row],[Total aportado]]-1)</f>
        <v>0.4642201834862385</v>
      </c>
    </row>
    <row r="7" spans="1:12" x14ac:dyDescent="0.25">
      <c r="A7" t="s">
        <v>21</v>
      </c>
      <c r="D7" s="3">
        <f ca="1">SUBTOTAL(109,TbCarteiraAções[Total aportado])</f>
        <v>17598</v>
      </c>
      <c r="F7"/>
      <c r="G7" s="3">
        <f ca="1">SUBTOTAL(109,TbCarteiraAções[Valor Atual])</f>
        <v>31496</v>
      </c>
      <c r="H7" s="3">
        <f ca="1">SUBTOTAL(109,TbCarteiraAções[Valorização])</f>
        <v>13898</v>
      </c>
    </row>
  </sheetData>
  <conditionalFormatting sqref="H2:I6 H8:I104857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2:A6"/>
    </sheetView>
  </sheetViews>
  <sheetFormatPr defaultRowHeight="15" x14ac:dyDescent="0.25"/>
  <cols>
    <col min="3" max="3" width="10.140625" customWidth="1"/>
    <col min="4" max="4" width="16" style="3" customWidth="1"/>
    <col min="5" max="5" width="11.28515625" customWidth="1"/>
    <col min="6" max="6" width="12" style="3" customWidth="1"/>
    <col min="7" max="7" width="15.5703125" style="3" customWidth="1"/>
    <col min="8" max="8" width="16.85546875" style="3" customWidth="1"/>
    <col min="9" max="9" width="15.28515625" style="14" customWidth="1"/>
    <col min="11" max="11" width="15.42578125" customWidth="1"/>
    <col min="12" max="12" width="18.42578125" customWidth="1"/>
  </cols>
  <sheetData>
    <row r="1" spans="1:12" x14ac:dyDescent="0.25">
      <c r="A1" t="s">
        <v>17</v>
      </c>
      <c r="B1" t="s">
        <v>22</v>
      </c>
      <c r="C1" t="s">
        <v>50</v>
      </c>
      <c r="D1" s="3" t="s">
        <v>51</v>
      </c>
      <c r="E1" t="s">
        <v>52</v>
      </c>
      <c r="F1" s="3" t="s">
        <v>53</v>
      </c>
      <c r="G1" s="3" t="s">
        <v>57</v>
      </c>
      <c r="H1" s="13" t="s">
        <v>54</v>
      </c>
      <c r="I1" t="s">
        <v>55</v>
      </c>
      <c r="K1" s="6" t="s">
        <v>56</v>
      </c>
      <c r="L1" s="9"/>
    </row>
    <row r="2" spans="1:12" x14ac:dyDescent="0.25">
      <c r="A2" t="s">
        <v>8</v>
      </c>
      <c r="B2" t="str">
        <f>VLOOKUP(TbCarteiraFII[[#This Row],[Ativo]],TbAtivos!B:C,2,0)</f>
        <v>FII</v>
      </c>
      <c r="C2">
        <f>VLOOKUP(TbCarteiraFII[[#This Row],[Ativo]],TbAtivos!B:D,3,0)</f>
        <v>229.1</v>
      </c>
      <c r="D2" s="3">
        <f ca="1">SUMIFS(TbAportes[Total],TbAportes[Data],"&lt;="&amp;IF($L$1="",TODAY(),$L$1),TbAportes[Ativo],TbCarteiraFII[[#This Row],[Ativo]])</f>
        <v>1714.35</v>
      </c>
      <c r="E2">
        <f ca="1">SUMIFS(TbAportes[Qte],TbAportes[Data],"&lt;="&amp;IF($L$1="",TODAY(),$L$1),TbAportes[Ativo],TbCarteiraFII[[#This Row],[Ativo]])</f>
        <v>9</v>
      </c>
      <c r="F2" s="3">
        <f ca="1">IF(TbCarteiraFII[[#This Row],[Total aportado]]&lt;=0,0,TbCarteiraFII[[#This Row],[Total aportado]]/TbCarteiraFII[[#This Row],[Total Qte]])</f>
        <v>190.48333333333332</v>
      </c>
      <c r="G2" s="3">
        <f ca="1">TbCarteiraFII[[#This Row],[Cotação]]*TbCarteiraFII[[#This Row],[Total Qte]]</f>
        <v>2061.9</v>
      </c>
      <c r="H2" s="3">
        <f ca="1">TbCarteiraFII[[#This Row],[Valor Atual]]-TbCarteiraFII[[#This Row],[Total aportado]]</f>
        <v>347.55000000000018</v>
      </c>
      <c r="I2" s="14">
        <f ca="1">IF(TbCarteiraFII[[#This Row],[Valor Atual]]&lt;=0,0,TbCarteiraFII[[#This Row],[Valor Atual]]/TbCarteiraFII[[#This Row],[Total aportado]]-1)</f>
        <v>0.20272989762883897</v>
      </c>
    </row>
    <row r="3" spans="1:12" x14ac:dyDescent="0.25">
      <c r="A3" t="s">
        <v>10</v>
      </c>
      <c r="B3" t="str">
        <f>VLOOKUP(TbCarteiraFII[[#This Row],[Ativo]],TbAtivos!B:C,2,0)</f>
        <v>FII</v>
      </c>
      <c r="C3">
        <f>VLOOKUP(TbCarteiraFII[[#This Row],[Ativo]],TbAtivos!B:D,3,0)</f>
        <v>165.16</v>
      </c>
      <c r="D3" s="3">
        <f ca="1">SUMIFS(TbAportes[Total],TbAportes[Data],"&lt;="&amp;IF($L$1="",TODAY(),$L$1),TbAportes[Ativo],TbCarteiraFII[[#This Row],[Ativo]])</f>
        <v>2350.81</v>
      </c>
      <c r="E3">
        <f ca="1">SUMIFS(TbAportes[Qte],TbAportes[Data],"&lt;="&amp;IF($L$1="",TODAY(),$L$1),TbAportes[Ativo],TbCarteiraFII[[#This Row],[Ativo]])</f>
        <v>17</v>
      </c>
      <c r="F3" s="3">
        <f ca="1">IF(TbCarteiraFII[[#This Row],[Total aportado]]&lt;=0,0,TbCarteiraFII[[#This Row],[Total aportado]]/TbCarteiraFII[[#This Row],[Total Qte]])</f>
        <v>138.28294117647059</v>
      </c>
      <c r="G3" s="3">
        <f ca="1">TbCarteiraFII[[#This Row],[Cotação]]*TbCarteiraFII[[#This Row],[Total Qte]]</f>
        <v>2807.72</v>
      </c>
      <c r="H3" s="3">
        <f ca="1">TbCarteiraFII[[#This Row],[Valor Atual]]-TbCarteiraFII[[#This Row],[Total aportado]]</f>
        <v>456.90999999999985</v>
      </c>
      <c r="I3" s="14">
        <f ca="1">IF(TbCarteiraFII[[#This Row],[Valor Atual]]&lt;=0,0,TbCarteiraFII[[#This Row],[Valor Atual]]/TbCarteiraFII[[#This Row],[Total aportado]]-1)</f>
        <v>0.19436279410075663</v>
      </c>
    </row>
    <row r="4" spans="1:12" x14ac:dyDescent="0.25">
      <c r="A4" t="s">
        <v>11</v>
      </c>
      <c r="B4" t="str">
        <f>VLOOKUP(TbCarteiraFII[[#This Row],[Ativo]],TbAtivos!B:C,2,0)</f>
        <v>FII</v>
      </c>
      <c r="C4">
        <f>VLOOKUP(TbCarteiraFII[[#This Row],[Ativo]],TbAtivos!B:D,3,0)</f>
        <v>131.80000000000001</v>
      </c>
      <c r="D4" s="3">
        <f ca="1">SUMIFS(TbAportes[Total],TbAportes[Data],"&lt;="&amp;IF($L$1="",TODAY(),$L$1),TbAportes[Ativo],TbCarteiraFII[[#This Row],[Ativo]])</f>
        <v>2492.5699999999997</v>
      </c>
      <c r="E4">
        <f ca="1">SUMIFS(TbAportes[Qte],TbAportes[Data],"&lt;="&amp;IF($L$1="",TODAY(),$L$1),TbAportes[Ativo],TbCarteiraFII[[#This Row],[Ativo]])</f>
        <v>19</v>
      </c>
      <c r="F4" s="3">
        <f ca="1">IF(TbCarteiraFII[[#This Row],[Total aportado]]&lt;=0,0,TbCarteiraFII[[#This Row],[Total aportado]]/TbCarteiraFII[[#This Row],[Total Qte]])</f>
        <v>131.18789473684208</v>
      </c>
      <c r="G4" s="3">
        <f ca="1">TbCarteiraFII[[#This Row],[Cotação]]*TbCarteiraFII[[#This Row],[Total Qte]]</f>
        <v>2504.2000000000003</v>
      </c>
      <c r="H4" s="3">
        <f ca="1">TbCarteiraFII[[#This Row],[Valor Atual]]-TbCarteiraFII[[#This Row],[Total aportado]]</f>
        <v>11.630000000000564</v>
      </c>
      <c r="I4" s="14">
        <f ca="1">IF(TbCarteiraFII[[#This Row],[Valor Atual]]&lt;=0,0,TbCarteiraFII[[#This Row],[Valor Atual]]/TbCarteiraFII[[#This Row],[Total aportado]]-1)</f>
        <v>4.6658669565953215E-3</v>
      </c>
    </row>
    <row r="5" spans="1:12" x14ac:dyDescent="0.25">
      <c r="A5" t="s">
        <v>12</v>
      </c>
      <c r="B5" t="str">
        <f>VLOOKUP(TbCarteiraFII[[#This Row],[Ativo]],TbAtivos!B:C,2,0)</f>
        <v>FII</v>
      </c>
      <c r="C5">
        <f>VLOOKUP(TbCarteiraFII[[#This Row],[Ativo]],TbAtivos!B:D,3,0)</f>
        <v>164.26</v>
      </c>
      <c r="D5" s="3">
        <f ca="1">SUMIFS(TbAportes[Total],TbAportes[Data],"&lt;="&amp;IF($L$1="",TODAY(),$L$1),TbAportes[Ativo],TbCarteiraFII[[#This Row],[Ativo]])</f>
        <v>2635.3</v>
      </c>
      <c r="E5">
        <f ca="1">SUMIFS(TbAportes[Qte],TbAportes[Data],"&lt;="&amp;IF($L$1="",TODAY(),$L$1),TbAportes[Ativo],TbCarteiraFII[[#This Row],[Ativo]])</f>
        <v>18</v>
      </c>
      <c r="F5" s="3">
        <f ca="1">IF(TbCarteiraFII[[#This Row],[Total aportado]]&lt;=0,0,TbCarteiraFII[[#This Row],[Total aportado]]/TbCarteiraFII[[#This Row],[Total Qte]])</f>
        <v>146.40555555555557</v>
      </c>
      <c r="G5" s="3">
        <f ca="1">TbCarteiraFII[[#This Row],[Cotação]]*TbCarteiraFII[[#This Row],[Total Qte]]</f>
        <v>2956.68</v>
      </c>
      <c r="H5" s="3">
        <f ca="1">TbCarteiraFII[[#This Row],[Valor Atual]]-TbCarteiraFII[[#This Row],[Total aportado]]</f>
        <v>321.37999999999965</v>
      </c>
      <c r="I5" s="14">
        <f ca="1">IF(TbCarteiraFII[[#This Row],[Valor Atual]]&lt;=0,0,TbCarteiraFII[[#This Row],[Valor Atual]]/TbCarteiraFII[[#This Row],[Total aportado]]-1)</f>
        <v>0.1219519599286607</v>
      </c>
    </row>
    <row r="6" spans="1:12" x14ac:dyDescent="0.25">
      <c r="A6" t="s">
        <v>21</v>
      </c>
      <c r="D6" s="3">
        <f ca="1">SUBTOTAL(109,TbCarteiraFII[Total aportado])</f>
        <v>9193.0299999999988</v>
      </c>
      <c r="F6"/>
      <c r="G6" s="3">
        <f ca="1">SUBTOTAL(109,TbCarteiraFII[Valor Atual])</f>
        <v>10330.5</v>
      </c>
      <c r="H6" s="3">
        <f ca="1">SUBTOTAL(109,TbCarteiraFII[Valorização])</f>
        <v>1137.4700000000003</v>
      </c>
    </row>
  </sheetData>
  <conditionalFormatting sqref="H7:I1048576 H2:I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>
      <selection activeCell="B5" sqref="B5:O5"/>
    </sheetView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10" t="s">
        <v>48</v>
      </c>
      <c r="B3" s="10" t="s">
        <v>33</v>
      </c>
    </row>
    <row r="4" spans="1:16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5" t="s">
        <v>4</v>
      </c>
      <c r="B5" s="12">
        <v>1594</v>
      </c>
      <c r="C5" s="12">
        <v>1644</v>
      </c>
      <c r="D5" s="12">
        <v>788</v>
      </c>
      <c r="E5" s="12">
        <v>1985</v>
      </c>
      <c r="F5" s="12"/>
      <c r="G5" s="12">
        <v>1721</v>
      </c>
      <c r="H5" s="12">
        <v>1591</v>
      </c>
      <c r="I5" s="12">
        <v>2042</v>
      </c>
      <c r="J5" s="12">
        <v>1765.9999999999998</v>
      </c>
      <c r="K5" s="12">
        <v>1021.9999999999999</v>
      </c>
      <c r="L5" s="12">
        <v>1613</v>
      </c>
      <c r="M5" s="12">
        <v>962.99999999999989</v>
      </c>
      <c r="N5" s="12">
        <v>869</v>
      </c>
      <c r="O5" s="12"/>
      <c r="P5" s="12">
        <v>17598</v>
      </c>
    </row>
    <row r="6" spans="1:16" x14ac:dyDescent="0.25">
      <c r="A6" s="11" t="s">
        <v>3</v>
      </c>
      <c r="B6" s="12">
        <v>833</v>
      </c>
      <c r="C6" s="12"/>
      <c r="D6" s="12"/>
      <c r="E6" s="12"/>
      <c r="F6" s="12"/>
      <c r="G6" s="12">
        <v>954.99999999999989</v>
      </c>
      <c r="H6" s="12"/>
      <c r="I6" s="12"/>
      <c r="J6" s="12"/>
      <c r="K6" s="12">
        <v>1021.9999999999999</v>
      </c>
      <c r="L6" s="12"/>
      <c r="M6" s="12"/>
      <c r="N6" s="12"/>
      <c r="O6" s="12"/>
      <c r="P6" s="12">
        <v>2810</v>
      </c>
    </row>
    <row r="7" spans="1:16" x14ac:dyDescent="0.25">
      <c r="A7" s="11" t="s">
        <v>5</v>
      </c>
      <c r="B7" s="12"/>
      <c r="C7" s="12"/>
      <c r="D7" s="12"/>
      <c r="E7" s="12">
        <v>1985</v>
      </c>
      <c r="F7" s="12"/>
      <c r="G7" s="12"/>
      <c r="H7" s="12"/>
      <c r="I7" s="12">
        <v>2042</v>
      </c>
      <c r="J7" s="12"/>
      <c r="K7" s="12"/>
      <c r="L7" s="12"/>
      <c r="M7" s="12"/>
      <c r="N7" s="12"/>
      <c r="O7" s="12"/>
      <c r="P7" s="12">
        <v>4027</v>
      </c>
    </row>
    <row r="8" spans="1:16" x14ac:dyDescent="0.25">
      <c r="A8" s="11" t="s">
        <v>6</v>
      </c>
      <c r="B8" s="12">
        <v>761</v>
      </c>
      <c r="C8" s="12"/>
      <c r="D8" s="12">
        <v>788</v>
      </c>
      <c r="E8" s="12"/>
      <c r="F8" s="12"/>
      <c r="G8" s="12"/>
      <c r="H8" s="12"/>
      <c r="I8" s="12"/>
      <c r="J8" s="12"/>
      <c r="K8" s="12"/>
      <c r="L8" s="12"/>
      <c r="M8" s="12">
        <v>962.99999999999989</v>
      </c>
      <c r="N8" s="12"/>
      <c r="O8" s="12"/>
      <c r="P8" s="12">
        <v>2512</v>
      </c>
    </row>
    <row r="9" spans="1:16" x14ac:dyDescent="0.25">
      <c r="A9" s="11" t="s">
        <v>7</v>
      </c>
      <c r="B9" s="12"/>
      <c r="C9" s="12">
        <v>1644</v>
      </c>
      <c r="D9" s="12"/>
      <c r="E9" s="12"/>
      <c r="F9" s="12"/>
      <c r="G9" s="12"/>
      <c r="H9" s="12">
        <v>1591</v>
      </c>
      <c r="I9" s="12"/>
      <c r="J9" s="12">
        <v>1765.9999999999998</v>
      </c>
      <c r="K9" s="12"/>
      <c r="L9" s="12">
        <v>1613</v>
      </c>
      <c r="M9" s="12"/>
      <c r="N9" s="12"/>
      <c r="O9" s="12"/>
      <c r="P9" s="12">
        <v>6614</v>
      </c>
    </row>
    <row r="10" spans="1:16" x14ac:dyDescent="0.25">
      <c r="A10" s="11" t="s">
        <v>15</v>
      </c>
      <c r="B10" s="12"/>
      <c r="C10" s="12"/>
      <c r="D10" s="12"/>
      <c r="E10" s="12"/>
      <c r="F10" s="12"/>
      <c r="G10" s="12">
        <v>766</v>
      </c>
      <c r="H10" s="12"/>
      <c r="I10" s="12"/>
      <c r="J10" s="12"/>
      <c r="K10" s="12"/>
      <c r="L10" s="12"/>
      <c r="M10" s="12"/>
      <c r="N10" s="12">
        <v>869</v>
      </c>
      <c r="O10" s="12"/>
      <c r="P10" s="12">
        <v>1635</v>
      </c>
    </row>
    <row r="11" spans="1:16" x14ac:dyDescent="0.25">
      <c r="A11" s="5" t="s">
        <v>9</v>
      </c>
      <c r="B11" s="12"/>
      <c r="C11" s="12">
        <v>704.9</v>
      </c>
      <c r="D11" s="12">
        <v>991.52</v>
      </c>
      <c r="E11" s="12">
        <v>551.46</v>
      </c>
      <c r="F11" s="12">
        <v>635.83000000000004</v>
      </c>
      <c r="G11" s="12"/>
      <c r="H11" s="12">
        <v>679.05</v>
      </c>
      <c r="I11" s="12">
        <v>191.74</v>
      </c>
      <c r="J11" s="12">
        <v>972.57999999999993</v>
      </c>
      <c r="K11" s="12">
        <v>268.2</v>
      </c>
      <c r="L11" s="12">
        <v>971.15</v>
      </c>
      <c r="M11" s="12">
        <v>430.65000000000003</v>
      </c>
      <c r="N11" s="12">
        <v>716.15</v>
      </c>
      <c r="O11" s="12">
        <v>2079.8000000000002</v>
      </c>
      <c r="P11" s="12">
        <v>9193.0299999999988</v>
      </c>
    </row>
    <row r="12" spans="1:16" x14ac:dyDescent="0.25">
      <c r="A12" s="11" t="s">
        <v>8</v>
      </c>
      <c r="B12" s="12"/>
      <c r="C12" s="12"/>
      <c r="D12" s="12"/>
      <c r="E12" s="12">
        <v>551.46</v>
      </c>
      <c r="F12" s="12"/>
      <c r="G12" s="12"/>
      <c r="H12" s="12"/>
      <c r="I12" s="12">
        <v>191.74</v>
      </c>
      <c r="J12" s="12"/>
      <c r="K12" s="12"/>
      <c r="L12" s="12">
        <v>971.15</v>
      </c>
      <c r="M12" s="12"/>
      <c r="N12" s="12"/>
      <c r="O12" s="12"/>
      <c r="P12" s="12">
        <v>1714.35</v>
      </c>
    </row>
    <row r="13" spans="1:16" x14ac:dyDescent="0.25">
      <c r="A13" s="11" t="s">
        <v>10</v>
      </c>
      <c r="B13" s="12"/>
      <c r="C13" s="12">
        <v>704.9</v>
      </c>
      <c r="D13" s="12"/>
      <c r="E13" s="12"/>
      <c r="F13" s="12">
        <v>242.68</v>
      </c>
      <c r="G13" s="12"/>
      <c r="H13" s="12"/>
      <c r="I13" s="12"/>
      <c r="J13" s="12">
        <v>972.57999999999993</v>
      </c>
      <c r="K13" s="12"/>
      <c r="L13" s="12"/>
      <c r="M13" s="12">
        <v>430.65000000000003</v>
      </c>
      <c r="N13" s="12"/>
      <c r="O13" s="12"/>
      <c r="P13" s="12">
        <v>2350.81</v>
      </c>
    </row>
    <row r="14" spans="1:16" x14ac:dyDescent="0.25">
      <c r="A14" s="11" t="s">
        <v>11</v>
      </c>
      <c r="B14" s="12"/>
      <c r="C14" s="12"/>
      <c r="D14" s="12">
        <v>991.52</v>
      </c>
      <c r="E14" s="12"/>
      <c r="F14" s="12"/>
      <c r="G14" s="12"/>
      <c r="H14" s="12">
        <v>679.05</v>
      </c>
      <c r="I14" s="12"/>
      <c r="J14" s="12"/>
      <c r="K14" s="12">
        <v>268.2</v>
      </c>
      <c r="L14" s="12"/>
      <c r="M14" s="12"/>
      <c r="N14" s="12"/>
      <c r="O14" s="12">
        <v>553.79999999999995</v>
      </c>
      <c r="P14" s="12">
        <v>2492.5699999999997</v>
      </c>
    </row>
    <row r="15" spans="1:16" x14ac:dyDescent="0.25">
      <c r="A15" s="11" t="s">
        <v>12</v>
      </c>
      <c r="B15" s="12"/>
      <c r="C15" s="12"/>
      <c r="D15" s="12"/>
      <c r="E15" s="12"/>
      <c r="F15" s="12">
        <v>393.15000000000003</v>
      </c>
      <c r="G15" s="12"/>
      <c r="H15" s="12"/>
      <c r="I15" s="12"/>
      <c r="J15" s="12"/>
      <c r="K15" s="12"/>
      <c r="L15" s="12"/>
      <c r="M15" s="12"/>
      <c r="N15" s="12">
        <v>716.15</v>
      </c>
      <c r="O15" s="12">
        <v>1526</v>
      </c>
      <c r="P15" s="12">
        <v>2635.3</v>
      </c>
    </row>
    <row r="16" spans="1:16" x14ac:dyDescent="0.25">
      <c r="A16" s="5" t="s">
        <v>32</v>
      </c>
      <c r="B16" s="12">
        <v>1594</v>
      </c>
      <c r="C16" s="12">
        <v>2348.9</v>
      </c>
      <c r="D16" s="12">
        <v>1779.52</v>
      </c>
      <c r="E16" s="12">
        <v>2536.46</v>
      </c>
      <c r="F16" s="12">
        <v>635.83000000000004</v>
      </c>
      <c r="G16" s="12">
        <v>1721</v>
      </c>
      <c r="H16" s="12">
        <v>2270.0500000000002</v>
      </c>
      <c r="I16" s="12">
        <v>2233.7399999999998</v>
      </c>
      <c r="J16" s="12">
        <v>2738.58</v>
      </c>
      <c r="K16" s="12">
        <v>1290.1999999999998</v>
      </c>
      <c r="L16" s="12">
        <v>2584.15</v>
      </c>
      <c r="M16" s="12">
        <v>1393.6499999999999</v>
      </c>
      <c r="N16" s="12">
        <v>1585.15</v>
      </c>
      <c r="O16" s="12">
        <v>2079.8000000000002</v>
      </c>
      <c r="P16" s="12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1" sqref="C11"/>
    </sheetView>
  </sheetViews>
  <sheetFormatPr defaultRowHeight="20.100000000000001" customHeight="1" x14ac:dyDescent="0.25"/>
  <cols>
    <col min="1" max="1" width="15.85546875" customWidth="1"/>
    <col min="2" max="2" width="12.5703125" customWidth="1"/>
    <col min="3" max="3" width="11.5703125" customWidth="1"/>
    <col min="4" max="4" width="15.28515625" customWidth="1"/>
    <col min="5" max="5" width="9.5703125" bestFit="1" customWidth="1"/>
    <col min="6" max="6" width="14.5703125" customWidth="1"/>
    <col min="10" max="10" width="11.28515625" customWidth="1"/>
  </cols>
  <sheetData>
    <row r="1" spans="1:10" ht="20.100000000000001" customHeight="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ht="20.100000000000001" customHeight="1" x14ac:dyDescent="0.25">
      <c r="A2" s="4">
        <v>43444</v>
      </c>
      <c r="B2" t="s">
        <v>6</v>
      </c>
      <c r="C2" s="5">
        <v>100</v>
      </c>
      <c r="D2" s="3">
        <v>7.51</v>
      </c>
      <c r="E2" s="3">
        <v>10</v>
      </c>
      <c r="F2" s="7">
        <f>(TbAportes[[#This Row],[Qte]]*TbAportes[[#This Row],[Valor unitário]])+TbAportes[[#This Row],[Custo]]</f>
        <v>761</v>
      </c>
      <c r="G2" s="8" t="str">
        <f>VLOOKUP(TbAportes[[#This Row],[Ativo]],TbAtivos!B:C,2,0)</f>
        <v>EMPRESA</v>
      </c>
      <c r="H2" s="8">
        <f>YEAR(TbAportes[[#This Row],[Data]])</f>
        <v>2018</v>
      </c>
      <c r="I2" s="8">
        <f>MONTH(TbAportes[[#This Row],[Data]])</f>
        <v>12</v>
      </c>
      <c r="J2" s="8" t="str">
        <f>TbAportes[[#This Row],[Ano]]&amp;"/"&amp;IF(TbAportes[[#This Row],[Mês]]&lt;10,"0"&amp;TbAportes[[#This Row],[Mês]],TbAportes[[#This Row],[Mês]])</f>
        <v>2018/12</v>
      </c>
    </row>
    <row r="3" spans="1:10" ht="20.100000000000001" customHeight="1" x14ac:dyDescent="0.25">
      <c r="A3" s="4">
        <v>43444</v>
      </c>
      <c r="B3" t="s">
        <v>3</v>
      </c>
      <c r="C3" s="5">
        <v>100</v>
      </c>
      <c r="D3" s="3">
        <v>8.23</v>
      </c>
      <c r="E3" s="3">
        <v>10</v>
      </c>
      <c r="F3" s="7">
        <f>(TbAportes[[#This Row],[Qte]]*TbAportes[[#This Row],[Valor unitário]])+TbAportes[[#This Row],[Custo]]</f>
        <v>833</v>
      </c>
      <c r="G3" s="8" t="str">
        <f>VLOOKUP(TbAportes[[#This Row],[Ativo]],TbAtivos!B:C,2,0)</f>
        <v>EMPRESA</v>
      </c>
      <c r="H3" s="8">
        <f>YEAR(TbAportes[[#This Row],[Data]])</f>
        <v>2018</v>
      </c>
      <c r="I3" s="8">
        <f>MONTH(TbAportes[[#This Row],[Data]])</f>
        <v>12</v>
      </c>
      <c r="J3" s="8" t="str">
        <f>TbAportes[[#This Row],[Ano]]&amp;"/"&amp;IF(TbAportes[[#This Row],[Mês]]&lt;10,"0"&amp;TbAportes[[#This Row],[Mês]],TbAportes[[#This Row],[Mês]])</f>
        <v>2018/12</v>
      </c>
    </row>
    <row r="4" spans="1:10" ht="20.100000000000001" customHeight="1" x14ac:dyDescent="0.25">
      <c r="A4" s="4">
        <v>43475</v>
      </c>
      <c r="B4" t="s">
        <v>7</v>
      </c>
      <c r="C4" s="5">
        <v>100</v>
      </c>
      <c r="D4" s="3">
        <v>16.34</v>
      </c>
      <c r="E4" s="3">
        <v>10</v>
      </c>
      <c r="F4" s="7">
        <f>(TbAportes[[#This Row],[Qte]]*TbAportes[[#This Row],[Valor unitário]])+TbAportes[[#This Row],[Custo]]</f>
        <v>1644</v>
      </c>
      <c r="G4" s="8" t="str">
        <f>VLOOKUP(TbAportes[[#This Row],[Ativo]],TbAtivos!B:C,2,0)</f>
        <v>EMPRESA</v>
      </c>
      <c r="H4" s="8">
        <f>YEAR(TbAportes[[#This Row],[Data]])</f>
        <v>2019</v>
      </c>
      <c r="I4" s="8">
        <f>MONTH(TbAportes[[#This Row],[Data]])</f>
        <v>1</v>
      </c>
      <c r="J4" s="8" t="str">
        <f>TbAportes[[#This Row],[Ano]]&amp;"/"&amp;IF(TbAportes[[#This Row],[Mês]]&lt;10,"0"&amp;TbAportes[[#This Row],[Mês]],TbAportes[[#This Row],[Mês]])</f>
        <v>2019/01</v>
      </c>
    </row>
    <row r="5" spans="1:10" ht="20.100000000000001" customHeight="1" x14ac:dyDescent="0.25">
      <c r="A5" s="4">
        <v>43475</v>
      </c>
      <c r="B5" t="s">
        <v>10</v>
      </c>
      <c r="C5" s="5">
        <v>5</v>
      </c>
      <c r="D5" s="3">
        <v>140.97999999999999</v>
      </c>
      <c r="E5" s="3">
        <v>0</v>
      </c>
      <c r="F5" s="7">
        <f>(TbAportes[[#This Row],[Qte]]*TbAportes[[#This Row],[Valor unitário]])+TbAportes[[#This Row],[Custo]]</f>
        <v>704.9</v>
      </c>
      <c r="G5" s="8" t="str">
        <f>VLOOKUP(TbAportes[[#This Row],[Ativo]],TbAtivos!B:C,2,0)</f>
        <v>FII</v>
      </c>
      <c r="H5" s="8">
        <f>YEAR(TbAportes[[#This Row],[Data]])</f>
        <v>2019</v>
      </c>
      <c r="I5" s="8">
        <f>MONTH(TbAportes[[#This Row],[Data]])</f>
        <v>1</v>
      </c>
      <c r="J5" s="8" t="str">
        <f>TbAportes[[#This Row],[Ano]]&amp;"/"&amp;IF(TbAportes[[#This Row],[Mês]]&lt;10,"0"&amp;TbAportes[[#This Row],[Mês]],TbAportes[[#This Row],[Mês]])</f>
        <v>2019/01</v>
      </c>
    </row>
    <row r="6" spans="1:10" ht="20.100000000000001" customHeight="1" x14ac:dyDescent="0.25">
      <c r="A6" s="4">
        <v>43506</v>
      </c>
      <c r="B6" t="s">
        <v>6</v>
      </c>
      <c r="C6" s="5">
        <v>100</v>
      </c>
      <c r="D6" s="3">
        <v>7.78</v>
      </c>
      <c r="E6" s="3">
        <v>10</v>
      </c>
      <c r="F6" s="7">
        <f>(TbAportes[[#This Row],[Qte]]*TbAportes[[#This Row],[Valor unitário]])+TbAportes[[#This Row],[Custo]]</f>
        <v>788</v>
      </c>
      <c r="G6" s="8" t="str">
        <f>VLOOKUP(TbAportes[[#This Row],[Ativo]],TbAtivos!B:C,2,0)</f>
        <v>EMPRESA</v>
      </c>
      <c r="H6" s="8">
        <f>YEAR(TbAportes[[#This Row],[Data]])</f>
        <v>2019</v>
      </c>
      <c r="I6" s="8">
        <f>MONTH(TbAportes[[#This Row],[Data]])</f>
        <v>2</v>
      </c>
      <c r="J6" s="8" t="str">
        <f>TbAportes[[#This Row],[Ano]]&amp;"/"&amp;IF(TbAportes[[#This Row],[Mês]]&lt;10,"0"&amp;TbAportes[[#This Row],[Mês]],TbAportes[[#This Row],[Mês]])</f>
        <v>2019/02</v>
      </c>
    </row>
    <row r="7" spans="1:10" ht="20.100000000000001" customHeight="1" x14ac:dyDescent="0.25">
      <c r="A7" s="4">
        <v>43506</v>
      </c>
      <c r="B7" t="s">
        <v>11</v>
      </c>
      <c r="C7" s="5">
        <v>8</v>
      </c>
      <c r="D7" s="3">
        <v>123.94</v>
      </c>
      <c r="E7" s="3">
        <v>0</v>
      </c>
      <c r="F7" s="7">
        <f>(TbAportes[[#This Row],[Qte]]*TbAportes[[#This Row],[Valor unitário]])+TbAportes[[#This Row],[Custo]]</f>
        <v>991.52</v>
      </c>
      <c r="G7" s="8" t="str">
        <f>VLOOKUP(TbAportes[[#This Row],[Ativo]],TbAtivos!B:C,2,0)</f>
        <v>FII</v>
      </c>
      <c r="H7" s="8">
        <f>YEAR(TbAportes[[#This Row],[Data]])</f>
        <v>2019</v>
      </c>
      <c r="I7" s="8">
        <f>MONTH(TbAportes[[#This Row],[Data]])</f>
        <v>2</v>
      </c>
      <c r="J7" s="8" t="str">
        <f>TbAportes[[#This Row],[Ano]]&amp;"/"&amp;IF(TbAportes[[#This Row],[Mês]]&lt;10,"0"&amp;TbAportes[[#This Row],[Mês]],TbAportes[[#This Row],[Mês]])</f>
        <v>2019/02</v>
      </c>
    </row>
    <row r="8" spans="1:10" ht="20.100000000000001" customHeight="1" x14ac:dyDescent="0.25">
      <c r="A8" s="4">
        <v>43534</v>
      </c>
      <c r="B8" t="s">
        <v>5</v>
      </c>
      <c r="C8" s="5">
        <v>100</v>
      </c>
      <c r="D8" s="3">
        <v>19.75</v>
      </c>
      <c r="E8" s="3">
        <v>10</v>
      </c>
      <c r="F8" s="7">
        <f>(TbAportes[[#This Row],[Qte]]*TbAportes[[#This Row],[Valor unitário]])+TbAportes[[#This Row],[Custo]]</f>
        <v>1985</v>
      </c>
      <c r="G8" s="8" t="str">
        <f>VLOOKUP(TbAportes[[#This Row],[Ativo]],TbAtivos!B:C,2,0)</f>
        <v>EMPRESA</v>
      </c>
      <c r="H8" s="8">
        <f>YEAR(TbAportes[[#This Row],[Data]])</f>
        <v>2019</v>
      </c>
      <c r="I8" s="8">
        <f>MONTH(TbAportes[[#This Row],[Data]])</f>
        <v>3</v>
      </c>
      <c r="J8" s="8" t="str">
        <f>TbAportes[[#This Row],[Ano]]&amp;"/"&amp;IF(TbAportes[[#This Row],[Mês]]&lt;10,"0"&amp;TbAportes[[#This Row],[Mês]],TbAportes[[#This Row],[Mês]])</f>
        <v>2019/03</v>
      </c>
    </row>
    <row r="9" spans="1:10" ht="20.100000000000001" customHeight="1" x14ac:dyDescent="0.25">
      <c r="A9" s="4">
        <v>43534</v>
      </c>
      <c r="B9" t="s">
        <v>8</v>
      </c>
      <c r="C9" s="5">
        <v>3</v>
      </c>
      <c r="D9" s="3">
        <v>183.82</v>
      </c>
      <c r="E9" s="3">
        <v>0</v>
      </c>
      <c r="F9" s="7">
        <f>(TbAportes[[#This Row],[Qte]]*TbAportes[[#This Row],[Valor unitário]])+TbAportes[[#This Row],[Custo]]</f>
        <v>551.46</v>
      </c>
      <c r="G9" s="8" t="str">
        <f>VLOOKUP(TbAportes[[#This Row],[Ativo]],TbAtivos!B:C,2,0)</f>
        <v>FII</v>
      </c>
      <c r="H9" s="8">
        <f>YEAR(TbAportes[[#This Row],[Data]])</f>
        <v>2019</v>
      </c>
      <c r="I9" s="8">
        <f>MONTH(TbAportes[[#This Row],[Data]])</f>
        <v>3</v>
      </c>
      <c r="J9" s="8" t="str">
        <f>TbAportes[[#This Row],[Ano]]&amp;"/"&amp;IF(TbAportes[[#This Row],[Mês]]&lt;10,"0"&amp;TbAportes[[#This Row],[Mês]],TbAportes[[#This Row],[Mês]])</f>
        <v>2019/03</v>
      </c>
    </row>
    <row r="10" spans="1:10" ht="20.100000000000001" customHeight="1" x14ac:dyDescent="0.25">
      <c r="A10" s="4">
        <v>43565</v>
      </c>
      <c r="B10" t="s">
        <v>10</v>
      </c>
      <c r="C10" s="5">
        <v>2</v>
      </c>
      <c r="D10" s="3">
        <v>121.34</v>
      </c>
      <c r="E10" s="3">
        <v>0</v>
      </c>
      <c r="F10" s="7">
        <f>(TbAportes[[#This Row],[Qte]]*TbAportes[[#This Row],[Valor unitário]])+TbAportes[[#This Row],[Custo]]</f>
        <v>242.68</v>
      </c>
      <c r="G10" s="8" t="str">
        <f>VLOOKUP(TbAportes[[#This Row],[Ativo]],TbAtivos!B:C,2,0)</f>
        <v>FII</v>
      </c>
      <c r="H10" s="8">
        <f>YEAR(TbAportes[[#This Row],[Data]])</f>
        <v>2019</v>
      </c>
      <c r="I10" s="8">
        <f>MONTH(TbAportes[[#This Row],[Data]])</f>
        <v>4</v>
      </c>
      <c r="J10" s="8" t="str">
        <f>TbAportes[[#This Row],[Ano]]&amp;"/"&amp;IF(TbAportes[[#This Row],[Mês]]&lt;10,"0"&amp;TbAportes[[#This Row],[Mês]],TbAportes[[#This Row],[Mês]])</f>
        <v>2019/04</v>
      </c>
    </row>
    <row r="11" spans="1:10" ht="20.100000000000001" customHeight="1" x14ac:dyDescent="0.25">
      <c r="A11" s="4">
        <v>43565</v>
      </c>
      <c r="B11" t="s">
        <v>12</v>
      </c>
      <c r="C11" s="5">
        <v>3</v>
      </c>
      <c r="D11" s="3">
        <v>131.05000000000001</v>
      </c>
      <c r="E11" s="3">
        <v>0</v>
      </c>
      <c r="F11" s="7">
        <f>(TbAportes[[#This Row],[Qte]]*TbAportes[[#This Row],[Valor unitário]])+TbAportes[[#This Row],[Custo]]</f>
        <v>393.15000000000003</v>
      </c>
      <c r="G11" s="8" t="str">
        <f>VLOOKUP(TbAportes[[#This Row],[Ativo]],TbAtivos!B:C,2,0)</f>
        <v>FII</v>
      </c>
      <c r="H11" s="8">
        <f>YEAR(TbAportes[[#This Row],[Data]])</f>
        <v>2019</v>
      </c>
      <c r="I11" s="8">
        <f>MONTH(TbAportes[[#This Row],[Data]])</f>
        <v>4</v>
      </c>
      <c r="J11" s="8" t="str">
        <f>TbAportes[[#This Row],[Ano]]&amp;"/"&amp;IF(TbAportes[[#This Row],[Mês]]&lt;10,"0"&amp;TbAportes[[#This Row],[Mês]],TbAportes[[#This Row],[Mês]])</f>
        <v>2019/04</v>
      </c>
    </row>
    <row r="12" spans="1:10" ht="20.100000000000001" customHeight="1" x14ac:dyDescent="0.25">
      <c r="A12" s="4">
        <v>43595</v>
      </c>
      <c r="B12" t="s">
        <v>3</v>
      </c>
      <c r="C12" s="5">
        <v>100</v>
      </c>
      <c r="D12" s="3">
        <v>9.4499999999999993</v>
      </c>
      <c r="E12" s="3">
        <v>10</v>
      </c>
      <c r="F12" s="7">
        <f>(TbAportes[[#This Row],[Qte]]*TbAportes[[#This Row],[Valor unitário]])+TbAportes[[#This Row],[Custo]]</f>
        <v>954.99999999999989</v>
      </c>
      <c r="G12" s="8" t="str">
        <f>VLOOKUP(TbAportes[[#This Row],[Ativo]],TbAtivos!B:C,2,0)</f>
        <v>EMPRESA</v>
      </c>
      <c r="H12" s="8">
        <f>YEAR(TbAportes[[#This Row],[Data]])</f>
        <v>2019</v>
      </c>
      <c r="I12" s="8">
        <f>MONTH(TbAportes[[#This Row],[Data]])</f>
        <v>5</v>
      </c>
      <c r="J12" s="8" t="str">
        <f>TbAportes[[#This Row],[Ano]]&amp;"/"&amp;IF(TbAportes[[#This Row],[Mês]]&lt;10,"0"&amp;TbAportes[[#This Row],[Mês]],TbAportes[[#This Row],[Mês]])</f>
        <v>2019/05</v>
      </c>
    </row>
    <row r="13" spans="1:10" ht="20.100000000000001" customHeight="1" x14ac:dyDescent="0.25">
      <c r="A13" s="4">
        <v>43595</v>
      </c>
      <c r="B13" t="s">
        <v>15</v>
      </c>
      <c r="C13" s="5">
        <v>100</v>
      </c>
      <c r="D13" s="3">
        <v>7.56</v>
      </c>
      <c r="E13" s="3">
        <v>10</v>
      </c>
      <c r="F13" s="7">
        <f>(TbAportes[[#This Row],[Qte]]*TbAportes[[#This Row],[Valor unitário]])+TbAportes[[#This Row],[Custo]]</f>
        <v>766</v>
      </c>
      <c r="G13" s="8" t="str">
        <f>VLOOKUP(TbAportes[[#This Row],[Ativo]],TbAtivos!B:C,2,0)</f>
        <v>EMPRESA</v>
      </c>
      <c r="H13" s="8">
        <f>YEAR(TbAportes[[#This Row],[Data]])</f>
        <v>2019</v>
      </c>
      <c r="I13" s="8">
        <f>MONTH(TbAportes[[#This Row],[Data]])</f>
        <v>5</v>
      </c>
      <c r="J13" s="8" t="str">
        <f>TbAportes[[#This Row],[Ano]]&amp;"/"&amp;IF(TbAportes[[#This Row],[Mês]]&lt;10,"0"&amp;TbAportes[[#This Row],[Mês]],TbAportes[[#This Row],[Mês]])</f>
        <v>2019/05</v>
      </c>
    </row>
    <row r="14" spans="1:10" ht="20.100000000000001" customHeight="1" x14ac:dyDescent="0.25">
      <c r="A14" s="4">
        <v>43626</v>
      </c>
      <c r="B14" t="s">
        <v>11</v>
      </c>
      <c r="C14" s="5">
        <v>5</v>
      </c>
      <c r="D14" s="3">
        <v>135.81</v>
      </c>
      <c r="E14" s="3">
        <v>0</v>
      </c>
      <c r="F14" s="7">
        <f>(TbAportes[[#This Row],[Qte]]*TbAportes[[#This Row],[Valor unitário]])+TbAportes[[#This Row],[Custo]]</f>
        <v>679.05</v>
      </c>
      <c r="G14" s="8" t="str">
        <f>VLOOKUP(TbAportes[[#This Row],[Ativo]],TbAtivos!B:C,2,0)</f>
        <v>FII</v>
      </c>
      <c r="H14" s="8">
        <f>YEAR(TbAportes[[#This Row],[Data]])</f>
        <v>2019</v>
      </c>
      <c r="I14" s="8">
        <f>MONTH(TbAportes[[#This Row],[Data]])</f>
        <v>6</v>
      </c>
      <c r="J14" s="8" t="str">
        <f>TbAportes[[#This Row],[Ano]]&amp;"/"&amp;IF(TbAportes[[#This Row],[Mês]]&lt;10,"0"&amp;TbAportes[[#This Row],[Mês]],TbAportes[[#This Row],[Mês]])</f>
        <v>2019/06</v>
      </c>
    </row>
    <row r="15" spans="1:10" ht="20.100000000000001" customHeight="1" x14ac:dyDescent="0.25">
      <c r="A15" s="4">
        <v>43626</v>
      </c>
      <c r="B15" t="s">
        <v>7</v>
      </c>
      <c r="C15" s="5">
        <v>100</v>
      </c>
      <c r="D15" s="3">
        <v>15.81</v>
      </c>
      <c r="E15" s="3">
        <v>10</v>
      </c>
      <c r="F15" s="7">
        <f>(TbAportes[[#This Row],[Qte]]*TbAportes[[#This Row],[Valor unitário]])+TbAportes[[#This Row],[Custo]]</f>
        <v>1591</v>
      </c>
      <c r="G15" s="8" t="str">
        <f>VLOOKUP(TbAportes[[#This Row],[Ativo]],TbAtivos!B:C,2,0)</f>
        <v>EMPRESA</v>
      </c>
      <c r="H15" s="8">
        <f>YEAR(TbAportes[[#This Row],[Data]])</f>
        <v>2019</v>
      </c>
      <c r="I15" s="8">
        <f>MONTH(TbAportes[[#This Row],[Data]])</f>
        <v>6</v>
      </c>
      <c r="J15" s="8" t="str">
        <f>TbAportes[[#This Row],[Ano]]&amp;"/"&amp;IF(TbAportes[[#This Row],[Mês]]&lt;10,"0"&amp;TbAportes[[#This Row],[Mês]],TbAportes[[#This Row],[Mês]])</f>
        <v>2019/06</v>
      </c>
    </row>
    <row r="16" spans="1:10" ht="20.100000000000001" customHeight="1" x14ac:dyDescent="0.25">
      <c r="A16" s="4">
        <v>43656</v>
      </c>
      <c r="B16" t="s">
        <v>5</v>
      </c>
      <c r="C16" s="5">
        <v>100</v>
      </c>
      <c r="D16" s="3">
        <v>20.32</v>
      </c>
      <c r="E16" s="3">
        <v>10</v>
      </c>
      <c r="F16" s="7">
        <f>(TbAportes[[#This Row],[Qte]]*TbAportes[[#This Row],[Valor unitário]])+TbAportes[[#This Row],[Custo]]</f>
        <v>2042</v>
      </c>
      <c r="G16" s="8" t="str">
        <f>VLOOKUP(TbAportes[[#This Row],[Ativo]],TbAtivos!B:C,2,0)</f>
        <v>EMPRESA</v>
      </c>
      <c r="H16" s="8">
        <f>YEAR(TbAportes[[#This Row],[Data]])</f>
        <v>2019</v>
      </c>
      <c r="I16" s="8">
        <f>MONTH(TbAportes[[#This Row],[Data]])</f>
        <v>7</v>
      </c>
      <c r="J16" s="8" t="str">
        <f>TbAportes[[#This Row],[Ano]]&amp;"/"&amp;IF(TbAportes[[#This Row],[Mês]]&lt;10,"0"&amp;TbAportes[[#This Row],[Mês]],TbAportes[[#This Row],[Mês]])</f>
        <v>2019/07</v>
      </c>
    </row>
    <row r="17" spans="1:10" ht="20.100000000000001" customHeight="1" x14ac:dyDescent="0.25">
      <c r="A17" s="4">
        <v>43656</v>
      </c>
      <c r="B17" t="s">
        <v>8</v>
      </c>
      <c r="C17" s="5">
        <v>1</v>
      </c>
      <c r="D17" s="3">
        <v>191.74</v>
      </c>
      <c r="E17" s="3">
        <v>0</v>
      </c>
      <c r="F17" s="7">
        <f>(TbAportes[[#This Row],[Qte]]*TbAportes[[#This Row],[Valor unitário]])+TbAportes[[#This Row],[Custo]]</f>
        <v>191.74</v>
      </c>
      <c r="G17" s="8" t="str">
        <f>VLOOKUP(TbAportes[[#This Row],[Ativo]],TbAtivos!B:C,2,0)</f>
        <v>FII</v>
      </c>
      <c r="H17" s="8">
        <f>YEAR(TbAportes[[#This Row],[Data]])</f>
        <v>2019</v>
      </c>
      <c r="I17" s="8">
        <f>MONTH(TbAportes[[#This Row],[Data]])</f>
        <v>7</v>
      </c>
      <c r="J17" s="8" t="str">
        <f>TbAportes[[#This Row],[Ano]]&amp;"/"&amp;IF(TbAportes[[#This Row],[Mês]]&lt;10,"0"&amp;TbAportes[[#This Row],[Mês]],TbAportes[[#This Row],[Mês]])</f>
        <v>2019/07</v>
      </c>
    </row>
    <row r="18" spans="1:10" ht="20.100000000000001" customHeight="1" x14ac:dyDescent="0.25">
      <c r="A18" s="4">
        <v>43687</v>
      </c>
      <c r="B18" t="s">
        <v>10</v>
      </c>
      <c r="C18" s="5">
        <v>7</v>
      </c>
      <c r="D18" s="3">
        <v>138.94</v>
      </c>
      <c r="E18" s="3">
        <v>0</v>
      </c>
      <c r="F18" s="7">
        <f>(TbAportes[[#This Row],[Qte]]*TbAportes[[#This Row],[Valor unitário]])+TbAportes[[#This Row],[Custo]]</f>
        <v>972.57999999999993</v>
      </c>
      <c r="G18" s="8" t="str">
        <f>VLOOKUP(TbAportes[[#This Row],[Ativo]],TbAtivos!B:C,2,0)</f>
        <v>FII</v>
      </c>
      <c r="H18" s="8">
        <f>YEAR(TbAportes[[#This Row],[Data]])</f>
        <v>2019</v>
      </c>
      <c r="I18" s="8">
        <f>MONTH(TbAportes[[#This Row],[Data]])</f>
        <v>8</v>
      </c>
      <c r="J18" s="8" t="str">
        <f>TbAportes[[#This Row],[Ano]]&amp;"/"&amp;IF(TbAportes[[#This Row],[Mês]]&lt;10,"0"&amp;TbAportes[[#This Row],[Mês]],TbAportes[[#This Row],[Mês]])</f>
        <v>2019/08</v>
      </c>
    </row>
    <row r="19" spans="1:10" ht="20.100000000000001" customHeight="1" x14ac:dyDescent="0.25">
      <c r="A19" s="4">
        <v>43687</v>
      </c>
      <c r="B19" t="s">
        <v>7</v>
      </c>
      <c r="C19" s="5">
        <v>100</v>
      </c>
      <c r="D19" s="3">
        <v>17.559999999999999</v>
      </c>
      <c r="E19" s="3">
        <v>10</v>
      </c>
      <c r="F19" s="7">
        <f>(TbAportes[[#This Row],[Qte]]*TbAportes[[#This Row],[Valor unitário]])+TbAportes[[#This Row],[Custo]]</f>
        <v>1765.9999999999998</v>
      </c>
      <c r="G19" s="8" t="str">
        <f>VLOOKUP(TbAportes[[#This Row],[Ativo]],TbAtivos!B:C,2,0)</f>
        <v>EMPRESA</v>
      </c>
      <c r="H19" s="8">
        <f>YEAR(TbAportes[[#This Row],[Data]])</f>
        <v>2019</v>
      </c>
      <c r="I19" s="8">
        <f>MONTH(TbAportes[[#This Row],[Data]])</f>
        <v>8</v>
      </c>
      <c r="J19" s="8" t="str">
        <f>TbAportes[[#This Row],[Ano]]&amp;"/"&amp;IF(TbAportes[[#This Row],[Mês]]&lt;10,"0"&amp;TbAportes[[#This Row],[Mês]],TbAportes[[#This Row],[Mês]])</f>
        <v>2019/08</v>
      </c>
    </row>
    <row r="20" spans="1:10" ht="20.100000000000001" customHeight="1" x14ac:dyDescent="0.25">
      <c r="A20" s="4">
        <v>43718</v>
      </c>
      <c r="B20" t="s">
        <v>3</v>
      </c>
      <c r="C20" s="5">
        <v>100</v>
      </c>
      <c r="D20" s="3">
        <v>10.119999999999999</v>
      </c>
      <c r="E20" s="3">
        <v>10</v>
      </c>
      <c r="F20" s="7">
        <f>(TbAportes[[#This Row],[Qte]]*TbAportes[[#This Row],[Valor unitário]])+TbAportes[[#This Row],[Custo]]</f>
        <v>1021.9999999999999</v>
      </c>
      <c r="G20" s="8" t="str">
        <f>VLOOKUP(TbAportes[[#This Row],[Ativo]],TbAtivos!B:C,2,0)</f>
        <v>EMPRESA</v>
      </c>
      <c r="H20" s="8">
        <f>YEAR(TbAportes[[#This Row],[Data]])</f>
        <v>2019</v>
      </c>
      <c r="I20" s="8">
        <f>MONTH(TbAportes[[#This Row],[Data]])</f>
        <v>9</v>
      </c>
      <c r="J20" s="8" t="str">
        <f>TbAportes[[#This Row],[Ano]]&amp;"/"&amp;IF(TbAportes[[#This Row],[Mês]]&lt;10,"0"&amp;TbAportes[[#This Row],[Mês]],TbAportes[[#This Row],[Mês]])</f>
        <v>2019/09</v>
      </c>
    </row>
    <row r="21" spans="1:10" ht="20.100000000000001" customHeight="1" x14ac:dyDescent="0.25">
      <c r="A21" s="4">
        <v>43718</v>
      </c>
      <c r="B21" t="s">
        <v>11</v>
      </c>
      <c r="C21" s="5">
        <v>2</v>
      </c>
      <c r="D21" s="3">
        <v>134.1</v>
      </c>
      <c r="E21" s="3">
        <v>0</v>
      </c>
      <c r="F21" s="7">
        <f>(TbAportes[[#This Row],[Qte]]*TbAportes[[#This Row],[Valor unitário]])+TbAportes[[#This Row],[Custo]]</f>
        <v>268.2</v>
      </c>
      <c r="G21" s="8" t="str">
        <f>VLOOKUP(TbAportes[[#This Row],[Ativo]],TbAtivos!B:C,2,0)</f>
        <v>FII</v>
      </c>
      <c r="H21" s="8">
        <f>YEAR(TbAportes[[#This Row],[Data]])</f>
        <v>2019</v>
      </c>
      <c r="I21" s="8">
        <f>MONTH(TbAportes[[#This Row],[Data]])</f>
        <v>9</v>
      </c>
      <c r="J21" s="8" t="str">
        <f>TbAportes[[#This Row],[Ano]]&amp;"/"&amp;IF(TbAportes[[#This Row],[Mês]]&lt;10,"0"&amp;TbAportes[[#This Row],[Mês]],TbAportes[[#This Row],[Mês]])</f>
        <v>2019/09</v>
      </c>
    </row>
    <row r="22" spans="1:10" ht="20.100000000000001" customHeight="1" x14ac:dyDescent="0.25">
      <c r="A22" s="4">
        <v>43748</v>
      </c>
      <c r="B22" t="s">
        <v>7</v>
      </c>
      <c r="C22" s="5">
        <v>100</v>
      </c>
      <c r="D22" s="3">
        <v>16.03</v>
      </c>
      <c r="E22" s="3">
        <v>10</v>
      </c>
      <c r="F22" s="7">
        <f>(TbAportes[[#This Row],[Qte]]*TbAportes[[#This Row],[Valor unitário]])+TbAportes[[#This Row],[Custo]]</f>
        <v>1613</v>
      </c>
      <c r="G22" s="8" t="str">
        <f>VLOOKUP(TbAportes[[#This Row],[Ativo]],TbAtivos!B:C,2,0)</f>
        <v>EMPRESA</v>
      </c>
      <c r="H22" s="8">
        <f>YEAR(TbAportes[[#This Row],[Data]])</f>
        <v>2019</v>
      </c>
      <c r="I22" s="8">
        <f>MONTH(TbAportes[[#This Row],[Data]])</f>
        <v>10</v>
      </c>
      <c r="J22" s="8" t="str">
        <f>TbAportes[[#This Row],[Ano]]&amp;"/"&amp;IF(TbAportes[[#This Row],[Mês]]&lt;10,"0"&amp;TbAportes[[#This Row],[Mês]],TbAportes[[#This Row],[Mês]])</f>
        <v>2019/10</v>
      </c>
    </row>
    <row r="23" spans="1:10" ht="20.100000000000001" customHeight="1" x14ac:dyDescent="0.25">
      <c r="A23" s="4">
        <v>43748</v>
      </c>
      <c r="B23" t="s">
        <v>8</v>
      </c>
      <c r="C23" s="5">
        <v>5</v>
      </c>
      <c r="D23" s="3">
        <v>194.23</v>
      </c>
      <c r="E23" s="3">
        <v>0</v>
      </c>
      <c r="F23" s="7">
        <f>(TbAportes[[#This Row],[Qte]]*TbAportes[[#This Row],[Valor unitário]])+TbAportes[[#This Row],[Custo]]</f>
        <v>971.15</v>
      </c>
      <c r="G23" s="8" t="str">
        <f>VLOOKUP(TbAportes[[#This Row],[Ativo]],TbAtivos!B:C,2,0)</f>
        <v>FII</v>
      </c>
      <c r="H23" s="8">
        <f>YEAR(TbAportes[[#This Row],[Data]])</f>
        <v>2019</v>
      </c>
      <c r="I23" s="8">
        <f>MONTH(TbAportes[[#This Row],[Data]])</f>
        <v>10</v>
      </c>
      <c r="J23" s="8" t="str">
        <f>TbAportes[[#This Row],[Ano]]&amp;"/"&amp;IF(TbAportes[[#This Row],[Mês]]&lt;10,"0"&amp;TbAportes[[#This Row],[Mês]],TbAportes[[#This Row],[Mês]])</f>
        <v>2019/10</v>
      </c>
    </row>
    <row r="24" spans="1:10" ht="20.100000000000001" customHeight="1" x14ac:dyDescent="0.25">
      <c r="A24" s="4">
        <v>43779</v>
      </c>
      <c r="B24" t="s">
        <v>6</v>
      </c>
      <c r="C24" s="5">
        <v>100</v>
      </c>
      <c r="D24" s="3">
        <v>9.5299999999999994</v>
      </c>
      <c r="E24" s="3">
        <v>10</v>
      </c>
      <c r="F24" s="7">
        <f>(TbAportes[[#This Row],[Qte]]*TbAportes[[#This Row],[Valor unitário]])+TbAportes[[#This Row],[Custo]]</f>
        <v>962.99999999999989</v>
      </c>
      <c r="G24" s="8" t="str">
        <f>VLOOKUP(TbAportes[[#This Row],[Ativo]],TbAtivos!B:C,2,0)</f>
        <v>EMPRESA</v>
      </c>
      <c r="H24" s="8">
        <f>YEAR(TbAportes[[#This Row],[Data]])</f>
        <v>2019</v>
      </c>
      <c r="I24" s="8">
        <f>MONTH(TbAportes[[#This Row],[Data]])</f>
        <v>11</v>
      </c>
      <c r="J24" s="8" t="str">
        <f>TbAportes[[#This Row],[Ano]]&amp;"/"&amp;IF(TbAportes[[#This Row],[Mês]]&lt;10,"0"&amp;TbAportes[[#This Row],[Mês]],TbAportes[[#This Row],[Mês]])</f>
        <v>2019/11</v>
      </c>
    </row>
    <row r="25" spans="1:10" ht="20.100000000000001" customHeight="1" x14ac:dyDescent="0.25">
      <c r="A25" s="4">
        <v>43779</v>
      </c>
      <c r="B25" t="s">
        <v>10</v>
      </c>
      <c r="C25" s="5">
        <v>3</v>
      </c>
      <c r="D25" s="3">
        <v>143.55000000000001</v>
      </c>
      <c r="E25" s="3">
        <v>0</v>
      </c>
      <c r="F25" s="7">
        <f>(TbAportes[[#This Row],[Qte]]*TbAportes[[#This Row],[Valor unitário]])+TbAportes[[#This Row],[Custo]]</f>
        <v>430.65000000000003</v>
      </c>
      <c r="G25" s="8" t="str">
        <f>VLOOKUP(TbAportes[[#This Row],[Ativo]],TbAtivos!B:C,2,0)</f>
        <v>FII</v>
      </c>
      <c r="H25" s="8">
        <f>YEAR(TbAportes[[#This Row],[Data]])</f>
        <v>2019</v>
      </c>
      <c r="I25" s="8">
        <f>MONTH(TbAportes[[#This Row],[Data]])</f>
        <v>11</v>
      </c>
      <c r="J25" s="8" t="str">
        <f>TbAportes[[#This Row],[Ano]]&amp;"/"&amp;IF(TbAportes[[#This Row],[Mês]]&lt;10,"0"&amp;TbAportes[[#This Row],[Mês]],TbAportes[[#This Row],[Mês]])</f>
        <v>2019/11</v>
      </c>
    </row>
    <row r="26" spans="1:10" ht="20.100000000000001" customHeight="1" x14ac:dyDescent="0.25">
      <c r="A26" s="4">
        <v>43809</v>
      </c>
      <c r="B26" t="s">
        <v>12</v>
      </c>
      <c r="C26" s="5">
        <v>5</v>
      </c>
      <c r="D26" s="3">
        <v>143.22999999999999</v>
      </c>
      <c r="E26" s="3">
        <v>0</v>
      </c>
      <c r="F26" s="7">
        <f>(TbAportes[[#This Row],[Qte]]*TbAportes[[#This Row],[Valor unitário]])+TbAportes[[#This Row],[Custo]]</f>
        <v>716.15</v>
      </c>
      <c r="G26" s="8" t="str">
        <f>VLOOKUP(TbAportes[[#This Row],[Ativo]],TbAtivos!B:C,2,0)</f>
        <v>FII</v>
      </c>
      <c r="H26" s="8">
        <f>YEAR(TbAportes[[#This Row],[Data]])</f>
        <v>2019</v>
      </c>
      <c r="I26" s="8">
        <f>MONTH(TbAportes[[#This Row],[Data]])</f>
        <v>12</v>
      </c>
      <c r="J26" s="8" t="str">
        <f>TbAportes[[#This Row],[Ano]]&amp;"/"&amp;IF(TbAportes[[#This Row],[Mês]]&lt;10,"0"&amp;TbAportes[[#This Row],[Mês]],TbAportes[[#This Row],[Mês]])</f>
        <v>2019/12</v>
      </c>
    </row>
    <row r="27" spans="1:10" ht="20.100000000000001" customHeight="1" x14ac:dyDescent="0.25">
      <c r="A27" s="4">
        <v>43809</v>
      </c>
      <c r="B27" t="s">
        <v>15</v>
      </c>
      <c r="C27" s="5">
        <v>100</v>
      </c>
      <c r="D27" s="3">
        <v>8.59</v>
      </c>
      <c r="E27" s="3">
        <v>10</v>
      </c>
      <c r="F27" s="7">
        <f>(TbAportes[[#This Row],[Qte]]*TbAportes[[#This Row],[Valor unitário]])+TbAportes[[#This Row],[Custo]]</f>
        <v>869</v>
      </c>
      <c r="G27" s="8" t="str">
        <f>VLOOKUP(TbAportes[[#This Row],[Ativo]],TbAtivos!B:C,2,0)</f>
        <v>EMPRESA</v>
      </c>
      <c r="H27" s="8">
        <f>YEAR(TbAportes[[#This Row],[Data]])</f>
        <v>2019</v>
      </c>
      <c r="I27" s="8">
        <f>MONTH(TbAportes[[#This Row],[Data]])</f>
        <v>12</v>
      </c>
      <c r="J27" s="8" t="str">
        <f>TbAportes[[#This Row],[Ano]]&amp;"/"&amp;IF(TbAportes[[#This Row],[Mês]]&lt;10,"0"&amp;TbAportes[[#This Row],[Mês]],TbAportes[[#This Row],[Mês]])</f>
        <v>2019/12</v>
      </c>
    </row>
    <row r="28" spans="1:10" ht="20.100000000000001" customHeight="1" x14ac:dyDescent="0.25">
      <c r="A28" s="4">
        <v>43840</v>
      </c>
      <c r="B28" t="s">
        <v>12</v>
      </c>
      <c r="C28" s="5">
        <v>10</v>
      </c>
      <c r="D28" s="3">
        <v>152.6</v>
      </c>
      <c r="E28" s="3">
        <v>0</v>
      </c>
      <c r="F28" s="7">
        <f>(TbAportes[[#This Row],[Qte]]*TbAportes[[#This Row],[Valor unitário]])+TbAportes[[#This Row],[Custo]]</f>
        <v>1526</v>
      </c>
      <c r="G28" s="8" t="str">
        <f>VLOOKUP(TbAportes[[#This Row],[Ativo]],TbAtivos!B:C,2,0)</f>
        <v>FII</v>
      </c>
      <c r="H28" s="8">
        <f>YEAR(TbAportes[[#This Row],[Data]])</f>
        <v>2020</v>
      </c>
      <c r="I28" s="8">
        <f>MONTH(TbAportes[[#This Row],[Data]])</f>
        <v>1</v>
      </c>
      <c r="J28" s="8" t="str">
        <f>TbAportes[[#This Row],[Ano]]&amp;"/"&amp;IF(TbAportes[[#This Row],[Mês]]&lt;10,"0"&amp;TbAportes[[#This Row],[Mês]],TbAportes[[#This Row],[Mês]])</f>
        <v>2020/01</v>
      </c>
    </row>
    <row r="29" spans="1:10" ht="20.100000000000001" customHeight="1" x14ac:dyDescent="0.25">
      <c r="A29" s="4">
        <v>43840</v>
      </c>
      <c r="B29" t="s">
        <v>11</v>
      </c>
      <c r="C29" s="5">
        <v>4</v>
      </c>
      <c r="D29" s="3">
        <v>138.44999999999999</v>
      </c>
      <c r="E29" s="3">
        <v>0</v>
      </c>
      <c r="F29" s="7">
        <f>(TbAportes[[#This Row],[Qte]]*TbAportes[[#This Row],[Valor unitário]])+TbAportes[[#This Row],[Custo]]</f>
        <v>553.79999999999995</v>
      </c>
      <c r="G29" s="8" t="str">
        <f>VLOOKUP(TbAportes[[#This Row],[Ativo]],TbAtivos!B:C,2,0)</f>
        <v>FII</v>
      </c>
      <c r="H29" s="8">
        <f>YEAR(TbAportes[[#This Row],[Data]])</f>
        <v>2020</v>
      </c>
      <c r="I29" s="8">
        <f>MONTH(TbAportes[[#This Row],[Data]])</f>
        <v>1</v>
      </c>
      <c r="J29" s="8" t="str">
        <f>TbAportes[[#This Row],[Ano]]&amp;"/"&amp;IF(TbAportes[[#This Row],[Mês]]&lt;10,"0"&amp;TbAportes[[#This Row],[Mês]],TbAportes[[#This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E24" sqref="E24"/>
    </sheetView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10" t="s">
        <v>49</v>
      </c>
      <c r="B3" s="10" t="s">
        <v>33</v>
      </c>
    </row>
    <row r="4" spans="1:14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5" t="s">
        <v>4</v>
      </c>
      <c r="B5" s="12">
        <v>39.479999999999997</v>
      </c>
      <c r="C5" s="12">
        <v>61</v>
      </c>
      <c r="D5" s="12">
        <v>65.430000000000007</v>
      </c>
      <c r="E5" s="12">
        <v>163.66</v>
      </c>
      <c r="F5" s="12">
        <v>162.75</v>
      </c>
      <c r="G5" s="12">
        <v>156.13999999999999</v>
      </c>
      <c r="H5" s="12">
        <v>166</v>
      </c>
      <c r="I5" s="12">
        <v>162.75</v>
      </c>
      <c r="J5" s="12">
        <v>156.13999999999999</v>
      </c>
      <c r="K5" s="12">
        <v>166</v>
      </c>
      <c r="L5" s="12">
        <v>484.89</v>
      </c>
      <c r="M5" s="12">
        <v>162.75</v>
      </c>
      <c r="N5" s="12">
        <v>1946.99</v>
      </c>
    </row>
    <row r="6" spans="1:14" x14ac:dyDescent="0.25">
      <c r="A6" s="11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>
        <v>166</v>
      </c>
      <c r="L6" s="12"/>
      <c r="M6" s="12"/>
      <c r="N6" s="12">
        <v>166</v>
      </c>
    </row>
    <row r="7" spans="1:14" x14ac:dyDescent="0.25">
      <c r="A7" s="11" t="s">
        <v>5</v>
      </c>
      <c r="B7" s="12"/>
      <c r="C7" s="12"/>
      <c r="D7" s="12"/>
      <c r="E7" s="12">
        <v>163.66</v>
      </c>
      <c r="F7" s="12"/>
      <c r="G7" s="12"/>
      <c r="H7" s="12"/>
      <c r="I7" s="12"/>
      <c r="J7" s="12">
        <v>156.13999999999999</v>
      </c>
      <c r="K7" s="12"/>
      <c r="L7" s="12"/>
      <c r="M7" s="12"/>
      <c r="N7" s="12">
        <v>319.79999999999995</v>
      </c>
    </row>
    <row r="8" spans="1:14" x14ac:dyDescent="0.25">
      <c r="A8" s="11" t="s">
        <v>6</v>
      </c>
      <c r="B8" s="12">
        <v>39.479999999999997</v>
      </c>
      <c r="C8" s="12"/>
      <c r="D8" s="12">
        <v>65.430000000000007</v>
      </c>
      <c r="E8" s="12"/>
      <c r="F8" s="12">
        <v>162.75</v>
      </c>
      <c r="G8" s="12"/>
      <c r="H8" s="12">
        <v>166</v>
      </c>
      <c r="I8" s="12"/>
      <c r="J8" s="12"/>
      <c r="K8" s="12"/>
      <c r="L8" s="12">
        <v>328.75</v>
      </c>
      <c r="M8" s="12"/>
      <c r="N8" s="12">
        <v>762.41</v>
      </c>
    </row>
    <row r="9" spans="1:14" x14ac:dyDescent="0.25">
      <c r="A9" s="11" t="s">
        <v>7</v>
      </c>
      <c r="B9" s="12"/>
      <c r="C9" s="12">
        <v>61</v>
      </c>
      <c r="D9" s="12"/>
      <c r="E9" s="12"/>
      <c r="F9" s="12"/>
      <c r="G9" s="12"/>
      <c r="H9" s="12"/>
      <c r="I9" s="12">
        <v>162.75</v>
      </c>
      <c r="J9" s="12"/>
      <c r="K9" s="12"/>
      <c r="L9" s="12"/>
      <c r="M9" s="12"/>
      <c r="N9" s="12">
        <v>223.75</v>
      </c>
    </row>
    <row r="10" spans="1:14" x14ac:dyDescent="0.25">
      <c r="A10" s="11" t="s">
        <v>15</v>
      </c>
      <c r="B10" s="12"/>
      <c r="C10" s="12"/>
      <c r="D10" s="12"/>
      <c r="E10" s="12"/>
      <c r="F10" s="12"/>
      <c r="G10" s="12">
        <v>156.13999999999999</v>
      </c>
      <c r="H10" s="12"/>
      <c r="I10" s="12"/>
      <c r="J10" s="12"/>
      <c r="K10" s="12"/>
      <c r="L10" s="12">
        <v>156.13999999999999</v>
      </c>
      <c r="M10" s="12">
        <v>162.75</v>
      </c>
      <c r="N10" s="12">
        <v>475.03</v>
      </c>
    </row>
    <row r="11" spans="1:14" x14ac:dyDescent="0.25">
      <c r="A11" s="5" t="s">
        <v>9</v>
      </c>
      <c r="B11" s="12">
        <v>217.66</v>
      </c>
      <c r="C11" s="12">
        <v>228.62</v>
      </c>
      <c r="D11" s="12">
        <v>358.32</v>
      </c>
      <c r="E11" s="12">
        <v>308.72000000000003</v>
      </c>
      <c r="F11" s="12">
        <v>433.18</v>
      </c>
      <c r="G11" s="12">
        <v>358.32</v>
      </c>
      <c r="H11" s="12">
        <v>308.72000000000003</v>
      </c>
      <c r="I11" s="12">
        <v>433.18</v>
      </c>
      <c r="J11" s="12">
        <v>357.29</v>
      </c>
      <c r="K11" s="12">
        <v>308.72000000000003</v>
      </c>
      <c r="L11" s="12">
        <v>1100.22</v>
      </c>
      <c r="M11" s="12">
        <v>433.18</v>
      </c>
      <c r="N11" s="12">
        <v>4846.1299999999992</v>
      </c>
    </row>
    <row r="12" spans="1:14" x14ac:dyDescent="0.25">
      <c r="A12" s="11" t="s">
        <v>8</v>
      </c>
      <c r="B12" s="12">
        <v>63</v>
      </c>
      <c r="C12" s="12">
        <v>75.709999999999994</v>
      </c>
      <c r="D12" s="12">
        <v>61</v>
      </c>
      <c r="E12" s="12">
        <v>37.44</v>
      </c>
      <c r="F12" s="12">
        <v>61</v>
      </c>
      <c r="G12" s="12">
        <v>61</v>
      </c>
      <c r="H12" s="12">
        <v>37.44</v>
      </c>
      <c r="I12" s="12">
        <v>61</v>
      </c>
      <c r="J12" s="12">
        <v>59.97</v>
      </c>
      <c r="K12" s="12">
        <v>37.44</v>
      </c>
      <c r="L12" s="12">
        <v>159.44</v>
      </c>
      <c r="M12" s="12">
        <v>61</v>
      </c>
      <c r="N12" s="12">
        <v>775.44</v>
      </c>
    </row>
    <row r="13" spans="1:14" x14ac:dyDescent="0.25">
      <c r="A13" s="11" t="s">
        <v>10</v>
      </c>
      <c r="B13" s="12">
        <v>81</v>
      </c>
      <c r="C13" s="12">
        <v>39.36</v>
      </c>
      <c r="D13" s="12">
        <v>99</v>
      </c>
      <c r="E13" s="12">
        <v>52.02</v>
      </c>
      <c r="F13" s="12">
        <v>180.6</v>
      </c>
      <c r="G13" s="12">
        <v>99</v>
      </c>
      <c r="H13" s="12">
        <v>52.02</v>
      </c>
      <c r="I13" s="12">
        <v>180.6</v>
      </c>
      <c r="J13" s="12">
        <v>99</v>
      </c>
      <c r="K13" s="12">
        <v>52.02</v>
      </c>
      <c r="L13" s="12">
        <v>331.62</v>
      </c>
      <c r="M13" s="12">
        <v>180.6</v>
      </c>
      <c r="N13" s="12">
        <v>1446.84</v>
      </c>
    </row>
    <row r="14" spans="1:14" x14ac:dyDescent="0.25">
      <c r="A14" s="11" t="s">
        <v>11</v>
      </c>
      <c r="B14" s="12">
        <v>38.89</v>
      </c>
      <c r="C14" s="12">
        <v>51.8</v>
      </c>
      <c r="D14" s="12">
        <v>99.9</v>
      </c>
      <c r="E14" s="12">
        <v>42.14</v>
      </c>
      <c r="F14" s="12">
        <v>38.4</v>
      </c>
      <c r="G14" s="12">
        <v>99.9</v>
      </c>
      <c r="H14" s="12">
        <v>42.14</v>
      </c>
      <c r="I14" s="12">
        <v>38.4</v>
      </c>
      <c r="J14" s="12">
        <v>99.9</v>
      </c>
      <c r="K14" s="12">
        <v>42.14</v>
      </c>
      <c r="L14" s="12">
        <v>180.44</v>
      </c>
      <c r="M14" s="12">
        <v>38.4</v>
      </c>
      <c r="N14" s="12">
        <v>812.44999999999993</v>
      </c>
    </row>
    <row r="15" spans="1:14" x14ac:dyDescent="0.25">
      <c r="A15" s="11" t="s">
        <v>12</v>
      </c>
      <c r="B15" s="12">
        <v>34.770000000000003</v>
      </c>
      <c r="C15" s="12">
        <v>61.75</v>
      </c>
      <c r="D15" s="12">
        <v>98.42</v>
      </c>
      <c r="E15" s="12">
        <v>177.12</v>
      </c>
      <c r="F15" s="12">
        <v>153.18</v>
      </c>
      <c r="G15" s="12">
        <v>98.42</v>
      </c>
      <c r="H15" s="12">
        <v>177.12</v>
      </c>
      <c r="I15" s="12">
        <v>153.18</v>
      </c>
      <c r="J15" s="12">
        <v>98.42</v>
      </c>
      <c r="K15" s="12">
        <v>177.12</v>
      </c>
      <c r="L15" s="12">
        <v>428.72</v>
      </c>
      <c r="M15" s="12">
        <v>153.18</v>
      </c>
      <c r="N15" s="12">
        <v>1811.4</v>
      </c>
    </row>
    <row r="16" spans="1:14" x14ac:dyDescent="0.25">
      <c r="A16" s="5" t="s">
        <v>32</v>
      </c>
      <c r="B16" s="12">
        <v>257.14</v>
      </c>
      <c r="C16" s="12">
        <v>289.62</v>
      </c>
      <c r="D16" s="12">
        <v>423.75000000000006</v>
      </c>
      <c r="E16" s="12">
        <v>472.38</v>
      </c>
      <c r="F16" s="12">
        <v>595.93000000000006</v>
      </c>
      <c r="G16" s="12">
        <v>514.45999999999992</v>
      </c>
      <c r="H16" s="12">
        <v>474.72</v>
      </c>
      <c r="I16" s="12">
        <v>595.93000000000006</v>
      </c>
      <c r="J16" s="12">
        <v>513.42999999999995</v>
      </c>
      <c r="K16" s="12">
        <v>474.72</v>
      </c>
      <c r="L16" s="12">
        <v>1585.11</v>
      </c>
      <c r="M16" s="12">
        <v>595.93000000000006</v>
      </c>
      <c r="N16" s="12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C9" sqref="C9"/>
    </sheetView>
  </sheetViews>
  <sheetFormatPr defaultRowHeight="15" x14ac:dyDescent="0.25"/>
  <cols>
    <col min="1" max="1" width="15.28515625" customWidth="1"/>
    <col min="4" max="4" width="16.28515625" customWidth="1"/>
    <col min="6" max="6" width="15.5703125" customWidth="1"/>
    <col min="7" max="7" width="13.7109375" customWidth="1"/>
    <col min="8" max="8" width="12.5703125" customWidth="1"/>
    <col min="9" max="9" width="13.140625" customWidth="1"/>
  </cols>
  <sheetData>
    <row r="1" spans="1:9" x14ac:dyDescent="0.25">
      <c r="A1" t="s">
        <v>26</v>
      </c>
      <c r="B1" t="s">
        <v>17</v>
      </c>
      <c r="C1" t="s">
        <v>18</v>
      </c>
      <c r="D1" s="2" t="s">
        <v>27</v>
      </c>
      <c r="E1" s="2" t="s">
        <v>28</v>
      </c>
      <c r="F1" s="2" t="s">
        <v>29</v>
      </c>
      <c r="G1" s="1" t="s">
        <v>16</v>
      </c>
      <c r="H1" s="2" t="s">
        <v>25</v>
      </c>
      <c r="I1" s="2" t="s">
        <v>22</v>
      </c>
    </row>
    <row r="2" spans="1:9" x14ac:dyDescent="0.25">
      <c r="A2">
        <v>13</v>
      </c>
      <c r="B2" t="s">
        <v>6</v>
      </c>
      <c r="C2">
        <v>100</v>
      </c>
      <c r="D2" s="2">
        <v>39.479999999999997</v>
      </c>
      <c r="E2" s="2">
        <v>0</v>
      </c>
      <c r="F2" s="2">
        <v>39.479999999999997</v>
      </c>
      <c r="G2" s="1">
        <v>43449</v>
      </c>
      <c r="H2" t="str">
        <f>YEAR(TbProventos[[#This Row],[Data]])&amp;"/"&amp;IF(MONTH(TbProventos[[#This Row],[Data]])&lt;10,"0"&amp;MONTH(TbProventos[[#This Row],[Data]]),MONTH(TbProventos[[#This Row],[Data]]))</f>
        <v>2018/12</v>
      </c>
      <c r="I2" t="str">
        <f>VLOOKUP(TbProventos[[#This Row],[Ativo]],TbAtivos!B:C,2,0)</f>
        <v>EMPRESA</v>
      </c>
    </row>
    <row r="3" spans="1:9" x14ac:dyDescent="0.25">
      <c r="A3">
        <v>14</v>
      </c>
      <c r="B3" t="s">
        <v>8</v>
      </c>
      <c r="C3">
        <v>100</v>
      </c>
      <c r="D3" s="2">
        <v>63</v>
      </c>
      <c r="E3" s="2">
        <v>0</v>
      </c>
      <c r="F3" s="2">
        <v>63</v>
      </c>
      <c r="G3" s="1">
        <v>43451</v>
      </c>
      <c r="H3" t="str">
        <f>YEAR(TbProventos[[#This Row],[Data]])&amp;"/"&amp;IF(MONTH(TbProventos[[#This Row],[Data]])&lt;10,"0"&amp;MONTH(TbProventos[[#This Row],[Data]]),MONTH(TbProventos[[#This Row],[Data]]))</f>
        <v>2018/12</v>
      </c>
      <c r="I3" t="str">
        <f>VLOOKUP(TbProventos[[#This Row],[Ativo]],TbAtivos!B:C,2,0)</f>
        <v>FII</v>
      </c>
    </row>
    <row r="4" spans="1:9" x14ac:dyDescent="0.25">
      <c r="A4">
        <v>14</v>
      </c>
      <c r="B4" t="s">
        <v>10</v>
      </c>
      <c r="C4">
        <v>100</v>
      </c>
      <c r="D4" s="2">
        <v>81</v>
      </c>
      <c r="E4" s="2">
        <v>0</v>
      </c>
      <c r="F4" s="2">
        <v>81</v>
      </c>
      <c r="G4" s="1">
        <v>43451</v>
      </c>
      <c r="H4" t="str">
        <f>YEAR(TbProventos[[#This Row],[Data]])&amp;"/"&amp;IF(MONTH(TbProventos[[#This Row],[Data]])&lt;10,"0"&amp;MONTH(TbProventos[[#This Row],[Data]]),MONTH(TbProventos[[#This Row],[Data]]))</f>
        <v>2018/12</v>
      </c>
      <c r="I4" t="str">
        <f>VLOOKUP(TbProventos[[#This Row],[Ativo]],TbAtivos!B:C,2,0)</f>
        <v>FII</v>
      </c>
    </row>
    <row r="5" spans="1:9" x14ac:dyDescent="0.25">
      <c r="A5">
        <v>14</v>
      </c>
      <c r="B5" t="s">
        <v>11</v>
      </c>
      <c r="C5">
        <v>100</v>
      </c>
      <c r="D5" s="2">
        <v>38.89</v>
      </c>
      <c r="E5" s="2">
        <v>0</v>
      </c>
      <c r="F5" s="2">
        <v>38.89</v>
      </c>
      <c r="G5" s="1">
        <v>43451</v>
      </c>
      <c r="H5" t="str">
        <f>YEAR(TbProventos[[#This Row],[Data]])&amp;"/"&amp;IF(MONTH(TbProventos[[#This Row],[Data]])&lt;10,"0"&amp;MONTH(TbProventos[[#This Row],[Data]]),MONTH(TbProventos[[#This Row],[Data]]))</f>
        <v>2018/12</v>
      </c>
      <c r="I5" t="str">
        <f>VLOOKUP(TbProventos[[#This Row],[Ativo]],TbAtivos!B:C,2,0)</f>
        <v>FII</v>
      </c>
    </row>
    <row r="6" spans="1:9" x14ac:dyDescent="0.25">
      <c r="A6">
        <v>14</v>
      </c>
      <c r="B6" t="s">
        <v>12</v>
      </c>
      <c r="C6">
        <v>100</v>
      </c>
      <c r="D6" s="2">
        <v>34.770000000000003</v>
      </c>
      <c r="E6" s="2">
        <v>0</v>
      </c>
      <c r="F6" s="2">
        <v>34.770000000000003</v>
      </c>
      <c r="G6" s="1">
        <v>43451</v>
      </c>
      <c r="H6" t="str">
        <f>YEAR(TbProventos[[#This Row],[Data]])&amp;"/"&amp;IF(MONTH(TbProventos[[#This Row],[Data]])&lt;10,"0"&amp;MONTH(TbProventos[[#This Row],[Data]]),MONTH(TbProventos[[#This Row],[Data]]))</f>
        <v>2018/12</v>
      </c>
      <c r="I6" t="str">
        <f>VLOOKUP(TbProventos[[#This Row],[Ativo]],TbAtivos!B:C,2,0)</f>
        <v>FII</v>
      </c>
    </row>
    <row r="7" spans="1:9" x14ac:dyDescent="0.25">
      <c r="A7">
        <v>13</v>
      </c>
      <c r="B7" t="s">
        <v>7</v>
      </c>
      <c r="C7">
        <v>100</v>
      </c>
      <c r="D7" s="2">
        <v>67</v>
      </c>
      <c r="E7" s="2">
        <v>6</v>
      </c>
      <c r="F7" s="2">
        <v>61</v>
      </c>
      <c r="G7" s="1">
        <v>43480</v>
      </c>
      <c r="H7" t="str">
        <f>YEAR(TbProventos[[#This Row],[Data]])&amp;"/"&amp;IF(MONTH(TbProventos[[#This Row],[Data]])&lt;10,"0"&amp;MONTH(TbProventos[[#This Row],[Data]]),MONTH(TbProventos[[#This Row],[Data]]))</f>
        <v>2019/01</v>
      </c>
      <c r="I7" t="str">
        <f>VLOOKUP(TbProventos[[#This Row],[Ativo]],TbAtivos!B:C,2,0)</f>
        <v>EMPRESA</v>
      </c>
    </row>
    <row r="8" spans="1:9" x14ac:dyDescent="0.25">
      <c r="A8">
        <v>14</v>
      </c>
      <c r="B8" t="s">
        <v>8</v>
      </c>
      <c r="C8">
        <v>100</v>
      </c>
      <c r="D8" s="2">
        <v>75.709999999999994</v>
      </c>
      <c r="E8" s="2">
        <v>0</v>
      </c>
      <c r="F8" s="2">
        <v>75.709999999999994</v>
      </c>
      <c r="G8" s="1">
        <v>43482</v>
      </c>
      <c r="H8" t="str">
        <f>YEAR(TbProventos[[#This Row],[Data]])&amp;"/"&amp;IF(MONTH(TbProventos[[#This Row],[Data]])&lt;10,"0"&amp;MONTH(TbProventos[[#This Row],[Data]]),MONTH(TbProventos[[#This Row],[Data]]))</f>
        <v>2019/01</v>
      </c>
      <c r="I8" t="str">
        <f>VLOOKUP(TbProventos[[#This Row],[Ativo]],TbAtivos!B:C,2,0)</f>
        <v>FII</v>
      </c>
    </row>
    <row r="9" spans="1:9" x14ac:dyDescent="0.25">
      <c r="A9">
        <v>14</v>
      </c>
      <c r="B9" t="s">
        <v>10</v>
      </c>
      <c r="C9">
        <v>100</v>
      </c>
      <c r="D9" s="2">
        <v>39.36</v>
      </c>
      <c r="E9" s="2">
        <v>0</v>
      </c>
      <c r="F9" s="2">
        <v>39.36</v>
      </c>
      <c r="G9" s="1">
        <v>43482</v>
      </c>
      <c r="H9" t="str">
        <f>YEAR(TbProventos[[#This Row],[Data]])&amp;"/"&amp;IF(MONTH(TbProventos[[#This Row],[Data]])&lt;10,"0"&amp;MONTH(TbProventos[[#This Row],[Data]]),MONTH(TbProventos[[#This Row],[Data]]))</f>
        <v>2019/01</v>
      </c>
      <c r="I9" t="str">
        <f>VLOOKUP(TbProventos[[#This Row],[Ativo]],TbAtivos!B:C,2,0)</f>
        <v>FII</v>
      </c>
    </row>
    <row r="10" spans="1:9" x14ac:dyDescent="0.25">
      <c r="A10">
        <v>14</v>
      </c>
      <c r="B10" t="s">
        <v>11</v>
      </c>
      <c r="C10">
        <v>100</v>
      </c>
      <c r="D10" s="2">
        <v>51.8</v>
      </c>
      <c r="E10" s="2">
        <v>0</v>
      </c>
      <c r="F10" s="2">
        <v>51.8</v>
      </c>
      <c r="G10" s="1">
        <v>43482</v>
      </c>
      <c r="H10" t="str">
        <f>YEAR(TbProventos[[#This Row],[Data]])&amp;"/"&amp;IF(MONTH(TbProventos[[#This Row],[Data]])&lt;10,"0"&amp;MONTH(TbProventos[[#This Row],[Data]]),MONTH(TbProventos[[#This Row],[Data]]))</f>
        <v>2019/01</v>
      </c>
      <c r="I10" t="str">
        <f>VLOOKUP(TbProventos[[#This Row],[Ativo]],TbAtivos!B:C,2,0)</f>
        <v>FII</v>
      </c>
    </row>
    <row r="11" spans="1:9" x14ac:dyDescent="0.25">
      <c r="A11">
        <v>14</v>
      </c>
      <c r="B11" t="s">
        <v>12</v>
      </c>
      <c r="C11">
        <v>100</v>
      </c>
      <c r="D11" s="2">
        <v>61.75</v>
      </c>
      <c r="E11" s="2">
        <v>0</v>
      </c>
      <c r="F11" s="2">
        <v>61.75</v>
      </c>
      <c r="G11" s="1">
        <v>43482</v>
      </c>
      <c r="H11" t="str">
        <f>YEAR(TbProventos[[#This Row],[Data]])&amp;"/"&amp;IF(MONTH(TbProventos[[#This Row],[Data]])&lt;10,"0"&amp;MONTH(TbProventos[[#This Row],[Data]]),MONTH(TbProventos[[#This Row],[Data]]))</f>
        <v>2019/01</v>
      </c>
      <c r="I11" t="str">
        <f>VLOOKUP(TbProventos[[#This Row],[Ativo]],TbAtivos!B:C,2,0)</f>
        <v>FII</v>
      </c>
    </row>
    <row r="12" spans="1:9" x14ac:dyDescent="0.25">
      <c r="A12">
        <v>13</v>
      </c>
      <c r="B12" t="s">
        <v>6</v>
      </c>
      <c r="C12">
        <v>100</v>
      </c>
      <c r="D12" s="2">
        <v>65.430000000000007</v>
      </c>
      <c r="E12" s="2">
        <v>0</v>
      </c>
      <c r="F12" s="2">
        <v>65.430000000000007</v>
      </c>
      <c r="G12" s="1">
        <v>43511</v>
      </c>
      <c r="H12" t="str">
        <f>YEAR(TbProventos[[#This Row],[Data]])&amp;"/"&amp;IF(MONTH(TbProventos[[#This Row],[Data]])&lt;10,"0"&amp;MONTH(TbProventos[[#This Row],[Data]]),MONTH(TbProventos[[#This Row],[Data]]))</f>
        <v>2019/02</v>
      </c>
      <c r="I12" t="str">
        <f>VLOOKUP(TbProventos[[#This Row],[Ativo]],TbAtivos!B:C,2,0)</f>
        <v>EMPRESA</v>
      </c>
    </row>
    <row r="13" spans="1:9" x14ac:dyDescent="0.25">
      <c r="A13">
        <v>50</v>
      </c>
      <c r="B13" t="s">
        <v>30</v>
      </c>
      <c r="C13">
        <v>100</v>
      </c>
      <c r="D13" s="2">
        <v>0</v>
      </c>
      <c r="E13" s="2">
        <v>0</v>
      </c>
      <c r="F13" s="2">
        <v>0</v>
      </c>
      <c r="G13" s="1">
        <v>43511</v>
      </c>
      <c r="H13" t="str">
        <f>YEAR(TbProventos[[#This Row],[Data]])&amp;"/"&amp;IF(MONTH(TbProventos[[#This Row],[Data]])&lt;10,"0"&amp;MONTH(TbProventos[[#This Row],[Data]]),MONTH(TbProventos[[#This Row],[Data]]))</f>
        <v>2019/02</v>
      </c>
      <c r="I13" t="e">
        <f>VLOOKUP(TbProventos[[#This Row],[Ativo]],TbAtivos!B:C,2,0)</f>
        <v>#N/A</v>
      </c>
    </row>
    <row r="14" spans="1:9" x14ac:dyDescent="0.25">
      <c r="A14">
        <v>14</v>
      </c>
      <c r="B14" t="s">
        <v>8</v>
      </c>
      <c r="C14">
        <v>100</v>
      </c>
      <c r="D14" s="2">
        <v>61</v>
      </c>
      <c r="E14" s="2">
        <v>0</v>
      </c>
      <c r="F14" s="2">
        <v>61</v>
      </c>
      <c r="G14" s="1">
        <v>43513</v>
      </c>
      <c r="H14" t="str">
        <f>YEAR(TbProventos[[#This Row],[Data]])&amp;"/"&amp;IF(MONTH(TbProventos[[#This Row],[Data]])&lt;10,"0"&amp;MONTH(TbProventos[[#This Row],[Data]]),MONTH(TbProventos[[#This Row],[Data]]))</f>
        <v>2019/02</v>
      </c>
      <c r="I14" t="str">
        <f>VLOOKUP(TbProventos[[#This Row],[Ativo]],TbAtivos!B:C,2,0)</f>
        <v>FII</v>
      </c>
    </row>
    <row r="15" spans="1:9" x14ac:dyDescent="0.25">
      <c r="A15">
        <v>14</v>
      </c>
      <c r="B15" t="s">
        <v>10</v>
      </c>
      <c r="C15">
        <v>100</v>
      </c>
      <c r="D15" s="2">
        <v>99</v>
      </c>
      <c r="E15" s="2">
        <v>0</v>
      </c>
      <c r="F15" s="2">
        <v>99</v>
      </c>
      <c r="G15" s="1">
        <v>43513</v>
      </c>
      <c r="H15" t="str">
        <f>YEAR(TbProventos[[#This Row],[Data]])&amp;"/"&amp;IF(MONTH(TbProventos[[#This Row],[Data]])&lt;10,"0"&amp;MONTH(TbProventos[[#This Row],[Data]]),MONTH(TbProventos[[#This Row],[Data]]))</f>
        <v>2019/02</v>
      </c>
      <c r="I15" t="str">
        <f>VLOOKUP(TbProventos[[#This Row],[Ativo]],TbAtivos!B:C,2,0)</f>
        <v>FII</v>
      </c>
    </row>
    <row r="16" spans="1:9" x14ac:dyDescent="0.25">
      <c r="A16">
        <v>14</v>
      </c>
      <c r="B16" t="s">
        <v>11</v>
      </c>
      <c r="C16">
        <v>100</v>
      </c>
      <c r="D16" s="2">
        <v>99.9</v>
      </c>
      <c r="E16" s="2">
        <v>0</v>
      </c>
      <c r="F16" s="2">
        <v>99.9</v>
      </c>
      <c r="G16" s="1">
        <v>43513</v>
      </c>
      <c r="H16" t="str">
        <f>YEAR(TbProventos[[#This Row],[Data]])&amp;"/"&amp;IF(MONTH(TbProventos[[#This Row],[Data]])&lt;10,"0"&amp;MONTH(TbProventos[[#This Row],[Data]]),MONTH(TbProventos[[#This Row],[Data]]))</f>
        <v>2019/02</v>
      </c>
      <c r="I16" t="str">
        <f>VLOOKUP(TbProventos[[#This Row],[Ativo]],TbAtivos!B:C,2,0)</f>
        <v>FII</v>
      </c>
    </row>
    <row r="17" spans="1:9" x14ac:dyDescent="0.25">
      <c r="A17">
        <v>14</v>
      </c>
      <c r="B17" t="s">
        <v>12</v>
      </c>
      <c r="C17">
        <v>100</v>
      </c>
      <c r="D17" s="2">
        <v>98.42</v>
      </c>
      <c r="E17" s="2">
        <v>0</v>
      </c>
      <c r="F17" s="2">
        <v>98.42</v>
      </c>
      <c r="G17" s="1">
        <v>43513</v>
      </c>
      <c r="H17" t="str">
        <f>YEAR(TbProventos[[#This Row],[Data]])&amp;"/"&amp;IF(MONTH(TbProventos[[#This Row],[Data]])&lt;10,"0"&amp;MONTH(TbProventos[[#This Row],[Data]]),MONTH(TbProventos[[#This Row],[Data]]))</f>
        <v>2019/02</v>
      </c>
      <c r="I17" t="str">
        <f>VLOOKUP(TbProventos[[#This Row],[Ativo]],TbAtivos!B:C,2,0)</f>
        <v>FII</v>
      </c>
    </row>
    <row r="18" spans="1:9" x14ac:dyDescent="0.25">
      <c r="A18">
        <v>13</v>
      </c>
      <c r="B18" t="s">
        <v>5</v>
      </c>
      <c r="C18">
        <v>100</v>
      </c>
      <c r="D18" s="2">
        <v>166</v>
      </c>
      <c r="E18" s="2">
        <v>2.34</v>
      </c>
      <c r="F18" s="2">
        <v>163.66</v>
      </c>
      <c r="G18" s="1">
        <v>43539</v>
      </c>
      <c r="H18" t="str">
        <f>YEAR(TbProventos[[#This Row],[Data]])&amp;"/"&amp;IF(MONTH(TbProventos[[#This Row],[Data]])&lt;10,"0"&amp;MONTH(TbProventos[[#This Row],[Data]]),MONTH(TbProventos[[#This Row],[Data]]))</f>
        <v>2019/03</v>
      </c>
      <c r="I18" t="str">
        <f>VLOOKUP(TbProventos[[#This Row],[Ativo]],TbAtivos!B:C,2,0)</f>
        <v>EMPRESA</v>
      </c>
    </row>
    <row r="19" spans="1:9" x14ac:dyDescent="0.25">
      <c r="A19">
        <v>14</v>
      </c>
      <c r="B19" t="s">
        <v>8</v>
      </c>
      <c r="C19">
        <v>100</v>
      </c>
      <c r="D19" s="2">
        <v>37.44</v>
      </c>
      <c r="E19" s="2">
        <v>0</v>
      </c>
      <c r="F19" s="2">
        <v>37.44</v>
      </c>
      <c r="G19" s="1">
        <v>43541</v>
      </c>
      <c r="H19" t="str">
        <f>YEAR(TbProventos[[#This Row],[Data]])&amp;"/"&amp;IF(MONTH(TbProventos[[#This Row],[Data]])&lt;10,"0"&amp;MONTH(TbProventos[[#This Row],[Data]]),MONTH(TbProventos[[#This Row],[Data]]))</f>
        <v>2019/03</v>
      </c>
      <c r="I19" t="str">
        <f>VLOOKUP(TbProventos[[#This Row],[Ativo]],TbAtivos!B:C,2,0)</f>
        <v>FII</v>
      </c>
    </row>
    <row r="20" spans="1:9" x14ac:dyDescent="0.25">
      <c r="A20">
        <v>14</v>
      </c>
      <c r="B20" t="s">
        <v>10</v>
      </c>
      <c r="C20">
        <v>100</v>
      </c>
      <c r="D20" s="2">
        <v>52.02</v>
      </c>
      <c r="E20" s="2">
        <v>0</v>
      </c>
      <c r="F20" s="2">
        <v>52.02</v>
      </c>
      <c r="G20" s="1">
        <v>43541</v>
      </c>
      <c r="H20" t="str">
        <f>YEAR(TbProventos[[#This Row],[Data]])&amp;"/"&amp;IF(MONTH(TbProventos[[#This Row],[Data]])&lt;10,"0"&amp;MONTH(TbProventos[[#This Row],[Data]]),MONTH(TbProventos[[#This Row],[Data]]))</f>
        <v>2019/03</v>
      </c>
      <c r="I20" t="str">
        <f>VLOOKUP(TbProventos[[#This Row],[Ativo]],TbAtivos!B:C,2,0)</f>
        <v>FII</v>
      </c>
    </row>
    <row r="21" spans="1:9" x14ac:dyDescent="0.25">
      <c r="A21">
        <v>14</v>
      </c>
      <c r="B21" t="s">
        <v>11</v>
      </c>
      <c r="C21">
        <v>100</v>
      </c>
      <c r="D21" s="2">
        <v>42.14</v>
      </c>
      <c r="E21" s="2">
        <v>0</v>
      </c>
      <c r="F21" s="2">
        <v>42.14</v>
      </c>
      <c r="G21" s="1">
        <v>43541</v>
      </c>
      <c r="H21" t="str">
        <f>YEAR(TbProventos[[#This Row],[Data]])&amp;"/"&amp;IF(MONTH(TbProventos[[#This Row],[Data]])&lt;10,"0"&amp;MONTH(TbProventos[[#This Row],[Data]]),MONTH(TbProventos[[#This Row],[Data]]))</f>
        <v>2019/03</v>
      </c>
      <c r="I21" t="str">
        <f>VLOOKUP(TbProventos[[#This Row],[Ativo]],TbAtivos!B:C,2,0)</f>
        <v>FII</v>
      </c>
    </row>
    <row r="22" spans="1:9" x14ac:dyDescent="0.25">
      <c r="A22">
        <v>14</v>
      </c>
      <c r="B22" t="s">
        <v>12</v>
      </c>
      <c r="C22">
        <v>100</v>
      </c>
      <c r="D22" s="2">
        <v>177.12</v>
      </c>
      <c r="E22" s="2">
        <v>0</v>
      </c>
      <c r="F22" s="2">
        <v>177.12</v>
      </c>
      <c r="G22" s="1">
        <v>43541</v>
      </c>
      <c r="H22" t="str">
        <f>YEAR(TbProventos[[#This Row],[Data]])&amp;"/"&amp;IF(MONTH(TbProventos[[#This Row],[Data]])&lt;10,"0"&amp;MONTH(TbProventos[[#This Row],[Data]]),MONTH(TbProventos[[#This Row],[Data]]))</f>
        <v>2019/03</v>
      </c>
      <c r="I22" t="str">
        <f>VLOOKUP(TbProventos[[#This Row],[Ativo]],TbAtivos!B:C,2,0)</f>
        <v>FII</v>
      </c>
    </row>
    <row r="23" spans="1:9" x14ac:dyDescent="0.25">
      <c r="A23">
        <v>13</v>
      </c>
      <c r="B23" t="s">
        <v>6</v>
      </c>
      <c r="C23">
        <v>100</v>
      </c>
      <c r="D23" s="2">
        <v>162.75</v>
      </c>
      <c r="E23" s="2">
        <v>0</v>
      </c>
      <c r="F23" s="2">
        <v>162.75</v>
      </c>
      <c r="G23" s="1">
        <v>43570</v>
      </c>
      <c r="H23" t="str">
        <f>YEAR(TbProventos[[#This Row],[Data]])&amp;"/"&amp;IF(MONTH(TbProventos[[#This Row],[Data]])&lt;10,"0"&amp;MONTH(TbProventos[[#This Row],[Data]]),MONTH(TbProventos[[#This Row],[Data]]))</f>
        <v>2019/04</v>
      </c>
      <c r="I23" t="str">
        <f>VLOOKUP(TbProventos[[#This Row],[Ativo]],TbAtivos!B:C,2,0)</f>
        <v>EMPRESA</v>
      </c>
    </row>
    <row r="24" spans="1:9" x14ac:dyDescent="0.25">
      <c r="A24">
        <v>14</v>
      </c>
      <c r="B24" t="s">
        <v>8</v>
      </c>
      <c r="C24">
        <v>100</v>
      </c>
      <c r="D24" s="2">
        <v>61</v>
      </c>
      <c r="E24" s="2">
        <v>0</v>
      </c>
      <c r="F24" s="2">
        <v>61</v>
      </c>
      <c r="G24" s="1">
        <v>43572</v>
      </c>
      <c r="H24" t="str">
        <f>YEAR(TbProventos[[#This Row],[Data]])&amp;"/"&amp;IF(MONTH(TbProventos[[#This Row],[Data]])&lt;10,"0"&amp;MONTH(TbProventos[[#This Row],[Data]]),MONTH(TbProventos[[#This Row],[Data]]))</f>
        <v>2019/04</v>
      </c>
      <c r="I24" t="str">
        <f>VLOOKUP(TbProventos[[#This Row],[Ativo]],TbAtivos!B:C,2,0)</f>
        <v>FII</v>
      </c>
    </row>
    <row r="25" spans="1:9" x14ac:dyDescent="0.25">
      <c r="A25">
        <v>14</v>
      </c>
      <c r="B25" t="s">
        <v>10</v>
      </c>
      <c r="C25">
        <v>100</v>
      </c>
      <c r="D25" s="2">
        <v>180.6</v>
      </c>
      <c r="E25" s="2">
        <v>0</v>
      </c>
      <c r="F25" s="2">
        <v>180.6</v>
      </c>
      <c r="G25" s="1">
        <v>43572</v>
      </c>
      <c r="H25" t="str">
        <f>YEAR(TbProventos[[#This Row],[Data]])&amp;"/"&amp;IF(MONTH(TbProventos[[#This Row],[Data]])&lt;10,"0"&amp;MONTH(TbProventos[[#This Row],[Data]]),MONTH(TbProventos[[#This Row],[Data]]))</f>
        <v>2019/04</v>
      </c>
      <c r="I25" t="str">
        <f>VLOOKUP(TbProventos[[#This Row],[Ativo]],TbAtivos!B:C,2,0)</f>
        <v>FII</v>
      </c>
    </row>
    <row r="26" spans="1:9" x14ac:dyDescent="0.25">
      <c r="A26">
        <v>14</v>
      </c>
      <c r="B26" t="s">
        <v>11</v>
      </c>
      <c r="C26">
        <v>100</v>
      </c>
      <c r="D26" s="2">
        <v>38.4</v>
      </c>
      <c r="E26" s="2">
        <v>0</v>
      </c>
      <c r="F26" s="2">
        <v>38.4</v>
      </c>
      <c r="G26" s="1">
        <v>43572</v>
      </c>
      <c r="H26" t="str">
        <f>YEAR(TbProventos[[#This Row],[Data]])&amp;"/"&amp;IF(MONTH(TbProventos[[#This Row],[Data]])&lt;10,"0"&amp;MONTH(TbProventos[[#This Row],[Data]]),MONTH(TbProventos[[#This Row],[Data]]))</f>
        <v>2019/04</v>
      </c>
      <c r="I26" t="str">
        <f>VLOOKUP(TbProventos[[#This Row],[Ativo]],TbAtivos!B:C,2,0)</f>
        <v>FII</v>
      </c>
    </row>
    <row r="27" spans="1:9" x14ac:dyDescent="0.25">
      <c r="A27">
        <v>14</v>
      </c>
      <c r="B27" t="s">
        <v>12</v>
      </c>
      <c r="C27">
        <v>100</v>
      </c>
      <c r="D27" s="2">
        <v>153.18</v>
      </c>
      <c r="E27" s="2">
        <v>0</v>
      </c>
      <c r="F27" s="2">
        <v>153.18</v>
      </c>
      <c r="G27" s="1">
        <v>43572</v>
      </c>
      <c r="H27" t="str">
        <f>YEAR(TbProventos[[#This Row],[Data]])&amp;"/"&amp;IF(MONTH(TbProventos[[#This Row],[Data]])&lt;10,"0"&amp;MONTH(TbProventos[[#This Row],[Data]]),MONTH(TbProventos[[#This Row],[Data]]))</f>
        <v>2019/04</v>
      </c>
      <c r="I27" t="str">
        <f>VLOOKUP(TbProventos[[#This Row],[Ativo]],TbAtivos!B:C,2,0)</f>
        <v>FII</v>
      </c>
    </row>
    <row r="28" spans="1:9" x14ac:dyDescent="0.25">
      <c r="A28">
        <v>13</v>
      </c>
      <c r="B28" t="s">
        <v>15</v>
      </c>
      <c r="C28">
        <v>100</v>
      </c>
      <c r="D28" s="2">
        <v>156.13999999999999</v>
      </c>
      <c r="E28" s="2">
        <v>0</v>
      </c>
      <c r="F28" s="2">
        <v>156.13999999999999</v>
      </c>
      <c r="G28" s="1">
        <v>43600</v>
      </c>
      <c r="H28" t="str">
        <f>YEAR(TbProventos[[#This Row],[Data]])&amp;"/"&amp;IF(MONTH(TbProventos[[#This Row],[Data]])&lt;10,"0"&amp;MONTH(TbProventos[[#This Row],[Data]]),MONTH(TbProventos[[#This Row],[Data]]))</f>
        <v>2019/05</v>
      </c>
      <c r="I28" t="str">
        <f>VLOOKUP(TbProventos[[#This Row],[Ativo]],TbAtivos!B:C,2,0)</f>
        <v>EMPRESA</v>
      </c>
    </row>
    <row r="29" spans="1:9" x14ac:dyDescent="0.25">
      <c r="A29">
        <v>14</v>
      </c>
      <c r="B29" t="s">
        <v>8</v>
      </c>
      <c r="C29">
        <v>100</v>
      </c>
      <c r="D29" s="2">
        <v>61</v>
      </c>
      <c r="E29" s="2">
        <v>0</v>
      </c>
      <c r="F29" s="2">
        <v>61</v>
      </c>
      <c r="G29" s="1">
        <v>43602</v>
      </c>
      <c r="H29" t="str">
        <f>YEAR(TbProventos[[#This Row],[Data]])&amp;"/"&amp;IF(MONTH(TbProventos[[#This Row],[Data]])&lt;10,"0"&amp;MONTH(TbProventos[[#This Row],[Data]]),MONTH(TbProventos[[#This Row],[Data]]))</f>
        <v>2019/05</v>
      </c>
      <c r="I29" t="str">
        <f>VLOOKUP(TbProventos[[#This Row],[Ativo]],TbAtivos!B:C,2,0)</f>
        <v>FII</v>
      </c>
    </row>
    <row r="30" spans="1:9" x14ac:dyDescent="0.25">
      <c r="A30">
        <v>14</v>
      </c>
      <c r="B30" t="s">
        <v>10</v>
      </c>
      <c r="C30">
        <v>100</v>
      </c>
      <c r="D30" s="2">
        <v>99</v>
      </c>
      <c r="E30" s="2">
        <v>0</v>
      </c>
      <c r="F30" s="2">
        <v>99</v>
      </c>
      <c r="G30" s="1">
        <v>43602</v>
      </c>
      <c r="H30" t="str">
        <f>YEAR(TbProventos[[#This Row],[Data]])&amp;"/"&amp;IF(MONTH(TbProventos[[#This Row],[Data]])&lt;10,"0"&amp;MONTH(TbProventos[[#This Row],[Data]]),MONTH(TbProventos[[#This Row],[Data]]))</f>
        <v>2019/05</v>
      </c>
      <c r="I30" t="str">
        <f>VLOOKUP(TbProventos[[#This Row],[Ativo]],TbAtivos!B:C,2,0)</f>
        <v>FII</v>
      </c>
    </row>
    <row r="31" spans="1:9" x14ac:dyDescent="0.25">
      <c r="A31">
        <v>14</v>
      </c>
      <c r="B31" t="s">
        <v>11</v>
      </c>
      <c r="C31">
        <v>100</v>
      </c>
      <c r="D31" s="2">
        <v>99.9</v>
      </c>
      <c r="E31" s="2">
        <v>0</v>
      </c>
      <c r="F31" s="2">
        <v>99.9</v>
      </c>
      <c r="G31" s="1">
        <v>43602</v>
      </c>
      <c r="H31" t="str">
        <f>YEAR(TbProventos[[#This Row],[Data]])&amp;"/"&amp;IF(MONTH(TbProventos[[#This Row],[Data]])&lt;10,"0"&amp;MONTH(TbProventos[[#This Row],[Data]]),MONTH(TbProventos[[#This Row],[Data]]))</f>
        <v>2019/05</v>
      </c>
      <c r="I31" t="str">
        <f>VLOOKUP(TbProventos[[#This Row],[Ativo]],TbAtivos!B:C,2,0)</f>
        <v>FII</v>
      </c>
    </row>
    <row r="32" spans="1:9" x14ac:dyDescent="0.25">
      <c r="A32">
        <v>14</v>
      </c>
      <c r="B32" t="s">
        <v>12</v>
      </c>
      <c r="C32">
        <v>100</v>
      </c>
      <c r="D32" s="2">
        <v>98.42</v>
      </c>
      <c r="E32" s="2">
        <v>0</v>
      </c>
      <c r="F32" s="2">
        <v>98.42</v>
      </c>
      <c r="G32" s="1">
        <v>43602</v>
      </c>
      <c r="H32" t="str">
        <f>YEAR(TbProventos[[#This Row],[Data]])&amp;"/"&amp;IF(MONTH(TbProventos[[#This Row],[Data]])&lt;10,"0"&amp;MONTH(TbProventos[[#This Row],[Data]]),MONTH(TbProventos[[#This Row],[Data]]))</f>
        <v>2019/05</v>
      </c>
      <c r="I32" t="str">
        <f>VLOOKUP(TbProventos[[#This Row],[Ativo]],TbAtivos!B:C,2,0)</f>
        <v>FII</v>
      </c>
    </row>
    <row r="33" spans="1:9" x14ac:dyDescent="0.25">
      <c r="A33">
        <v>13</v>
      </c>
      <c r="B33" t="s">
        <v>6</v>
      </c>
      <c r="C33">
        <v>100</v>
      </c>
      <c r="D33" s="2">
        <v>166</v>
      </c>
      <c r="E33" s="2">
        <v>0</v>
      </c>
      <c r="F33" s="2">
        <v>166</v>
      </c>
      <c r="G33" s="1">
        <v>43631</v>
      </c>
      <c r="H33" t="str">
        <f>YEAR(TbProventos[[#This Row],[Data]])&amp;"/"&amp;IF(MONTH(TbProventos[[#This Row],[Data]])&lt;10,"0"&amp;MONTH(TbProventos[[#This Row],[Data]]),MONTH(TbProventos[[#This Row],[Data]]))</f>
        <v>2019/06</v>
      </c>
      <c r="I33" t="str">
        <f>VLOOKUP(TbProventos[[#This Row],[Ativo]],TbAtivos!B:C,2,0)</f>
        <v>EMPRESA</v>
      </c>
    </row>
    <row r="34" spans="1:9" x14ac:dyDescent="0.25">
      <c r="A34">
        <v>14</v>
      </c>
      <c r="B34" t="s">
        <v>8</v>
      </c>
      <c r="C34">
        <v>100</v>
      </c>
      <c r="D34" s="2">
        <v>37.44</v>
      </c>
      <c r="E34" s="2">
        <v>0</v>
      </c>
      <c r="F34" s="2">
        <v>37.44</v>
      </c>
      <c r="G34" s="1">
        <v>43633</v>
      </c>
      <c r="H34" t="str">
        <f>YEAR(TbProventos[[#This Row],[Data]])&amp;"/"&amp;IF(MONTH(TbProventos[[#This Row],[Data]])&lt;10,"0"&amp;MONTH(TbProventos[[#This Row],[Data]]),MONTH(TbProventos[[#This Row],[Data]]))</f>
        <v>2019/06</v>
      </c>
      <c r="I34" t="str">
        <f>VLOOKUP(TbProventos[[#This Row],[Ativo]],TbAtivos!B:C,2,0)</f>
        <v>FII</v>
      </c>
    </row>
    <row r="35" spans="1:9" x14ac:dyDescent="0.25">
      <c r="A35">
        <v>14</v>
      </c>
      <c r="B35" t="s">
        <v>10</v>
      </c>
      <c r="C35">
        <v>100</v>
      </c>
      <c r="D35" s="2">
        <v>52.02</v>
      </c>
      <c r="E35" s="2">
        <v>0</v>
      </c>
      <c r="F35" s="2">
        <v>52.02</v>
      </c>
      <c r="G35" s="1">
        <v>43633</v>
      </c>
      <c r="H35" t="str">
        <f>YEAR(TbProventos[[#This Row],[Data]])&amp;"/"&amp;IF(MONTH(TbProventos[[#This Row],[Data]])&lt;10,"0"&amp;MONTH(TbProventos[[#This Row],[Data]]),MONTH(TbProventos[[#This Row],[Data]]))</f>
        <v>2019/06</v>
      </c>
      <c r="I35" t="str">
        <f>VLOOKUP(TbProventos[[#This Row],[Ativo]],TbAtivos!B:C,2,0)</f>
        <v>FII</v>
      </c>
    </row>
    <row r="36" spans="1:9" x14ac:dyDescent="0.25">
      <c r="A36">
        <v>14</v>
      </c>
      <c r="B36" t="s">
        <v>11</v>
      </c>
      <c r="C36">
        <v>100</v>
      </c>
      <c r="D36" s="2">
        <v>42.14</v>
      </c>
      <c r="E36" s="2">
        <v>0</v>
      </c>
      <c r="F36" s="2">
        <v>42.14</v>
      </c>
      <c r="G36" s="1">
        <v>43633</v>
      </c>
      <c r="H36" t="str">
        <f>YEAR(TbProventos[[#This Row],[Data]])&amp;"/"&amp;IF(MONTH(TbProventos[[#This Row],[Data]])&lt;10,"0"&amp;MONTH(TbProventos[[#This Row],[Data]]),MONTH(TbProventos[[#This Row],[Data]]))</f>
        <v>2019/06</v>
      </c>
      <c r="I36" t="str">
        <f>VLOOKUP(TbProventos[[#This Row],[Ativo]],TbAtivos!B:C,2,0)</f>
        <v>FII</v>
      </c>
    </row>
    <row r="37" spans="1:9" x14ac:dyDescent="0.25">
      <c r="A37">
        <v>14</v>
      </c>
      <c r="B37" t="s">
        <v>12</v>
      </c>
      <c r="C37">
        <v>100</v>
      </c>
      <c r="D37" s="2">
        <v>177.12</v>
      </c>
      <c r="E37" s="2">
        <v>0</v>
      </c>
      <c r="F37" s="2">
        <v>177.12</v>
      </c>
      <c r="G37" s="1">
        <v>43633</v>
      </c>
      <c r="H37" t="str">
        <f>YEAR(TbProventos[[#This Row],[Data]])&amp;"/"&amp;IF(MONTH(TbProventos[[#This Row],[Data]])&lt;10,"0"&amp;MONTH(TbProventos[[#This Row],[Data]]),MONTH(TbProventos[[#This Row],[Data]]))</f>
        <v>2019/06</v>
      </c>
      <c r="I37" t="str">
        <f>VLOOKUP(TbProventos[[#This Row],[Ativo]],TbAtivos!B:C,2,0)</f>
        <v>FII</v>
      </c>
    </row>
    <row r="38" spans="1:9" x14ac:dyDescent="0.25">
      <c r="A38">
        <v>13</v>
      </c>
      <c r="B38" t="s">
        <v>7</v>
      </c>
      <c r="C38">
        <v>100</v>
      </c>
      <c r="D38" s="2">
        <v>162.75</v>
      </c>
      <c r="E38" s="2">
        <v>0</v>
      </c>
      <c r="F38" s="2">
        <v>162.75</v>
      </c>
      <c r="G38" s="1">
        <v>43661</v>
      </c>
      <c r="H38" t="str">
        <f>YEAR(TbProventos[[#This Row],[Data]])&amp;"/"&amp;IF(MONTH(TbProventos[[#This Row],[Data]])&lt;10,"0"&amp;MONTH(TbProventos[[#This Row],[Data]]),MONTH(TbProventos[[#This Row],[Data]]))</f>
        <v>2019/07</v>
      </c>
      <c r="I38" t="str">
        <f>VLOOKUP(TbProventos[[#This Row],[Ativo]],TbAtivos!B:C,2,0)</f>
        <v>EMPRESA</v>
      </c>
    </row>
    <row r="39" spans="1:9" x14ac:dyDescent="0.25">
      <c r="A39">
        <v>14</v>
      </c>
      <c r="B39" t="s">
        <v>8</v>
      </c>
      <c r="C39">
        <v>100</v>
      </c>
      <c r="D39" s="2">
        <v>61</v>
      </c>
      <c r="E39" s="2">
        <v>0</v>
      </c>
      <c r="F39" s="2">
        <v>61</v>
      </c>
      <c r="G39" s="1">
        <v>43663</v>
      </c>
      <c r="H39" t="str">
        <f>YEAR(TbProventos[[#This Row],[Data]])&amp;"/"&amp;IF(MONTH(TbProventos[[#This Row],[Data]])&lt;10,"0"&amp;MONTH(TbProventos[[#This Row],[Data]]),MONTH(TbProventos[[#This Row],[Data]]))</f>
        <v>2019/07</v>
      </c>
      <c r="I39" t="str">
        <f>VLOOKUP(TbProventos[[#This Row],[Ativo]],TbAtivos!B:C,2,0)</f>
        <v>FII</v>
      </c>
    </row>
    <row r="40" spans="1:9" x14ac:dyDescent="0.25">
      <c r="A40">
        <v>14</v>
      </c>
      <c r="B40" t="s">
        <v>10</v>
      </c>
      <c r="C40">
        <v>100</v>
      </c>
      <c r="D40" s="2">
        <v>180.6</v>
      </c>
      <c r="E40" s="2">
        <v>0</v>
      </c>
      <c r="F40" s="2">
        <v>180.6</v>
      </c>
      <c r="G40" s="1">
        <v>43663</v>
      </c>
      <c r="H40" t="str">
        <f>YEAR(TbProventos[[#This Row],[Data]])&amp;"/"&amp;IF(MONTH(TbProventos[[#This Row],[Data]])&lt;10,"0"&amp;MONTH(TbProventos[[#This Row],[Data]]),MONTH(TbProventos[[#This Row],[Data]]))</f>
        <v>2019/07</v>
      </c>
      <c r="I40" t="str">
        <f>VLOOKUP(TbProventos[[#This Row],[Ativo]],TbAtivos!B:C,2,0)</f>
        <v>FII</v>
      </c>
    </row>
    <row r="41" spans="1:9" x14ac:dyDescent="0.25">
      <c r="A41">
        <v>14</v>
      </c>
      <c r="B41" t="s">
        <v>11</v>
      </c>
      <c r="C41">
        <v>100</v>
      </c>
      <c r="D41" s="2">
        <v>38.4</v>
      </c>
      <c r="E41" s="2">
        <v>0</v>
      </c>
      <c r="F41" s="2">
        <v>38.4</v>
      </c>
      <c r="G41" s="1">
        <v>43663</v>
      </c>
      <c r="H41" t="str">
        <f>YEAR(TbProventos[[#This Row],[Data]])&amp;"/"&amp;IF(MONTH(TbProventos[[#This Row],[Data]])&lt;10,"0"&amp;MONTH(TbProventos[[#This Row],[Data]]),MONTH(TbProventos[[#This Row],[Data]]))</f>
        <v>2019/07</v>
      </c>
      <c r="I41" t="str">
        <f>VLOOKUP(TbProventos[[#This Row],[Ativo]],TbAtivos!B:C,2,0)</f>
        <v>FII</v>
      </c>
    </row>
    <row r="42" spans="1:9" x14ac:dyDescent="0.25">
      <c r="A42">
        <v>14</v>
      </c>
      <c r="B42" t="s">
        <v>12</v>
      </c>
      <c r="C42">
        <v>100</v>
      </c>
      <c r="D42" s="2">
        <v>153.18</v>
      </c>
      <c r="E42" s="2">
        <v>0</v>
      </c>
      <c r="F42" s="2">
        <v>153.18</v>
      </c>
      <c r="G42" s="1">
        <v>43663</v>
      </c>
      <c r="H42" t="str">
        <f>YEAR(TbProventos[[#This Row],[Data]])&amp;"/"&amp;IF(MONTH(TbProventos[[#This Row],[Data]])&lt;10,"0"&amp;MONTH(TbProventos[[#This Row],[Data]]),MONTH(TbProventos[[#This Row],[Data]]))</f>
        <v>2019/07</v>
      </c>
      <c r="I42" t="str">
        <f>VLOOKUP(TbProventos[[#This Row],[Ativo]],TbAtivos!B:C,2,0)</f>
        <v>FII</v>
      </c>
    </row>
    <row r="43" spans="1:9" x14ac:dyDescent="0.25">
      <c r="A43">
        <v>13</v>
      </c>
      <c r="B43" t="s">
        <v>5</v>
      </c>
      <c r="C43">
        <v>100</v>
      </c>
      <c r="D43" s="2">
        <v>156.13999999999999</v>
      </c>
      <c r="E43" s="2">
        <v>0</v>
      </c>
      <c r="F43" s="2">
        <v>156.13999999999999</v>
      </c>
      <c r="G43" s="1">
        <v>43692</v>
      </c>
      <c r="H43" t="str">
        <f>YEAR(TbProventos[[#This Row],[Data]])&amp;"/"&amp;IF(MONTH(TbProventos[[#This Row],[Data]])&lt;10,"0"&amp;MONTH(TbProventos[[#This Row],[Data]]),MONTH(TbProventos[[#This Row],[Data]]))</f>
        <v>2019/08</v>
      </c>
      <c r="I43" t="str">
        <f>VLOOKUP(TbProventos[[#This Row],[Ativo]],TbAtivos!B:C,2,0)</f>
        <v>EMPRESA</v>
      </c>
    </row>
    <row r="44" spans="1:9" x14ac:dyDescent="0.25">
      <c r="A44">
        <v>14</v>
      </c>
      <c r="B44" t="s">
        <v>8</v>
      </c>
      <c r="C44">
        <v>100</v>
      </c>
      <c r="D44" s="2">
        <v>61</v>
      </c>
      <c r="E44" s="2">
        <v>1.03</v>
      </c>
      <c r="F44" s="2">
        <v>59.97</v>
      </c>
      <c r="G44" s="1">
        <v>43694</v>
      </c>
      <c r="H44" t="str">
        <f>YEAR(TbProventos[[#This Row],[Data]])&amp;"/"&amp;IF(MONTH(TbProventos[[#This Row],[Data]])&lt;10,"0"&amp;MONTH(TbProventos[[#This Row],[Data]]),MONTH(TbProventos[[#This Row],[Data]]))</f>
        <v>2019/08</v>
      </c>
      <c r="I44" t="str">
        <f>VLOOKUP(TbProventos[[#This Row],[Ativo]],TbAtivos!B:C,2,0)</f>
        <v>FII</v>
      </c>
    </row>
    <row r="45" spans="1:9" x14ac:dyDescent="0.25">
      <c r="A45">
        <v>14</v>
      </c>
      <c r="B45" t="s">
        <v>10</v>
      </c>
      <c r="C45">
        <v>100</v>
      </c>
      <c r="D45" s="2">
        <v>99</v>
      </c>
      <c r="E45" s="2">
        <v>0</v>
      </c>
      <c r="F45" s="2">
        <v>99</v>
      </c>
      <c r="G45" s="1">
        <v>43694</v>
      </c>
      <c r="H45" t="str">
        <f>YEAR(TbProventos[[#This Row],[Data]])&amp;"/"&amp;IF(MONTH(TbProventos[[#This Row],[Data]])&lt;10,"0"&amp;MONTH(TbProventos[[#This Row],[Data]]),MONTH(TbProventos[[#This Row],[Data]]))</f>
        <v>2019/08</v>
      </c>
      <c r="I45" t="str">
        <f>VLOOKUP(TbProventos[[#This Row],[Ativo]],TbAtivos!B:C,2,0)</f>
        <v>FII</v>
      </c>
    </row>
    <row r="46" spans="1:9" x14ac:dyDescent="0.25">
      <c r="A46">
        <v>14</v>
      </c>
      <c r="B46" t="s">
        <v>11</v>
      </c>
      <c r="C46">
        <v>100</v>
      </c>
      <c r="D46" s="2">
        <v>99.9</v>
      </c>
      <c r="E46" s="2">
        <v>0</v>
      </c>
      <c r="F46" s="2">
        <v>99.9</v>
      </c>
      <c r="G46" s="1">
        <v>43694</v>
      </c>
      <c r="H46" t="str">
        <f>YEAR(TbProventos[[#This Row],[Data]])&amp;"/"&amp;IF(MONTH(TbProventos[[#This Row],[Data]])&lt;10,"0"&amp;MONTH(TbProventos[[#This Row],[Data]]),MONTH(TbProventos[[#This Row],[Data]]))</f>
        <v>2019/08</v>
      </c>
      <c r="I46" t="str">
        <f>VLOOKUP(TbProventos[[#This Row],[Ativo]],TbAtivos!B:C,2,0)</f>
        <v>FII</v>
      </c>
    </row>
    <row r="47" spans="1:9" x14ac:dyDescent="0.25">
      <c r="A47">
        <v>14</v>
      </c>
      <c r="B47" t="s">
        <v>12</v>
      </c>
      <c r="C47">
        <v>100</v>
      </c>
      <c r="D47" s="2">
        <v>98.42</v>
      </c>
      <c r="E47" s="2">
        <v>0</v>
      </c>
      <c r="F47" s="2">
        <v>98.42</v>
      </c>
      <c r="G47" s="1">
        <v>43694</v>
      </c>
      <c r="H47" t="str">
        <f>YEAR(TbProventos[[#This Row],[Data]])&amp;"/"&amp;IF(MONTH(TbProventos[[#This Row],[Data]])&lt;10,"0"&amp;MONTH(TbProventos[[#This Row],[Data]]),MONTH(TbProventos[[#This Row],[Data]]))</f>
        <v>2019/08</v>
      </c>
      <c r="I47" t="str">
        <f>VLOOKUP(TbProventos[[#This Row],[Ativo]],TbAtivos!B:C,2,0)</f>
        <v>FII</v>
      </c>
    </row>
    <row r="48" spans="1:9" x14ac:dyDescent="0.25">
      <c r="A48">
        <v>13</v>
      </c>
      <c r="B48" t="s">
        <v>3</v>
      </c>
      <c r="C48">
        <v>100</v>
      </c>
      <c r="D48" s="2">
        <v>166</v>
      </c>
      <c r="E48" s="2">
        <v>0</v>
      </c>
      <c r="F48" s="2">
        <v>166</v>
      </c>
      <c r="G48" s="1">
        <v>43723</v>
      </c>
      <c r="H48" t="str">
        <f>YEAR(TbProventos[[#This Row],[Data]])&amp;"/"&amp;IF(MONTH(TbProventos[[#This Row],[Data]])&lt;10,"0"&amp;MONTH(TbProventos[[#This Row],[Data]]),MONTH(TbProventos[[#This Row],[Data]]))</f>
        <v>2019/09</v>
      </c>
      <c r="I48" t="str">
        <f>VLOOKUP(TbProventos[[#This Row],[Ativo]],TbAtivos!B:C,2,0)</f>
        <v>EMPRESA</v>
      </c>
    </row>
    <row r="49" spans="1:9" x14ac:dyDescent="0.25">
      <c r="A49">
        <v>14</v>
      </c>
      <c r="B49" t="s">
        <v>8</v>
      </c>
      <c r="C49">
        <v>100</v>
      </c>
      <c r="D49" s="2">
        <v>37.44</v>
      </c>
      <c r="E49" s="2">
        <v>0</v>
      </c>
      <c r="F49" s="2">
        <v>37.44</v>
      </c>
      <c r="G49" s="1">
        <v>43725</v>
      </c>
      <c r="H49" t="str">
        <f>YEAR(TbProventos[[#This Row],[Data]])&amp;"/"&amp;IF(MONTH(TbProventos[[#This Row],[Data]])&lt;10,"0"&amp;MONTH(TbProventos[[#This Row],[Data]]),MONTH(TbProventos[[#This Row],[Data]]))</f>
        <v>2019/09</v>
      </c>
      <c r="I49" t="str">
        <f>VLOOKUP(TbProventos[[#This Row],[Ativo]],TbAtivos!B:C,2,0)</f>
        <v>FII</v>
      </c>
    </row>
    <row r="50" spans="1:9" x14ac:dyDescent="0.25">
      <c r="A50">
        <v>14</v>
      </c>
      <c r="B50" t="s">
        <v>10</v>
      </c>
      <c r="C50">
        <v>100</v>
      </c>
      <c r="D50" s="2">
        <v>52.02</v>
      </c>
      <c r="E50" s="2">
        <v>0</v>
      </c>
      <c r="F50" s="2">
        <v>52.02</v>
      </c>
      <c r="G50" s="1">
        <v>43725</v>
      </c>
      <c r="H50" t="str">
        <f>YEAR(TbProventos[[#This Row],[Data]])&amp;"/"&amp;IF(MONTH(TbProventos[[#This Row],[Data]])&lt;10,"0"&amp;MONTH(TbProventos[[#This Row],[Data]]),MONTH(TbProventos[[#This Row],[Data]]))</f>
        <v>2019/09</v>
      </c>
      <c r="I50" t="str">
        <f>VLOOKUP(TbProventos[[#This Row],[Ativo]],TbAtivos!B:C,2,0)</f>
        <v>FII</v>
      </c>
    </row>
    <row r="51" spans="1:9" x14ac:dyDescent="0.25">
      <c r="A51">
        <v>14</v>
      </c>
      <c r="B51" t="s">
        <v>11</v>
      </c>
      <c r="C51">
        <v>100</v>
      </c>
      <c r="D51" s="2">
        <v>42.14</v>
      </c>
      <c r="E51" s="2">
        <v>0</v>
      </c>
      <c r="F51" s="2">
        <v>42.14</v>
      </c>
      <c r="G51" s="1">
        <v>43725</v>
      </c>
      <c r="H51" t="str">
        <f>YEAR(TbProventos[[#This Row],[Data]])&amp;"/"&amp;IF(MONTH(TbProventos[[#This Row],[Data]])&lt;10,"0"&amp;MONTH(TbProventos[[#This Row],[Data]]),MONTH(TbProventos[[#This Row],[Data]]))</f>
        <v>2019/09</v>
      </c>
      <c r="I51" t="str">
        <f>VLOOKUP(TbProventos[[#This Row],[Ativo]],TbAtivos!B:C,2,0)</f>
        <v>FII</v>
      </c>
    </row>
    <row r="52" spans="1:9" x14ac:dyDescent="0.25">
      <c r="A52">
        <v>14</v>
      </c>
      <c r="B52" t="s">
        <v>12</v>
      </c>
      <c r="C52">
        <v>100</v>
      </c>
      <c r="D52" s="2">
        <v>177.12</v>
      </c>
      <c r="E52" s="2">
        <v>0</v>
      </c>
      <c r="F52" s="2">
        <v>177.12</v>
      </c>
      <c r="G52" s="1">
        <v>43725</v>
      </c>
      <c r="H52" t="str">
        <f>YEAR(TbProventos[[#This Row],[Data]])&amp;"/"&amp;IF(MONTH(TbProventos[[#This Row],[Data]])&lt;10,"0"&amp;MONTH(TbProventos[[#This Row],[Data]]),MONTH(TbProventos[[#This Row],[Data]]))</f>
        <v>2019/09</v>
      </c>
      <c r="I52" t="str">
        <f>VLOOKUP(TbProventos[[#This Row],[Ativo]],TbAtivos!B:C,2,0)</f>
        <v>FII</v>
      </c>
    </row>
    <row r="53" spans="1:9" x14ac:dyDescent="0.25">
      <c r="A53">
        <v>13</v>
      </c>
      <c r="B53" t="s">
        <v>6</v>
      </c>
      <c r="C53">
        <v>100</v>
      </c>
      <c r="D53" s="2">
        <v>162.75</v>
      </c>
      <c r="E53" s="2">
        <v>0</v>
      </c>
      <c r="F53" s="2">
        <v>162.75</v>
      </c>
      <c r="G53" s="1">
        <v>43753</v>
      </c>
      <c r="H53" t="str">
        <f>YEAR(TbProventos[[#This Row],[Data]])&amp;"/"&amp;IF(MONTH(TbProventos[[#This Row],[Data]])&lt;10,"0"&amp;MONTH(TbProventos[[#This Row],[Data]]),MONTH(TbProventos[[#This Row],[Data]]))</f>
        <v>2019/10</v>
      </c>
      <c r="I53" t="str">
        <f>VLOOKUP(TbProventos[[#This Row],[Ativo]],TbAtivos!B:C,2,0)</f>
        <v>EMPRESA</v>
      </c>
    </row>
    <row r="54" spans="1:9" x14ac:dyDescent="0.25">
      <c r="A54">
        <v>14</v>
      </c>
      <c r="B54" t="s">
        <v>8</v>
      </c>
      <c r="C54">
        <v>100</v>
      </c>
      <c r="D54" s="2">
        <v>61</v>
      </c>
      <c r="E54" s="2">
        <v>0</v>
      </c>
      <c r="F54" s="2">
        <v>61</v>
      </c>
      <c r="G54" s="1">
        <v>43755</v>
      </c>
      <c r="H54" t="str">
        <f>YEAR(TbProventos[[#This Row],[Data]])&amp;"/"&amp;IF(MONTH(TbProventos[[#This Row],[Data]])&lt;10,"0"&amp;MONTH(TbProventos[[#This Row],[Data]]),MONTH(TbProventos[[#This Row],[Data]]))</f>
        <v>2019/10</v>
      </c>
      <c r="I54" t="str">
        <f>VLOOKUP(TbProventos[[#This Row],[Ativo]],TbAtivos!B:C,2,0)</f>
        <v>FII</v>
      </c>
    </row>
    <row r="55" spans="1:9" x14ac:dyDescent="0.25">
      <c r="A55">
        <v>14</v>
      </c>
      <c r="B55" t="s">
        <v>10</v>
      </c>
      <c r="C55">
        <v>100</v>
      </c>
      <c r="D55" s="2">
        <v>180.6</v>
      </c>
      <c r="E55" s="2">
        <v>0</v>
      </c>
      <c r="F55" s="2">
        <v>180.6</v>
      </c>
      <c r="G55" s="1">
        <v>43755</v>
      </c>
      <c r="H55" t="str">
        <f>YEAR(TbProventos[[#This Row],[Data]])&amp;"/"&amp;IF(MONTH(TbProventos[[#This Row],[Data]])&lt;10,"0"&amp;MONTH(TbProventos[[#This Row],[Data]]),MONTH(TbProventos[[#This Row],[Data]]))</f>
        <v>2019/10</v>
      </c>
      <c r="I55" t="str">
        <f>VLOOKUP(TbProventos[[#This Row],[Ativo]],TbAtivos!B:C,2,0)</f>
        <v>FII</v>
      </c>
    </row>
    <row r="56" spans="1:9" x14ac:dyDescent="0.25">
      <c r="A56">
        <v>14</v>
      </c>
      <c r="B56" t="s">
        <v>11</v>
      </c>
      <c r="C56">
        <v>100</v>
      </c>
      <c r="D56" s="2">
        <v>38.4</v>
      </c>
      <c r="E56" s="2">
        <v>0</v>
      </c>
      <c r="F56" s="2">
        <v>38.4</v>
      </c>
      <c r="G56" s="1">
        <v>43755</v>
      </c>
      <c r="H56" t="str">
        <f>YEAR(TbProventos[[#This Row],[Data]])&amp;"/"&amp;IF(MONTH(TbProventos[[#This Row],[Data]])&lt;10,"0"&amp;MONTH(TbProventos[[#This Row],[Data]]),MONTH(TbProventos[[#This Row],[Data]]))</f>
        <v>2019/10</v>
      </c>
      <c r="I56" t="str">
        <f>VLOOKUP(TbProventos[[#This Row],[Ativo]],TbAtivos!B:C,2,0)</f>
        <v>FII</v>
      </c>
    </row>
    <row r="57" spans="1:9" x14ac:dyDescent="0.25">
      <c r="A57">
        <v>14</v>
      </c>
      <c r="B57" t="s">
        <v>12</v>
      </c>
      <c r="C57">
        <v>100</v>
      </c>
      <c r="D57" s="2">
        <v>153.18</v>
      </c>
      <c r="E57" s="2">
        <v>0</v>
      </c>
      <c r="F57" s="2">
        <v>153.18</v>
      </c>
      <c r="G57" s="1">
        <v>43755</v>
      </c>
      <c r="H57" t="str">
        <f>YEAR(TbProventos[[#This Row],[Data]])&amp;"/"&amp;IF(MONTH(TbProventos[[#This Row],[Data]])&lt;10,"0"&amp;MONTH(TbProventos[[#This Row],[Data]]),MONTH(TbProventos[[#This Row],[Data]]))</f>
        <v>2019/10</v>
      </c>
      <c r="I57" t="str">
        <f>VLOOKUP(TbProventos[[#This Row],[Ativo]],TbAtivos!B:C,2,0)</f>
        <v>FII</v>
      </c>
    </row>
    <row r="58" spans="1:9" x14ac:dyDescent="0.25">
      <c r="A58">
        <v>13</v>
      </c>
      <c r="B58" t="s">
        <v>15</v>
      </c>
      <c r="C58">
        <v>100</v>
      </c>
      <c r="D58" s="2">
        <v>156.13999999999999</v>
      </c>
      <c r="E58" s="2">
        <v>0</v>
      </c>
      <c r="F58" s="2">
        <v>156.13999999999999</v>
      </c>
      <c r="G58" s="1">
        <v>43753</v>
      </c>
      <c r="H58" t="str">
        <f>YEAR(TbProventos[[#This Row],[Data]])&amp;"/"&amp;IF(MONTH(TbProventos[[#This Row],[Data]])&lt;10,"0"&amp;MONTH(TbProventos[[#This Row],[Data]]),MONTH(TbProventos[[#This Row],[Data]]))</f>
        <v>2019/10</v>
      </c>
      <c r="I58" t="str">
        <f>VLOOKUP(TbProventos[[#This Row],[Ativo]],TbAtivos!B:C,2,0)</f>
        <v>EMPRESA</v>
      </c>
    </row>
    <row r="59" spans="1:9" x14ac:dyDescent="0.25">
      <c r="A59">
        <v>14</v>
      </c>
      <c r="B59" t="s">
        <v>8</v>
      </c>
      <c r="C59">
        <v>100</v>
      </c>
      <c r="D59" s="2">
        <v>61</v>
      </c>
      <c r="E59" s="2">
        <v>0</v>
      </c>
      <c r="F59" s="2">
        <v>61</v>
      </c>
      <c r="G59" s="1">
        <v>43755</v>
      </c>
      <c r="H59" t="str">
        <f>YEAR(TbProventos[[#This Row],[Data]])&amp;"/"&amp;IF(MONTH(TbProventos[[#This Row],[Data]])&lt;10,"0"&amp;MONTH(TbProventos[[#This Row],[Data]]),MONTH(TbProventos[[#This Row],[Data]]))</f>
        <v>2019/10</v>
      </c>
      <c r="I59" t="str">
        <f>VLOOKUP(TbProventos[[#This Row],[Ativo]],TbAtivos!B:C,2,0)</f>
        <v>FII</v>
      </c>
    </row>
    <row r="60" spans="1:9" x14ac:dyDescent="0.25">
      <c r="A60">
        <v>14</v>
      </c>
      <c r="B60" t="s">
        <v>10</v>
      </c>
      <c r="C60">
        <v>100</v>
      </c>
      <c r="D60" s="2">
        <v>99</v>
      </c>
      <c r="E60" s="2">
        <v>0</v>
      </c>
      <c r="F60" s="2">
        <v>99</v>
      </c>
      <c r="G60" s="1">
        <v>43755</v>
      </c>
      <c r="H60" t="str">
        <f>YEAR(TbProventos[[#This Row],[Data]])&amp;"/"&amp;IF(MONTH(TbProventos[[#This Row],[Data]])&lt;10,"0"&amp;MONTH(TbProventos[[#This Row],[Data]]),MONTH(TbProventos[[#This Row],[Data]]))</f>
        <v>2019/10</v>
      </c>
      <c r="I60" t="str">
        <f>VLOOKUP(TbProventos[[#This Row],[Ativo]],TbAtivos!B:C,2,0)</f>
        <v>FII</v>
      </c>
    </row>
    <row r="61" spans="1:9" x14ac:dyDescent="0.25">
      <c r="A61">
        <v>14</v>
      </c>
      <c r="B61" t="s">
        <v>11</v>
      </c>
      <c r="C61">
        <v>100</v>
      </c>
      <c r="D61" s="2">
        <v>99.9</v>
      </c>
      <c r="E61" s="2">
        <v>0</v>
      </c>
      <c r="F61" s="2">
        <v>99.9</v>
      </c>
      <c r="G61" s="1">
        <v>43755</v>
      </c>
      <c r="H61" t="str">
        <f>YEAR(TbProventos[[#This Row],[Data]])&amp;"/"&amp;IF(MONTH(TbProventos[[#This Row],[Data]])&lt;10,"0"&amp;MONTH(TbProventos[[#This Row],[Data]]),MONTH(TbProventos[[#This Row],[Data]]))</f>
        <v>2019/10</v>
      </c>
      <c r="I61" t="str">
        <f>VLOOKUP(TbProventos[[#This Row],[Ativo]],TbAtivos!B:C,2,0)</f>
        <v>FII</v>
      </c>
    </row>
    <row r="62" spans="1:9" x14ac:dyDescent="0.25">
      <c r="A62">
        <v>14</v>
      </c>
      <c r="B62" t="s">
        <v>12</v>
      </c>
      <c r="C62">
        <v>100</v>
      </c>
      <c r="D62" s="2">
        <v>98.42</v>
      </c>
      <c r="E62" s="2">
        <v>0</v>
      </c>
      <c r="F62" s="2">
        <v>98.42</v>
      </c>
      <c r="G62" s="1">
        <v>43755</v>
      </c>
      <c r="H62" t="str">
        <f>YEAR(TbProventos[[#This Row],[Data]])&amp;"/"&amp;IF(MONTH(TbProventos[[#This Row],[Data]])&lt;10,"0"&amp;MONTH(TbProventos[[#This Row],[Data]]),MONTH(TbProventos[[#This Row],[Data]]))</f>
        <v>2019/10</v>
      </c>
      <c r="I62" t="str">
        <f>VLOOKUP(TbProventos[[#This Row],[Ativo]],TbAtivos!B:C,2,0)</f>
        <v>FII</v>
      </c>
    </row>
    <row r="63" spans="1:9" x14ac:dyDescent="0.25">
      <c r="A63">
        <v>13</v>
      </c>
      <c r="B63" t="s">
        <v>6</v>
      </c>
      <c r="C63">
        <v>100</v>
      </c>
      <c r="D63" s="2">
        <v>166</v>
      </c>
      <c r="E63" s="2">
        <v>0</v>
      </c>
      <c r="F63" s="2">
        <v>166</v>
      </c>
      <c r="G63" s="1">
        <v>43753</v>
      </c>
      <c r="H63" t="str">
        <f>YEAR(TbProventos[[#This Row],[Data]])&amp;"/"&amp;IF(MONTH(TbProventos[[#This Row],[Data]])&lt;10,"0"&amp;MONTH(TbProventos[[#This Row],[Data]]),MONTH(TbProventos[[#This Row],[Data]]))</f>
        <v>2019/10</v>
      </c>
      <c r="I63" t="str">
        <f>VLOOKUP(TbProventos[[#This Row],[Ativo]],TbAtivos!B:C,2,0)</f>
        <v>EMPRESA</v>
      </c>
    </row>
    <row r="64" spans="1:9" x14ac:dyDescent="0.25">
      <c r="A64">
        <v>14</v>
      </c>
      <c r="B64" t="s">
        <v>8</v>
      </c>
      <c r="C64">
        <v>100</v>
      </c>
      <c r="D64" s="2">
        <v>37.44</v>
      </c>
      <c r="E64" s="2">
        <v>0</v>
      </c>
      <c r="F64" s="2">
        <v>37.44</v>
      </c>
      <c r="G64" s="1">
        <v>43755</v>
      </c>
      <c r="H64" t="str">
        <f>YEAR(TbProventos[[#This Row],[Data]])&amp;"/"&amp;IF(MONTH(TbProventos[[#This Row],[Data]])&lt;10,"0"&amp;MONTH(TbProventos[[#This Row],[Data]]),MONTH(TbProventos[[#This Row],[Data]]))</f>
        <v>2019/10</v>
      </c>
      <c r="I64" t="str">
        <f>VLOOKUP(TbProventos[[#This Row],[Ativo]],TbAtivos!B:C,2,0)</f>
        <v>FII</v>
      </c>
    </row>
    <row r="65" spans="1:9" x14ac:dyDescent="0.25">
      <c r="A65">
        <v>14</v>
      </c>
      <c r="B65" t="s">
        <v>10</v>
      </c>
      <c r="C65">
        <v>100</v>
      </c>
      <c r="D65" s="2">
        <v>52.02</v>
      </c>
      <c r="E65" s="2">
        <v>0</v>
      </c>
      <c r="F65" s="2">
        <v>52.02</v>
      </c>
      <c r="G65" s="1">
        <v>43755</v>
      </c>
      <c r="H65" t="str">
        <f>YEAR(TbProventos[[#This Row],[Data]])&amp;"/"&amp;IF(MONTH(TbProventos[[#This Row],[Data]])&lt;10,"0"&amp;MONTH(TbProventos[[#This Row],[Data]]),MONTH(TbProventos[[#This Row],[Data]]))</f>
        <v>2019/10</v>
      </c>
      <c r="I65" t="str">
        <f>VLOOKUP(TbProventos[[#This Row],[Ativo]],TbAtivos!B:C,2,0)</f>
        <v>FII</v>
      </c>
    </row>
    <row r="66" spans="1:9" x14ac:dyDescent="0.25">
      <c r="A66">
        <v>14</v>
      </c>
      <c r="B66" t="s">
        <v>11</v>
      </c>
      <c r="C66">
        <v>100</v>
      </c>
      <c r="D66" s="2">
        <v>42.14</v>
      </c>
      <c r="E66" s="2">
        <v>0</v>
      </c>
      <c r="F66" s="2">
        <v>42.14</v>
      </c>
      <c r="G66" s="1">
        <v>43755</v>
      </c>
      <c r="H66" t="str">
        <f>YEAR(TbProventos[[#This Row],[Data]])&amp;"/"&amp;IF(MONTH(TbProventos[[#This Row],[Data]])&lt;10,"0"&amp;MONTH(TbProventos[[#This Row],[Data]]),MONTH(TbProventos[[#This Row],[Data]]))</f>
        <v>2019/10</v>
      </c>
      <c r="I66" t="str">
        <f>VLOOKUP(TbProventos[[#This Row],[Ativo]],TbAtivos!B:C,2,0)</f>
        <v>FII</v>
      </c>
    </row>
    <row r="67" spans="1:9" x14ac:dyDescent="0.25">
      <c r="A67">
        <v>14</v>
      </c>
      <c r="B67" t="s">
        <v>12</v>
      </c>
      <c r="C67">
        <v>100</v>
      </c>
      <c r="D67" s="2">
        <v>177.12</v>
      </c>
      <c r="E67" s="2">
        <v>0</v>
      </c>
      <c r="F67" s="2">
        <v>177.12</v>
      </c>
      <c r="G67" s="1">
        <v>43755</v>
      </c>
      <c r="H67" t="str">
        <f>YEAR(TbProventos[[#This Row],[Data]])&amp;"/"&amp;IF(MONTH(TbProventos[[#This Row],[Data]])&lt;10,"0"&amp;MONTH(TbProventos[[#This Row],[Data]]),MONTH(TbProventos[[#This Row],[Data]]))</f>
        <v>2019/10</v>
      </c>
      <c r="I67" t="str">
        <f>VLOOKUP(TbProventos[[#This Row],[Ativo]],TbAtivos!B:C,2,0)</f>
        <v>FII</v>
      </c>
    </row>
    <row r="68" spans="1:9" x14ac:dyDescent="0.25">
      <c r="A68">
        <v>14</v>
      </c>
      <c r="B68" t="s">
        <v>15</v>
      </c>
      <c r="C68">
        <v>100</v>
      </c>
      <c r="D68" s="2">
        <v>162.75</v>
      </c>
      <c r="E68" s="2">
        <v>0</v>
      </c>
      <c r="F68" s="2">
        <v>162.75</v>
      </c>
      <c r="G68" s="1">
        <v>43845</v>
      </c>
      <c r="H68" t="str">
        <f>YEAR(TbProventos[[#This Row],[Data]])&amp;"/"&amp;IF(MONTH(TbProventos[[#This Row],[Data]])&lt;10,"0"&amp;MONTH(TbProventos[[#This Row],[Data]]),MONTH(TbProventos[[#This Row],[Data]]))</f>
        <v>2020/01</v>
      </c>
      <c r="I68" t="str">
        <f>VLOOKUP(TbProventos[[#This Row],[Ativo]],TbAtivos!B:C,2,0)</f>
        <v>EMPRESA</v>
      </c>
    </row>
    <row r="69" spans="1:9" x14ac:dyDescent="0.25">
      <c r="A69">
        <v>14</v>
      </c>
      <c r="B69" t="s">
        <v>8</v>
      </c>
      <c r="C69">
        <v>100</v>
      </c>
      <c r="D69" s="2">
        <v>61</v>
      </c>
      <c r="E69" s="2">
        <v>0</v>
      </c>
      <c r="F69" s="2">
        <v>61</v>
      </c>
      <c r="G69" s="1">
        <v>43847</v>
      </c>
      <c r="H69" t="str">
        <f>YEAR(TbProventos[[#This Row],[Data]])&amp;"/"&amp;IF(MONTH(TbProventos[[#This Row],[Data]])&lt;10,"0"&amp;MONTH(TbProventos[[#This Row],[Data]]),MONTH(TbProventos[[#This Row],[Data]]))</f>
        <v>2020/01</v>
      </c>
      <c r="I69" t="str">
        <f>VLOOKUP(TbProventos[[#This Row],[Ativo]],TbAtivos!B:C,2,0)</f>
        <v>FII</v>
      </c>
    </row>
    <row r="70" spans="1:9" x14ac:dyDescent="0.25">
      <c r="A70">
        <v>14</v>
      </c>
      <c r="B70" t="s">
        <v>10</v>
      </c>
      <c r="C70">
        <v>100</v>
      </c>
      <c r="D70" s="2">
        <v>180.6</v>
      </c>
      <c r="E70" s="2">
        <v>0</v>
      </c>
      <c r="F70" s="2">
        <v>180.6</v>
      </c>
      <c r="G70" s="1">
        <v>43847</v>
      </c>
      <c r="H70" t="str">
        <f>YEAR(TbProventos[[#This Row],[Data]])&amp;"/"&amp;IF(MONTH(TbProventos[[#This Row],[Data]])&lt;10,"0"&amp;MONTH(TbProventos[[#This Row],[Data]]),MONTH(TbProventos[[#This Row],[Data]]))</f>
        <v>2020/01</v>
      </c>
      <c r="I70" t="str">
        <f>VLOOKUP(TbProventos[[#This Row],[Ativo]],TbAtivos!B:C,2,0)</f>
        <v>FII</v>
      </c>
    </row>
    <row r="71" spans="1:9" x14ac:dyDescent="0.25">
      <c r="A71">
        <v>14</v>
      </c>
      <c r="B71" t="s">
        <v>11</v>
      </c>
      <c r="C71">
        <v>100</v>
      </c>
      <c r="D71" s="2">
        <v>38.4</v>
      </c>
      <c r="E71" s="2">
        <v>0</v>
      </c>
      <c r="F71" s="2">
        <v>38.4</v>
      </c>
      <c r="G71" s="1">
        <v>43847</v>
      </c>
      <c r="H71" t="str">
        <f>YEAR(TbProventos[[#This Row],[Data]])&amp;"/"&amp;IF(MONTH(TbProventos[[#This Row],[Data]])&lt;10,"0"&amp;MONTH(TbProventos[[#This Row],[Data]]),MONTH(TbProventos[[#This Row],[Data]]))</f>
        <v>2020/01</v>
      </c>
      <c r="I71" t="str">
        <f>VLOOKUP(TbProventos[[#This Row],[Ativo]],TbAtivos!B:C,2,0)</f>
        <v>FII</v>
      </c>
    </row>
    <row r="72" spans="1:9" x14ac:dyDescent="0.25">
      <c r="A72">
        <v>14</v>
      </c>
      <c r="B72" t="s">
        <v>12</v>
      </c>
      <c r="C72">
        <v>100</v>
      </c>
      <c r="D72" s="2">
        <v>153.18</v>
      </c>
      <c r="E72" s="2">
        <v>0</v>
      </c>
      <c r="F72" s="2">
        <v>153.18</v>
      </c>
      <c r="G72" s="1">
        <v>43847</v>
      </c>
      <c r="H72" t="str">
        <f>YEAR(TbProventos[[#This Row],[Data]])&amp;"/"&amp;IF(MONTH(TbProventos[[#This Row],[Data]])&lt;10,"0"&amp;MONTH(TbProventos[[#This Row],[Data]]),MONTH(TbProventos[[#This Row],[Data]]))</f>
        <v>2020/01</v>
      </c>
      <c r="I72" t="str">
        <f>VLOOKUP(TbProventos[[#This Row],[Ativo]],TbAtivos!B:C,2,0)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Dashboard</vt:lpstr>
      <vt:lpstr>DashboardAux</vt:lpstr>
      <vt:lpstr>ReCarteira</vt:lpstr>
      <vt:lpstr>ReCarteiraAções</vt:lpstr>
      <vt:lpstr>ReCarteiraFII</vt:lpstr>
      <vt:lpstr>ReAportes</vt:lpstr>
      <vt:lpstr>TbAportes</vt:lpstr>
      <vt:lpstr>ReProventos</vt:lpstr>
      <vt:lpstr>TbProventos</vt:lpstr>
      <vt:lpstr>TbAtivos</vt:lpstr>
      <vt:lpstr>TbAtivos!pubhtml</vt:lpstr>
      <vt:lpstr>TbAtivos_Ativos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Rausch Dias</dc:creator>
  <cp:lastModifiedBy>Daniel Rausch Dias</cp:lastModifiedBy>
  <dcterms:created xsi:type="dcterms:W3CDTF">2024-02-17T16:45:43Z</dcterms:created>
  <dcterms:modified xsi:type="dcterms:W3CDTF">2024-02-18T18:51:54Z</dcterms:modified>
</cp:coreProperties>
</file>