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dias\Desktop\"/>
    </mc:Choice>
  </mc:AlternateContent>
  <bookViews>
    <workbookView xWindow="0" yWindow="0" windowWidth="28800" windowHeight="12180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17" r:id="rId6"/>
    <sheet name="RegistroEntradas" sheetId="7" r:id="rId7"/>
    <sheet name="RegistroSaídas" sheetId="18" r:id="rId8"/>
    <sheet name="FluxoCaixaConsolidado" sheetId="9" r:id="rId9"/>
    <sheet name="DetalhaReceita" sheetId="10" r:id="rId10"/>
    <sheet name="DetalhaDespesa" sheetId="19" r:id="rId11"/>
    <sheet name="ContasPagar" sheetId="22" r:id="rId12"/>
    <sheet name="ContasReceber" sheetId="24" r:id="rId13"/>
    <sheet name="ContasReceberVencidas" sheetId="26" r:id="rId14"/>
    <sheet name="DashBoardFinanceiroAtual" sheetId="29" r:id="rId15"/>
    <sheet name="DashBoardFinanceiroAtualD" sheetId="30" state="hidden" r:id="rId16"/>
    <sheet name="DashBoardFinanceiroAnual" sheetId="27" r:id="rId17"/>
    <sheet name="DashBoardFinanceiroAnualD" sheetId="28" state="hidden" r:id="rId18"/>
  </sheets>
  <externalReferences>
    <externalReference r:id="rId19"/>
  </externalReferences>
  <definedNames>
    <definedName name="PCEntradasN1" localSheetId="11">TbPCEntradasN1[Nível 1]</definedName>
    <definedName name="PCEntradasN1" localSheetId="12">TbPCEntradasN1[Nível 1]</definedName>
    <definedName name="PCEntradasN1" localSheetId="13">TbPCEntradasN1[Nível 1]</definedName>
    <definedName name="PCEntradasN1" localSheetId="14">TbPCEntradasN1[Nível 1]</definedName>
    <definedName name="PCEntradasN1" localSheetId="15">TbPCEntradasN1[Nível 1]</definedName>
    <definedName name="PCEntradasN1" localSheetId="10">TbPCEntradasN1[Nível 1]</definedName>
    <definedName name="PCEntradasN1" localSheetId="5">TbPCEntradasN1[Nível 1]</definedName>
    <definedName name="PCEntradasN1" localSheetId="7">TbPCEntradasN1[Nível 1]</definedName>
    <definedName name="PCEntradasN1">TbPCEntradasN1[Nível 1]</definedName>
    <definedName name="PCEntradasN1_Nível_1">[1]!TbPCEntradasN1[Nível 1]</definedName>
    <definedName name="PCEntradasN2_1" localSheetId="11">TbPCEntradasN2[Nível 1]</definedName>
    <definedName name="PCEntradasN2_1" localSheetId="12">TbPCEntradasN2[Nível 1]</definedName>
    <definedName name="PCEntradasN2_1" localSheetId="13">TbPCEntradasN2[Nível 1]</definedName>
    <definedName name="PCEntradasN2_1" localSheetId="14">TbPCEntradasN2[Nível 1]</definedName>
    <definedName name="PCEntradasN2_1" localSheetId="15">TbPCEntradasN2[Nível 1]</definedName>
    <definedName name="PCEntradasN2_1" localSheetId="10">TbPCEntradasN2[Nível 1]</definedName>
    <definedName name="PCEntradasN2_1" localSheetId="7">TbPCEntradasN2[Nível 1]</definedName>
    <definedName name="PCEntradasN2_1">TbPCEntradasN2[Nível 1]</definedName>
    <definedName name="PCEntradasN2_2" localSheetId="11">TbPCEntradasN2[Nível 2]</definedName>
    <definedName name="PCEntradasN2_2" localSheetId="12">TbPCEntradasN2[Nível 2]</definedName>
    <definedName name="PCEntradasN2_2" localSheetId="13">TbPCEntradasN2[Nível 2]</definedName>
    <definedName name="PCEntradasN2_2" localSheetId="14">TbPCEntradasN2[Nível 2]</definedName>
    <definedName name="PCEntradasN2_2" localSheetId="15">TbPCEntradasN2[Nível 2]</definedName>
    <definedName name="PCEntradasN2_2" localSheetId="10">TbPCEntradasN2[Nível 2]</definedName>
    <definedName name="PCEntradasN2_2" localSheetId="7">TbPCEntradasN2[Nível 2]</definedName>
    <definedName name="PCEntradasN2_2">TbPCEntradasN2[Nível 2]</definedName>
    <definedName name="PCEntradasN2_Nível_1">[1]!TbPCEntradasN2[Nível 1]</definedName>
    <definedName name="PCEntradasN2_Nível_2">[1]!TbPCEntradasN2[Nível 2]</definedName>
    <definedName name="PCSaídasN1" localSheetId="11">TbPCSaídasN1[Nível 1]</definedName>
    <definedName name="PCSaídasN1" localSheetId="12">TbPCSaídasN1[Nível 1]</definedName>
    <definedName name="PCSaídasN1" localSheetId="13">TbPCSaídasN1[Nível 1]</definedName>
    <definedName name="PCSaídasN1" localSheetId="14">TbPCSaídasN1[Nível 1]</definedName>
    <definedName name="PCSaídasN1" localSheetId="15">TbPCSaídasN1[Nível 1]</definedName>
    <definedName name="PCSaídasN1" localSheetId="10">TbPCSaídasN1[Nível 1]</definedName>
    <definedName name="PCSaídasN1" localSheetId="7">TbPCSaídasN1[Nível 1]</definedName>
    <definedName name="PCSaídasN1">TbPCSaídasN1[Nível 1]</definedName>
    <definedName name="PCSaídasN1_Nível_1">[1]!TbPCSaídasN1[Nível 1]</definedName>
    <definedName name="PCSaídasN2_1" localSheetId="11">TbPCSaídasN2[Nível 1]</definedName>
    <definedName name="PCSaídasN2_1" localSheetId="12">TbPCSaídasN2[Nível 1]</definedName>
    <definedName name="PCSaídasN2_1" localSheetId="13">TbPCSaídasN2[Nível 1]</definedName>
    <definedName name="PCSaídasN2_1" localSheetId="14">TbPCSaídasN2[Nível 1]</definedName>
    <definedName name="PCSaídasN2_1" localSheetId="15">TbPCSaídasN2[Nível 1]</definedName>
    <definedName name="PCSaídasN2_1" localSheetId="10">TbPCSaídasN2[Nível 1]</definedName>
    <definedName name="PCSaídasN2_1">TbPCSaídasN2[Nível 1]</definedName>
    <definedName name="PCSaídasN2_2" localSheetId="11">TbPCSaídasN2[Nível 2]</definedName>
    <definedName name="PCSaídasN2_2" localSheetId="12">TbPCSaídasN2[Nível 2]</definedName>
    <definedName name="PCSaídasN2_2" localSheetId="13">TbPCSaídasN2[Nível 2]</definedName>
    <definedName name="PCSaídasN2_2" localSheetId="14">TbPCSaídasN2[Nível 2]</definedName>
    <definedName name="PCSaídasN2_2" localSheetId="15">TbPCSaídasN2[Nível 2]</definedName>
    <definedName name="PCSaídasN2_2" localSheetId="10">TbPCSaídasN2[Nível 2]</definedName>
    <definedName name="PCSaídasN2_2">TbPCSaídasN2[Nível 2]</definedName>
    <definedName name="PCSaídasN2_Nível_1">[1]!TbPCSaídasN2[Nível 1]</definedName>
    <definedName name="PCSaídasN2_Nível_2">[1]!TbPCSaídasN2[Nível 2]</definedName>
    <definedName name="SegmentaçãodeDados_Ano_Competência">#N/A</definedName>
    <definedName name="SegmentaçãodeDados_Ano_Competência1">#N/A</definedName>
    <definedName name="SegmentaçãodeDados_Ano_Previsto">#N/A</definedName>
    <definedName name="SegmentaçãodeDados_Ano_Previsto1">#N/A</definedName>
    <definedName name="SegmentaçãodeDados_Ano_Previsto1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62913"/>
  <pivotCaches>
    <pivotCache cacheId="87" r:id="rId20"/>
    <pivotCache cacheId="96" r:id="rId21"/>
  </pivotCaches>
  <extLst>
    <ext xmlns:x14="http://schemas.microsoft.com/office/spreadsheetml/2009/9/main" uri="{BBE1A952-AA13-448e-AADC-164F8A28A991}">
      <x14:slicerCaches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30" l="1"/>
  <c r="J4" i="30"/>
  <c r="C5" i="30"/>
  <c r="C4" i="30"/>
  <c r="G27" i="30" s="1"/>
  <c r="H30" i="28"/>
  <c r="H31" i="28"/>
  <c r="H43" i="28" s="1"/>
  <c r="I14" i="27"/>
  <c r="E32" i="28"/>
  <c r="D32" i="28"/>
  <c r="C32" i="28"/>
  <c r="B32" i="28"/>
  <c r="Q14" i="7"/>
  <c r="O23" i="7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132" i="18"/>
  <c r="O133" i="18"/>
  <c r="O134" i="18"/>
  <c r="O135" i="18"/>
  <c r="O136" i="18"/>
  <c r="O137" i="18"/>
  <c r="O138" i="18"/>
  <c r="O139" i="18"/>
  <c r="O140" i="18"/>
  <c r="O141" i="18"/>
  <c r="O142" i="18"/>
  <c r="O143" i="18"/>
  <c r="O144" i="18"/>
  <c r="O145" i="18"/>
  <c r="O146" i="18"/>
  <c r="O147" i="18"/>
  <c r="O148" i="18"/>
  <c r="O149" i="18"/>
  <c r="O150" i="18"/>
  <c r="O151" i="18"/>
  <c r="O152" i="18"/>
  <c r="O153" i="18"/>
  <c r="O154" i="18"/>
  <c r="O155" i="18"/>
  <c r="O156" i="18"/>
  <c r="O157" i="18"/>
  <c r="O158" i="18"/>
  <c r="O159" i="18"/>
  <c r="O160" i="18"/>
  <c r="O161" i="18"/>
  <c r="O162" i="18"/>
  <c r="O163" i="18"/>
  <c r="O164" i="18"/>
  <c r="O165" i="18"/>
  <c r="O166" i="18"/>
  <c r="O167" i="18"/>
  <c r="O168" i="18"/>
  <c r="O169" i="18"/>
  <c r="O170" i="18"/>
  <c r="O171" i="18"/>
  <c r="O172" i="18"/>
  <c r="O173" i="18"/>
  <c r="O174" i="18"/>
  <c r="O175" i="18"/>
  <c r="O176" i="18"/>
  <c r="O177" i="18"/>
  <c r="O178" i="18"/>
  <c r="O179" i="18"/>
  <c r="O180" i="18"/>
  <c r="O181" i="18"/>
  <c r="O182" i="18"/>
  <c r="O183" i="18"/>
  <c r="O184" i="18"/>
  <c r="O185" i="18"/>
  <c r="O186" i="18"/>
  <c r="O187" i="18"/>
  <c r="O188" i="18"/>
  <c r="O189" i="18"/>
  <c r="O190" i="18"/>
  <c r="O191" i="18"/>
  <c r="O192" i="18"/>
  <c r="O193" i="18"/>
  <c r="O194" i="18"/>
  <c r="O195" i="18"/>
  <c r="O196" i="18"/>
  <c r="O197" i="18"/>
  <c r="O198" i="18"/>
  <c r="O199" i="18"/>
  <c r="O200" i="18"/>
  <c r="O201" i="18"/>
  <c r="O202" i="18"/>
  <c r="O203" i="18"/>
  <c r="O204" i="18"/>
  <c r="O205" i="18"/>
  <c r="O206" i="18"/>
  <c r="O207" i="18"/>
  <c r="O208" i="18"/>
  <c r="O209" i="18"/>
  <c r="O210" i="18"/>
  <c r="O211" i="18"/>
  <c r="O212" i="18"/>
  <c r="O213" i="18"/>
  <c r="O214" i="18"/>
  <c r="O215" i="18"/>
  <c r="O216" i="18"/>
  <c r="O217" i="18"/>
  <c r="O218" i="18"/>
  <c r="O219" i="18"/>
  <c r="O220" i="18"/>
  <c r="O221" i="18"/>
  <c r="O222" i="18"/>
  <c r="O223" i="18"/>
  <c r="O224" i="18"/>
  <c r="O225" i="18"/>
  <c r="O226" i="18"/>
  <c r="O227" i="18"/>
  <c r="O228" i="18"/>
  <c r="O229" i="18"/>
  <c r="O230" i="18"/>
  <c r="O231" i="18"/>
  <c r="O232" i="18"/>
  <c r="Q4" i="7"/>
  <c r="Q5" i="7"/>
  <c r="Q6" i="7"/>
  <c r="Q7" i="7"/>
  <c r="Q8" i="7"/>
  <c r="Q9" i="7"/>
  <c r="Q10" i="7"/>
  <c r="Q11" i="7"/>
  <c r="Q12" i="7"/>
  <c r="Q13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Q214" i="7"/>
  <c r="Q215" i="7"/>
  <c r="Q216" i="7"/>
  <c r="Q217" i="7"/>
  <c r="Q218" i="7"/>
  <c r="Q219" i="7"/>
  <c r="Q220" i="7"/>
  <c r="Q221" i="7"/>
  <c r="Q222" i="7"/>
  <c r="Q223" i="7"/>
  <c r="Q224" i="7"/>
  <c r="Q225" i="7"/>
  <c r="Q226" i="7"/>
  <c r="Q227" i="7"/>
  <c r="Q228" i="7"/>
  <c r="Q229" i="7"/>
  <c r="Q230" i="7"/>
  <c r="Q231" i="7"/>
  <c r="Q232" i="7"/>
  <c r="Q233" i="7"/>
  <c r="Q234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G6" i="30" l="1"/>
  <c r="G12" i="30"/>
  <c r="H16" i="30"/>
  <c r="G7" i="30"/>
  <c r="G14" i="30"/>
  <c r="G15" i="30"/>
  <c r="H5" i="30"/>
  <c r="H13" i="30"/>
  <c r="G16" i="30"/>
  <c r="H12" i="30"/>
  <c r="C9" i="30"/>
  <c r="G9" i="30" s="1"/>
  <c r="D13" i="30"/>
  <c r="B8" i="29" s="1"/>
  <c r="H6" i="30"/>
  <c r="H14" i="30"/>
  <c r="H7" i="30"/>
  <c r="H15" i="30"/>
  <c r="G5" i="30"/>
  <c r="G13" i="30"/>
  <c r="I27" i="30"/>
  <c r="H27" i="30"/>
  <c r="C8" i="30"/>
  <c r="H8" i="30" s="1"/>
  <c r="C10" i="30"/>
  <c r="H10" i="30" s="1"/>
  <c r="D14" i="30"/>
  <c r="B11" i="29" s="1"/>
  <c r="B22" i="30"/>
  <c r="B32" i="30"/>
  <c r="L3" i="30"/>
  <c r="J5" i="30" s="1"/>
  <c r="B27" i="30"/>
  <c r="D27" i="30" s="1"/>
  <c r="H30" i="30"/>
  <c r="H34" i="28"/>
  <c r="H36" i="28"/>
  <c r="H37" i="28"/>
  <c r="H39" i="28"/>
  <c r="H32" i="28"/>
  <c r="H40" i="28"/>
  <c r="H38" i="28"/>
  <c r="H33" i="28"/>
  <c r="H41" i="28"/>
  <c r="H42" i="28"/>
  <c r="H35" i="28"/>
  <c r="J4" i="28"/>
  <c r="C4" i="28"/>
  <c r="D22" i="30" l="1"/>
  <c r="C22" i="30"/>
  <c r="H9" i="30"/>
  <c r="G10" i="30"/>
  <c r="D32" i="30"/>
  <c r="C32" i="30"/>
  <c r="C27" i="30"/>
  <c r="J13" i="30"/>
  <c r="K13" i="30" s="1"/>
  <c r="K5" i="30"/>
  <c r="J14" i="30"/>
  <c r="K14" i="30" s="1"/>
  <c r="J12" i="30"/>
  <c r="J10" i="30"/>
  <c r="K10" i="30" s="1"/>
  <c r="J6" i="30"/>
  <c r="K6" i="30" s="1"/>
  <c r="J9" i="30"/>
  <c r="K9" i="30" s="1"/>
  <c r="J16" i="30"/>
  <c r="K16" i="30" s="1"/>
  <c r="J8" i="30"/>
  <c r="K8" i="30" s="1"/>
  <c r="J15" i="30"/>
  <c r="K15" i="30" s="1"/>
  <c r="J7" i="30"/>
  <c r="K7" i="30" s="1"/>
  <c r="C11" i="30"/>
  <c r="H42" i="30"/>
  <c r="H34" i="30"/>
  <c r="H41" i="30"/>
  <c r="H33" i="30"/>
  <c r="H40" i="30"/>
  <c r="H32" i="30"/>
  <c r="H35" i="30"/>
  <c r="H39" i="30"/>
  <c r="H38" i="30"/>
  <c r="H37" i="30"/>
  <c r="H36" i="30"/>
  <c r="H43" i="30"/>
  <c r="G8" i="30"/>
  <c r="J27" i="30"/>
  <c r="G16" i="29" s="1"/>
  <c r="K12" i="30"/>
  <c r="H44" i="28"/>
  <c r="K15" i="27" s="1"/>
  <c r="B27" i="28"/>
  <c r="G27" i="28"/>
  <c r="B22" i="28"/>
  <c r="L3" i="28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E32" i="30" l="1"/>
  <c r="I14" i="29" s="1"/>
  <c r="B5" i="29"/>
  <c r="H11" i="30"/>
  <c r="G11" i="30"/>
  <c r="J11" i="30"/>
  <c r="K11" i="30" s="1"/>
  <c r="E22" i="30"/>
  <c r="B16" i="29" s="1"/>
  <c r="E27" i="30"/>
  <c r="F16" i="29" s="1"/>
  <c r="H44" i="30"/>
  <c r="K15" i="29" s="1"/>
  <c r="I27" i="28"/>
  <c r="H27" i="28"/>
  <c r="C27" i="28"/>
  <c r="D27" i="28"/>
  <c r="N4" i="18"/>
  <c r="M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131" i="18"/>
  <c r="N132" i="18"/>
  <c r="N133" i="18"/>
  <c r="N134" i="18"/>
  <c r="N135" i="18"/>
  <c r="N136" i="18"/>
  <c r="N137" i="18"/>
  <c r="N138" i="18"/>
  <c r="N139" i="18"/>
  <c r="N140" i="18"/>
  <c r="N141" i="18"/>
  <c r="N142" i="18"/>
  <c r="N143" i="18"/>
  <c r="N144" i="18"/>
  <c r="N145" i="18"/>
  <c r="N146" i="18"/>
  <c r="N147" i="18"/>
  <c r="N148" i="18"/>
  <c r="N149" i="18"/>
  <c r="N150" i="18"/>
  <c r="N151" i="18"/>
  <c r="N152" i="18"/>
  <c r="N153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17" i="18"/>
  <c r="N218" i="18"/>
  <c r="N219" i="18"/>
  <c r="N220" i="18"/>
  <c r="N221" i="18"/>
  <c r="N222" i="18"/>
  <c r="N223" i="18"/>
  <c r="N224" i="18"/>
  <c r="N225" i="18"/>
  <c r="N226" i="18"/>
  <c r="N227" i="18"/>
  <c r="N228" i="18"/>
  <c r="N229" i="18"/>
  <c r="N230" i="18"/>
  <c r="N231" i="18"/>
  <c r="N232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52" i="18"/>
  <c r="M153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K8" i="29" l="1"/>
  <c r="E27" i="28"/>
  <c r="J27" i="2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198" i="18"/>
  <c r="L199" i="18"/>
  <c r="L200" i="18"/>
  <c r="L201" i="18"/>
  <c r="L202" i="18"/>
  <c r="L203" i="18"/>
  <c r="L204" i="18"/>
  <c r="L205" i="18"/>
  <c r="L206" i="18"/>
  <c r="L207" i="18"/>
  <c r="L208" i="18"/>
  <c r="L209" i="18"/>
  <c r="L210" i="18"/>
  <c r="L211" i="18"/>
  <c r="L212" i="18"/>
  <c r="L213" i="18"/>
  <c r="L214" i="18"/>
  <c r="L215" i="18"/>
  <c r="L216" i="18"/>
  <c r="L217" i="18"/>
  <c r="L218" i="18"/>
  <c r="L219" i="18"/>
  <c r="L220" i="18"/>
  <c r="L221" i="18"/>
  <c r="L222" i="18"/>
  <c r="L223" i="18"/>
  <c r="L224" i="18"/>
  <c r="L225" i="18"/>
  <c r="L226" i="18"/>
  <c r="L227" i="18"/>
  <c r="L228" i="18"/>
  <c r="L229" i="18"/>
  <c r="L230" i="18"/>
  <c r="L231" i="18"/>
  <c r="L232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16" i="18"/>
  <c r="K117" i="18"/>
  <c r="K118" i="18"/>
  <c r="K119" i="18"/>
  <c r="K120" i="18"/>
  <c r="K121" i="18"/>
  <c r="K122" i="18"/>
  <c r="K123" i="18"/>
  <c r="K124" i="18"/>
  <c r="K125" i="18"/>
  <c r="K126" i="18"/>
  <c r="K127" i="18"/>
  <c r="K128" i="18"/>
  <c r="K129" i="18"/>
  <c r="K130" i="18"/>
  <c r="K131" i="18"/>
  <c r="K132" i="18"/>
  <c r="K133" i="18"/>
  <c r="K134" i="18"/>
  <c r="K135" i="18"/>
  <c r="K136" i="18"/>
  <c r="K137" i="18"/>
  <c r="K138" i="18"/>
  <c r="K139" i="18"/>
  <c r="K140" i="18"/>
  <c r="K141" i="18"/>
  <c r="K142" i="18"/>
  <c r="K143" i="18"/>
  <c r="K144" i="18"/>
  <c r="K145" i="18"/>
  <c r="K146" i="18"/>
  <c r="K147" i="18"/>
  <c r="K148" i="18"/>
  <c r="K149" i="18"/>
  <c r="K150" i="18"/>
  <c r="K151" i="18"/>
  <c r="K152" i="18"/>
  <c r="K153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17" i="18"/>
  <c r="K218" i="18"/>
  <c r="K219" i="18"/>
  <c r="K220" i="18"/>
  <c r="K221" i="18"/>
  <c r="K222" i="18"/>
  <c r="K223" i="18"/>
  <c r="K224" i="18"/>
  <c r="K225" i="18"/>
  <c r="K226" i="18"/>
  <c r="K227" i="18"/>
  <c r="K228" i="18"/>
  <c r="K229" i="18"/>
  <c r="K230" i="18"/>
  <c r="K231" i="18"/>
  <c r="K232" i="1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99" i="18"/>
  <c r="J100" i="18"/>
  <c r="J101" i="18"/>
  <c r="J102" i="18"/>
  <c r="J103" i="18"/>
  <c r="J104" i="18"/>
  <c r="J105" i="18"/>
  <c r="J106" i="18"/>
  <c r="J107" i="18"/>
  <c r="J108" i="18"/>
  <c r="J109" i="18"/>
  <c r="J110" i="18"/>
  <c r="J111" i="18"/>
  <c r="J112" i="18"/>
  <c r="J113" i="18"/>
  <c r="J114" i="18"/>
  <c r="J115" i="18"/>
  <c r="J116" i="18"/>
  <c r="J117" i="18"/>
  <c r="J118" i="18"/>
  <c r="J119" i="18"/>
  <c r="J120" i="18"/>
  <c r="J121" i="18"/>
  <c r="J122" i="18"/>
  <c r="J123" i="18"/>
  <c r="J124" i="18"/>
  <c r="J125" i="18"/>
  <c r="J126" i="18"/>
  <c r="J127" i="18"/>
  <c r="J128" i="18"/>
  <c r="J129" i="18"/>
  <c r="J130" i="18"/>
  <c r="J131" i="18"/>
  <c r="J132" i="18"/>
  <c r="J133" i="18"/>
  <c r="J134" i="18"/>
  <c r="J135" i="18"/>
  <c r="J136" i="18"/>
  <c r="J137" i="18"/>
  <c r="J138" i="18"/>
  <c r="J139" i="18"/>
  <c r="J140" i="18"/>
  <c r="J141" i="18"/>
  <c r="J142" i="18"/>
  <c r="J143" i="18"/>
  <c r="J144" i="18"/>
  <c r="J145" i="18"/>
  <c r="J146" i="18"/>
  <c r="J147" i="18"/>
  <c r="J148" i="18"/>
  <c r="J149" i="18"/>
  <c r="J150" i="18"/>
  <c r="J151" i="18"/>
  <c r="J152" i="18"/>
  <c r="J153" i="18"/>
  <c r="J154" i="18"/>
  <c r="J155" i="18"/>
  <c r="J156" i="18"/>
  <c r="J157" i="18"/>
  <c r="J158" i="18"/>
  <c r="J159" i="18"/>
  <c r="J160" i="18"/>
  <c r="J161" i="18"/>
  <c r="J162" i="18"/>
  <c r="J163" i="18"/>
  <c r="J164" i="18"/>
  <c r="J165" i="18"/>
  <c r="J166" i="18"/>
  <c r="J167" i="18"/>
  <c r="J168" i="18"/>
  <c r="J169" i="18"/>
  <c r="J170" i="18"/>
  <c r="J171" i="18"/>
  <c r="J172" i="18"/>
  <c r="J173" i="18"/>
  <c r="J174" i="18"/>
  <c r="J175" i="18"/>
  <c r="J176" i="18"/>
  <c r="J177" i="18"/>
  <c r="J178" i="18"/>
  <c r="J179" i="18"/>
  <c r="J180" i="18"/>
  <c r="J181" i="18"/>
  <c r="J182" i="18"/>
  <c r="J183" i="18"/>
  <c r="J184" i="18"/>
  <c r="J185" i="18"/>
  <c r="J186" i="18"/>
  <c r="J187" i="18"/>
  <c r="J188" i="18"/>
  <c r="J189" i="18"/>
  <c r="J190" i="18"/>
  <c r="J191" i="18"/>
  <c r="J192" i="18"/>
  <c r="J193" i="18"/>
  <c r="J194" i="18"/>
  <c r="J195" i="18"/>
  <c r="J196" i="18"/>
  <c r="J197" i="18"/>
  <c r="J198" i="18"/>
  <c r="J199" i="18"/>
  <c r="J200" i="18"/>
  <c r="J201" i="18"/>
  <c r="J202" i="18"/>
  <c r="J203" i="18"/>
  <c r="J204" i="18"/>
  <c r="J205" i="18"/>
  <c r="J206" i="18"/>
  <c r="J207" i="18"/>
  <c r="J208" i="18"/>
  <c r="J209" i="18"/>
  <c r="J210" i="18"/>
  <c r="J211" i="18"/>
  <c r="J212" i="18"/>
  <c r="J213" i="18"/>
  <c r="J214" i="18"/>
  <c r="J215" i="18"/>
  <c r="J216" i="18"/>
  <c r="J217" i="18"/>
  <c r="J218" i="18"/>
  <c r="J219" i="18"/>
  <c r="J220" i="18"/>
  <c r="J221" i="18"/>
  <c r="J222" i="18"/>
  <c r="J223" i="18"/>
  <c r="J224" i="18"/>
  <c r="J225" i="18"/>
  <c r="J226" i="18"/>
  <c r="J227" i="18"/>
  <c r="J228" i="18"/>
  <c r="J229" i="18"/>
  <c r="J230" i="18"/>
  <c r="J231" i="18"/>
  <c r="J232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174" i="18"/>
  <c r="I175" i="18"/>
  <c r="I176" i="18"/>
  <c r="I177" i="18"/>
  <c r="I178" i="18"/>
  <c r="I179" i="18"/>
  <c r="I180" i="18"/>
  <c r="I181" i="18"/>
  <c r="I182" i="18"/>
  <c r="I183" i="18"/>
  <c r="I184" i="18"/>
  <c r="I185" i="18"/>
  <c r="I186" i="18"/>
  <c r="I187" i="18"/>
  <c r="I188" i="18"/>
  <c r="I189" i="18"/>
  <c r="I190" i="18"/>
  <c r="I191" i="18"/>
  <c r="I192" i="18"/>
  <c r="I193" i="18"/>
  <c r="I194" i="18"/>
  <c r="I195" i="18"/>
  <c r="I196" i="18"/>
  <c r="I197" i="18"/>
  <c r="I198" i="18"/>
  <c r="I199" i="18"/>
  <c r="I200" i="18"/>
  <c r="I201" i="18"/>
  <c r="I202" i="18"/>
  <c r="I203" i="18"/>
  <c r="I204" i="18"/>
  <c r="I205" i="18"/>
  <c r="I206" i="18"/>
  <c r="I207" i="18"/>
  <c r="I208" i="18"/>
  <c r="I209" i="18"/>
  <c r="I210" i="18"/>
  <c r="I211" i="18"/>
  <c r="I212" i="18"/>
  <c r="I213" i="18"/>
  <c r="I214" i="18"/>
  <c r="I215" i="18"/>
  <c r="I216" i="18"/>
  <c r="I217" i="18"/>
  <c r="I218" i="18"/>
  <c r="I219" i="18"/>
  <c r="I220" i="18"/>
  <c r="I221" i="18"/>
  <c r="I222" i="18"/>
  <c r="I223" i="18"/>
  <c r="I224" i="18"/>
  <c r="I225" i="18"/>
  <c r="I226" i="18"/>
  <c r="I227" i="18"/>
  <c r="I228" i="18"/>
  <c r="I229" i="18"/>
  <c r="I230" i="18"/>
  <c r="I231" i="18"/>
  <c r="I232" i="1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G16" i="27" l="1"/>
  <c r="F16" i="27"/>
  <c r="J17" i="9"/>
  <c r="J23" i="9" s="1"/>
  <c r="I17" i="9"/>
  <c r="I23" i="9" s="1"/>
  <c r="G16" i="28"/>
  <c r="G9" i="28"/>
  <c r="G6" i="28"/>
  <c r="D13" i="28"/>
  <c r="B8" i="27" s="1"/>
  <c r="G7" i="28"/>
  <c r="G10" i="28"/>
  <c r="G13" i="28"/>
  <c r="G11" i="28"/>
  <c r="G14" i="28"/>
  <c r="G5" i="28"/>
  <c r="G8" i="28"/>
  <c r="G12" i="28"/>
  <c r="G15" i="28"/>
  <c r="C10" i="28"/>
  <c r="D22" i="28"/>
  <c r="C22" i="28"/>
  <c r="H15" i="28"/>
  <c r="H12" i="28"/>
  <c r="H14" i="28"/>
  <c r="H11" i="28"/>
  <c r="H16" i="28"/>
  <c r="H13" i="28"/>
  <c r="H7" i="28"/>
  <c r="H9" i="28"/>
  <c r="H6" i="28"/>
  <c r="H8" i="28"/>
  <c r="H10" i="28"/>
  <c r="C8" i="28"/>
  <c r="H5" i="28"/>
  <c r="D14" i="28"/>
  <c r="B11" i="27" s="1"/>
  <c r="C9" i="28"/>
  <c r="J13" i="28"/>
  <c r="K13" i="28" s="1"/>
  <c r="J16" i="28"/>
  <c r="K16" i="28" s="1"/>
  <c r="J6" i="28"/>
  <c r="K6" i="28" s="1"/>
  <c r="J10" i="28"/>
  <c r="K10" i="28" s="1"/>
  <c r="J12" i="28"/>
  <c r="K12" i="28" s="1"/>
  <c r="J15" i="28"/>
  <c r="K15" i="28" s="1"/>
  <c r="J5" i="28"/>
  <c r="J14" i="28"/>
  <c r="K14" i="28" s="1"/>
  <c r="J8" i="28"/>
  <c r="K8" i="28" s="1"/>
  <c r="J9" i="28"/>
  <c r="K9" i="28" s="1"/>
  <c r="J11" i="28"/>
  <c r="K11" i="28" s="1"/>
  <c r="J7" i="28"/>
  <c r="K7" i="28" s="1"/>
  <c r="C15" i="9"/>
  <c r="L10" i="9"/>
  <c r="H17" i="9"/>
  <c r="H23" i="9" s="1"/>
  <c r="G17" i="9"/>
  <c r="G23" i="9" s="1"/>
  <c r="M16" i="9"/>
  <c r="M22" i="9" s="1"/>
  <c r="N16" i="9"/>
  <c r="N22" i="9" s="1"/>
  <c r="C17" i="9"/>
  <c r="C23" i="9" s="1"/>
  <c r="K17" i="9"/>
  <c r="K23" i="9" s="1"/>
  <c r="D17" i="9"/>
  <c r="D23" i="9" s="1"/>
  <c r="L17" i="9"/>
  <c r="L23" i="9" s="1"/>
  <c r="E17" i="9"/>
  <c r="E23" i="9" s="1"/>
  <c r="M17" i="9"/>
  <c r="M23" i="9" s="1"/>
  <c r="F17" i="9"/>
  <c r="F23" i="9" s="1"/>
  <c r="N17" i="9"/>
  <c r="N23" i="9" s="1"/>
  <c r="G16" i="9"/>
  <c r="G22" i="9" s="1"/>
  <c r="F16" i="9"/>
  <c r="F22" i="9" s="1"/>
  <c r="C16" i="9"/>
  <c r="C22" i="9" s="1"/>
  <c r="I16" i="9"/>
  <c r="I22" i="9" s="1"/>
  <c r="H16" i="9"/>
  <c r="H22" i="9" s="1"/>
  <c r="J16" i="9"/>
  <c r="J22" i="9" s="1"/>
  <c r="D16" i="9"/>
  <c r="D22" i="9" s="1"/>
  <c r="K16" i="9"/>
  <c r="K22" i="9" s="1"/>
  <c r="L16" i="9"/>
  <c r="L22" i="9" s="1"/>
  <c r="E16" i="9"/>
  <c r="E22" i="9" s="1"/>
  <c r="C8" i="9"/>
  <c r="H10" i="9"/>
  <c r="E10" i="9"/>
  <c r="N10" i="9"/>
  <c r="I10" i="9"/>
  <c r="G10" i="9"/>
  <c r="J10" i="9"/>
  <c r="C10" i="9"/>
  <c r="K10" i="9"/>
  <c r="M10" i="9"/>
  <c r="F10" i="9"/>
  <c r="D10" i="9"/>
  <c r="G9" i="9"/>
  <c r="H9" i="9"/>
  <c r="I9" i="9"/>
  <c r="D9" i="9"/>
  <c r="J9" i="9"/>
  <c r="K9" i="9"/>
  <c r="L9" i="9"/>
  <c r="E9" i="9"/>
  <c r="M9" i="9"/>
  <c r="F9" i="9"/>
  <c r="N9" i="9"/>
  <c r="C9" i="9"/>
  <c r="E22" i="28" l="1"/>
  <c r="B16" i="27" s="1"/>
  <c r="K5" i="28"/>
  <c r="K8" i="27"/>
  <c r="C11" i="28"/>
  <c r="B5" i="27" s="1"/>
  <c r="N25" i="9"/>
  <c r="M25" i="9"/>
  <c r="M24" i="9"/>
  <c r="N24" i="9"/>
  <c r="F25" i="9"/>
  <c r="F24" i="9"/>
  <c r="H25" i="9"/>
  <c r="H24" i="9"/>
  <c r="I25" i="9"/>
  <c r="I24" i="9"/>
  <c r="L24" i="9"/>
  <c r="L25" i="9"/>
  <c r="G25" i="9"/>
  <c r="G24" i="9"/>
  <c r="E25" i="9"/>
  <c r="E24" i="9"/>
  <c r="K24" i="9"/>
  <c r="K25" i="9"/>
  <c r="D24" i="9"/>
  <c r="D25" i="9"/>
  <c r="C25" i="9"/>
  <c r="C26" i="9"/>
  <c r="D26" i="9" s="1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C24" i="9"/>
  <c r="J24" i="9"/>
  <c r="J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I18" i="9" s="1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C11" i="9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</calcChain>
</file>

<file path=xl/sharedStrings.xml><?xml version="1.0" encoding="utf-8"?>
<sst xmlns="http://schemas.openxmlformats.org/spreadsheetml/2006/main" count="1775" uniqueCount="609">
  <si>
    <t>FLUXO DE CAIXA EMPRESARIAL</t>
  </si>
  <si>
    <t>EducandoWeb</t>
  </si>
  <si>
    <t>Empresa</t>
  </si>
  <si>
    <t>AMERICANAS LTDA.</t>
  </si>
  <si>
    <t>Responsável</t>
  </si>
  <si>
    <t>Juliano Xavier de Souza</t>
  </si>
  <si>
    <t>TÍTULO</t>
  </si>
  <si>
    <t>PLANO DE CONTAS DE ENTRADA - Nível 2</t>
  </si>
  <si>
    <t>PLANO DE CONTAS DE SAÍDA - Nível 1</t>
  </si>
  <si>
    <t>PLANO DE CONTAS DE SAÍDA - Nível 2</t>
  </si>
  <si>
    <t>REGISTRO DAS ENTRADAS DE CAIXA</t>
  </si>
  <si>
    <t>REGISTRO DAS SAÍDAS DE CAIXA</t>
  </si>
  <si>
    <t>FLUXO DE CAIXA E RESULTADO MENSAL
REGIMES DE CAIXA E COMPETÊNCIA</t>
  </si>
  <si>
    <t>DETALHAMENTO DE RECEITA</t>
  </si>
  <si>
    <t>DETALHAMENTO DE DESPESA</t>
  </si>
  <si>
    <t>CONTAS A PAGAR</t>
  </si>
  <si>
    <t>CONTAS A RECEBER</t>
  </si>
  <si>
    <t>DASHBOARD FINANCEIRO - POSIÇÃO ATUAL</t>
  </si>
  <si>
    <t>Nível 1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</si>
  <si>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</si>
  <si>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</si>
  <si>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</si>
  <si>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</si>
  <si>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</si>
  <si>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 - Nível 1</t>
  </si>
  <si>
    <t>Nível 2</t>
  </si>
  <si>
    <t>Receitas Financeiras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</si>
  <si>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</si>
  <si>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</si>
  <si>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</si>
  <si>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</si>
  <si>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</si>
  <si>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</si>
  <si>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</si>
  <si>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</si>
  <si>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ENTRADA NÍVEL 1</t>
  </si>
  <si>
    <t>PLANO DE CONTAS DE ENTRADA NÍVEL 2</t>
  </si>
  <si>
    <t>PLANO DE CONTAS DE SAÍDA NÍVEL 1</t>
  </si>
  <si>
    <t>Despesas administrativas</t>
  </si>
  <si>
    <t>Despesas comerciais</t>
  </si>
  <si>
    <t>Imposto de renda</t>
  </si>
  <si>
    <t>Impostos sobre as vendas</t>
  </si>
  <si>
    <t>PLANO DE CONTAS DE SAÍDA NÍVEL 2</t>
  </si>
  <si>
    <t>Compra de mercadorias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</si>
  <si>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</si>
  <si>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</si>
  <si>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</si>
  <si>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</si>
  <si>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</si>
  <si>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</si>
  <si>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</si>
  <si>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Despesas financeiras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</si>
  <si>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</si>
  <si>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</si>
  <si>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</si>
  <si>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</si>
  <si>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</si>
  <si>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</si>
  <si>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</si>
  <si>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</si>
  <si>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</si>
  <si>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</si>
  <si>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</si>
  <si>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</si>
  <si>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</si>
  <si>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</si>
  <si>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</si>
  <si>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</si>
  <si>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</si>
  <si>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</si>
  <si>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</si>
  <si>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</si>
  <si>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</si>
  <si>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</si>
  <si>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</si>
  <si>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</si>
  <si>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</si>
  <si>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</si>
  <si>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</si>
  <si>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</si>
  <si>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</si>
  <si>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</si>
  <si>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</si>
  <si>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</si>
  <si>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</si>
  <si>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</si>
  <si>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</si>
  <si>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</si>
  <si>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</si>
  <si>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</si>
  <si>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</si>
  <si>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</si>
  <si>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</si>
  <si>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</si>
  <si>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</si>
  <si>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</si>
  <si>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</si>
  <si>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</si>
  <si>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</si>
  <si>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</si>
  <si>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</si>
  <si>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</si>
  <si>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</si>
  <si>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</si>
  <si>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</si>
  <si>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</si>
  <si>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</si>
  <si>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</si>
  <si>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</si>
  <si>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</si>
  <si>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</si>
  <si>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</si>
  <si>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</si>
  <si>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</si>
  <si>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</si>
  <si>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</si>
  <si>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</si>
  <si>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</si>
  <si>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</si>
  <si>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</si>
  <si>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</si>
  <si>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</si>
  <si>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</si>
  <si>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</si>
  <si>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</si>
  <si>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</si>
  <si>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</si>
  <si>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</si>
  <si>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</si>
  <si>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</si>
  <si>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</si>
  <si>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</si>
  <si>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</si>
  <si>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</si>
  <si>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</si>
  <si>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</si>
  <si>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</si>
  <si>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</si>
  <si>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</si>
  <si>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</si>
  <si>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</si>
  <si>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</si>
  <si>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</si>
  <si>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</si>
  <si>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</si>
  <si>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</si>
  <si>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</si>
  <si>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</si>
  <si>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</si>
  <si>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</si>
  <si>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</si>
  <si>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</si>
  <si>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</si>
  <si>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</si>
  <si>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</si>
  <si>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</si>
  <si>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</si>
  <si>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</si>
  <si>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</si>
  <si>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</si>
  <si>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</si>
  <si>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</si>
  <si>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</si>
  <si>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</si>
  <si>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</si>
  <si>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</si>
  <si>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</si>
  <si>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</si>
  <si>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</si>
  <si>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</si>
  <si>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</si>
  <si>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</si>
  <si>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</si>
  <si>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</si>
  <si>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</si>
  <si>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</si>
  <si>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</si>
  <si>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</si>
  <si>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</si>
  <si>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</si>
  <si>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</si>
  <si>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</si>
  <si>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</si>
  <si>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</si>
  <si>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</si>
  <si>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</si>
  <si>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</si>
  <si>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</si>
  <si>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</si>
  <si>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</si>
  <si>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</si>
  <si>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</si>
  <si>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</si>
  <si>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</si>
  <si>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</si>
  <si>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</si>
  <si>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</si>
  <si>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</si>
  <si>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</si>
  <si>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</si>
  <si>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</si>
  <si>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</si>
  <si>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</si>
  <si>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</si>
  <si>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</si>
  <si>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</si>
  <si>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</si>
  <si>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</si>
  <si>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</si>
  <si>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</si>
  <si>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</si>
  <si>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</si>
  <si>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</si>
  <si>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</si>
  <si>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</si>
  <si>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</si>
  <si>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</si>
  <si>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</si>
  <si>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</si>
  <si>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</si>
  <si>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</si>
  <si>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</si>
  <si>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</si>
  <si>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</si>
  <si>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</si>
  <si>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</si>
  <si>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</si>
  <si>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</si>
  <si>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</si>
  <si>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</si>
  <si>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</si>
  <si>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</si>
  <si>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</si>
  <si>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</si>
  <si>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</si>
  <si>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</si>
  <si>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</si>
  <si>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</si>
  <si>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</si>
  <si>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</si>
  <si>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</si>
  <si>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</si>
  <si>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</si>
  <si>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</si>
  <si>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</si>
  <si>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</si>
  <si>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</si>
  <si>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</si>
  <si>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</si>
  <si>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</si>
  <si>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</si>
  <si>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</si>
  <si>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</si>
  <si>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</si>
  <si>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</si>
  <si>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</si>
  <si>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</si>
  <si>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</si>
  <si>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</si>
  <si>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</si>
  <si>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</si>
  <si>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</si>
  <si>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</si>
  <si>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</si>
  <si>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</si>
  <si>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</si>
  <si>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</si>
  <si>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</si>
  <si>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</si>
  <si>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</si>
  <si>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</si>
  <si>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</si>
  <si>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</si>
  <si>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</si>
  <si>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</si>
  <si>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</si>
  <si>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</si>
  <si>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</si>
  <si>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</si>
  <si>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</si>
  <si>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</si>
  <si>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</si>
  <si>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</si>
  <si>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</si>
  <si>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</si>
  <si>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</si>
  <si>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</si>
  <si>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</si>
  <si>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</si>
  <si>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</si>
  <si>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</si>
  <si>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</si>
  <si>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</si>
  <si>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</si>
  <si>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</si>
  <si>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</si>
  <si>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</si>
  <si>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</si>
  <si>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</si>
  <si>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</si>
  <si>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</si>
  <si>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</si>
  <si>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</si>
  <si>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</si>
  <si>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</si>
  <si>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</si>
  <si>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</si>
  <si>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</si>
  <si>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</si>
  <si>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</si>
  <si>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</si>
  <si>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</si>
  <si>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</si>
  <si>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</si>
  <si>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</si>
  <si>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</si>
  <si>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</si>
  <si>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</si>
  <si>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</si>
  <si>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</si>
  <si>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</si>
  <si>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</si>
  <si>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</si>
  <si>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</si>
  <si>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</si>
  <si>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</si>
  <si>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</si>
  <si>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</si>
  <si>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</si>
  <si>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</si>
  <si>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</si>
  <si>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</si>
  <si>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</si>
  <si>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</si>
  <si>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</si>
  <si>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</si>
  <si>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</si>
  <si>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</si>
  <si>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</si>
  <si>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</si>
  <si>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</si>
  <si>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</si>
  <si>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</si>
  <si>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</si>
  <si>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</si>
  <si>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</si>
  <si>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</si>
  <si>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</si>
  <si>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</si>
  <si>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</si>
  <si>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</si>
  <si>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</si>
  <si>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</si>
  <si>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</si>
  <si>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</si>
  <si>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</si>
  <si>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</si>
  <si>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</si>
  <si>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</si>
  <si>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</si>
  <si>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</si>
  <si>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</si>
  <si>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</si>
  <si>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</si>
  <si>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</si>
  <si>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</si>
  <si>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</si>
  <si>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</si>
  <si>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</si>
  <si>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</si>
  <si>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</si>
  <si>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</si>
  <si>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</si>
  <si>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</si>
  <si>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</si>
  <si>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</si>
  <si>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</si>
  <si>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</si>
  <si>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</si>
  <si>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</si>
  <si>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</si>
  <si>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</si>
  <si>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</si>
  <si>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</si>
  <si>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</si>
  <si>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</si>
  <si>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</si>
  <si>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</si>
  <si>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</si>
  <si>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</si>
  <si>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</si>
  <si>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</si>
  <si>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</si>
  <si>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</si>
  <si>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</si>
  <si>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</si>
  <si>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</si>
  <si>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</si>
  <si>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</si>
  <si>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</si>
  <si>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</si>
  <si>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</si>
  <si>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</si>
  <si>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</si>
  <si>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</si>
  <si>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</si>
  <si>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</si>
  <si>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</si>
  <si>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</si>
  <si>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</si>
  <si>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</si>
  <si>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</si>
  <si>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</si>
  <si>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</si>
  <si>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</si>
  <si>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</si>
  <si>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</si>
  <si>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</si>
  <si>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</si>
  <si>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</si>
  <si>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</si>
  <si>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</si>
  <si>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</si>
  <si>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</si>
  <si>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</si>
  <si>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</si>
  <si>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</si>
  <si>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</si>
  <si>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</si>
  <si>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</si>
  <si>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</si>
  <si>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</si>
  <si>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</si>
  <si>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</si>
  <si>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</si>
  <si>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</si>
  <si>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</si>
  <si>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</si>
  <si>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</si>
  <si>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</si>
  <si>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</si>
  <si>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</si>
  <si>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</si>
  <si>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</si>
  <si>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</si>
  <si>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</si>
  <si>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</si>
  <si>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</si>
  <si>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</si>
  <si>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</si>
  <si>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</si>
  <si>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</si>
  <si>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</si>
  <si>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</si>
  <si>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</si>
  <si>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</si>
  <si>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</si>
  <si>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</si>
  <si>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</si>
  <si>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</si>
  <si>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</si>
  <si>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</si>
  <si>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</si>
  <si>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</si>
  <si>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</si>
  <si>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</si>
  <si>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</si>
  <si>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</si>
  <si>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</si>
  <si>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</si>
  <si>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</si>
  <si>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</si>
  <si>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</si>
  <si>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</si>
  <si>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</si>
  <si>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</si>
  <si>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</si>
  <si>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</si>
  <si>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</si>
  <si>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</si>
  <si>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</si>
  <si>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</si>
  <si>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</si>
  <si>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</si>
  <si>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</si>
  <si>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</si>
  <si>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</si>
  <si>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</si>
  <si>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</si>
  <si>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</si>
  <si>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</si>
  <si>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</si>
  <si>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</si>
  <si>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</si>
  <si>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</si>
  <si>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</si>
  <si>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</si>
  <si>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</si>
  <si>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</si>
  <si>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</si>
  <si>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</si>
  <si>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</si>
  <si>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</si>
  <si>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</si>
  <si>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</si>
  <si>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</si>
  <si>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</si>
  <si>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</si>
  <si>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</si>
  <si>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</si>
  <si>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</si>
  <si>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-&gt;</t>
  </si>
  <si>
    <t>FLUXO DE CAIXA - REGIME DE CAIXA(Realizado)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</si>
  <si>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</si>
  <si>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</si>
  <si>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</si>
  <si>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</si>
  <si>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</si>
  <si>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</si>
  <si>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</si>
  <si>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</si>
  <si>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</si>
  <si>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</si>
  <si>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</si>
  <si>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</si>
  <si>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</si>
  <si>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</si>
  <si>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</si>
  <si>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</si>
  <si>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</si>
  <si>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</si>
  <si>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</si>
  <si>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</si>
  <si>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</si>
  <si>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</si>
  <si>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</si>
  <si>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</si>
  <si>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</si>
  <si>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</si>
  <si>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</si>
  <si>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</si>
  <si>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(Tudo)</t>
  </si>
  <si>
    <t>Rótulos de Linha</t>
  </si>
  <si>
    <t>Total Geral</t>
  </si>
  <si>
    <t>Rótulos de Coluna</t>
  </si>
  <si>
    <t>Soma de Valor</t>
  </si>
  <si>
    <t>Mês Previsto</t>
  </si>
  <si>
    <t>Ano Previsto</t>
  </si>
  <si>
    <t>0 Total</t>
  </si>
  <si>
    <t>Conta Vencida</t>
  </si>
  <si>
    <t>Vencida</t>
  </si>
  <si>
    <t>DASHBOARD FINANCEIRO - POSIÇÃO ANUAL</t>
  </si>
  <si>
    <t>Saldo de Caixa</t>
  </si>
  <si>
    <t>Contas a Pagar e a Receber Mensal</t>
  </si>
  <si>
    <t>Evolução de Vendas - Conta Nível 2</t>
  </si>
  <si>
    <t>Contas a Pagar</t>
  </si>
  <si>
    <t>Total</t>
  </si>
  <si>
    <t>Contas a Receber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</si>
  <si>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</si>
  <si>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</si>
  <si>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</si>
  <si>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</si>
  <si>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</si>
  <si>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</si>
  <si>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</si>
  <si>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 xml:space="preserve"> 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</si>
  <si>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</si>
  <si>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</si>
  <si>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</si>
  <si>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</si>
  <si>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</si>
  <si>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</si>
  <si>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</si>
  <si>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</si>
  <si>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</si>
  <si>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</si>
  <si>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</si>
  <si>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</si>
  <si>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</si>
  <si>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Entradas</t>
  </si>
  <si>
    <t>Abr</t>
  </si>
  <si>
    <t>Saídas</t>
  </si>
  <si>
    <t>Mai</t>
  </si>
  <si>
    <t>Saldo</t>
  </si>
  <si>
    <t>Jun</t>
  </si>
  <si>
    <t>Jul</t>
  </si>
  <si>
    <t>Contas a pagar total</t>
  </si>
  <si>
    <t>Ago</t>
  </si>
  <si>
    <t>Contas a receber total</t>
  </si>
  <si>
    <t>Set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</si>
  <si>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</si>
  <si>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</si>
  <si>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</si>
  <si>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</si>
  <si>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</si>
  <si>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</si>
  <si>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</si>
  <si>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receber</t>
  </si>
  <si>
    <t>Atraso médio nas contas a pagar</t>
  </si>
  <si>
    <t>Qtde.</t>
  </si>
  <si>
    <t>Média</t>
  </si>
  <si>
    <t>Resultado no Período</t>
  </si>
  <si>
    <t>Despesa Mensal</t>
  </si>
  <si>
    <t>Resultado</t>
  </si>
  <si>
    <t>Saldo Inicial</t>
  </si>
  <si>
    <t xml:space="preserve">  J   F   M  A  M  J  J    A   S   O   N   D</t>
  </si>
  <si>
    <t>Venda à vista</t>
  </si>
  <si>
    <t>Dias de Atraso</t>
  </si>
  <si>
    <t>DATA: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</si>
</sst>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.00_ ;[Red]\-#,##0.00\ "/>
    <numFmt numFmtId="165" formatCode="#,##0_ ;\-#,##0\ "/>
    <numFmt numFmtId="166" formatCode="_-&quot;R$&quot;* #,##0.00_-;\-&quot;R$&quot;* #,##0.00_-;_-&quot;R$&quot;* &quot;-&quot;??_-;_-@_-"/>
    <numFmt numFmtId="167" formatCode="&quot;R$&quot;\ #,##0"/>
    <numFmt numFmtId="168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4"/>
      <color theme="2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 style="thin">
        <color theme="3" tint="0.39988402966399123"/>
      </left>
      <right style="thin">
        <color theme="3" tint="0.39988402966399123"/>
      </right>
      <top style="thin">
        <color theme="3" tint="0.39991454817346722"/>
      </top>
      <bottom/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142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/>
    <xf numFmtId="0" fontId="0" fillId="4" borderId="0" xfId="0" applyFill="1"/>
    <xf numFmtId="0" fontId="1" fillId="2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4" borderId="0" xfId="0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0" fillId="6" borderId="0" xfId="0" applyFill="1"/>
    <xf numFmtId="0" fontId="5" fillId="6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right" vertical="center"/>
    </xf>
    <xf numFmtId="0" fontId="6" fillId="7" borderId="14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0" fillId="0" borderId="7" xfId="0" applyFont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164" fontId="9" fillId="4" borderId="5" xfId="0" applyNumberFormat="1" applyFont="1" applyFill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0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 indent="1"/>
    </xf>
    <xf numFmtId="165" fontId="0" fillId="0" borderId="0" xfId="0" applyNumberFormat="1"/>
    <xf numFmtId="0" fontId="0" fillId="0" borderId="0" xfId="0" applyNumberFormat="1"/>
    <xf numFmtId="4" fontId="0" fillId="0" borderId="0" xfId="0" applyNumberFormat="1"/>
    <xf numFmtId="0" fontId="11" fillId="0" borderId="15" xfId="0" applyFont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2" fillId="0" borderId="15" xfId="0" applyFont="1" applyBorder="1" applyAlignment="1" applyProtection="1">
      <alignment horizontal="center" vertical="center"/>
    </xf>
    <xf numFmtId="0" fontId="11" fillId="0" borderId="16" xfId="0" applyFont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vertical="center"/>
    </xf>
    <xf numFmtId="0" fontId="11" fillId="0" borderId="17" xfId="0" applyFont="1" applyBorder="1" applyAlignment="1" applyProtection="1">
      <alignment horizontal="left" vertical="center"/>
    </xf>
    <xf numFmtId="0" fontId="13" fillId="8" borderId="18" xfId="0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6" fillId="0" borderId="21" xfId="0" applyFont="1" applyBorder="1" applyAlignment="1" applyProtection="1">
      <alignment vertical="center" wrapText="1"/>
    </xf>
    <xf numFmtId="6" fontId="16" fillId="0" borderId="21" xfId="0" applyNumberFormat="1" applyFont="1" applyBorder="1" applyAlignment="1" applyProtection="1">
      <alignment horizontal="center" vertical="center"/>
    </xf>
    <xf numFmtId="6" fontId="18" fillId="0" borderId="21" xfId="0" applyNumberFormat="1" applyFont="1" applyBorder="1" applyAlignment="1" applyProtection="1">
      <alignment vertical="center"/>
    </xf>
    <xf numFmtId="0" fontId="0" fillId="0" borderId="22" xfId="0" applyBorder="1" applyProtection="1"/>
    <xf numFmtId="0" fontId="0" fillId="0" borderId="23" xfId="0" applyBorder="1" applyProtection="1"/>
    <xf numFmtId="0" fontId="0" fillId="0" borderId="23" xfId="0" applyBorder="1" applyAlignment="1" applyProtection="1">
      <alignment vertical="center"/>
    </xf>
    <xf numFmtId="6" fontId="18" fillId="0" borderId="24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1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29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1" xfId="0" applyBorder="1" applyAlignment="1" applyProtection="1">
      <alignment vertical="center"/>
    </xf>
    <xf numFmtId="0" fontId="11" fillId="0" borderId="21" xfId="0" applyFont="1" applyBorder="1" applyAlignment="1" applyProtection="1">
      <alignment horizontal="center" vertical="center"/>
    </xf>
    <xf numFmtId="6" fontId="20" fillId="0" borderId="30" xfId="0" applyNumberFormat="1" applyFont="1" applyBorder="1" applyAlignment="1" applyProtection="1">
      <alignment horizontal="center" vertical="center"/>
    </xf>
    <xf numFmtId="3" fontId="21" fillId="0" borderId="29" xfId="0" applyNumberFormat="1" applyFont="1" applyBorder="1" applyAlignment="1" applyProtection="1">
      <alignment vertical="center"/>
    </xf>
    <xf numFmtId="3" fontId="22" fillId="0" borderId="21" xfId="0" applyNumberFormat="1" applyFont="1" applyBorder="1" applyAlignment="1" applyProtection="1">
      <alignment vertical="center"/>
    </xf>
    <xf numFmtId="0" fontId="0" fillId="0" borderId="30" xfId="0" applyBorder="1" applyAlignment="1" applyProtection="1">
      <alignment vertical="center"/>
    </xf>
    <xf numFmtId="167" fontId="23" fillId="0" borderId="31" xfId="0" applyNumberFormat="1" applyFont="1" applyBorder="1" applyAlignment="1" applyProtection="1">
      <alignment horizontal="center" vertical="center"/>
    </xf>
    <xf numFmtId="168" fontId="24" fillId="0" borderId="29" xfId="0" applyNumberFormat="1" applyFont="1" applyBorder="1" applyAlignment="1" applyProtection="1">
      <alignment vertical="center"/>
    </xf>
    <xf numFmtId="3" fontId="17" fillId="0" borderId="29" xfId="0" applyNumberFormat="1" applyFont="1" applyBorder="1" applyAlignment="1" applyProtection="1">
      <alignment horizontal="center" vertical="center"/>
    </xf>
    <xf numFmtId="3" fontId="18" fillId="0" borderId="21" xfId="0" applyNumberFormat="1" applyFont="1" applyBorder="1" applyAlignment="1" applyProtection="1">
      <alignment horizontal="center" vertical="center"/>
    </xf>
    <xf numFmtId="0" fontId="0" fillId="0" borderId="31" xfId="0" applyBorder="1" applyAlignment="1" applyProtection="1">
      <alignment vertical="center"/>
    </xf>
    <xf numFmtId="0" fontId="21" fillId="0" borderId="29" xfId="0" applyFont="1" applyBorder="1" applyAlignment="1" applyProtection="1">
      <alignment vertical="center"/>
    </xf>
    <xf numFmtId="0" fontId="25" fillId="0" borderId="29" xfId="0" applyFont="1" applyBorder="1" applyAlignment="1" applyProtection="1">
      <alignment horizontal="center" vertical="center"/>
    </xf>
    <xf numFmtId="0" fontId="25" fillId="0" borderId="21" xfId="0" applyFont="1" applyBorder="1" applyAlignment="1" applyProtection="1">
      <alignment horizontal="center" vertical="center"/>
    </xf>
    <xf numFmtId="168" fontId="24" fillId="0" borderId="32" xfId="0" applyNumberFormat="1" applyFont="1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24" xfId="0" applyBorder="1" applyAlignment="1" applyProtection="1">
      <alignment vertical="center"/>
    </xf>
    <xf numFmtId="0" fontId="25" fillId="0" borderId="32" xfId="0" applyFont="1" applyBorder="1" applyAlignment="1" applyProtection="1">
      <alignment vertical="center"/>
    </xf>
    <xf numFmtId="0" fontId="25" fillId="0" borderId="24" xfId="0" applyFont="1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0" fontId="0" fillId="0" borderId="35" xfId="0" applyBorder="1" applyAlignment="1" applyProtection="1">
      <alignment vertical="center"/>
    </xf>
    <xf numFmtId="0" fontId="0" fillId="0" borderId="0" xfId="0" applyFont="1"/>
    <xf numFmtId="0" fontId="2" fillId="2" borderId="0" xfId="0" applyFont="1" applyFill="1" applyAlignment="1">
      <alignment vertical="center"/>
    </xf>
    <xf numFmtId="0" fontId="26" fillId="4" borderId="0" xfId="0" applyNumberFormat="1" applyFont="1" applyFill="1" applyAlignment="1">
      <alignment vertical="center"/>
    </xf>
    <xf numFmtId="0" fontId="0" fillId="4" borderId="0" xfId="0" applyFill="1" applyAlignment="1" applyProtection="1">
      <alignment vertical="center"/>
    </xf>
    <xf numFmtId="43" fontId="0" fillId="0" borderId="0" xfId="1" applyFont="1" applyAlignment="1" applyProtection="1">
      <alignment vertical="center"/>
    </xf>
    <xf numFmtId="0" fontId="27" fillId="0" borderId="0" xfId="0" applyFont="1" applyFill="1" applyBorder="1" applyAlignment="1">
      <alignment vertical="center"/>
    </xf>
    <xf numFmtId="0" fontId="28" fillId="9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horizontal="right" vertical="center"/>
    </xf>
    <xf numFmtId="0" fontId="28" fillId="4" borderId="0" xfId="0" applyFont="1" applyFill="1" applyBorder="1" applyAlignment="1">
      <alignment vertical="center"/>
    </xf>
    <xf numFmtId="0" fontId="27" fillId="10" borderId="0" xfId="0" applyFont="1" applyFill="1" applyBorder="1" applyAlignment="1">
      <alignment vertical="center"/>
    </xf>
    <xf numFmtId="0" fontId="27" fillId="0" borderId="36" xfId="0" applyFont="1" applyFill="1" applyBorder="1" applyAlignment="1">
      <alignment horizontal="right" vertical="center"/>
    </xf>
    <xf numFmtId="0" fontId="27" fillId="0" borderId="36" xfId="0" applyFont="1" applyFill="1" applyBorder="1" applyAlignment="1">
      <alignment horizontal="right" vertical="center" wrapText="1"/>
    </xf>
    <xf numFmtId="0" fontId="27" fillId="10" borderId="36" xfId="0" applyFont="1" applyFill="1" applyBorder="1" applyAlignment="1">
      <alignment horizontal="left" vertical="center"/>
    </xf>
    <xf numFmtId="0" fontId="27" fillId="0" borderId="37" xfId="0" applyFont="1" applyFill="1" applyBorder="1" applyAlignment="1">
      <alignment vertical="center"/>
    </xf>
    <xf numFmtId="43" fontId="27" fillId="4" borderId="37" xfId="1" applyFont="1" applyFill="1" applyBorder="1" applyAlignment="1">
      <alignment horizontal="right" vertical="center"/>
    </xf>
    <xf numFmtId="0" fontId="27" fillId="0" borderId="37" xfId="0" applyFont="1" applyFill="1" applyBorder="1" applyAlignment="1">
      <alignment horizontal="right" vertical="center"/>
    </xf>
    <xf numFmtId="43" fontId="27" fillId="4" borderId="0" xfId="1" applyFont="1" applyFill="1" applyBorder="1" applyAlignment="1">
      <alignment horizontal="right" vertical="center"/>
    </xf>
    <xf numFmtId="43" fontId="27" fillId="4" borderId="37" xfId="1" applyFont="1" applyFill="1" applyBorder="1" applyAlignment="1">
      <alignment vertical="center"/>
    </xf>
    <xf numFmtId="43" fontId="27" fillId="4" borderId="0" xfId="1" applyFont="1" applyFill="1" applyBorder="1" applyAlignment="1">
      <alignment vertical="center"/>
    </xf>
    <xf numFmtId="0" fontId="27" fillId="0" borderId="38" xfId="0" applyFont="1" applyFill="1" applyBorder="1" applyAlignment="1">
      <alignment vertical="center"/>
    </xf>
    <xf numFmtId="43" fontId="29" fillId="4" borderId="38" xfId="1" applyFont="1" applyFill="1" applyBorder="1" applyAlignment="1">
      <alignment vertical="center"/>
    </xf>
    <xf numFmtId="0" fontId="28" fillId="0" borderId="37" xfId="0" applyFont="1" applyFill="1" applyBorder="1" applyAlignment="1">
      <alignment vertical="center"/>
    </xf>
    <xf numFmtId="0" fontId="28" fillId="0" borderId="38" xfId="0" applyFont="1" applyFill="1" applyBorder="1" applyAlignment="1">
      <alignment vertical="center"/>
    </xf>
    <xf numFmtId="43" fontId="27" fillId="4" borderId="38" xfId="1" applyFont="1" applyFill="1" applyBorder="1" applyAlignment="1">
      <alignment vertical="center"/>
    </xf>
    <xf numFmtId="43" fontId="27" fillId="4" borderId="38" xfId="1" applyFont="1" applyFill="1" applyBorder="1" applyAlignment="1">
      <alignment horizontal="right" vertical="center"/>
    </xf>
    <xf numFmtId="0" fontId="27" fillId="0" borderId="38" xfId="0" applyFont="1" applyFill="1" applyBorder="1" applyAlignment="1">
      <alignment horizontal="right" vertical="center"/>
    </xf>
    <xf numFmtId="14" fontId="27" fillId="0" borderId="0" xfId="0" applyNumberFormat="1" applyFont="1" applyFill="1" applyBorder="1" applyAlignment="1">
      <alignment vertical="center"/>
    </xf>
    <xf numFmtId="0" fontId="27" fillId="4" borderId="36" xfId="0" applyFont="1" applyFill="1" applyBorder="1" applyAlignment="1">
      <alignment vertical="center"/>
    </xf>
    <xf numFmtId="43" fontId="27" fillId="4" borderId="36" xfId="1" applyFont="1" applyFill="1" applyBorder="1" applyAlignment="1">
      <alignment horizontal="right" vertical="center"/>
    </xf>
    <xf numFmtId="3" fontId="27" fillId="4" borderId="36" xfId="0" applyNumberFormat="1" applyFont="1" applyFill="1" applyBorder="1" applyAlignment="1">
      <alignment vertical="center"/>
    </xf>
    <xf numFmtId="1" fontId="27" fillId="0" borderId="0" xfId="0" applyNumberFormat="1" applyFont="1" applyFill="1" applyBorder="1" applyAlignment="1">
      <alignment vertical="center"/>
    </xf>
    <xf numFmtId="14" fontId="27" fillId="0" borderId="37" xfId="0" applyNumberFormat="1" applyFont="1" applyFill="1" applyBorder="1" applyAlignment="1">
      <alignment horizontal="right" vertical="center"/>
    </xf>
    <xf numFmtId="0" fontId="27" fillId="10" borderId="36" xfId="0" applyFont="1" applyFill="1" applyBorder="1" applyAlignment="1">
      <alignment horizontal="right" vertical="center" wrapText="1"/>
    </xf>
    <xf numFmtId="167" fontId="27" fillId="4" borderId="39" xfId="0" applyNumberFormat="1" applyFont="1" applyFill="1" applyBorder="1" applyAlignment="1">
      <alignment horizontal="right" vertical="center"/>
    </xf>
    <xf numFmtId="6" fontId="30" fillId="4" borderId="39" xfId="0" applyNumberFormat="1" applyFont="1" applyFill="1" applyBorder="1" applyAlignment="1">
      <alignment horizontal="right" vertical="center"/>
    </xf>
    <xf numFmtId="167" fontId="27" fillId="4" borderId="36" xfId="0" applyNumberFormat="1" applyFont="1" applyFill="1" applyBorder="1" applyAlignment="1">
      <alignment vertical="center"/>
    </xf>
    <xf numFmtId="168" fontId="14" fillId="0" borderId="19" xfId="2" applyNumberFormat="1" applyFont="1" applyBorder="1" applyAlignment="1" applyProtection="1">
      <alignment horizontal="center" vertical="center"/>
    </xf>
    <xf numFmtId="168" fontId="17" fillId="0" borderId="19" xfId="2" applyNumberFormat="1" applyFont="1" applyBorder="1" applyAlignment="1" applyProtection="1">
      <alignment horizontal="center" vertical="center"/>
    </xf>
    <xf numFmtId="168" fontId="19" fillId="0" borderId="19" xfId="2" applyNumberFormat="1" applyFont="1" applyBorder="1" applyAlignment="1" applyProtection="1">
      <alignment horizontal="center" vertical="center"/>
    </xf>
    <xf numFmtId="0" fontId="15" fillId="0" borderId="19" xfId="0" quotePrefix="1" applyFont="1" applyBorder="1" applyAlignment="1" applyProtection="1">
      <alignment horizontal="left"/>
    </xf>
    <xf numFmtId="168" fontId="18" fillId="0" borderId="21" xfId="0" applyNumberFormat="1" applyFont="1" applyBorder="1" applyAlignment="1" applyProtection="1">
      <alignment horizontal="center" vertical="center"/>
    </xf>
    <xf numFmtId="14" fontId="0" fillId="4" borderId="0" xfId="0" applyNumberFormat="1" applyFill="1"/>
    <xf numFmtId="0" fontId="0" fillId="5" borderId="1" xfId="0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6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27" fillId="4" borderId="39" xfId="0" applyNumberFormat="1" applyFont="1" applyFill="1" applyBorder="1" applyAlignment="1">
      <alignment horizontal="right" vertical="center"/>
    </xf>
    <xf numFmtId="0" fontId="13" fillId="8" borderId="40" xfId="0" applyFont="1" applyFill="1" applyBorder="1" applyAlignment="1" applyProtection="1">
      <alignment horizontal="center" vertical="center"/>
      <protection locked="0"/>
    </xf>
    <xf numFmtId="14" fontId="26" fillId="4" borderId="0" xfId="0" applyNumberFormat="1" applyFont="1" applyFill="1" applyAlignment="1">
      <alignment vertical="center"/>
    </xf>
    <xf numFmtId="14" fontId="27" fillId="10" borderId="0" xfId="0" applyNumberFormat="1" applyFont="1" applyFill="1" applyBorder="1" applyAlignment="1">
      <alignment vertical="center"/>
    </xf>
    <xf numFmtId="0" fontId="3" fillId="3" borderId="0" xfId="0" applyFont="1" applyFill="1" applyProtection="1">
      <protection locked="0"/>
    </xf>
  </cellXfs>
  <cellStyles count="3">
    <cellStyle name="Moeda 2" xfId="2"/>
    <cellStyle name="Normal" xfId="0" builtinId="0"/>
    <cellStyle name="Vírgula" xfId="1" builtinId="3"/>
  </cellStyles>
  <dxfs count="3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2" tint="-0.249977111117893"/>
        </patternFill>
      </fill>
    </dxf>
    <dxf>
      <border outline="0">
        <top style="thin">
          <color indexed="64"/>
        </top>
      </border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07/relationships/slicerCache" Target="slicerCaches/slicerCache5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4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microsoft.com/office/2007/relationships/slicerCache" Target="slicerCaches/slicerCache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3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2.xml"/><Relationship Id="rId28" Type="http://schemas.microsoft.com/office/2007/relationships/slicerCache" Target="slicerCaches/slicerCache7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1.xml"/><Relationship Id="rId27" Type="http://schemas.microsoft.com/office/2007/relationships/slicerCache" Target="slicerCaches/slicerCache6.xml"/><Relationship Id="rId30" Type="http://schemas.microsoft.com/office/2007/relationships/slicerCache" Target="slicerCaches/slicerCache9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36-4E17-9486-BF8B25C571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7469679"/>
        <c:axId val="637470927"/>
      </c:lineChart>
      <c:catAx>
        <c:axId val="6374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470927"/>
        <c:crosses val="autoZero"/>
        <c:auto val="1"/>
        <c:lblAlgn val="ctr"/>
        <c:lblOffset val="100"/>
        <c:noMultiLvlLbl val="0"/>
      </c:catAx>
      <c:valAx>
        <c:axId val="6374709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3746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743245329628E-2"/>
          <c:y val="8.7929508811398591E-2"/>
          <c:w val="0.5590510009778189"/>
          <c:h val="0.8146171728533933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33-45A4-9833-635B29B048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33-45A4-9833-635B29B048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DashBoardFinanceiroAtualD!$C$22:$D$22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130659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33-45A4-9833-635B29B04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875-4EF4-9180-9583ED4CDC7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875-4EF4-9180-9583ED4CDC7E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C09644-45E7-47C8-AB10-4B29B869BD2D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875-4EF4-9180-9583ED4CDC7E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2875-4EF4-9180-9583ED4CDC7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DashBoardFinanceiroAtualD!$C$32:$D$32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75-4EF4-9180-9583ED4C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221299391"/>
        <c:axId val="221292319"/>
      </c:barChart>
      <c:catAx>
        <c:axId val="2212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92319"/>
        <c:crosses val="autoZero"/>
        <c:auto val="1"/>
        <c:lblAlgn val="ctr"/>
        <c:lblOffset val="100"/>
        <c:noMultiLvlLbl val="0"/>
      </c:catAx>
      <c:valAx>
        <c:axId val="22129231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2129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DashBoardFinanceiroAtualD!$H$32:$H$43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5-423A-A5D4-7D60F646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882239"/>
        <c:axId val="4883071"/>
      </c:barChart>
      <c:catAx>
        <c:axId val="48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3071"/>
        <c:crosses val="autoZero"/>
        <c:auto val="1"/>
        <c:lblAlgn val="ctr"/>
        <c:lblOffset val="100"/>
        <c:noMultiLvlLbl val="0"/>
      </c:catAx>
      <c:valAx>
        <c:axId val="488307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88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#N/A</c:v>
                </c:pt>
                <c:pt idx="1">
                  <c:v>1417</c:v>
                </c:pt>
                <c:pt idx="2">
                  <c:v>4022</c:v>
                </c:pt>
                <c:pt idx="3">
                  <c:v>10057</c:v>
                </c:pt>
                <c:pt idx="4">
                  <c:v>5167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60-4286-BD0E-0416313C01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7469679"/>
        <c:axId val="637470927"/>
      </c:lineChart>
      <c:catAx>
        <c:axId val="63746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7470927"/>
        <c:crosses val="autoZero"/>
        <c:auto val="1"/>
        <c:lblAlgn val="ctr"/>
        <c:lblOffset val="100"/>
        <c:noMultiLvlLbl val="0"/>
      </c:catAx>
      <c:valAx>
        <c:axId val="6374709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63746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8743245329628E-2"/>
          <c:y val="8.7929508811398591E-2"/>
          <c:w val="0.5590510009778189"/>
          <c:h val="0.8146171728533933"/>
        </c:manualLayout>
      </c:layout>
      <c:doughnut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5B1-4BE6-86B7-1FFC5A98C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B1-4BE6-86B7-1FFC5A98C1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130659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B1-4BE6-86B7-1FFC5A98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CFA-40E4-AE83-B53A5B062D1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FA-40E4-AE83-B53A5B062D12}"/>
              </c:ext>
            </c:extLst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73C09644-45E7-47C8-AB10-4B29B869BD2D}" type="VALUE">
                      <a:rPr lang="en-US" b="1">
                        <a:solidFill>
                          <a:schemeClr val="bg1"/>
                        </a:solidFill>
                      </a:rPr>
                      <a:pPr>
                        <a:defRPr/>
                      </a:pPr>
                      <a:t>[VALOR]</a:t>
                    </a:fld>
                    <a:endParaRPr lang="pt-BR"/>
                  </a:p>
                </c:rich>
              </c:tx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853994490358124"/>
                      <c:h val="0.3220559930008749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CFA-40E4-AE83-B53A5B062D12}"/>
                </c:ext>
              </c:extLst>
            </c:dLbl>
            <c:dLbl>
              <c:idx val="1"/>
              <c:layout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3030303030306"/>
                      <c:h val="0.43316710411198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CFA-40E4-AE83-B53A5B062D1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130659</c:v>
                </c:pt>
                <c:pt idx="1">
                  <c:v>169790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A-40E4-AE83-B53A5B062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10"/>
        <c:axId val="221299391"/>
        <c:axId val="221292319"/>
      </c:barChart>
      <c:catAx>
        <c:axId val="22129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292319"/>
        <c:crosses val="autoZero"/>
        <c:auto val="1"/>
        <c:lblAlgn val="ctr"/>
        <c:lblOffset val="100"/>
        <c:noMultiLvlLbl val="0"/>
      </c:catAx>
      <c:valAx>
        <c:axId val="221292319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22129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DashBoardFinanceiroAnualD!$H$32:$H$43</c:f>
              <c:numCache>
                <c:formatCode>_(* #,##0.00_);_(* \(#,##0.00\);_(* "-"??_);_(@_)</c:formatCode>
                <c:ptCount val="12"/>
                <c:pt idx="0">
                  <c:v>10994</c:v>
                </c:pt>
                <c:pt idx="1">
                  <c:v>4148</c:v>
                </c:pt>
                <c:pt idx="2">
                  <c:v>9064</c:v>
                </c:pt>
                <c:pt idx="3">
                  <c:v>0</c:v>
                </c:pt>
                <c:pt idx="4">
                  <c:v>4597</c:v>
                </c:pt>
                <c:pt idx="5">
                  <c:v>11515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5-476F-9993-49C1C807B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4882239"/>
        <c:axId val="4883071"/>
      </c:barChart>
      <c:catAx>
        <c:axId val="488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wordArt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83071"/>
        <c:crosses val="autoZero"/>
        <c:auto val="1"/>
        <c:lblAlgn val="ctr"/>
        <c:lblOffset val="100"/>
        <c:noMultiLvlLbl val="0"/>
      </c:catAx>
      <c:valAx>
        <c:axId val="488307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88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Despesa!A1"/><Relationship Id="rId13" Type="http://schemas.openxmlformats.org/officeDocument/2006/relationships/hyperlink" Target="#RegistroSa&#237;das!A1"/><Relationship Id="rId3" Type="http://schemas.openxmlformats.org/officeDocument/2006/relationships/hyperlink" Target="#PCSa&#237;dasN1!A1"/><Relationship Id="rId7" Type="http://schemas.openxmlformats.org/officeDocument/2006/relationships/hyperlink" Target="#DetalhaReceita!A1"/><Relationship Id="rId12" Type="http://schemas.openxmlformats.org/officeDocument/2006/relationships/hyperlink" Target="#DashboardFinanceiroMensal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FluxoCaixaConsolidado!A1"/><Relationship Id="rId11" Type="http://schemas.openxmlformats.org/officeDocument/2006/relationships/hyperlink" Target="#DashBoardFinanceiroAtual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Receber!A1"/><Relationship Id="rId4" Type="http://schemas.openxmlformats.org/officeDocument/2006/relationships/hyperlink" Target="#PCSa&#237;dasN2!A1"/><Relationship Id="rId9" Type="http://schemas.openxmlformats.org/officeDocument/2006/relationships/hyperlink" Target="#ContasPagar!A1"/><Relationship Id="rId14" Type="http://schemas.openxmlformats.org/officeDocument/2006/relationships/hyperlink" Target="#ContasReceberVencida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hyperlink" Target="#In&#237;cio!A1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9525</xdr:rowOff>
    </xdr:from>
    <xdr:to>
      <xdr:col>6</xdr:col>
      <xdr:colOff>9525</xdr:colOff>
      <xdr:row>4</xdr:row>
      <xdr:rowOff>9525</xdr:rowOff>
    </xdr:to>
    <xdr:sp macro="" textlink="">
      <xdr:nvSpPr>
        <xdr:cNvPr id="2" name="Retângulo 1"/>
        <xdr:cNvSpPr/>
      </xdr:nvSpPr>
      <xdr:spPr>
        <a:xfrm>
          <a:off x="3686175" y="1266825"/>
          <a:ext cx="2352675" cy="2476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7</xdr:col>
      <xdr:colOff>0</xdr:colOff>
      <xdr:row>3</xdr:row>
      <xdr:rowOff>9525</xdr:rowOff>
    </xdr:from>
    <xdr:to>
      <xdr:col>10</xdr:col>
      <xdr:colOff>9525</xdr:colOff>
      <xdr:row>4</xdr:row>
      <xdr:rowOff>9525</xdr:rowOff>
    </xdr:to>
    <xdr:sp macro="" textlink="">
      <xdr:nvSpPr>
        <xdr:cNvPr id="4" name="Retângulo 3"/>
        <xdr:cNvSpPr/>
      </xdr:nvSpPr>
      <xdr:spPr>
        <a:xfrm>
          <a:off x="6810375" y="1266825"/>
          <a:ext cx="2352675" cy="2476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11</xdr:col>
      <xdr:colOff>0</xdr:colOff>
      <xdr:row>3</xdr:row>
      <xdr:rowOff>9525</xdr:rowOff>
    </xdr:from>
    <xdr:to>
      <xdr:col>14</xdr:col>
      <xdr:colOff>9525</xdr:colOff>
      <xdr:row>4</xdr:row>
      <xdr:rowOff>9525</xdr:rowOff>
    </xdr:to>
    <xdr:sp macro="" textlink="">
      <xdr:nvSpPr>
        <xdr:cNvPr id="5" name="Retângulo 4"/>
        <xdr:cNvSpPr/>
      </xdr:nvSpPr>
      <xdr:spPr>
        <a:xfrm>
          <a:off x="9934575" y="1266825"/>
          <a:ext cx="2352675" cy="2476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9525</xdr:colOff>
      <xdr:row>6</xdr:row>
      <xdr:rowOff>0</xdr:rowOff>
    </xdr:to>
    <xdr:sp macro="" textlink="">
      <xdr:nvSpPr>
        <xdr:cNvPr id="6" name="Retângulo 5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7</xdr:row>
      <xdr:rowOff>0</xdr:rowOff>
    </xdr:from>
    <xdr:to>
      <xdr:col>6</xdr:col>
      <xdr:colOff>9525</xdr:colOff>
      <xdr:row>8</xdr:row>
      <xdr:rowOff>0</xdr:rowOff>
    </xdr:to>
    <xdr:sp macro="" textlink="">
      <xdr:nvSpPr>
        <xdr:cNvPr id="7" name="Retângulo 6">
          <a:hlinkClick xmlns:r="http://schemas.openxmlformats.org/officeDocument/2006/relationships" r:id="rId2"/>
        </xdr:cNvPr>
        <xdr:cNvSpPr/>
      </xdr:nvSpPr>
      <xdr:spPr>
        <a:xfrm>
          <a:off x="3686175" y="22479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de Entradas - Nível 2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0</xdr:colOff>
      <xdr:row>9</xdr:row>
      <xdr:rowOff>0</xdr:rowOff>
    </xdr:from>
    <xdr:to>
      <xdr:col>6</xdr:col>
      <xdr:colOff>9525</xdr:colOff>
      <xdr:row>10</xdr:row>
      <xdr:rowOff>0</xdr:rowOff>
    </xdr:to>
    <xdr:sp macro="" textlink="">
      <xdr:nvSpPr>
        <xdr:cNvPr id="8" name="Retângulo 7">
          <a:hlinkClick xmlns:r="http://schemas.openxmlformats.org/officeDocument/2006/relationships" r:id="rId3"/>
        </xdr:cNvPr>
        <xdr:cNvSpPr/>
      </xdr:nvSpPr>
      <xdr:spPr>
        <a:xfrm>
          <a:off x="3686175" y="27432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de Saídas - Nível 1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0</xdr:colOff>
      <xdr:row>11</xdr:row>
      <xdr:rowOff>0</xdr:rowOff>
    </xdr:from>
    <xdr:to>
      <xdr:col>6</xdr:col>
      <xdr:colOff>9525</xdr:colOff>
      <xdr:row>12</xdr:row>
      <xdr:rowOff>0</xdr:rowOff>
    </xdr:to>
    <xdr:sp macro="" textlink="">
      <xdr:nvSpPr>
        <xdr:cNvPr id="9" name="Retângulo 8">
          <a:hlinkClick xmlns:r="http://schemas.openxmlformats.org/officeDocument/2006/relationships" r:id="rId4"/>
        </xdr:cNvPr>
        <xdr:cNvSpPr/>
      </xdr:nvSpPr>
      <xdr:spPr>
        <a:xfrm>
          <a:off x="3686175" y="32385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eaLnBrk="1" fontAlgn="auto" latinLnBrk="0" hangingPunct="1"/>
          <a:r>
            <a:rPr lang="pt-BR" sz="1100" b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Plano</a:t>
          </a:r>
          <a:r>
            <a:rPr lang="pt-BR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de Contas de Saídas - Nível 2</a:t>
          </a:r>
          <a:endParaRPr lang="pt-BR">
            <a:effectLst/>
          </a:endParaRPr>
        </a:p>
      </xdr:txBody>
    </xdr:sp>
    <xdr:clientData/>
  </xdr:twoCellAnchor>
  <xdr:twoCellAnchor>
    <xdr:from>
      <xdr:col>3</xdr:col>
      <xdr:colOff>0</xdr:colOff>
      <xdr:row>13</xdr:row>
      <xdr:rowOff>0</xdr:rowOff>
    </xdr:from>
    <xdr:to>
      <xdr:col>6</xdr:col>
      <xdr:colOff>9525</xdr:colOff>
      <xdr:row>14</xdr:row>
      <xdr:rowOff>0</xdr:rowOff>
    </xdr:to>
    <xdr:sp macro="" textlink="">
      <xdr:nvSpPr>
        <xdr:cNvPr id="10" name="Retângulo 9">
          <a:hlinkClick xmlns:r="http://schemas.openxmlformats.org/officeDocument/2006/relationships" r:id="rId5"/>
        </xdr:cNvPr>
        <xdr:cNvSpPr/>
      </xdr:nvSpPr>
      <xdr:spPr>
        <a:xfrm>
          <a:off x="3686175" y="37338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 i="0">
              <a:solidFill>
                <a:schemeClr val="bg1"/>
              </a:solidFill>
            </a:rPr>
            <a:t>Registro das Entradas de Caixa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10</xdr:col>
      <xdr:colOff>9525</xdr:colOff>
      <xdr:row>6</xdr:row>
      <xdr:rowOff>0</xdr:rowOff>
    </xdr:to>
    <xdr:sp macro="" textlink="">
      <xdr:nvSpPr>
        <xdr:cNvPr id="11" name="Retângulo 10">
          <a:hlinkClick xmlns:r="http://schemas.openxmlformats.org/officeDocument/2006/relationships" r:id="rId6"/>
        </xdr:cNvPr>
        <xdr:cNvSpPr/>
      </xdr:nvSpPr>
      <xdr:spPr>
        <a:xfrm>
          <a:off x="6810375" y="17526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7</xdr:col>
      <xdr:colOff>0</xdr:colOff>
      <xdr:row>7</xdr:row>
      <xdr:rowOff>0</xdr:rowOff>
    </xdr:from>
    <xdr:to>
      <xdr:col>10</xdr:col>
      <xdr:colOff>9525</xdr:colOff>
      <xdr:row>8</xdr:row>
      <xdr:rowOff>0</xdr:rowOff>
    </xdr:to>
    <xdr:sp macro="" textlink="">
      <xdr:nvSpPr>
        <xdr:cNvPr id="12" name="Retângulo 11">
          <a:hlinkClick xmlns:r="http://schemas.openxmlformats.org/officeDocument/2006/relationships" r:id="rId7"/>
        </xdr:cNvPr>
        <xdr:cNvSpPr/>
      </xdr:nvSpPr>
      <xdr:spPr>
        <a:xfrm>
          <a:off x="6810375" y="22479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</a:t>
          </a:r>
          <a:r>
            <a:rPr lang="pt-BR" sz="1100" b="0" baseline="0">
              <a:solidFill>
                <a:schemeClr val="bg1"/>
              </a:solidFill>
            </a:rPr>
            <a:t> da Receita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10</xdr:col>
      <xdr:colOff>9525</xdr:colOff>
      <xdr:row>10</xdr:row>
      <xdr:rowOff>0</xdr:rowOff>
    </xdr:to>
    <xdr:sp macro="" textlink="">
      <xdr:nvSpPr>
        <xdr:cNvPr id="13" name="Retângulo 12">
          <a:hlinkClick xmlns:r="http://schemas.openxmlformats.org/officeDocument/2006/relationships" r:id="rId8"/>
        </xdr:cNvPr>
        <xdr:cNvSpPr/>
      </xdr:nvSpPr>
      <xdr:spPr>
        <a:xfrm>
          <a:off x="6810375" y="27432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10</xdr:col>
      <xdr:colOff>9525</xdr:colOff>
      <xdr:row>12</xdr:row>
      <xdr:rowOff>0</xdr:rowOff>
    </xdr:to>
    <xdr:sp macro="" textlink="">
      <xdr:nvSpPr>
        <xdr:cNvPr id="14" name="Retângulo 13">
          <a:hlinkClick xmlns:r="http://schemas.openxmlformats.org/officeDocument/2006/relationships" r:id="rId9"/>
        </xdr:cNvPr>
        <xdr:cNvSpPr/>
      </xdr:nvSpPr>
      <xdr:spPr>
        <a:xfrm>
          <a:off x="6810375" y="32385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7</xdr:col>
      <xdr:colOff>0</xdr:colOff>
      <xdr:row>13</xdr:row>
      <xdr:rowOff>0</xdr:rowOff>
    </xdr:from>
    <xdr:to>
      <xdr:col>10</xdr:col>
      <xdr:colOff>9525</xdr:colOff>
      <xdr:row>14</xdr:row>
      <xdr:rowOff>0</xdr:rowOff>
    </xdr:to>
    <xdr:sp macro="" textlink="">
      <xdr:nvSpPr>
        <xdr:cNvPr id="15" name="Retângulo 14">
          <a:hlinkClick xmlns:r="http://schemas.openxmlformats.org/officeDocument/2006/relationships" r:id="rId10"/>
        </xdr:cNvPr>
        <xdr:cNvSpPr/>
      </xdr:nvSpPr>
      <xdr:spPr>
        <a:xfrm>
          <a:off x="6810375" y="37338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Contas a </a:t>
          </a:r>
          <a:r>
            <a:rPr lang="pt-BR" sz="1100" b="0">
              <a:solidFill>
                <a:schemeClr val="bg1"/>
              </a:solidFill>
            </a:rPr>
            <a:t>Receber</a:t>
          </a:r>
        </a:p>
      </xdr:txBody>
    </xdr:sp>
    <xdr:clientData/>
  </xdr:twoCellAnchor>
  <xdr:twoCellAnchor>
    <xdr:from>
      <xdr:col>11</xdr:col>
      <xdr:colOff>0</xdr:colOff>
      <xdr:row>5</xdr:row>
      <xdr:rowOff>0</xdr:rowOff>
    </xdr:from>
    <xdr:to>
      <xdr:col>14</xdr:col>
      <xdr:colOff>9525</xdr:colOff>
      <xdr:row>6</xdr:row>
      <xdr:rowOff>0</xdr:rowOff>
    </xdr:to>
    <xdr:sp macro="" textlink="">
      <xdr:nvSpPr>
        <xdr:cNvPr id="16" name="Retângulo 15">
          <a:hlinkClick xmlns:r="http://schemas.openxmlformats.org/officeDocument/2006/relationships" r:id="rId11"/>
        </xdr:cNvPr>
        <xdr:cNvSpPr/>
      </xdr:nvSpPr>
      <xdr:spPr>
        <a:xfrm>
          <a:off x="9934575" y="17526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11</xdr:col>
      <xdr:colOff>0</xdr:colOff>
      <xdr:row>7</xdr:row>
      <xdr:rowOff>0</xdr:rowOff>
    </xdr:from>
    <xdr:to>
      <xdr:col>14</xdr:col>
      <xdr:colOff>9525</xdr:colOff>
      <xdr:row>8</xdr:row>
      <xdr:rowOff>0</xdr:rowOff>
    </xdr:to>
    <xdr:sp macro="" textlink="">
      <xdr:nvSpPr>
        <xdr:cNvPr id="17" name="Retângulo 16">
          <a:hlinkClick xmlns:r="http://schemas.openxmlformats.org/officeDocument/2006/relationships" r:id="rId12"/>
        </xdr:cNvPr>
        <xdr:cNvSpPr/>
      </xdr:nvSpPr>
      <xdr:spPr>
        <a:xfrm>
          <a:off x="9934575" y="22479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>
    <xdr:from>
      <xdr:col>3</xdr:col>
      <xdr:colOff>0</xdr:colOff>
      <xdr:row>15</xdr:row>
      <xdr:rowOff>0</xdr:rowOff>
    </xdr:from>
    <xdr:to>
      <xdr:col>6</xdr:col>
      <xdr:colOff>9525</xdr:colOff>
      <xdr:row>16</xdr:row>
      <xdr:rowOff>0</xdr:rowOff>
    </xdr:to>
    <xdr:sp macro="" textlink="">
      <xdr:nvSpPr>
        <xdr:cNvPr id="18" name="Retângulo 17">
          <a:hlinkClick xmlns:r="http://schemas.openxmlformats.org/officeDocument/2006/relationships" r:id="rId13"/>
        </xdr:cNvPr>
        <xdr:cNvSpPr/>
      </xdr:nvSpPr>
      <xdr:spPr>
        <a:xfrm>
          <a:off x="3686175" y="42291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10</xdr:col>
      <xdr:colOff>9525</xdr:colOff>
      <xdr:row>16</xdr:row>
      <xdr:rowOff>0</xdr:rowOff>
    </xdr:to>
    <xdr:sp macro="" textlink="">
      <xdr:nvSpPr>
        <xdr:cNvPr id="19" name="Retângulo 18">
          <a:hlinkClick xmlns:r="http://schemas.openxmlformats.org/officeDocument/2006/relationships" r:id="rId14"/>
        </xdr:cNvPr>
        <xdr:cNvSpPr/>
      </xdr:nvSpPr>
      <xdr:spPr>
        <a:xfrm>
          <a:off x="6810375" y="4229100"/>
          <a:ext cx="2352675" cy="2476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</xdr:colOff>
      <xdr:row>8</xdr:row>
      <xdr:rowOff>238125</xdr:rowOff>
    </xdr:from>
    <xdr:to>
      <xdr:col>2</xdr:col>
      <xdr:colOff>409575</xdr:colOff>
      <xdr:row>18</xdr:row>
      <xdr:rowOff>17549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733675"/>
          <a:ext cx="3124199" cy="22559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638174</xdr:colOff>
      <xdr:row>1</xdr:row>
      <xdr:rowOff>1</xdr:rowOff>
    </xdr:from>
    <xdr:to>
      <xdr:col>8</xdr:col>
      <xdr:colOff>28575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599" y="504826"/>
              <a:ext cx="3295651" cy="981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1190625</xdr:colOff>
      <xdr:row>0</xdr:row>
      <xdr:rowOff>504824</xdr:rowOff>
    </xdr:from>
    <xdr:to>
      <xdr:col>3</xdr:col>
      <xdr:colOff>209550</xdr:colOff>
      <xdr:row>2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5" y="504824"/>
              <a:ext cx="184785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638174</xdr:colOff>
      <xdr:row>1</xdr:row>
      <xdr:rowOff>1</xdr:rowOff>
    </xdr:from>
    <xdr:to>
      <xdr:col>8</xdr:col>
      <xdr:colOff>28575</xdr:colOff>
      <xdr:row>2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599" y="504826"/>
              <a:ext cx="3295651" cy="981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1190625</xdr:colOff>
      <xdr:row>0</xdr:row>
      <xdr:rowOff>504824</xdr:rowOff>
    </xdr:from>
    <xdr:to>
      <xdr:col>3</xdr:col>
      <xdr:colOff>209550</xdr:colOff>
      <xdr:row>2</xdr:row>
      <xdr:rowOff>9524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5" y="504824"/>
              <a:ext cx="184785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5</xdr:col>
      <xdr:colOff>0</xdr:colOff>
      <xdr:row>1</xdr:row>
      <xdr:rowOff>1</xdr:rowOff>
    </xdr:from>
    <xdr:to>
      <xdr:col>9</xdr:col>
      <xdr:colOff>57150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504826"/>
              <a:ext cx="344805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1990725</xdr:colOff>
      <xdr:row>1</xdr:row>
      <xdr:rowOff>0</xdr:rowOff>
    </xdr:from>
    <xdr:to>
      <xdr:col>4</xdr:col>
      <xdr:colOff>76200</xdr:colOff>
      <xdr:row>1</xdr:row>
      <xdr:rowOff>971549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504825"/>
              <a:ext cx="18288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5</xdr:col>
      <xdr:colOff>0</xdr:colOff>
      <xdr:row>1</xdr:row>
      <xdr:rowOff>1</xdr:rowOff>
    </xdr:from>
    <xdr:to>
      <xdr:col>9</xdr:col>
      <xdr:colOff>57150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1550" y="504826"/>
              <a:ext cx="3448050" cy="97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1990725</xdr:colOff>
      <xdr:row>1</xdr:row>
      <xdr:rowOff>0</xdr:rowOff>
    </xdr:from>
    <xdr:to>
      <xdr:col>4</xdr:col>
      <xdr:colOff>76200</xdr:colOff>
      <xdr:row>1</xdr:row>
      <xdr:rowOff>971549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504825"/>
              <a:ext cx="18288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1990725</xdr:colOff>
      <xdr:row>1</xdr:row>
      <xdr:rowOff>0</xdr:rowOff>
    </xdr:from>
    <xdr:to>
      <xdr:col>4</xdr:col>
      <xdr:colOff>76200</xdr:colOff>
      <xdr:row>1</xdr:row>
      <xdr:rowOff>971549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Previs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81225" y="504825"/>
              <a:ext cx="1828800" cy="9715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4</xdr:col>
      <xdr:colOff>380998</xdr:colOff>
      <xdr:row>3</xdr:row>
      <xdr:rowOff>228599</xdr:rowOff>
    </xdr:from>
    <xdr:to>
      <xdr:col>9</xdr:col>
      <xdr:colOff>304799</xdr:colOff>
      <xdr:row>10</xdr:row>
      <xdr:rowOff>314324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12</xdr:row>
      <xdr:rowOff>219075</xdr:rowOff>
    </xdr:from>
    <xdr:to>
      <xdr:col>3</xdr:col>
      <xdr:colOff>1952625</xdr:colOff>
      <xdr:row>18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9</xdr:col>
      <xdr:colOff>9525</xdr:colOff>
      <xdr:row>19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</xdr:row>
      <xdr:rowOff>114300</xdr:rowOff>
    </xdr:from>
    <xdr:to>
      <xdr:col>11</xdr:col>
      <xdr:colOff>0</xdr:colOff>
      <xdr:row>18</xdr:row>
      <xdr:rowOff>247649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42876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4</xdr:col>
      <xdr:colOff>380998</xdr:colOff>
      <xdr:row>3</xdr:row>
      <xdr:rowOff>228599</xdr:rowOff>
    </xdr:from>
    <xdr:to>
      <xdr:col>9</xdr:col>
      <xdr:colOff>304799</xdr:colOff>
      <xdr:row>10</xdr:row>
      <xdr:rowOff>314324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9525</xdr:colOff>
      <xdr:row>12</xdr:row>
      <xdr:rowOff>219075</xdr:rowOff>
    </xdr:from>
    <xdr:to>
      <xdr:col>3</xdr:col>
      <xdr:colOff>1952625</xdr:colOff>
      <xdr:row>18</xdr:row>
      <xdr:rowOff>161925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9</xdr:col>
      <xdr:colOff>9525</xdr:colOff>
      <xdr:row>19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15</xdr:row>
      <xdr:rowOff>114300</xdr:rowOff>
    </xdr:from>
    <xdr:to>
      <xdr:col>11</xdr:col>
      <xdr:colOff>0</xdr:colOff>
      <xdr:row>18</xdr:row>
      <xdr:rowOff>247649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0" name="Pentágono 19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95250</xdr:rowOff>
    </xdr:from>
    <xdr:to>
      <xdr:col>1</xdr:col>
      <xdr:colOff>923924</xdr:colOff>
      <xdr:row>1</xdr:row>
      <xdr:rowOff>428625</xdr:rowOff>
    </xdr:to>
    <xdr:sp macro="" textlink="">
      <xdr:nvSpPr>
        <xdr:cNvPr id="2" name="Pentágono 1">
          <a:hlinkClick xmlns:r="http://schemas.openxmlformats.org/officeDocument/2006/relationships" r:id="rId1"/>
        </xdr:cNvPr>
        <xdr:cNvSpPr/>
      </xdr:nvSpPr>
      <xdr:spPr>
        <a:xfrm>
          <a:off x="190499" y="600075"/>
          <a:ext cx="923925" cy="333375"/>
        </a:xfrm>
        <a:prstGeom prst="homePlate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%20Excel/Cap&#237;tulo%2014/14-arquivos-excel/projeto-fluxo-de-caixa-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ício"/>
      <sheetName val="Matriz"/>
      <sheetName val="PCEntradasN1"/>
      <sheetName val="PCEntradasN2"/>
      <sheetName val="PCSaídasN1"/>
      <sheetName val="PCSaídasN2"/>
      <sheetName val="RegistroEntradas"/>
      <sheetName val="RegistroSaídas"/>
      <sheetName val="FluxoCaixaConsolidado"/>
      <sheetName val="DetalhaReceita"/>
      <sheetName val="DetalhaDespesa"/>
      <sheetName val="ContasPagar"/>
      <sheetName val="ContasReceber"/>
      <sheetName val="ContasReceberVencidas"/>
      <sheetName val="DashBoardFinanceiroAtual"/>
      <sheetName val="DashBoardFinanceiroAnual"/>
      <sheetName val="DashBoardFinanceiroAnualD"/>
      <sheetName val="projeto-fluxo-de-caixa-21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 Rausch Dias" refreshedDate="45316.613434375002" createdVersion="6" refreshedVersion="6" minRefreshableVersion="3" recordCount="231">
  <cacheSource type="worksheet">
    <worksheetSource name="TbRegistrosEntradas"/>
  </cacheSource>
  <cacheFields count="16">
    <cacheField name="Data do Caixa Realizado" numFmtId="14">
      <sharedItems containsDate="1" containsMixedTypes="1" minDate="2017-09-07T00:00:00" maxDate="2019-10-04T00:00:00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10-11T00:00:00" maxDate="2019-08-11T00:00:00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7"/>
        <n v="8"/>
        <n v="9"/>
        <n v="10"/>
        <n v="11"/>
        <n v="12"/>
        <n v="1"/>
        <n v="2"/>
        <n v="3"/>
        <n v="4"/>
        <n v="5"/>
        <n v="6"/>
      </sharedItems>
    </cacheField>
    <cacheField name="Ano Previsto" numFmtId="0">
      <sharedItems containsSemiMixedTypes="0" containsString="0" containsNumber="1" containsInteger="1" minValue="2017" maxValue="2019" count="3">
        <n v="2018"/>
        <n v="2017"/>
        <n v="2019"/>
      </sharedItems>
    </cacheField>
    <cacheField name="Conta Vencida" numFmtId="0">
      <sharedItems count="4">
        <s v="Não vencida"/>
        <s v="Vencida"/>
        <s v="Sim" u="1"/>
        <s v="Não" u="1"/>
      </sharedItems>
    </cacheField>
    <cacheField name="Venda à vista" numFmtId="0">
      <sharedItems/>
    </cacheField>
    <cacheField name="Dias de Atraso" numFmtId="0">
      <sharedItems containsSemiMixedTypes="0" containsString="0" containsNumber="1" minValue="0" maxValue="199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niel Rausch Dias" refreshedDate="45316.613435416664" createdVersion="6" refreshedVersion="6" minRefreshableVersion="3" recordCount="229">
  <cacheSource type="worksheet">
    <worksheetSource name="TbRegistrosSaídas"/>
  </cacheSource>
  <cacheFields count="14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0">
      <sharedItems containsSemiMixedTypes="0" containsString="0" containsNumber="1" minValue="0" maxValue="2331.296994098796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1">
  <r>
    <d v="2017-09-16T00:00:00"/>
    <d v="2017-08-10T00:00:00"/>
    <d v="2018-07-29T00:00:00"/>
    <x v="0"/>
    <x v="0"/>
    <s v="NF7238"/>
    <n v="1133"/>
    <x v="0"/>
    <n v="2017"/>
    <x v="0"/>
    <x v="0"/>
    <x v="0"/>
    <x v="0"/>
    <x v="0"/>
    <s v="Prazo"/>
    <n v="0"/>
  </r>
  <r>
    <d v="2017-09-07T00:00:00"/>
    <d v="2017-08-13T00:00:00"/>
    <d v="2018-07-28T00:00:00"/>
    <x v="0"/>
    <x v="1"/>
    <s v="NF9147"/>
    <n v="164"/>
    <x v="0"/>
    <n v="2017"/>
    <x v="0"/>
    <x v="0"/>
    <x v="0"/>
    <x v="0"/>
    <x v="0"/>
    <s v="Prazo"/>
    <n v="0"/>
  </r>
  <r>
    <d v="2017-09-29T00:00:00"/>
    <d v="2017-08-17T00:00:00"/>
    <d v="2018-08-01T00:00:00"/>
    <x v="0"/>
    <x v="1"/>
    <s v="NF8005"/>
    <n v="2937"/>
    <x v="0"/>
    <n v="2017"/>
    <x v="0"/>
    <x v="0"/>
    <x v="1"/>
    <x v="0"/>
    <x v="0"/>
    <s v="Prazo"/>
    <n v="0"/>
  </r>
  <r>
    <d v="2017-10-12T00:00:00"/>
    <d v="2017-08-22T00:00:00"/>
    <d v="2018-08-05T00:00:00"/>
    <x v="0"/>
    <x v="2"/>
    <s v="NF5493"/>
    <n v="807"/>
    <x v="1"/>
    <n v="2017"/>
    <x v="0"/>
    <x v="0"/>
    <x v="1"/>
    <x v="0"/>
    <x v="0"/>
    <s v="Prazo"/>
    <n v="0"/>
  </r>
  <r>
    <d v="2017-10-06T00:00:00"/>
    <d v="2017-08-25T00:00:00"/>
    <d v="2018-08-16T00:00:00"/>
    <x v="0"/>
    <x v="0"/>
    <s v="NF7946"/>
    <n v="2612"/>
    <x v="1"/>
    <n v="2017"/>
    <x v="0"/>
    <x v="0"/>
    <x v="1"/>
    <x v="0"/>
    <x v="0"/>
    <s v="Prazo"/>
    <n v="0"/>
  </r>
  <r>
    <d v="2017-11-15T00:00:00"/>
    <d v="2017-08-27T00:00:00"/>
    <d v="2018-07-29T00:00:00"/>
    <x v="0"/>
    <x v="1"/>
    <s v="NF8598"/>
    <n v="2483"/>
    <x v="2"/>
    <n v="2017"/>
    <x v="0"/>
    <x v="0"/>
    <x v="0"/>
    <x v="0"/>
    <x v="0"/>
    <s v="Prazo"/>
    <n v="0"/>
  </r>
  <r>
    <d v="2017-12-18T00:00:00"/>
    <d v="2017-09-01T00:00:00"/>
    <d v="2018-08-31T00:00:00"/>
    <x v="0"/>
    <x v="0"/>
    <s v="NF1535"/>
    <n v="4387"/>
    <x v="3"/>
    <n v="2017"/>
    <x v="1"/>
    <x v="0"/>
    <x v="1"/>
    <x v="0"/>
    <x v="0"/>
    <s v="Prazo"/>
    <n v="0"/>
  </r>
  <r>
    <d v="2017-09-26T00:00:00"/>
    <d v="2017-09-02T00:00:00"/>
    <d v="2018-08-04T00:00:00"/>
    <x v="0"/>
    <x v="1"/>
    <s v="NF4333"/>
    <n v="4268"/>
    <x v="0"/>
    <n v="2017"/>
    <x v="1"/>
    <x v="0"/>
    <x v="1"/>
    <x v="0"/>
    <x v="0"/>
    <s v="Prazo"/>
    <n v="0"/>
  </r>
  <r>
    <d v="2017-10-07T00:00:00"/>
    <d v="2017-09-06T00:00:00"/>
    <d v="2018-08-24T00:00:00"/>
    <x v="0"/>
    <x v="1"/>
    <s v="NF8091"/>
    <n v="3761"/>
    <x v="1"/>
    <n v="2017"/>
    <x v="1"/>
    <x v="0"/>
    <x v="1"/>
    <x v="0"/>
    <x v="0"/>
    <s v="Prazo"/>
    <n v="0"/>
  </r>
  <r>
    <s v=""/>
    <d v="2017-09-10T00:00:00"/>
    <d v="2018-08-11T00:00:00"/>
    <x v="0"/>
    <x v="1"/>
    <s v="NF2421"/>
    <n v="4983"/>
    <x v="4"/>
    <n v="0"/>
    <x v="1"/>
    <x v="0"/>
    <x v="1"/>
    <x v="0"/>
    <x v="1"/>
    <s v="Prazo"/>
    <n v="1993"/>
  </r>
  <r>
    <d v="2017-09-19T00:00:00"/>
    <d v="2017-09-12T00:00:00"/>
    <d v="2018-07-30T00:00:00"/>
    <x v="0"/>
    <x v="3"/>
    <s v="NF9787"/>
    <n v="2502"/>
    <x v="0"/>
    <n v="2017"/>
    <x v="1"/>
    <x v="0"/>
    <x v="0"/>
    <x v="0"/>
    <x v="0"/>
    <s v="Prazo"/>
    <n v="0"/>
  </r>
  <r>
    <d v="2017-09-26T00:00:00"/>
    <d v="2017-09-16T00:00:00"/>
    <d v="2018-07-21T00:00:00"/>
    <x v="0"/>
    <x v="1"/>
    <s v="NF8674"/>
    <n v="2337"/>
    <x v="0"/>
    <n v="2017"/>
    <x v="1"/>
    <x v="0"/>
    <x v="0"/>
    <x v="0"/>
    <x v="0"/>
    <s v="Prazo"/>
    <n v="0"/>
  </r>
  <r>
    <d v="2017-10-02T00:00:00"/>
    <d v="2017-09-23T00:00:00"/>
    <d v="2018-09-03T00:00:00"/>
    <x v="0"/>
    <x v="4"/>
    <s v="NF5880"/>
    <n v="3125"/>
    <x v="1"/>
    <n v="2017"/>
    <x v="1"/>
    <x v="0"/>
    <x v="2"/>
    <x v="0"/>
    <x v="0"/>
    <s v="Prazo"/>
    <n v="0"/>
  </r>
  <r>
    <d v="2017-11-17T00:00:00"/>
    <d v="2017-09-26T00:00:00"/>
    <d v="2018-08-21T00:00:00"/>
    <x v="0"/>
    <x v="1"/>
    <s v="NF2763"/>
    <n v="1201"/>
    <x v="2"/>
    <n v="2017"/>
    <x v="1"/>
    <x v="0"/>
    <x v="1"/>
    <x v="0"/>
    <x v="0"/>
    <s v="Prazo"/>
    <n v="0"/>
  </r>
  <r>
    <d v="2017-10-25T00:00:00"/>
    <d v="2017-09-27T00:00:00"/>
    <d v="2018-09-07T00:00:00"/>
    <x v="0"/>
    <x v="0"/>
    <s v="NF3303"/>
    <n v="4380"/>
    <x v="1"/>
    <n v="2017"/>
    <x v="1"/>
    <x v="0"/>
    <x v="2"/>
    <x v="0"/>
    <x v="0"/>
    <s v="Prazo"/>
    <n v="0"/>
  </r>
  <r>
    <d v="2017-10-11T00:00:00"/>
    <d v="2017-09-30T00:00:00"/>
    <d v="2018-09-09T00:00:00"/>
    <x v="0"/>
    <x v="4"/>
    <s v="NF3966"/>
    <n v="919"/>
    <x v="1"/>
    <n v="2017"/>
    <x v="1"/>
    <x v="0"/>
    <x v="2"/>
    <x v="0"/>
    <x v="0"/>
    <s v="Prazo"/>
    <n v="0"/>
  </r>
  <r>
    <d v="2017-10-17T00:00:00"/>
    <d v="2017-10-04T00:00:00"/>
    <d v="2018-09-14T00:00:00"/>
    <x v="0"/>
    <x v="2"/>
    <s v="NF6107"/>
    <n v="4590"/>
    <x v="1"/>
    <n v="2017"/>
    <x v="2"/>
    <x v="0"/>
    <x v="2"/>
    <x v="0"/>
    <x v="0"/>
    <s v="Prazo"/>
    <n v="0"/>
  </r>
  <r>
    <d v="2017-11-13T00:00:00"/>
    <d v="2017-10-07T00:00:00"/>
    <d v="2018-08-09T00:00:00"/>
    <x v="0"/>
    <x v="3"/>
    <s v="NF4832"/>
    <n v="1958"/>
    <x v="2"/>
    <n v="2017"/>
    <x v="2"/>
    <x v="0"/>
    <x v="1"/>
    <x v="0"/>
    <x v="0"/>
    <s v="Prazo"/>
    <n v="0"/>
  </r>
  <r>
    <s v=""/>
    <d v="2017-10-09T00:00:00"/>
    <d v="2018-08-29T00:00:00"/>
    <x v="0"/>
    <x v="0"/>
    <s v="NF5012"/>
    <n v="1171"/>
    <x v="4"/>
    <n v="0"/>
    <x v="2"/>
    <x v="0"/>
    <x v="1"/>
    <x v="0"/>
    <x v="1"/>
    <s v="Prazo"/>
    <n v="1975"/>
  </r>
  <r>
    <d v="2018-02-03T00:00:00"/>
    <d v="2017-10-11T00:00:00"/>
    <d v="2017-10-11T00:00:00"/>
    <x v="0"/>
    <x v="1"/>
    <s v="NF7669"/>
    <n v="2587"/>
    <x v="5"/>
    <n v="2018"/>
    <x v="2"/>
    <x v="0"/>
    <x v="3"/>
    <x v="1"/>
    <x v="0"/>
    <s v="Vista"/>
    <n v="115"/>
  </r>
  <r>
    <d v="2017-11-06T00:00:00"/>
    <d v="2017-10-15T00:00:00"/>
    <d v="2017-10-15T00:00:00"/>
    <x v="0"/>
    <x v="1"/>
    <s v="NF7663"/>
    <n v="3425"/>
    <x v="2"/>
    <n v="2017"/>
    <x v="2"/>
    <x v="0"/>
    <x v="3"/>
    <x v="1"/>
    <x v="0"/>
    <s v="Vista"/>
    <n v="22"/>
  </r>
  <r>
    <d v="2017-11-18T00:00:00"/>
    <d v="2017-10-18T00:00:00"/>
    <d v="2017-10-18T00:00:00"/>
    <x v="0"/>
    <x v="2"/>
    <s v="NF4063"/>
    <n v="4454"/>
    <x v="2"/>
    <n v="2017"/>
    <x v="2"/>
    <x v="0"/>
    <x v="3"/>
    <x v="1"/>
    <x v="0"/>
    <s v="Vista"/>
    <n v="31"/>
  </r>
  <r>
    <d v="2017-10-29T00:00:00"/>
    <d v="2017-10-22T00:00:00"/>
    <d v="2017-10-22T00:00:00"/>
    <x v="0"/>
    <x v="0"/>
    <s v="NF4290"/>
    <n v="2134"/>
    <x v="1"/>
    <n v="2017"/>
    <x v="2"/>
    <x v="0"/>
    <x v="3"/>
    <x v="1"/>
    <x v="0"/>
    <s v="Vista"/>
    <n v="7"/>
  </r>
  <r>
    <d v="2017-12-17T00:00:00"/>
    <d v="2017-10-24T00:00:00"/>
    <d v="2017-10-24T00:00:00"/>
    <x v="0"/>
    <x v="3"/>
    <s v="NF7319"/>
    <n v="257"/>
    <x v="3"/>
    <n v="2017"/>
    <x v="2"/>
    <x v="0"/>
    <x v="3"/>
    <x v="1"/>
    <x v="0"/>
    <s v="Vista"/>
    <n v="54"/>
  </r>
  <r>
    <d v="2017-11-29T00:00:00"/>
    <d v="2017-10-24T00:00:00"/>
    <d v="2017-10-24T00:00:00"/>
    <x v="0"/>
    <x v="4"/>
    <s v="NF7020"/>
    <n v="2019"/>
    <x v="2"/>
    <n v="2017"/>
    <x v="2"/>
    <x v="0"/>
    <x v="3"/>
    <x v="1"/>
    <x v="0"/>
    <s v="Vista"/>
    <n v="36"/>
  </r>
  <r>
    <d v="2017-12-22T00:00:00"/>
    <d v="2017-10-26T00:00:00"/>
    <d v="2017-10-26T00:00:00"/>
    <x v="0"/>
    <x v="1"/>
    <s v="NF7221"/>
    <n v="3696"/>
    <x v="3"/>
    <n v="2017"/>
    <x v="2"/>
    <x v="0"/>
    <x v="3"/>
    <x v="1"/>
    <x v="0"/>
    <s v="Vista"/>
    <n v="57"/>
  </r>
  <r>
    <d v="2017-11-13T00:00:00"/>
    <d v="2017-10-30T00:00:00"/>
    <d v="2017-10-30T00:00:00"/>
    <x v="0"/>
    <x v="4"/>
    <s v="NF5004"/>
    <n v="4446"/>
    <x v="2"/>
    <n v="2017"/>
    <x v="2"/>
    <x v="0"/>
    <x v="3"/>
    <x v="1"/>
    <x v="0"/>
    <s v="Vista"/>
    <n v="14"/>
  </r>
  <r>
    <d v="2017-11-18T00:00:00"/>
    <d v="2017-11-01T00:00:00"/>
    <d v="2017-11-01T00:00:00"/>
    <x v="0"/>
    <x v="4"/>
    <s v="NF8690"/>
    <n v="1445"/>
    <x v="2"/>
    <n v="2017"/>
    <x v="3"/>
    <x v="0"/>
    <x v="4"/>
    <x v="1"/>
    <x v="0"/>
    <s v="Vista"/>
    <n v="17"/>
  </r>
  <r>
    <d v="2017-12-13T00:00:00"/>
    <d v="2017-11-04T00:00:00"/>
    <d v="2017-11-04T00:00:00"/>
    <x v="0"/>
    <x v="0"/>
    <s v="NF3424"/>
    <n v="3559"/>
    <x v="3"/>
    <n v="2017"/>
    <x v="3"/>
    <x v="0"/>
    <x v="4"/>
    <x v="1"/>
    <x v="0"/>
    <s v="Vista"/>
    <n v="39"/>
  </r>
  <r>
    <d v="2017-12-04T00:00:00"/>
    <d v="2017-11-08T00:00:00"/>
    <d v="2017-11-08T00:00:00"/>
    <x v="0"/>
    <x v="1"/>
    <s v="NF5808"/>
    <n v="547"/>
    <x v="3"/>
    <n v="2017"/>
    <x v="3"/>
    <x v="0"/>
    <x v="4"/>
    <x v="1"/>
    <x v="0"/>
    <s v="Vista"/>
    <n v="26"/>
  </r>
  <r>
    <d v="2017-12-21T00:00:00"/>
    <d v="2017-11-12T00:00:00"/>
    <d v="2017-11-12T00:00:00"/>
    <x v="0"/>
    <x v="1"/>
    <s v="NF2852"/>
    <n v="1221"/>
    <x v="3"/>
    <n v="2017"/>
    <x v="3"/>
    <x v="0"/>
    <x v="4"/>
    <x v="1"/>
    <x v="0"/>
    <s v="Vista"/>
    <n v="39"/>
  </r>
  <r>
    <d v="2018-01-30T00:00:00"/>
    <d v="2017-11-14T00:00:00"/>
    <d v="2018-10-01T00:00:00"/>
    <x v="0"/>
    <x v="4"/>
    <s v="NF2347"/>
    <n v="4108"/>
    <x v="6"/>
    <n v="2018"/>
    <x v="3"/>
    <x v="0"/>
    <x v="3"/>
    <x v="0"/>
    <x v="0"/>
    <s v="Prazo"/>
    <n v="0"/>
  </r>
  <r>
    <d v="2017-12-12T00:00:00"/>
    <d v="2017-11-16T00:00:00"/>
    <d v="2018-10-04T00:00:00"/>
    <x v="0"/>
    <x v="1"/>
    <s v="NF7848"/>
    <n v="3714"/>
    <x v="3"/>
    <n v="2017"/>
    <x v="3"/>
    <x v="0"/>
    <x v="3"/>
    <x v="0"/>
    <x v="0"/>
    <s v="Prazo"/>
    <n v="0"/>
  </r>
  <r>
    <d v="2018-01-01T00:00:00"/>
    <d v="2017-11-18T00:00:00"/>
    <d v="2018-11-01T00:00:00"/>
    <x v="0"/>
    <x v="3"/>
    <s v="NF4449"/>
    <n v="4843"/>
    <x v="6"/>
    <n v="2018"/>
    <x v="3"/>
    <x v="0"/>
    <x v="4"/>
    <x v="0"/>
    <x v="0"/>
    <s v="Prazo"/>
    <n v="0"/>
  </r>
  <r>
    <d v="2018-02-20T00:00:00"/>
    <d v="2017-11-19T00:00:00"/>
    <d v="2018-10-22T00:00:00"/>
    <x v="0"/>
    <x v="2"/>
    <s v="NF7540"/>
    <n v="4831"/>
    <x v="5"/>
    <n v="2018"/>
    <x v="3"/>
    <x v="0"/>
    <x v="3"/>
    <x v="0"/>
    <x v="0"/>
    <s v="Prazo"/>
    <n v="0"/>
  </r>
  <r>
    <d v="2018-03-29T00:00:00"/>
    <d v="2017-11-20T00:00:00"/>
    <d v="2018-10-19T00:00:00"/>
    <x v="0"/>
    <x v="1"/>
    <s v="NF7741"/>
    <n v="2072"/>
    <x v="7"/>
    <n v="2018"/>
    <x v="3"/>
    <x v="0"/>
    <x v="3"/>
    <x v="0"/>
    <x v="0"/>
    <s v="Prazo"/>
    <n v="0"/>
  </r>
  <r>
    <d v="2018-01-22T00:00:00"/>
    <d v="2017-11-24T00:00:00"/>
    <d v="2018-10-26T00:00:00"/>
    <x v="0"/>
    <x v="0"/>
    <s v="NF6190"/>
    <n v="3992"/>
    <x v="6"/>
    <n v="2018"/>
    <x v="3"/>
    <x v="0"/>
    <x v="3"/>
    <x v="0"/>
    <x v="0"/>
    <s v="Prazo"/>
    <n v="0"/>
  </r>
  <r>
    <s v=""/>
    <d v="2017-11-29T00:00:00"/>
    <d v="2018-11-28T00:00:00"/>
    <x v="0"/>
    <x v="3"/>
    <s v="NF4129"/>
    <n v="1284"/>
    <x v="4"/>
    <n v="0"/>
    <x v="3"/>
    <x v="0"/>
    <x v="4"/>
    <x v="0"/>
    <x v="1"/>
    <s v="Prazo"/>
    <n v="1884"/>
  </r>
  <r>
    <d v="2018-01-21T00:00:00"/>
    <d v="2017-12-04T00:00:00"/>
    <d v="2018-11-19T00:00:00"/>
    <x v="0"/>
    <x v="0"/>
    <s v="NF6811"/>
    <n v="4073"/>
    <x v="6"/>
    <n v="2018"/>
    <x v="4"/>
    <x v="0"/>
    <x v="4"/>
    <x v="0"/>
    <x v="0"/>
    <s v="Prazo"/>
    <n v="0"/>
  </r>
  <r>
    <d v="2017-12-15T00:00:00"/>
    <d v="2017-12-04T00:00:00"/>
    <d v="2017-12-04T00:00:00"/>
    <x v="0"/>
    <x v="3"/>
    <s v="NF1550"/>
    <n v="3008"/>
    <x v="3"/>
    <n v="2017"/>
    <x v="4"/>
    <x v="0"/>
    <x v="5"/>
    <x v="1"/>
    <x v="0"/>
    <s v="Vista"/>
    <n v="11"/>
  </r>
  <r>
    <d v="2018-01-31T00:00:00"/>
    <d v="2017-12-11T00:00:00"/>
    <d v="2017-12-11T00:00:00"/>
    <x v="0"/>
    <x v="3"/>
    <s v="NF7213"/>
    <n v="1267"/>
    <x v="6"/>
    <n v="2018"/>
    <x v="4"/>
    <x v="0"/>
    <x v="5"/>
    <x v="1"/>
    <x v="0"/>
    <s v="Vista"/>
    <n v="51"/>
  </r>
  <r>
    <d v="2018-01-03T00:00:00"/>
    <d v="2017-12-13T00:00:00"/>
    <d v="2017-12-13T00:00:00"/>
    <x v="0"/>
    <x v="3"/>
    <s v="NF8396"/>
    <n v="284"/>
    <x v="6"/>
    <n v="2018"/>
    <x v="4"/>
    <x v="0"/>
    <x v="5"/>
    <x v="1"/>
    <x v="0"/>
    <s v="Vista"/>
    <n v="21"/>
  </r>
  <r>
    <d v="2017-12-17T00:00:00"/>
    <d v="2017-12-14T00:00:00"/>
    <d v="2017-12-14T00:00:00"/>
    <x v="0"/>
    <x v="1"/>
    <s v="NF2432"/>
    <n v="2046"/>
    <x v="3"/>
    <n v="2017"/>
    <x v="4"/>
    <x v="0"/>
    <x v="5"/>
    <x v="1"/>
    <x v="0"/>
    <s v="Vista"/>
    <n v="3"/>
  </r>
  <r>
    <d v="2018-02-04T00:00:00"/>
    <d v="2017-12-16T00:00:00"/>
    <d v="2017-12-16T00:00:00"/>
    <x v="0"/>
    <x v="0"/>
    <s v="NF4722"/>
    <n v="3880"/>
    <x v="5"/>
    <n v="2018"/>
    <x v="4"/>
    <x v="0"/>
    <x v="5"/>
    <x v="1"/>
    <x v="0"/>
    <s v="Vista"/>
    <n v="50"/>
  </r>
  <r>
    <d v="2018-01-23T00:00:00"/>
    <d v="2017-12-17T00:00:00"/>
    <d v="2017-12-17T00:00:00"/>
    <x v="0"/>
    <x v="0"/>
    <s v="NF8944"/>
    <n v="3149"/>
    <x v="6"/>
    <n v="2018"/>
    <x v="4"/>
    <x v="0"/>
    <x v="5"/>
    <x v="1"/>
    <x v="0"/>
    <s v="Vista"/>
    <n v="37"/>
  </r>
  <r>
    <d v="2018-01-25T00:00:00"/>
    <d v="2017-12-19T00:00:00"/>
    <d v="2017-12-19T00:00:00"/>
    <x v="0"/>
    <x v="1"/>
    <s v="NF2816"/>
    <n v="668"/>
    <x v="6"/>
    <n v="2018"/>
    <x v="4"/>
    <x v="0"/>
    <x v="5"/>
    <x v="1"/>
    <x v="0"/>
    <s v="Vista"/>
    <n v="37"/>
  </r>
  <r>
    <d v="2018-01-17T00:00:00"/>
    <d v="2017-12-20T00:00:00"/>
    <d v="2017-12-20T00:00:00"/>
    <x v="0"/>
    <x v="2"/>
    <s v="NF6358"/>
    <n v="3721"/>
    <x v="6"/>
    <n v="2018"/>
    <x v="4"/>
    <x v="0"/>
    <x v="5"/>
    <x v="1"/>
    <x v="0"/>
    <s v="Vista"/>
    <n v="28"/>
  </r>
  <r>
    <d v="2018-05-02T00:00:00"/>
    <d v="2017-12-22T00:00:00"/>
    <d v="2017-12-22T00:00:00"/>
    <x v="0"/>
    <x v="0"/>
    <s v="NF8459"/>
    <n v="3114"/>
    <x v="8"/>
    <n v="2018"/>
    <x v="4"/>
    <x v="0"/>
    <x v="5"/>
    <x v="1"/>
    <x v="0"/>
    <s v="Vista"/>
    <n v="131"/>
  </r>
  <r>
    <d v="2018-03-12T00:00:00"/>
    <d v="2017-12-26T00:00:00"/>
    <d v="2017-12-26T00:00:00"/>
    <x v="0"/>
    <x v="1"/>
    <s v="NF5737"/>
    <n v="1436"/>
    <x v="7"/>
    <n v="2018"/>
    <x v="4"/>
    <x v="0"/>
    <x v="5"/>
    <x v="1"/>
    <x v="0"/>
    <s v="Vista"/>
    <n v="76"/>
  </r>
  <r>
    <d v="2018-01-01T00:00:00"/>
    <d v="2017-12-30T00:00:00"/>
    <d v="2017-12-30T00:00:00"/>
    <x v="0"/>
    <x v="1"/>
    <s v="NF8895"/>
    <n v="3192"/>
    <x v="6"/>
    <n v="2018"/>
    <x v="4"/>
    <x v="0"/>
    <x v="5"/>
    <x v="1"/>
    <x v="0"/>
    <s v="Vista"/>
    <n v="2"/>
  </r>
  <r>
    <d v="2018-02-13T00:00:00"/>
    <d v="2017-12-31T00:00:00"/>
    <d v="2017-12-31T00:00:00"/>
    <x v="0"/>
    <x v="2"/>
    <s v="NF2196"/>
    <n v="2687"/>
    <x v="5"/>
    <n v="2018"/>
    <x v="4"/>
    <x v="0"/>
    <x v="5"/>
    <x v="1"/>
    <x v="0"/>
    <s v="Vista"/>
    <n v="44"/>
  </r>
  <r>
    <d v="2018-02-28T00:00:00"/>
    <d v="2018-01-03T00:00:00"/>
    <d v="2018-12-31T00:00:00"/>
    <x v="0"/>
    <x v="1"/>
    <s v="NF1631"/>
    <n v="1561"/>
    <x v="5"/>
    <n v="2018"/>
    <x v="5"/>
    <x v="1"/>
    <x v="5"/>
    <x v="0"/>
    <x v="0"/>
    <s v="Prazo"/>
    <n v="0"/>
  </r>
  <r>
    <d v="2018-01-13T00:00:00"/>
    <d v="2018-01-09T00:00:00"/>
    <d v="2018-12-13T00:00:00"/>
    <x v="0"/>
    <x v="1"/>
    <s v="NF9340"/>
    <n v="1573"/>
    <x v="6"/>
    <n v="2018"/>
    <x v="5"/>
    <x v="1"/>
    <x v="5"/>
    <x v="0"/>
    <x v="0"/>
    <s v="Prazo"/>
    <n v="0"/>
  </r>
  <r>
    <d v="2018-02-16T00:00:00"/>
    <d v="2018-01-17T00:00:00"/>
    <d v="2019-01-12T00:00:00"/>
    <x v="0"/>
    <x v="1"/>
    <s v="NF6851"/>
    <n v="1364"/>
    <x v="5"/>
    <n v="2018"/>
    <x v="5"/>
    <x v="1"/>
    <x v="6"/>
    <x v="2"/>
    <x v="0"/>
    <s v="Prazo"/>
    <n v="0"/>
  </r>
  <r>
    <d v="2018-03-07T00:00:00"/>
    <d v="2018-01-21T00:00:00"/>
    <d v="2018-12-21T00:00:00"/>
    <x v="0"/>
    <x v="2"/>
    <s v="NF3336"/>
    <n v="783"/>
    <x v="7"/>
    <n v="2018"/>
    <x v="5"/>
    <x v="1"/>
    <x v="5"/>
    <x v="0"/>
    <x v="0"/>
    <s v="Prazo"/>
    <n v="0"/>
  </r>
  <r>
    <d v="2018-03-05T00:00:00"/>
    <d v="2018-01-22T00:00:00"/>
    <d v="2019-01-22T00:00:00"/>
    <x v="0"/>
    <x v="2"/>
    <s v="NF7526"/>
    <n v="3928"/>
    <x v="7"/>
    <n v="2018"/>
    <x v="5"/>
    <x v="1"/>
    <x v="6"/>
    <x v="2"/>
    <x v="0"/>
    <s v="Prazo"/>
    <n v="0"/>
  </r>
  <r>
    <d v="2018-02-11T00:00:00"/>
    <d v="2018-01-24T00:00:00"/>
    <d v="2019-01-12T00:00:00"/>
    <x v="0"/>
    <x v="0"/>
    <s v="NF3023"/>
    <n v="3843"/>
    <x v="5"/>
    <n v="2018"/>
    <x v="5"/>
    <x v="1"/>
    <x v="6"/>
    <x v="2"/>
    <x v="0"/>
    <s v="Prazo"/>
    <n v="0"/>
  </r>
  <r>
    <d v="2018-03-24T00:00:00"/>
    <d v="2018-01-25T00:00:00"/>
    <d v="2019-01-04T00:00:00"/>
    <x v="0"/>
    <x v="3"/>
    <s v="NF7934"/>
    <n v="1864"/>
    <x v="7"/>
    <n v="2018"/>
    <x v="5"/>
    <x v="1"/>
    <x v="6"/>
    <x v="2"/>
    <x v="0"/>
    <s v="Prazo"/>
    <n v="0"/>
  </r>
  <r>
    <d v="2018-03-22T00:00:00"/>
    <d v="2018-01-28T00:00:00"/>
    <d v="2018-01-28T00:00:00"/>
    <x v="0"/>
    <x v="1"/>
    <s v="NF7720"/>
    <n v="1184"/>
    <x v="7"/>
    <n v="2018"/>
    <x v="5"/>
    <x v="1"/>
    <x v="6"/>
    <x v="0"/>
    <x v="0"/>
    <s v="Vista"/>
    <n v="53"/>
  </r>
  <r>
    <d v="2018-03-02T00:00:00"/>
    <d v="2018-01-29T00:00:00"/>
    <d v="2018-01-29T00:00:00"/>
    <x v="0"/>
    <x v="1"/>
    <s v="NF2719"/>
    <n v="4055"/>
    <x v="7"/>
    <n v="2018"/>
    <x v="5"/>
    <x v="1"/>
    <x v="6"/>
    <x v="0"/>
    <x v="0"/>
    <s v="Vista"/>
    <n v="32"/>
  </r>
  <r>
    <d v="2018-03-19T00:00:00"/>
    <d v="2018-01-30T00:00:00"/>
    <d v="2018-01-30T00:00:00"/>
    <x v="0"/>
    <x v="1"/>
    <s v="NF3036"/>
    <n v="427"/>
    <x v="7"/>
    <n v="2018"/>
    <x v="5"/>
    <x v="1"/>
    <x v="6"/>
    <x v="0"/>
    <x v="0"/>
    <s v="Vista"/>
    <n v="48"/>
  </r>
  <r>
    <d v="2018-02-07T00:00:00"/>
    <d v="2018-02-02T00:00:00"/>
    <d v="2018-02-02T00:00:00"/>
    <x v="0"/>
    <x v="4"/>
    <s v="NF4604"/>
    <n v="460"/>
    <x v="5"/>
    <n v="2018"/>
    <x v="6"/>
    <x v="1"/>
    <x v="7"/>
    <x v="0"/>
    <x v="0"/>
    <s v="Vista"/>
    <n v="5"/>
  </r>
  <r>
    <d v="2018-03-31T00:00:00"/>
    <d v="2018-02-05T00:00:00"/>
    <d v="2018-02-05T00:00:00"/>
    <x v="0"/>
    <x v="2"/>
    <s v="NF2493"/>
    <n v="964"/>
    <x v="7"/>
    <n v="2018"/>
    <x v="6"/>
    <x v="1"/>
    <x v="7"/>
    <x v="0"/>
    <x v="0"/>
    <s v="Vista"/>
    <n v="54"/>
  </r>
  <r>
    <d v="2018-02-14T00:00:00"/>
    <d v="2018-02-09T00:00:00"/>
    <d v="2018-02-09T00:00:00"/>
    <x v="0"/>
    <x v="1"/>
    <s v="NF5788"/>
    <n v="3412"/>
    <x v="5"/>
    <n v="2018"/>
    <x v="6"/>
    <x v="1"/>
    <x v="7"/>
    <x v="0"/>
    <x v="0"/>
    <s v="Vista"/>
    <n v="5"/>
  </r>
  <r>
    <d v="2018-02-15T00:00:00"/>
    <d v="2018-02-11T00:00:00"/>
    <d v="2018-02-11T00:00:00"/>
    <x v="0"/>
    <x v="0"/>
    <s v="NF9580"/>
    <n v="3095"/>
    <x v="5"/>
    <n v="2018"/>
    <x v="6"/>
    <x v="1"/>
    <x v="7"/>
    <x v="0"/>
    <x v="0"/>
    <s v="Vista"/>
    <n v="4"/>
  </r>
  <r>
    <d v="2018-04-03T00:00:00"/>
    <d v="2018-02-17T00:00:00"/>
    <d v="2018-02-17T00:00:00"/>
    <x v="0"/>
    <x v="4"/>
    <s v="NF4061"/>
    <n v="1532"/>
    <x v="9"/>
    <n v="2018"/>
    <x v="6"/>
    <x v="1"/>
    <x v="7"/>
    <x v="0"/>
    <x v="0"/>
    <s v="Vista"/>
    <n v="45"/>
  </r>
  <r>
    <d v="2018-04-03T00:00:00"/>
    <d v="2018-02-20T00:00:00"/>
    <d v="2018-02-20T00:00:00"/>
    <x v="0"/>
    <x v="4"/>
    <s v="NF6503"/>
    <n v="3726"/>
    <x v="9"/>
    <n v="2018"/>
    <x v="6"/>
    <x v="1"/>
    <x v="7"/>
    <x v="0"/>
    <x v="0"/>
    <s v="Vista"/>
    <n v="42"/>
  </r>
  <r>
    <d v="2018-06-10T00:00:00"/>
    <d v="2018-02-23T00:00:00"/>
    <d v="2018-02-23T00:00:00"/>
    <x v="0"/>
    <x v="1"/>
    <s v="NF6701"/>
    <n v="4322"/>
    <x v="10"/>
    <n v="2018"/>
    <x v="6"/>
    <x v="1"/>
    <x v="7"/>
    <x v="0"/>
    <x v="0"/>
    <s v="Vista"/>
    <n v="107"/>
  </r>
  <r>
    <d v="2018-06-02T00:00:00"/>
    <d v="2018-02-25T00:00:00"/>
    <d v="2018-02-25T00:00:00"/>
    <x v="0"/>
    <x v="0"/>
    <s v="NF8891"/>
    <n v="3998"/>
    <x v="10"/>
    <n v="2018"/>
    <x v="6"/>
    <x v="1"/>
    <x v="7"/>
    <x v="0"/>
    <x v="0"/>
    <s v="Vista"/>
    <n v="97"/>
  </r>
  <r>
    <d v="2018-06-17T00:00:00"/>
    <d v="2018-02-27T00:00:00"/>
    <d v="2019-02-09T00:00:00"/>
    <x v="0"/>
    <x v="0"/>
    <s v="NF2640"/>
    <n v="3252"/>
    <x v="10"/>
    <n v="2018"/>
    <x v="6"/>
    <x v="1"/>
    <x v="7"/>
    <x v="2"/>
    <x v="0"/>
    <s v="Prazo"/>
    <n v="0"/>
  </r>
  <r>
    <d v="2018-03-10T00:00:00"/>
    <d v="2018-03-01T00:00:00"/>
    <d v="2019-02-17T00:00:00"/>
    <x v="0"/>
    <x v="4"/>
    <s v="NF8852"/>
    <n v="3701"/>
    <x v="7"/>
    <n v="2018"/>
    <x v="7"/>
    <x v="1"/>
    <x v="7"/>
    <x v="2"/>
    <x v="0"/>
    <s v="Prazo"/>
    <n v="0"/>
  </r>
  <r>
    <d v="2018-04-12T00:00:00"/>
    <d v="2018-03-03T00:00:00"/>
    <d v="2019-02-17T00:00:00"/>
    <x v="0"/>
    <x v="2"/>
    <s v="NF7869"/>
    <n v="1977"/>
    <x v="9"/>
    <n v="2018"/>
    <x v="7"/>
    <x v="1"/>
    <x v="7"/>
    <x v="2"/>
    <x v="0"/>
    <s v="Prazo"/>
    <n v="0"/>
  </r>
  <r>
    <d v="2018-06-26T00:00:00"/>
    <d v="2018-03-04T00:00:00"/>
    <d v="2019-03-10T00:00:00"/>
    <x v="0"/>
    <x v="4"/>
    <s v="NF4994"/>
    <n v="1217"/>
    <x v="10"/>
    <n v="2018"/>
    <x v="7"/>
    <x v="1"/>
    <x v="8"/>
    <x v="2"/>
    <x v="0"/>
    <s v="Prazo"/>
    <n v="0"/>
  </r>
  <r>
    <d v="2018-07-02T00:00:00"/>
    <d v="2018-03-07T00:00:00"/>
    <d v="2019-02-16T00:00:00"/>
    <x v="0"/>
    <x v="3"/>
    <s v="NF5720"/>
    <n v="1660"/>
    <x v="11"/>
    <n v="2018"/>
    <x v="7"/>
    <x v="1"/>
    <x v="7"/>
    <x v="2"/>
    <x v="0"/>
    <s v="Prazo"/>
    <n v="0"/>
  </r>
  <r>
    <d v="2018-03-25T00:00:00"/>
    <d v="2018-03-10T00:00:00"/>
    <d v="2019-03-08T00:00:00"/>
    <x v="0"/>
    <x v="3"/>
    <s v="NF6393"/>
    <n v="837"/>
    <x v="7"/>
    <n v="2018"/>
    <x v="7"/>
    <x v="1"/>
    <x v="8"/>
    <x v="2"/>
    <x v="0"/>
    <s v="Prazo"/>
    <n v="0"/>
  </r>
  <r>
    <d v="2018-04-10T00:00:00"/>
    <d v="2018-03-12T00:00:00"/>
    <d v="2019-03-16T00:00:00"/>
    <x v="0"/>
    <x v="1"/>
    <s v="NF9057"/>
    <n v="1838"/>
    <x v="9"/>
    <n v="2018"/>
    <x v="7"/>
    <x v="1"/>
    <x v="8"/>
    <x v="2"/>
    <x v="0"/>
    <s v="Prazo"/>
    <n v="0"/>
  </r>
  <r>
    <d v="2018-04-17T00:00:00"/>
    <d v="2018-03-17T00:00:00"/>
    <d v="2019-03-17T00:00:00"/>
    <x v="0"/>
    <x v="2"/>
    <s v="NF7365"/>
    <n v="4471"/>
    <x v="9"/>
    <n v="2018"/>
    <x v="7"/>
    <x v="1"/>
    <x v="8"/>
    <x v="2"/>
    <x v="0"/>
    <s v="Prazo"/>
    <n v="0"/>
  </r>
  <r>
    <d v="2018-05-14T00:00:00"/>
    <d v="2018-03-18T00:00:00"/>
    <d v="2019-03-30T00:00:00"/>
    <x v="0"/>
    <x v="1"/>
    <s v="NF4559"/>
    <n v="3540"/>
    <x v="8"/>
    <n v="2018"/>
    <x v="7"/>
    <x v="1"/>
    <x v="8"/>
    <x v="2"/>
    <x v="0"/>
    <s v="Prazo"/>
    <n v="0"/>
  </r>
  <r>
    <d v="2018-04-30T00:00:00"/>
    <d v="2018-03-21T00:00:00"/>
    <d v="2019-02-16T00:00:00"/>
    <x v="0"/>
    <x v="1"/>
    <s v="NF7119"/>
    <n v="4606"/>
    <x v="9"/>
    <n v="2018"/>
    <x v="7"/>
    <x v="1"/>
    <x v="7"/>
    <x v="2"/>
    <x v="0"/>
    <s v="Prazo"/>
    <n v="0"/>
  </r>
  <r>
    <s v=""/>
    <d v="2018-03-23T00:00:00"/>
    <d v="2019-04-15T00:00:00"/>
    <x v="0"/>
    <x v="0"/>
    <s v="NF2814"/>
    <n v="2388"/>
    <x v="4"/>
    <n v="0"/>
    <x v="7"/>
    <x v="1"/>
    <x v="9"/>
    <x v="2"/>
    <x v="1"/>
    <s v="Prazo"/>
    <n v="1746"/>
  </r>
  <r>
    <d v="2018-03-28T00:00:00"/>
    <d v="2018-03-25T00:00:00"/>
    <d v="2019-04-05T00:00:00"/>
    <x v="0"/>
    <x v="3"/>
    <s v="NF5963"/>
    <n v="2303"/>
    <x v="7"/>
    <n v="2018"/>
    <x v="7"/>
    <x v="1"/>
    <x v="9"/>
    <x v="2"/>
    <x v="0"/>
    <s v="Prazo"/>
    <n v="0"/>
  </r>
  <r>
    <d v="2018-04-15T00:00:00"/>
    <d v="2018-03-28T00:00:00"/>
    <d v="2019-03-16T00:00:00"/>
    <x v="0"/>
    <x v="2"/>
    <s v="NF3293"/>
    <n v="1662"/>
    <x v="9"/>
    <n v="2018"/>
    <x v="7"/>
    <x v="1"/>
    <x v="8"/>
    <x v="2"/>
    <x v="0"/>
    <s v="Prazo"/>
    <n v="0"/>
  </r>
  <r>
    <d v="2018-05-08T00:00:00"/>
    <d v="2018-03-30T00:00:00"/>
    <d v="2019-03-24T00:00:00"/>
    <x v="0"/>
    <x v="0"/>
    <s v="NF8254"/>
    <n v="3241"/>
    <x v="8"/>
    <n v="2018"/>
    <x v="7"/>
    <x v="1"/>
    <x v="8"/>
    <x v="2"/>
    <x v="0"/>
    <s v="Prazo"/>
    <n v="0"/>
  </r>
  <r>
    <d v="2018-05-08T00:00:00"/>
    <d v="2018-03-31T00:00:00"/>
    <d v="2019-04-08T00:00:00"/>
    <x v="0"/>
    <x v="2"/>
    <s v="NF4303"/>
    <n v="4017"/>
    <x v="8"/>
    <n v="2018"/>
    <x v="7"/>
    <x v="1"/>
    <x v="9"/>
    <x v="2"/>
    <x v="0"/>
    <s v="Prazo"/>
    <n v="0"/>
  </r>
  <r>
    <d v="2018-07-08T00:00:00"/>
    <d v="2018-04-03T00:00:00"/>
    <d v="2019-04-16T00:00:00"/>
    <x v="0"/>
    <x v="1"/>
    <s v="NF2605"/>
    <n v="3586"/>
    <x v="11"/>
    <n v="2018"/>
    <x v="8"/>
    <x v="1"/>
    <x v="9"/>
    <x v="2"/>
    <x v="0"/>
    <s v="Prazo"/>
    <n v="0"/>
  </r>
  <r>
    <d v="2018-05-01T00:00:00"/>
    <d v="2018-04-06T00:00:00"/>
    <d v="2019-04-13T00:00:00"/>
    <x v="0"/>
    <x v="0"/>
    <s v="NF8043"/>
    <n v="4467"/>
    <x v="8"/>
    <n v="2018"/>
    <x v="8"/>
    <x v="1"/>
    <x v="9"/>
    <x v="2"/>
    <x v="0"/>
    <s v="Prazo"/>
    <n v="0"/>
  </r>
  <r>
    <d v="2018-05-31T00:00:00"/>
    <d v="2018-04-09T00:00:00"/>
    <d v="2019-04-08T00:00:00"/>
    <x v="0"/>
    <x v="1"/>
    <s v="NF6697"/>
    <n v="4262"/>
    <x v="8"/>
    <n v="2018"/>
    <x v="8"/>
    <x v="1"/>
    <x v="9"/>
    <x v="2"/>
    <x v="0"/>
    <s v="Prazo"/>
    <n v="0"/>
  </r>
  <r>
    <d v="2018-06-13T00:00:00"/>
    <d v="2018-04-11T00:00:00"/>
    <d v="2019-04-23T00:00:00"/>
    <x v="0"/>
    <x v="1"/>
    <s v="NF5208"/>
    <n v="2593"/>
    <x v="10"/>
    <n v="2018"/>
    <x v="8"/>
    <x v="1"/>
    <x v="9"/>
    <x v="2"/>
    <x v="0"/>
    <s v="Prazo"/>
    <n v="0"/>
  </r>
  <r>
    <d v="2018-05-04T00:00:00"/>
    <d v="2018-04-14T00:00:00"/>
    <d v="2019-03-31T00:00:00"/>
    <x v="0"/>
    <x v="1"/>
    <s v="NF2907"/>
    <n v="1885"/>
    <x v="8"/>
    <n v="2018"/>
    <x v="8"/>
    <x v="1"/>
    <x v="8"/>
    <x v="2"/>
    <x v="0"/>
    <s v="Prazo"/>
    <n v="0"/>
  </r>
  <r>
    <s v=""/>
    <d v="2018-04-19T00:00:00"/>
    <d v="2019-04-04T00:00:00"/>
    <x v="0"/>
    <x v="1"/>
    <s v="NF9381"/>
    <n v="2224"/>
    <x v="4"/>
    <n v="0"/>
    <x v="8"/>
    <x v="1"/>
    <x v="9"/>
    <x v="2"/>
    <x v="1"/>
    <s v="Prazo"/>
    <n v="1757"/>
  </r>
  <r>
    <d v="2018-07-21T00:00:00"/>
    <d v="2018-04-23T00:00:00"/>
    <d v="2019-05-01T00:00:00"/>
    <x v="0"/>
    <x v="1"/>
    <s v="NF3247"/>
    <n v="3223"/>
    <x v="11"/>
    <n v="2018"/>
    <x v="8"/>
    <x v="1"/>
    <x v="10"/>
    <x v="2"/>
    <x v="0"/>
    <s v="Prazo"/>
    <n v="0"/>
  </r>
  <r>
    <d v="2018-07-18T00:00:00"/>
    <d v="2018-04-26T00:00:00"/>
    <d v="2019-05-01T00:00:00"/>
    <x v="0"/>
    <x v="4"/>
    <s v="NF4377"/>
    <n v="3446"/>
    <x v="11"/>
    <n v="2018"/>
    <x v="8"/>
    <x v="1"/>
    <x v="10"/>
    <x v="2"/>
    <x v="0"/>
    <s v="Prazo"/>
    <n v="0"/>
  </r>
  <r>
    <d v="2018-06-14T00:00:00"/>
    <d v="2018-04-30T00:00:00"/>
    <d v="2019-04-24T00:00:00"/>
    <x v="0"/>
    <x v="1"/>
    <s v="NF2988"/>
    <n v="4540"/>
    <x v="10"/>
    <n v="2018"/>
    <x v="8"/>
    <x v="1"/>
    <x v="9"/>
    <x v="2"/>
    <x v="0"/>
    <s v="Prazo"/>
    <n v="0"/>
  </r>
  <r>
    <d v="2018-08-18T00:00:00"/>
    <d v="2018-05-08T00:00:00"/>
    <d v="2019-05-31T00:00:00"/>
    <x v="0"/>
    <x v="2"/>
    <s v="NF4912"/>
    <n v="3862"/>
    <x v="12"/>
    <n v="2018"/>
    <x v="9"/>
    <x v="1"/>
    <x v="10"/>
    <x v="2"/>
    <x v="0"/>
    <s v="Prazo"/>
    <n v="0"/>
  </r>
  <r>
    <d v="2018-06-28T00:00:00"/>
    <d v="2018-05-11T00:00:00"/>
    <d v="2019-05-01T00:00:00"/>
    <x v="0"/>
    <x v="4"/>
    <s v="NF7104"/>
    <n v="611"/>
    <x v="10"/>
    <n v="2018"/>
    <x v="9"/>
    <x v="1"/>
    <x v="10"/>
    <x v="2"/>
    <x v="0"/>
    <s v="Prazo"/>
    <n v="0"/>
  </r>
  <r>
    <d v="2018-07-04T00:00:00"/>
    <d v="2018-05-13T00:00:00"/>
    <d v="2019-05-24T00:00:00"/>
    <x v="0"/>
    <x v="3"/>
    <s v="NF6700"/>
    <n v="1486"/>
    <x v="11"/>
    <n v="2018"/>
    <x v="9"/>
    <x v="1"/>
    <x v="10"/>
    <x v="2"/>
    <x v="0"/>
    <s v="Prazo"/>
    <n v="0"/>
  </r>
  <r>
    <d v="2018-06-01T00:00:00"/>
    <d v="2018-05-21T00:00:00"/>
    <d v="2019-05-30T00:00:00"/>
    <x v="0"/>
    <x v="1"/>
    <s v="NF7947"/>
    <n v="4850"/>
    <x v="10"/>
    <n v="2018"/>
    <x v="9"/>
    <x v="1"/>
    <x v="10"/>
    <x v="2"/>
    <x v="0"/>
    <s v="Prazo"/>
    <n v="0"/>
  </r>
  <r>
    <s v=""/>
    <d v="2018-05-24T00:00:00"/>
    <d v="2019-04-15T00:00:00"/>
    <x v="0"/>
    <x v="3"/>
    <s v="NF7741"/>
    <n v="3878"/>
    <x v="4"/>
    <n v="0"/>
    <x v="9"/>
    <x v="1"/>
    <x v="9"/>
    <x v="2"/>
    <x v="1"/>
    <s v="Prazo"/>
    <n v="1746"/>
  </r>
  <r>
    <d v="2018-06-24T00:00:00"/>
    <d v="2018-05-29T00:00:00"/>
    <d v="2019-04-24T00:00:00"/>
    <x v="0"/>
    <x v="3"/>
    <s v="NF3255"/>
    <n v="976"/>
    <x v="10"/>
    <n v="2018"/>
    <x v="9"/>
    <x v="1"/>
    <x v="9"/>
    <x v="2"/>
    <x v="0"/>
    <s v="Prazo"/>
    <n v="0"/>
  </r>
  <r>
    <d v="2018-06-14T00:00:00"/>
    <d v="2018-05-30T00:00:00"/>
    <d v="2019-05-13T00:00:00"/>
    <x v="0"/>
    <x v="2"/>
    <s v="NF7106"/>
    <n v="3346"/>
    <x v="10"/>
    <n v="2018"/>
    <x v="9"/>
    <x v="1"/>
    <x v="10"/>
    <x v="2"/>
    <x v="0"/>
    <s v="Prazo"/>
    <n v="0"/>
  </r>
  <r>
    <d v="2018-08-01T00:00:00"/>
    <d v="2018-06-03T00:00:00"/>
    <d v="2019-06-09T00:00:00"/>
    <x v="0"/>
    <x v="4"/>
    <s v="NF1835"/>
    <n v="443"/>
    <x v="12"/>
    <n v="2018"/>
    <x v="10"/>
    <x v="1"/>
    <x v="11"/>
    <x v="2"/>
    <x v="0"/>
    <s v="Prazo"/>
    <n v="0"/>
  </r>
  <r>
    <d v="2018-07-28T00:00:00"/>
    <d v="2018-06-04T00:00:00"/>
    <d v="2019-05-10T00:00:00"/>
    <x v="0"/>
    <x v="4"/>
    <s v="NF7322"/>
    <n v="2781"/>
    <x v="11"/>
    <n v="2018"/>
    <x v="10"/>
    <x v="1"/>
    <x v="10"/>
    <x v="2"/>
    <x v="0"/>
    <s v="Prazo"/>
    <n v="0"/>
  </r>
  <r>
    <d v="2018-06-16T00:00:00"/>
    <d v="2018-06-05T00:00:00"/>
    <d v="2019-05-09T00:00:00"/>
    <x v="0"/>
    <x v="3"/>
    <s v="NF3899"/>
    <n v="1875"/>
    <x v="10"/>
    <n v="2018"/>
    <x v="10"/>
    <x v="1"/>
    <x v="10"/>
    <x v="2"/>
    <x v="0"/>
    <s v="Prazo"/>
    <n v="0"/>
  </r>
  <r>
    <d v="2018-07-14T00:00:00"/>
    <d v="2018-06-08T00:00:00"/>
    <d v="2019-05-19T00:00:00"/>
    <x v="0"/>
    <x v="1"/>
    <s v="NF5496"/>
    <n v="3134"/>
    <x v="11"/>
    <n v="2018"/>
    <x v="10"/>
    <x v="1"/>
    <x v="10"/>
    <x v="2"/>
    <x v="0"/>
    <s v="Prazo"/>
    <n v="0"/>
  </r>
  <r>
    <d v="2018-06-25T00:00:00"/>
    <d v="2018-06-10T00:00:00"/>
    <d v="2019-06-10T00:00:00"/>
    <x v="0"/>
    <x v="0"/>
    <s v="NF4824"/>
    <n v="2114"/>
    <x v="10"/>
    <n v="2018"/>
    <x v="10"/>
    <x v="1"/>
    <x v="11"/>
    <x v="2"/>
    <x v="0"/>
    <s v="Prazo"/>
    <n v="0"/>
  </r>
  <r>
    <d v="2018-08-08T00:00:00"/>
    <d v="2018-06-13T00:00:00"/>
    <d v="2019-05-24T00:00:00"/>
    <x v="0"/>
    <x v="3"/>
    <s v="NF2022"/>
    <n v="4961"/>
    <x v="12"/>
    <n v="2018"/>
    <x v="10"/>
    <x v="1"/>
    <x v="10"/>
    <x v="2"/>
    <x v="0"/>
    <s v="Prazo"/>
    <n v="0"/>
  </r>
  <r>
    <d v="2018-07-22T00:00:00"/>
    <d v="2018-06-14T00:00:00"/>
    <d v="2019-05-18T00:00:00"/>
    <x v="0"/>
    <x v="1"/>
    <s v="NF8075"/>
    <n v="909"/>
    <x v="11"/>
    <n v="2018"/>
    <x v="10"/>
    <x v="1"/>
    <x v="10"/>
    <x v="2"/>
    <x v="0"/>
    <s v="Prazo"/>
    <n v="0"/>
  </r>
  <r>
    <d v="2018-07-12T00:00:00"/>
    <d v="2018-06-15T00:00:00"/>
    <d v="2019-05-20T00:00:00"/>
    <x v="0"/>
    <x v="1"/>
    <s v="NF1137"/>
    <n v="2197"/>
    <x v="11"/>
    <n v="2018"/>
    <x v="10"/>
    <x v="1"/>
    <x v="10"/>
    <x v="2"/>
    <x v="0"/>
    <s v="Prazo"/>
    <n v="0"/>
  </r>
  <r>
    <d v="2018-09-04T00:00:00"/>
    <d v="2018-06-17T00:00:00"/>
    <d v="2019-06-15T00:00:00"/>
    <x v="0"/>
    <x v="2"/>
    <s v="NF3353"/>
    <n v="3045"/>
    <x v="0"/>
    <n v="2018"/>
    <x v="10"/>
    <x v="1"/>
    <x v="11"/>
    <x v="2"/>
    <x v="0"/>
    <s v="Prazo"/>
    <n v="0"/>
  </r>
  <r>
    <d v="2018-08-16T00:00:00"/>
    <d v="2018-06-21T00:00:00"/>
    <d v="2019-06-19T00:00:00"/>
    <x v="0"/>
    <x v="2"/>
    <s v="NF5074"/>
    <n v="460"/>
    <x v="12"/>
    <n v="2018"/>
    <x v="10"/>
    <x v="1"/>
    <x v="11"/>
    <x v="2"/>
    <x v="0"/>
    <s v="Prazo"/>
    <n v="0"/>
  </r>
  <r>
    <s v=""/>
    <d v="2018-06-24T00:00:00"/>
    <d v="2019-06-14T00:00:00"/>
    <x v="0"/>
    <x v="2"/>
    <s v="NF1725"/>
    <n v="770"/>
    <x v="4"/>
    <n v="0"/>
    <x v="10"/>
    <x v="1"/>
    <x v="11"/>
    <x v="2"/>
    <x v="1"/>
    <s v="Prazo"/>
    <n v="1686"/>
  </r>
  <r>
    <d v="2018-08-09T00:00:00"/>
    <d v="2018-06-25T00:00:00"/>
    <d v="2019-05-26T00:00:00"/>
    <x v="0"/>
    <x v="1"/>
    <s v="NF5560"/>
    <n v="3646"/>
    <x v="12"/>
    <n v="2018"/>
    <x v="10"/>
    <x v="1"/>
    <x v="10"/>
    <x v="2"/>
    <x v="0"/>
    <s v="Prazo"/>
    <n v="0"/>
  </r>
  <r>
    <d v="2018-08-16T00:00:00"/>
    <d v="2018-06-29T00:00:00"/>
    <d v="2019-07-09T00:00:00"/>
    <x v="0"/>
    <x v="1"/>
    <s v="NF2674"/>
    <n v="2376"/>
    <x v="12"/>
    <n v="2018"/>
    <x v="10"/>
    <x v="1"/>
    <x v="0"/>
    <x v="2"/>
    <x v="0"/>
    <s v="Prazo"/>
    <n v="0"/>
  </r>
  <r>
    <d v="2018-07-29T00:00:00"/>
    <d v="2018-07-03T00:00:00"/>
    <d v="2019-07-02T00:00:00"/>
    <x v="0"/>
    <x v="1"/>
    <s v="NF2175"/>
    <n v="3940"/>
    <x v="11"/>
    <n v="2018"/>
    <x v="11"/>
    <x v="1"/>
    <x v="0"/>
    <x v="2"/>
    <x v="0"/>
    <s v="Prazo"/>
    <n v="0"/>
  </r>
  <r>
    <d v="2018-08-31T00:00:00"/>
    <d v="2018-07-04T00:00:00"/>
    <d v="2019-06-25T00:00:00"/>
    <x v="0"/>
    <x v="1"/>
    <s v="NF3338"/>
    <n v="1732"/>
    <x v="12"/>
    <n v="2018"/>
    <x v="11"/>
    <x v="1"/>
    <x v="11"/>
    <x v="2"/>
    <x v="0"/>
    <s v="Prazo"/>
    <n v="0"/>
  </r>
  <r>
    <d v="2018-08-04T00:00:00"/>
    <d v="2018-07-05T00:00:00"/>
    <d v="2019-06-16T00:00:00"/>
    <x v="0"/>
    <x v="4"/>
    <s v="NF7689"/>
    <n v="1306"/>
    <x v="12"/>
    <n v="2018"/>
    <x v="11"/>
    <x v="1"/>
    <x v="11"/>
    <x v="2"/>
    <x v="0"/>
    <s v="Prazo"/>
    <n v="0"/>
  </r>
  <r>
    <d v="2018-08-24T00:00:00"/>
    <d v="2018-07-07T00:00:00"/>
    <d v="2019-07-22T00:00:00"/>
    <x v="0"/>
    <x v="0"/>
    <s v="NF5938"/>
    <n v="3954"/>
    <x v="12"/>
    <n v="2018"/>
    <x v="11"/>
    <x v="1"/>
    <x v="0"/>
    <x v="2"/>
    <x v="0"/>
    <s v="Prazo"/>
    <n v="0"/>
  </r>
  <r>
    <d v="2018-09-24T00:00:00"/>
    <d v="2018-07-11T00:00:00"/>
    <d v="2019-07-17T00:00:00"/>
    <x v="0"/>
    <x v="2"/>
    <s v="NF9391"/>
    <n v="4090"/>
    <x v="0"/>
    <n v="2018"/>
    <x v="11"/>
    <x v="1"/>
    <x v="0"/>
    <x v="2"/>
    <x v="0"/>
    <s v="Prazo"/>
    <n v="0"/>
  </r>
  <r>
    <d v="2018-07-30T00:00:00"/>
    <d v="2018-07-12T00:00:00"/>
    <d v="2019-07-01T00:00:00"/>
    <x v="0"/>
    <x v="3"/>
    <s v="NF6298"/>
    <n v="2713"/>
    <x v="11"/>
    <n v="2018"/>
    <x v="11"/>
    <x v="1"/>
    <x v="0"/>
    <x v="2"/>
    <x v="0"/>
    <s v="Prazo"/>
    <n v="0"/>
  </r>
  <r>
    <d v="2018-07-21T00:00:00"/>
    <d v="2018-07-16T00:00:00"/>
    <d v="2019-08-10T00:00:00"/>
    <x v="0"/>
    <x v="1"/>
    <s v="NF7941"/>
    <n v="3482"/>
    <x v="11"/>
    <n v="2018"/>
    <x v="11"/>
    <x v="1"/>
    <x v="1"/>
    <x v="2"/>
    <x v="0"/>
    <s v="Prazo"/>
    <n v="0"/>
  </r>
  <r>
    <d v="2018-09-03T00:00:00"/>
    <d v="2018-07-18T00:00:00"/>
    <d v="2019-06-29T00:00:00"/>
    <x v="0"/>
    <x v="1"/>
    <s v="NF3604"/>
    <n v="2071"/>
    <x v="0"/>
    <n v="2018"/>
    <x v="11"/>
    <x v="1"/>
    <x v="11"/>
    <x v="2"/>
    <x v="0"/>
    <s v="Prazo"/>
    <n v="0"/>
  </r>
  <r>
    <d v="2018-08-21T00:00:00"/>
    <d v="2018-07-23T00:00:00"/>
    <d v="2019-07-16T00:00:00"/>
    <x v="0"/>
    <x v="2"/>
    <s v="NF4605"/>
    <n v="4258"/>
    <x v="12"/>
    <n v="2018"/>
    <x v="11"/>
    <x v="1"/>
    <x v="0"/>
    <x v="2"/>
    <x v="0"/>
    <s v="Prazo"/>
    <n v="0"/>
  </r>
  <r>
    <d v="2018-11-24T00:00:00"/>
    <d v="2018-07-25T00:00:00"/>
    <d v="2018-07-25T00:00:00"/>
    <x v="0"/>
    <x v="0"/>
    <s v="NF1759"/>
    <n v="4383"/>
    <x v="2"/>
    <n v="2018"/>
    <x v="11"/>
    <x v="1"/>
    <x v="0"/>
    <x v="0"/>
    <x v="0"/>
    <s v="Vista"/>
    <n v="122"/>
  </r>
  <r>
    <d v="2018-09-09T00:00:00"/>
    <d v="2018-07-29T00:00:00"/>
    <d v="2018-07-29T00:00:00"/>
    <x v="0"/>
    <x v="1"/>
    <s v="NF2800"/>
    <n v="1369"/>
    <x v="0"/>
    <n v="2018"/>
    <x v="11"/>
    <x v="1"/>
    <x v="0"/>
    <x v="0"/>
    <x v="0"/>
    <s v="Vista"/>
    <n v="42"/>
  </r>
  <r>
    <d v="2018-09-14T00:00:00"/>
    <d v="2018-08-03T00:00:00"/>
    <d v="2018-08-03T00:00:00"/>
    <x v="0"/>
    <x v="1"/>
    <s v="NF7248"/>
    <n v="331"/>
    <x v="0"/>
    <n v="2018"/>
    <x v="0"/>
    <x v="1"/>
    <x v="1"/>
    <x v="0"/>
    <x v="0"/>
    <s v="Vista"/>
    <n v="42"/>
  </r>
  <r>
    <d v="2018-08-09T00:00:00"/>
    <d v="2018-08-06T00:00:00"/>
    <d v="2018-08-06T00:00:00"/>
    <x v="0"/>
    <x v="1"/>
    <s v="NF5280"/>
    <n v="3031"/>
    <x v="12"/>
    <n v="2018"/>
    <x v="0"/>
    <x v="1"/>
    <x v="1"/>
    <x v="0"/>
    <x v="0"/>
    <s v="Vista"/>
    <n v="3"/>
  </r>
  <r>
    <d v="2018-08-29T00:00:00"/>
    <d v="2018-08-09T00:00:00"/>
    <d v="2018-08-09T00:00:00"/>
    <x v="0"/>
    <x v="0"/>
    <s v="NF2968"/>
    <n v="1200"/>
    <x v="12"/>
    <n v="2018"/>
    <x v="0"/>
    <x v="1"/>
    <x v="1"/>
    <x v="0"/>
    <x v="0"/>
    <s v="Vista"/>
    <n v="20"/>
  </r>
  <r>
    <d v="2018-08-31T00:00:00"/>
    <d v="2018-08-11T00:00:00"/>
    <d v="2018-08-11T00:00:00"/>
    <x v="0"/>
    <x v="0"/>
    <s v="NF4862"/>
    <n v="405"/>
    <x v="12"/>
    <n v="2018"/>
    <x v="0"/>
    <x v="1"/>
    <x v="1"/>
    <x v="0"/>
    <x v="0"/>
    <s v="Vista"/>
    <n v="20"/>
  </r>
  <r>
    <d v="2018-09-17T00:00:00"/>
    <d v="2018-08-14T00:00:00"/>
    <d v="2018-08-14T00:00:00"/>
    <x v="0"/>
    <x v="3"/>
    <s v="NF2988"/>
    <n v="3080"/>
    <x v="0"/>
    <n v="2018"/>
    <x v="0"/>
    <x v="1"/>
    <x v="1"/>
    <x v="0"/>
    <x v="0"/>
    <s v="Vista"/>
    <n v="34"/>
  </r>
  <r>
    <d v="2018-08-17T00:00:00"/>
    <d v="2018-08-17T00:00:00"/>
    <d v="2018-08-17T00:00:00"/>
    <x v="0"/>
    <x v="1"/>
    <s v="NF6224"/>
    <n v="2137"/>
    <x v="12"/>
    <n v="2018"/>
    <x v="0"/>
    <x v="1"/>
    <x v="1"/>
    <x v="0"/>
    <x v="0"/>
    <s v="Vista"/>
    <n v="0"/>
  </r>
  <r>
    <d v="2018-10-15T00:00:00"/>
    <d v="2018-08-24T00:00:00"/>
    <d v="2018-08-24T00:00:00"/>
    <x v="0"/>
    <x v="2"/>
    <s v="NF6974"/>
    <n v="4287"/>
    <x v="1"/>
    <n v="2018"/>
    <x v="0"/>
    <x v="1"/>
    <x v="1"/>
    <x v="0"/>
    <x v="0"/>
    <s v="Vista"/>
    <n v="52"/>
  </r>
  <r>
    <d v="2018-10-22T00:00:00"/>
    <d v="2018-08-26T00:00:00"/>
    <d v="2018-08-26T00:00:00"/>
    <x v="0"/>
    <x v="2"/>
    <s v="NF3171"/>
    <n v="4857"/>
    <x v="1"/>
    <n v="2018"/>
    <x v="0"/>
    <x v="1"/>
    <x v="1"/>
    <x v="0"/>
    <x v="0"/>
    <s v="Vista"/>
    <n v="57"/>
  </r>
  <r>
    <d v="2018-10-20T00:00:00"/>
    <d v="2018-08-30T00:00:00"/>
    <d v="2018-08-30T00:00:00"/>
    <x v="0"/>
    <x v="1"/>
    <s v="NF9089"/>
    <n v="507"/>
    <x v="1"/>
    <n v="2018"/>
    <x v="0"/>
    <x v="1"/>
    <x v="1"/>
    <x v="0"/>
    <x v="0"/>
    <s v="Vista"/>
    <n v="51"/>
  </r>
  <r>
    <d v="2018-09-11T00:00:00"/>
    <d v="2018-08-31T00:00:00"/>
    <d v="2018-09-11T09:18:13"/>
    <x v="0"/>
    <x v="0"/>
    <s v="NF9607"/>
    <n v="2467"/>
    <x v="0"/>
    <n v="2018"/>
    <x v="0"/>
    <x v="1"/>
    <x v="2"/>
    <x v="0"/>
    <x v="0"/>
    <s v="Prazo"/>
    <n v="0"/>
  </r>
  <r>
    <s v=""/>
    <d v="2018-09-01T00:00:00"/>
    <d v="2018-09-27T15:55:52"/>
    <x v="0"/>
    <x v="1"/>
    <s v="NF6643"/>
    <n v="4253"/>
    <x v="4"/>
    <n v="0"/>
    <x v="1"/>
    <x v="1"/>
    <x v="2"/>
    <x v="0"/>
    <x v="1"/>
    <s v="Prazo"/>
    <n v="1945.3362076712438"/>
  </r>
  <r>
    <d v="2018-09-14T00:00:00"/>
    <d v="2018-09-07T00:00:00"/>
    <d v="2018-09-14T18:46:28"/>
    <x v="0"/>
    <x v="2"/>
    <s v="NF3939"/>
    <n v="2391"/>
    <x v="0"/>
    <n v="2018"/>
    <x v="1"/>
    <x v="1"/>
    <x v="2"/>
    <x v="0"/>
    <x v="0"/>
    <s v="Prazo"/>
    <n v="0"/>
  </r>
  <r>
    <d v="2018-09-27T00:00:00"/>
    <d v="2018-09-09T00:00:00"/>
    <d v="2018-09-22T19:10:46"/>
    <x v="0"/>
    <x v="1"/>
    <s v="NF3599"/>
    <n v="3669"/>
    <x v="0"/>
    <n v="2018"/>
    <x v="1"/>
    <x v="1"/>
    <x v="2"/>
    <x v="0"/>
    <x v="0"/>
    <s v="Prazo"/>
    <n v="4.2008529691738659"/>
  </r>
  <r>
    <d v="2018-12-18T00:00:00"/>
    <d v="2018-09-12T00:00:00"/>
    <d v="2018-10-10T05:32:48"/>
    <x v="0"/>
    <x v="1"/>
    <s v="NF9914"/>
    <n v="1207"/>
    <x v="3"/>
    <n v="2018"/>
    <x v="1"/>
    <x v="1"/>
    <x v="3"/>
    <x v="0"/>
    <x v="0"/>
    <s v="Prazo"/>
    <n v="68.768891322906711"/>
  </r>
  <r>
    <d v="2018-11-08T00:00:00"/>
    <d v="2018-09-18T00:00:00"/>
    <d v="2018-11-08T01:06:09"/>
    <x v="0"/>
    <x v="0"/>
    <s v="NF5492"/>
    <n v="2539"/>
    <x v="2"/>
    <n v="2018"/>
    <x v="1"/>
    <x v="1"/>
    <x v="4"/>
    <x v="0"/>
    <x v="0"/>
    <s v="Prazo"/>
    <n v="0"/>
  </r>
  <r>
    <d v="2018-10-01T00:00:00"/>
    <d v="2018-09-20T00:00:00"/>
    <d v="2018-10-01T12:07:20"/>
    <x v="0"/>
    <x v="4"/>
    <s v="NF7516"/>
    <n v="2895"/>
    <x v="1"/>
    <n v="2018"/>
    <x v="1"/>
    <x v="1"/>
    <x v="3"/>
    <x v="0"/>
    <x v="0"/>
    <s v="Prazo"/>
    <n v="0"/>
  </r>
  <r>
    <d v="2018-10-15T00:00:00"/>
    <d v="2018-09-21T00:00:00"/>
    <d v="2018-10-04T04:41:37"/>
    <x v="0"/>
    <x v="1"/>
    <s v="NF8652"/>
    <n v="2106"/>
    <x v="1"/>
    <n v="2018"/>
    <x v="1"/>
    <x v="1"/>
    <x v="3"/>
    <x v="0"/>
    <x v="0"/>
    <s v="Prazo"/>
    <n v="10.804437414888525"/>
  </r>
  <r>
    <d v="2018-11-01T00:00:00"/>
    <d v="2018-09-23T00:00:00"/>
    <d v="2018-11-01T16:45:30"/>
    <x v="0"/>
    <x v="4"/>
    <s v="NF4809"/>
    <n v="3742"/>
    <x v="2"/>
    <n v="2018"/>
    <x v="1"/>
    <x v="1"/>
    <x v="4"/>
    <x v="0"/>
    <x v="0"/>
    <s v="Prazo"/>
    <n v="0"/>
  </r>
  <r>
    <d v="2018-10-22T00:00:00"/>
    <d v="2018-09-26T00:00:00"/>
    <d v="2018-10-22T15:14:34"/>
    <x v="0"/>
    <x v="0"/>
    <s v="NF5491"/>
    <n v="3222"/>
    <x v="1"/>
    <n v="2018"/>
    <x v="1"/>
    <x v="1"/>
    <x v="3"/>
    <x v="0"/>
    <x v="0"/>
    <s v="Prazo"/>
    <n v="0"/>
  </r>
  <r>
    <d v="2018-10-19T00:00:00"/>
    <d v="2018-10-01T00:00:00"/>
    <d v="2018-10-19T07:03:23"/>
    <x v="0"/>
    <x v="1"/>
    <s v="NF7862"/>
    <n v="673"/>
    <x v="1"/>
    <n v="2018"/>
    <x v="2"/>
    <x v="1"/>
    <x v="3"/>
    <x v="0"/>
    <x v="0"/>
    <s v="Prazo"/>
    <n v="0"/>
  </r>
  <r>
    <s v=""/>
    <d v="2018-10-05T00:00:00"/>
    <d v="2018-10-26T19:35:25"/>
    <x v="0"/>
    <x v="3"/>
    <s v="NF3137"/>
    <n v="4922"/>
    <x v="4"/>
    <n v="0"/>
    <x v="2"/>
    <x v="1"/>
    <x v="3"/>
    <x v="0"/>
    <x v="1"/>
    <s v="Prazo"/>
    <n v="1916.1837426896745"/>
  </r>
  <r>
    <d v="2019-01-26T00:00:00"/>
    <d v="2018-10-09T00:00:00"/>
    <d v="2018-11-28T21:26:54"/>
    <x v="0"/>
    <x v="2"/>
    <s v="NF2705"/>
    <n v="1688"/>
    <x v="6"/>
    <n v="2019"/>
    <x v="2"/>
    <x v="1"/>
    <x v="4"/>
    <x v="0"/>
    <x v="0"/>
    <s v="Prazo"/>
    <n v="58.106319349841215"/>
  </r>
  <r>
    <d v="2018-12-08T00:00:00"/>
    <d v="2018-10-09T00:00:00"/>
    <d v="2018-11-19T12:14:44"/>
    <x v="0"/>
    <x v="2"/>
    <s v="NF9537"/>
    <n v="979"/>
    <x v="3"/>
    <n v="2018"/>
    <x v="2"/>
    <x v="1"/>
    <x v="4"/>
    <x v="0"/>
    <x v="0"/>
    <s v="Prazo"/>
    <n v="18.489773710367444"/>
  </r>
  <r>
    <d v="2018-10-27T00:00:00"/>
    <d v="2018-10-14T00:00:00"/>
    <d v="2018-10-27T20:54:27"/>
    <x v="0"/>
    <x v="1"/>
    <s v="NF1700"/>
    <n v="3744"/>
    <x v="1"/>
    <n v="2018"/>
    <x v="2"/>
    <x v="1"/>
    <x v="3"/>
    <x v="0"/>
    <x v="0"/>
    <s v="Prazo"/>
    <n v="0"/>
  </r>
  <r>
    <d v="2018-12-04T00:00:00"/>
    <d v="2018-10-16T00:00:00"/>
    <d v="2018-12-04T03:16:57"/>
    <x v="0"/>
    <x v="2"/>
    <s v="NF9052"/>
    <n v="4061"/>
    <x v="3"/>
    <n v="2018"/>
    <x v="2"/>
    <x v="1"/>
    <x v="5"/>
    <x v="0"/>
    <x v="0"/>
    <s v="Prazo"/>
    <n v="0"/>
  </r>
  <r>
    <d v="2019-01-28T00:00:00"/>
    <d v="2018-10-21T00:00:00"/>
    <d v="2018-12-01T19:29:45"/>
    <x v="0"/>
    <x v="0"/>
    <s v="NF9827"/>
    <n v="4404"/>
    <x v="6"/>
    <n v="2019"/>
    <x v="2"/>
    <x v="1"/>
    <x v="5"/>
    <x v="0"/>
    <x v="0"/>
    <s v="Prazo"/>
    <n v="57.187673704560439"/>
  </r>
  <r>
    <d v="2018-11-15T00:00:00"/>
    <d v="2018-10-25T00:00:00"/>
    <d v="2018-11-15T14:37:18"/>
    <x v="0"/>
    <x v="1"/>
    <s v="NF4056"/>
    <n v="2429"/>
    <x v="2"/>
    <n v="2018"/>
    <x v="2"/>
    <x v="1"/>
    <x v="4"/>
    <x v="0"/>
    <x v="0"/>
    <s v="Prazo"/>
    <n v="0"/>
  </r>
  <r>
    <d v="2018-12-23T00:00:00"/>
    <d v="2018-10-25T00:00:00"/>
    <d v="2018-12-23T10:14:59"/>
    <x v="0"/>
    <x v="0"/>
    <s v="NF4381"/>
    <n v="2713"/>
    <x v="3"/>
    <n v="2018"/>
    <x v="2"/>
    <x v="1"/>
    <x v="5"/>
    <x v="0"/>
    <x v="0"/>
    <s v="Prazo"/>
    <n v="0"/>
  </r>
  <r>
    <d v="2018-11-12T00:00:00"/>
    <d v="2018-10-30T00:00:00"/>
    <d v="2018-11-12T18:59:39"/>
    <x v="0"/>
    <x v="1"/>
    <s v="NF5374"/>
    <n v="3787"/>
    <x v="2"/>
    <n v="2018"/>
    <x v="2"/>
    <x v="1"/>
    <x v="4"/>
    <x v="0"/>
    <x v="0"/>
    <s v="Prazo"/>
    <n v="0"/>
  </r>
  <r>
    <d v="2019-02-07T00:00:00"/>
    <d v="2018-11-04T00:00:00"/>
    <d v="2018-12-08T21:36:08"/>
    <x v="0"/>
    <x v="4"/>
    <s v="NF4782"/>
    <n v="1820"/>
    <x v="5"/>
    <n v="2019"/>
    <x v="3"/>
    <x v="1"/>
    <x v="5"/>
    <x v="0"/>
    <x v="0"/>
    <s v="Prazo"/>
    <n v="60.099907278039609"/>
  </r>
  <r>
    <d v="2018-11-27T00:00:00"/>
    <d v="2018-11-08T00:00:00"/>
    <d v="2018-11-27T14:09:21"/>
    <x v="0"/>
    <x v="1"/>
    <s v="NF9770"/>
    <n v="4135"/>
    <x v="2"/>
    <n v="2018"/>
    <x v="3"/>
    <x v="1"/>
    <x v="4"/>
    <x v="0"/>
    <x v="0"/>
    <s v="Prazo"/>
    <n v="0"/>
  </r>
  <r>
    <d v="2019-01-02T00:00:00"/>
    <d v="2018-11-11T00:00:00"/>
    <d v="2018-11-17T02:12:26"/>
    <x v="0"/>
    <x v="1"/>
    <s v="NF3186"/>
    <n v="3902"/>
    <x v="6"/>
    <n v="2019"/>
    <x v="3"/>
    <x v="1"/>
    <x v="4"/>
    <x v="0"/>
    <x v="0"/>
    <s v="Prazo"/>
    <n v="45.908032749975973"/>
  </r>
  <r>
    <d v="2019-02-27T00:00:00"/>
    <d v="2018-11-14T00:00:00"/>
    <d v="2018-12-07T17:43:50"/>
    <x v="0"/>
    <x v="1"/>
    <s v="NF7423"/>
    <n v="4319"/>
    <x v="5"/>
    <n v="2019"/>
    <x v="3"/>
    <x v="1"/>
    <x v="5"/>
    <x v="0"/>
    <x v="0"/>
    <s v="Prazo"/>
    <n v="81.261226879723836"/>
  </r>
  <r>
    <d v="2018-12-30T00:00:00"/>
    <d v="2018-11-17T00:00:00"/>
    <d v="2018-12-30T17:57:50"/>
    <x v="0"/>
    <x v="0"/>
    <s v="NF3114"/>
    <n v="3068"/>
    <x v="3"/>
    <n v="2018"/>
    <x v="3"/>
    <x v="1"/>
    <x v="5"/>
    <x v="0"/>
    <x v="0"/>
    <s v="Prazo"/>
    <n v="0"/>
  </r>
  <r>
    <d v="2018-12-21T00:00:00"/>
    <d v="2018-11-21T00:00:00"/>
    <d v="2018-12-21T09:00:52"/>
    <x v="0"/>
    <x v="1"/>
    <s v="NF1359"/>
    <n v="1880"/>
    <x v="3"/>
    <n v="2018"/>
    <x v="3"/>
    <x v="1"/>
    <x v="5"/>
    <x v="0"/>
    <x v="0"/>
    <s v="Prazo"/>
    <n v="0"/>
  </r>
  <r>
    <s v=""/>
    <d v="2018-11-23T00:00:00"/>
    <d v="2018-12-31T01:31:16"/>
    <x v="0"/>
    <x v="1"/>
    <s v="NF5107"/>
    <n v="1414"/>
    <x v="4"/>
    <n v="0"/>
    <x v="3"/>
    <x v="1"/>
    <x v="5"/>
    <x v="0"/>
    <x v="1"/>
    <s v="Prazo"/>
    <n v="1850.9366181493533"/>
  </r>
  <r>
    <s v=""/>
    <d v="2018-11-26T00:00:00"/>
    <d v="2018-12-13T21:21:29"/>
    <x v="0"/>
    <x v="3"/>
    <s v="NF4367"/>
    <n v="919"/>
    <x v="4"/>
    <n v="0"/>
    <x v="3"/>
    <x v="1"/>
    <x v="5"/>
    <x v="0"/>
    <x v="1"/>
    <s v="Prazo"/>
    <n v="1868.1100758552057"/>
  </r>
  <r>
    <d v="2019-01-12T00:00:00"/>
    <d v="2018-11-27T00:00:00"/>
    <d v="2019-01-12T23:10:46"/>
    <x v="0"/>
    <x v="1"/>
    <s v="NF8386"/>
    <n v="4801"/>
    <x v="6"/>
    <n v="2019"/>
    <x v="3"/>
    <x v="1"/>
    <x v="6"/>
    <x v="2"/>
    <x v="0"/>
    <s v="Prazo"/>
    <n v="0"/>
  </r>
  <r>
    <s v=""/>
    <d v="2018-11-30T00:00:00"/>
    <d v="2018-12-21T06:25:18"/>
    <x v="0"/>
    <x v="2"/>
    <s v="NF5922"/>
    <n v="4639"/>
    <x v="4"/>
    <n v="0"/>
    <x v="3"/>
    <x v="1"/>
    <x v="5"/>
    <x v="0"/>
    <x v="1"/>
    <s v="Prazo"/>
    <n v="1860.7324355930832"/>
  </r>
  <r>
    <d v="2019-03-20T00:00:00"/>
    <d v="2018-12-06T00:00:00"/>
    <d v="2019-01-22T09:22:29"/>
    <x v="0"/>
    <x v="1"/>
    <s v="NF9970"/>
    <n v="1209"/>
    <x v="7"/>
    <n v="2019"/>
    <x v="4"/>
    <x v="1"/>
    <x v="6"/>
    <x v="2"/>
    <x v="0"/>
    <s v="Prazo"/>
    <n v="56.609385585208656"/>
  </r>
  <r>
    <s v=""/>
    <d v="2018-12-10T00:00:00"/>
    <d v="2019-01-12T04:05:06"/>
    <x v="0"/>
    <x v="2"/>
    <s v="NF1938"/>
    <n v="483"/>
    <x v="4"/>
    <n v="0"/>
    <x v="4"/>
    <x v="1"/>
    <x v="6"/>
    <x v="2"/>
    <x v="1"/>
    <s v="Prazo"/>
    <n v="1838.8297955012094"/>
  </r>
  <r>
    <d v="2019-01-04T00:00:00"/>
    <d v="2018-12-17T00:00:00"/>
    <d v="2019-01-04T09:42:41"/>
    <x v="0"/>
    <x v="1"/>
    <s v="NF7772"/>
    <n v="373"/>
    <x v="6"/>
    <n v="2019"/>
    <x v="4"/>
    <x v="1"/>
    <x v="6"/>
    <x v="2"/>
    <x v="0"/>
    <s v="Prazo"/>
    <n v="0"/>
  </r>
  <r>
    <d v="2018-12-25T00:00:00"/>
    <d v="2018-12-20T00:00:00"/>
    <d v="2018-12-25T16:39:40"/>
    <x v="0"/>
    <x v="0"/>
    <s v="NF9932"/>
    <n v="2088"/>
    <x v="3"/>
    <n v="2018"/>
    <x v="4"/>
    <x v="1"/>
    <x v="5"/>
    <x v="0"/>
    <x v="0"/>
    <s v="Prazo"/>
    <n v="0"/>
  </r>
  <r>
    <d v="2019-02-01T00:00:00"/>
    <d v="2018-12-21T00:00:00"/>
    <d v="2019-02-01T19:36:46"/>
    <x v="0"/>
    <x v="2"/>
    <s v="NF2970"/>
    <n v="1168"/>
    <x v="5"/>
    <n v="2019"/>
    <x v="4"/>
    <x v="1"/>
    <x v="7"/>
    <x v="2"/>
    <x v="0"/>
    <s v="Prazo"/>
    <n v="0"/>
  </r>
  <r>
    <d v="2019-03-26T00:00:00"/>
    <d v="2018-12-23T00:00:00"/>
    <d v="2019-01-28T21:24:55"/>
    <x v="0"/>
    <x v="2"/>
    <s v="NF4423"/>
    <n v="4429"/>
    <x v="7"/>
    <n v="2019"/>
    <x v="4"/>
    <x v="1"/>
    <x v="6"/>
    <x v="2"/>
    <x v="0"/>
    <s v="Prazo"/>
    <n v="56.10770077307825"/>
  </r>
  <r>
    <d v="2019-02-23T00:00:00"/>
    <d v="2018-12-28T00:00:00"/>
    <d v="2019-02-23T16:37:34"/>
    <x v="0"/>
    <x v="1"/>
    <s v="NF9682"/>
    <n v="4955"/>
    <x v="5"/>
    <n v="2019"/>
    <x v="4"/>
    <x v="1"/>
    <x v="7"/>
    <x v="2"/>
    <x v="0"/>
    <s v="Prazo"/>
    <n v="0"/>
  </r>
  <r>
    <d v="2019-01-19T00:00:00"/>
    <d v="2018-12-31T00:00:00"/>
    <d v="2019-01-18T02:10:28"/>
    <x v="0"/>
    <x v="1"/>
    <s v="NF7840"/>
    <n v="3201"/>
    <x v="6"/>
    <n v="2019"/>
    <x v="4"/>
    <x v="1"/>
    <x v="6"/>
    <x v="2"/>
    <x v="0"/>
    <s v="Prazo"/>
    <n v="0.90939365507801995"/>
  </r>
  <r>
    <d v="2019-02-15T00:00:00"/>
    <d v="2019-01-04T00:00:00"/>
    <d v="2019-02-15T16:37:04"/>
    <x v="0"/>
    <x v="4"/>
    <s v="NF4946"/>
    <n v="3007"/>
    <x v="5"/>
    <n v="2019"/>
    <x v="5"/>
    <x v="2"/>
    <x v="7"/>
    <x v="2"/>
    <x v="0"/>
    <s v="Prazo"/>
    <n v="0"/>
  </r>
  <r>
    <d v="2019-02-15T00:00:00"/>
    <d v="2019-01-08T00:00:00"/>
    <d v="2019-02-15T02:44:50"/>
    <x v="0"/>
    <x v="2"/>
    <s v="NF6806"/>
    <n v="900"/>
    <x v="5"/>
    <n v="2019"/>
    <x v="5"/>
    <x v="2"/>
    <x v="7"/>
    <x v="2"/>
    <x v="0"/>
    <s v="Prazo"/>
    <n v="0"/>
  </r>
  <r>
    <d v="2019-02-13T00:00:00"/>
    <d v="2019-01-13T00:00:00"/>
    <d v="2019-02-13T05:18:28"/>
    <x v="0"/>
    <x v="1"/>
    <s v="NF3882"/>
    <n v="2970"/>
    <x v="5"/>
    <n v="2019"/>
    <x v="5"/>
    <x v="2"/>
    <x v="7"/>
    <x v="2"/>
    <x v="0"/>
    <s v="Prazo"/>
    <n v="0"/>
  </r>
  <r>
    <d v="2019-05-16T00:00:00"/>
    <d v="2019-01-17T00:00:00"/>
    <d v="2019-03-14T13:02:36"/>
    <x v="0"/>
    <x v="3"/>
    <s v="NF1850"/>
    <n v="4993"/>
    <x v="8"/>
    <n v="2019"/>
    <x v="5"/>
    <x v="2"/>
    <x v="8"/>
    <x v="2"/>
    <x v="0"/>
    <s v="Prazo"/>
    <n v="62.456524624962185"/>
  </r>
  <r>
    <d v="2019-01-20T00:00:00"/>
    <d v="2019-01-20T00:00:00"/>
    <d v="2019-01-20T22:55:55"/>
    <x v="0"/>
    <x v="2"/>
    <s v="NF7979"/>
    <n v="1664"/>
    <x v="6"/>
    <n v="2019"/>
    <x v="5"/>
    <x v="2"/>
    <x v="6"/>
    <x v="2"/>
    <x v="0"/>
    <s v="Prazo"/>
    <n v="0"/>
  </r>
  <r>
    <d v="2019-02-26T00:00:00"/>
    <d v="2019-01-21T00:00:00"/>
    <d v="2019-02-26T14:45:57"/>
    <x v="0"/>
    <x v="1"/>
    <s v="NF1547"/>
    <n v="1815"/>
    <x v="5"/>
    <n v="2019"/>
    <x v="5"/>
    <x v="2"/>
    <x v="7"/>
    <x v="2"/>
    <x v="0"/>
    <s v="Prazo"/>
    <n v="0"/>
  </r>
  <r>
    <d v="2019-02-09T00:00:00"/>
    <d v="2019-01-23T00:00:00"/>
    <d v="2019-02-09T01:03:10"/>
    <x v="0"/>
    <x v="4"/>
    <s v="NF2309"/>
    <n v="3752"/>
    <x v="5"/>
    <n v="2019"/>
    <x v="5"/>
    <x v="2"/>
    <x v="7"/>
    <x v="2"/>
    <x v="0"/>
    <s v="Prazo"/>
    <n v="0"/>
  </r>
  <r>
    <d v="2019-02-17T00:00:00"/>
    <d v="2019-01-27T00:00:00"/>
    <d v="2019-02-17T10:09:23"/>
    <x v="0"/>
    <x v="1"/>
    <s v="NF5791"/>
    <n v="177"/>
    <x v="5"/>
    <n v="2019"/>
    <x v="5"/>
    <x v="2"/>
    <x v="7"/>
    <x v="2"/>
    <x v="0"/>
    <s v="Prazo"/>
    <n v="0"/>
  </r>
  <r>
    <d v="2019-02-17T00:00:00"/>
    <d v="2019-01-29T00:00:00"/>
    <d v="2019-02-17T09:41:51"/>
    <x v="0"/>
    <x v="1"/>
    <s v="NF2982"/>
    <n v="3619"/>
    <x v="5"/>
    <n v="2019"/>
    <x v="5"/>
    <x v="2"/>
    <x v="7"/>
    <x v="2"/>
    <x v="0"/>
    <s v="Prazo"/>
    <n v="0"/>
  </r>
  <r>
    <d v="2019-03-10T00:00:00"/>
    <d v="2019-02-02T00:00:00"/>
    <d v="2019-03-10T23:45:15"/>
    <x v="0"/>
    <x v="4"/>
    <s v="NF1796"/>
    <n v="4030"/>
    <x v="7"/>
    <n v="2019"/>
    <x v="6"/>
    <x v="2"/>
    <x v="8"/>
    <x v="2"/>
    <x v="0"/>
    <s v="Prazo"/>
    <n v="0"/>
  </r>
  <r>
    <d v="2019-02-16T00:00:00"/>
    <d v="2019-02-05T00:00:00"/>
    <d v="2019-02-16T21:15:54"/>
    <x v="0"/>
    <x v="4"/>
    <s v="NF2396"/>
    <n v="4157"/>
    <x v="5"/>
    <n v="2019"/>
    <x v="6"/>
    <x v="2"/>
    <x v="7"/>
    <x v="2"/>
    <x v="0"/>
    <s v="Prazo"/>
    <n v="0"/>
  </r>
  <r>
    <d v="2019-03-08T00:00:00"/>
    <d v="2019-02-06T00:00:00"/>
    <d v="2019-03-08T19:47:59"/>
    <x v="0"/>
    <x v="0"/>
    <s v="NF8281"/>
    <n v="1417"/>
    <x v="7"/>
    <n v="2019"/>
    <x v="6"/>
    <x v="2"/>
    <x v="8"/>
    <x v="2"/>
    <x v="0"/>
    <s v="Prazo"/>
    <n v="0"/>
  </r>
  <r>
    <d v="2019-03-16T00:00:00"/>
    <d v="2019-02-09T00:00:00"/>
    <d v="2019-03-16T07:28:02"/>
    <x v="0"/>
    <x v="2"/>
    <s v="NF3155"/>
    <n v="1117"/>
    <x v="7"/>
    <n v="2019"/>
    <x v="6"/>
    <x v="2"/>
    <x v="8"/>
    <x v="2"/>
    <x v="0"/>
    <s v="Prazo"/>
    <n v="0"/>
  </r>
  <r>
    <d v="2019-03-17T00:00:00"/>
    <d v="2019-02-10T00:00:00"/>
    <d v="2019-03-17T15:39:40"/>
    <x v="0"/>
    <x v="3"/>
    <s v="NF4849"/>
    <n v="4461"/>
    <x v="7"/>
    <n v="2019"/>
    <x v="6"/>
    <x v="2"/>
    <x v="8"/>
    <x v="2"/>
    <x v="0"/>
    <s v="Prazo"/>
    <n v="0"/>
  </r>
  <r>
    <d v="2019-04-05T00:00:00"/>
    <d v="2019-02-12T00:00:00"/>
    <d v="2019-03-30T02:17:21"/>
    <x v="0"/>
    <x v="1"/>
    <s v="NF4647"/>
    <n v="3732"/>
    <x v="9"/>
    <n v="2019"/>
    <x v="6"/>
    <x v="2"/>
    <x v="8"/>
    <x v="2"/>
    <x v="0"/>
    <s v="Prazo"/>
    <n v="5.9046187810599804"/>
  </r>
  <r>
    <d v="2019-02-16T00:00:00"/>
    <d v="2019-02-13T00:00:00"/>
    <d v="2019-02-16T10:14:23"/>
    <x v="0"/>
    <x v="2"/>
    <s v="NF9056"/>
    <n v="2024"/>
    <x v="5"/>
    <n v="2019"/>
    <x v="6"/>
    <x v="2"/>
    <x v="7"/>
    <x v="2"/>
    <x v="0"/>
    <s v="Prazo"/>
    <n v="0"/>
  </r>
  <r>
    <s v=""/>
    <d v="2019-02-16T00:00:00"/>
    <d v="2019-04-15T04:56:28"/>
    <x v="0"/>
    <x v="1"/>
    <s v="NF4097"/>
    <n v="928"/>
    <x v="4"/>
    <n v="0"/>
    <x v="6"/>
    <x v="2"/>
    <x v="9"/>
    <x v="2"/>
    <x v="1"/>
    <s v="Prazo"/>
    <n v="1745.7941232923622"/>
  </r>
  <r>
    <d v="2019-04-05T00:00:00"/>
    <d v="2019-02-17T00:00:00"/>
    <d v="2019-04-05T01:36:02"/>
    <x v="0"/>
    <x v="1"/>
    <s v="NF9792"/>
    <n v="3557"/>
    <x v="9"/>
    <n v="2019"/>
    <x v="6"/>
    <x v="2"/>
    <x v="9"/>
    <x v="2"/>
    <x v="0"/>
    <s v="Prazo"/>
    <n v="0"/>
  </r>
  <r>
    <d v="2019-03-16T00:00:00"/>
    <d v="2019-02-18T00:00:00"/>
    <d v="2019-03-16T19:41:49"/>
    <x v="0"/>
    <x v="2"/>
    <s v="NF1943"/>
    <n v="741"/>
    <x v="7"/>
    <n v="2019"/>
    <x v="6"/>
    <x v="2"/>
    <x v="8"/>
    <x v="2"/>
    <x v="0"/>
    <s v="Prazo"/>
    <n v="0"/>
  </r>
  <r>
    <d v="2019-03-24T00:00:00"/>
    <d v="2019-02-21T00:00:00"/>
    <d v="2019-03-24T05:21:02"/>
    <x v="0"/>
    <x v="2"/>
    <s v="NF5598"/>
    <n v="850"/>
    <x v="7"/>
    <n v="2019"/>
    <x v="6"/>
    <x v="2"/>
    <x v="8"/>
    <x v="2"/>
    <x v="0"/>
    <s v="Prazo"/>
    <n v="0"/>
  </r>
  <r>
    <d v="2019-06-09T00:00:00"/>
    <d v="2019-02-26T00:00:00"/>
    <d v="2019-04-08T19:32:27"/>
    <x v="0"/>
    <x v="1"/>
    <s v="NF8881"/>
    <n v="4741"/>
    <x v="10"/>
    <n v="2019"/>
    <x v="6"/>
    <x v="2"/>
    <x v="9"/>
    <x v="2"/>
    <x v="0"/>
    <s v="Prazo"/>
    <n v="61.185798403552326"/>
  </r>
  <r>
    <d v="2019-04-16T00:00:00"/>
    <d v="2019-03-01T00:00:00"/>
    <d v="2019-04-16T11:01:03"/>
    <x v="0"/>
    <x v="0"/>
    <s v="NF3500"/>
    <n v="471"/>
    <x v="9"/>
    <n v="2019"/>
    <x v="7"/>
    <x v="2"/>
    <x v="9"/>
    <x v="2"/>
    <x v="0"/>
    <s v="Prazo"/>
    <n v="0"/>
  </r>
  <r>
    <d v="2019-05-05T00:00:00"/>
    <d v="2019-03-03T00:00:00"/>
    <d v="2019-04-13T17:11:44"/>
    <x v="0"/>
    <x v="0"/>
    <s v="NF3489"/>
    <n v="517"/>
    <x v="8"/>
    <n v="2019"/>
    <x v="7"/>
    <x v="2"/>
    <x v="9"/>
    <x v="2"/>
    <x v="0"/>
    <s v="Prazo"/>
    <n v="21.283517456475238"/>
  </r>
  <r>
    <d v="2019-04-08T00:00:00"/>
    <d v="2019-03-10T00:00:00"/>
    <d v="2019-04-08T05:18:52"/>
    <x v="0"/>
    <x v="0"/>
    <s v="NF8682"/>
    <n v="3034"/>
    <x v="9"/>
    <n v="2019"/>
    <x v="7"/>
    <x v="2"/>
    <x v="9"/>
    <x v="2"/>
    <x v="0"/>
    <s v="Prazo"/>
    <n v="0"/>
  </r>
  <r>
    <d v="2019-04-23T00:00:00"/>
    <d v="2019-03-13T00:00:00"/>
    <d v="2019-04-23T13:50:46"/>
    <x v="0"/>
    <x v="1"/>
    <s v="NF8525"/>
    <n v="3172"/>
    <x v="9"/>
    <n v="2019"/>
    <x v="7"/>
    <x v="2"/>
    <x v="9"/>
    <x v="2"/>
    <x v="0"/>
    <s v="Prazo"/>
    <n v="0"/>
  </r>
  <r>
    <d v="2019-03-31T00:00:00"/>
    <d v="2019-03-19T00:00:00"/>
    <d v="2019-03-31T16:25:16"/>
    <x v="0"/>
    <x v="4"/>
    <s v="NF2006"/>
    <n v="2069"/>
    <x v="7"/>
    <n v="2019"/>
    <x v="7"/>
    <x v="2"/>
    <x v="8"/>
    <x v="2"/>
    <x v="0"/>
    <s v="Prazo"/>
    <n v="0"/>
  </r>
  <r>
    <d v="2019-05-29T00:00:00"/>
    <d v="2019-03-21T00:00:00"/>
    <d v="2019-04-04T11:22:30"/>
    <x v="0"/>
    <x v="4"/>
    <s v="NF7648"/>
    <n v="3849"/>
    <x v="8"/>
    <n v="2019"/>
    <x v="7"/>
    <x v="2"/>
    <x v="9"/>
    <x v="2"/>
    <x v="0"/>
    <s v="Prazo"/>
    <n v="54.526043141893751"/>
  </r>
  <r>
    <d v="2019-06-06T00:00:00"/>
    <d v="2019-03-27T00:00:00"/>
    <d v="2019-05-01T01:07:37"/>
    <x v="0"/>
    <x v="2"/>
    <s v="NF6770"/>
    <n v="4141"/>
    <x v="10"/>
    <n v="2019"/>
    <x v="7"/>
    <x v="2"/>
    <x v="10"/>
    <x v="2"/>
    <x v="0"/>
    <s v="Prazo"/>
    <n v="35.953041083274002"/>
  </r>
  <r>
    <s v=""/>
    <d v="2019-03-28T00:00:00"/>
    <d v="2019-05-01T21:23:18"/>
    <x v="0"/>
    <x v="2"/>
    <s v="NF2352"/>
    <n v="1348"/>
    <x v="4"/>
    <n v="0"/>
    <x v="7"/>
    <x v="2"/>
    <x v="10"/>
    <x v="2"/>
    <x v="1"/>
    <s v="Prazo"/>
    <n v="1729.1088247422158"/>
  </r>
  <r>
    <d v="2019-04-24T00:00:00"/>
    <d v="2019-04-03T00:00:00"/>
    <d v="2019-04-24T13:27:37"/>
    <x v="0"/>
    <x v="1"/>
    <s v="NF4686"/>
    <n v="1738"/>
    <x v="9"/>
    <n v="2019"/>
    <x v="8"/>
    <x v="2"/>
    <x v="9"/>
    <x v="2"/>
    <x v="0"/>
    <s v="Prazo"/>
    <n v="0"/>
  </r>
  <r>
    <d v="2019-05-31T00:00:00"/>
    <d v="2019-04-06T00:00:00"/>
    <d v="2019-05-31T22:15:59"/>
    <x v="0"/>
    <x v="1"/>
    <s v="NF9108"/>
    <n v="732"/>
    <x v="8"/>
    <n v="2019"/>
    <x v="8"/>
    <x v="2"/>
    <x v="10"/>
    <x v="2"/>
    <x v="0"/>
    <s v="Prazo"/>
    <n v="0"/>
  </r>
  <r>
    <d v="2019-06-09T00:00:00"/>
    <d v="2019-04-07T00:00:00"/>
    <d v="2019-05-01T16:38:34"/>
    <x v="0"/>
    <x v="2"/>
    <s v="NF1934"/>
    <n v="373"/>
    <x v="10"/>
    <n v="2019"/>
    <x v="8"/>
    <x v="2"/>
    <x v="10"/>
    <x v="2"/>
    <x v="0"/>
    <s v="Prazo"/>
    <n v="38.306552092915808"/>
  </r>
  <r>
    <d v="2019-08-03T00:00:00"/>
    <d v="2019-04-09T00:00:00"/>
    <d v="2019-05-24T04:50:10"/>
    <x v="0"/>
    <x v="0"/>
    <s v="NF5748"/>
    <n v="609"/>
    <x v="12"/>
    <n v="2019"/>
    <x v="8"/>
    <x v="2"/>
    <x v="10"/>
    <x v="2"/>
    <x v="0"/>
    <s v="Prazo"/>
    <n v="70.798497417825274"/>
  </r>
  <r>
    <d v="2019-05-30T00:00:00"/>
    <d v="2019-04-12T00:00:00"/>
    <d v="2019-05-30T01:49:11"/>
    <x v="0"/>
    <x v="1"/>
    <s v="NF3443"/>
    <n v="2883"/>
    <x v="8"/>
    <n v="2019"/>
    <x v="8"/>
    <x v="2"/>
    <x v="10"/>
    <x v="2"/>
    <x v="0"/>
    <s v="Prazo"/>
    <n v="0"/>
  </r>
  <r>
    <d v="2019-04-15T00:00:00"/>
    <d v="2019-04-14T00:00:00"/>
    <d v="2019-04-15T18:28:04"/>
    <x v="0"/>
    <x v="0"/>
    <s v="NF4433"/>
    <n v="4651"/>
    <x v="9"/>
    <n v="2019"/>
    <x v="8"/>
    <x v="2"/>
    <x v="9"/>
    <x v="2"/>
    <x v="0"/>
    <s v="Prazo"/>
    <n v="0"/>
  </r>
  <r>
    <d v="2019-04-24T00:00:00"/>
    <d v="2019-04-18T00:00:00"/>
    <d v="2019-04-24T22:21:53"/>
    <x v="0"/>
    <x v="0"/>
    <s v="NF7700"/>
    <n v="4797"/>
    <x v="9"/>
    <n v="2019"/>
    <x v="8"/>
    <x v="2"/>
    <x v="9"/>
    <x v="2"/>
    <x v="0"/>
    <s v="Prazo"/>
    <n v="0"/>
  </r>
  <r>
    <d v="2019-05-13T00:00:00"/>
    <d v="2019-04-20T00:00:00"/>
    <d v="2019-05-13T22:29:22"/>
    <x v="0"/>
    <x v="4"/>
    <s v="NF8475"/>
    <n v="1620"/>
    <x v="8"/>
    <n v="2019"/>
    <x v="8"/>
    <x v="2"/>
    <x v="10"/>
    <x v="2"/>
    <x v="0"/>
    <s v="Prazo"/>
    <n v="0"/>
  </r>
  <r>
    <d v="2019-06-09T00:00:00"/>
    <d v="2019-04-27T00:00:00"/>
    <d v="2019-06-09T20:50:45"/>
    <x v="0"/>
    <x v="2"/>
    <s v="NF3694"/>
    <n v="245"/>
    <x v="10"/>
    <n v="2019"/>
    <x v="8"/>
    <x v="2"/>
    <x v="11"/>
    <x v="2"/>
    <x v="0"/>
    <s v="Prazo"/>
    <n v="0"/>
  </r>
  <r>
    <d v="2019-05-10T00:00:00"/>
    <d v="2019-04-29T00:00:00"/>
    <d v="2019-05-10T23:40:58"/>
    <x v="0"/>
    <x v="1"/>
    <s v="NF5571"/>
    <n v="2091"/>
    <x v="8"/>
    <n v="2019"/>
    <x v="8"/>
    <x v="2"/>
    <x v="10"/>
    <x v="2"/>
    <x v="0"/>
    <s v="Prazo"/>
    <n v="0"/>
  </r>
  <r>
    <d v="2019-05-09T00:00:00"/>
    <d v="2019-04-30T00:00:00"/>
    <d v="2019-05-09T10:26:18"/>
    <x v="0"/>
    <x v="1"/>
    <s v="NF7836"/>
    <n v="3200"/>
    <x v="8"/>
    <n v="2019"/>
    <x v="8"/>
    <x v="2"/>
    <x v="10"/>
    <x v="2"/>
    <x v="0"/>
    <s v="Prazo"/>
    <n v="0"/>
  </r>
  <r>
    <d v="2019-05-19T00:00:00"/>
    <d v="2019-05-02T00:00:00"/>
    <d v="2019-05-19T01:37:55"/>
    <x v="0"/>
    <x v="2"/>
    <s v="NF7705"/>
    <n v="583"/>
    <x v="8"/>
    <n v="2019"/>
    <x v="9"/>
    <x v="2"/>
    <x v="10"/>
    <x v="2"/>
    <x v="0"/>
    <s v="Prazo"/>
    <n v="0"/>
  </r>
  <r>
    <d v="2019-06-10T00:00:00"/>
    <d v="2019-05-05T00:00:00"/>
    <d v="2019-06-10T13:50:40"/>
    <x v="0"/>
    <x v="1"/>
    <s v="NF1629"/>
    <n v="4505"/>
    <x v="10"/>
    <n v="2019"/>
    <x v="9"/>
    <x v="2"/>
    <x v="11"/>
    <x v="2"/>
    <x v="0"/>
    <s v="Prazo"/>
    <n v="0"/>
  </r>
  <r>
    <d v="2019-06-08T00:00:00"/>
    <d v="2019-05-07T00:00:00"/>
    <d v="2019-05-24T02:45:41"/>
    <x v="0"/>
    <x v="1"/>
    <s v="NF4027"/>
    <n v="343"/>
    <x v="10"/>
    <n v="2019"/>
    <x v="9"/>
    <x v="2"/>
    <x v="10"/>
    <x v="2"/>
    <x v="0"/>
    <s v="Prazo"/>
    <n v="14.884940855117748"/>
  </r>
  <r>
    <d v="2019-05-18T00:00:00"/>
    <d v="2019-05-08T00:00:00"/>
    <d v="2019-05-18T16:19:11"/>
    <x v="0"/>
    <x v="0"/>
    <s v="NF7582"/>
    <n v="4510"/>
    <x v="8"/>
    <n v="2019"/>
    <x v="9"/>
    <x v="2"/>
    <x v="10"/>
    <x v="2"/>
    <x v="0"/>
    <s v="Prazo"/>
    <n v="0"/>
  </r>
  <r>
    <s v=""/>
    <d v="2019-05-12T00:00:00"/>
    <d v="2019-05-20T09:30:20"/>
    <x v="0"/>
    <x v="1"/>
    <s v="NF7868"/>
    <n v="667"/>
    <x v="4"/>
    <n v="0"/>
    <x v="9"/>
    <x v="2"/>
    <x v="10"/>
    <x v="2"/>
    <x v="1"/>
    <s v="Prazo"/>
    <n v="1710.6039400226218"/>
  </r>
  <r>
    <d v="2019-06-15T00:00:00"/>
    <d v="2019-05-15T00:00:00"/>
    <d v="2019-06-15T04:03:49"/>
    <x v="0"/>
    <x v="1"/>
    <s v="NF6154"/>
    <n v="1006"/>
    <x v="10"/>
    <n v="2019"/>
    <x v="9"/>
    <x v="2"/>
    <x v="11"/>
    <x v="2"/>
    <x v="0"/>
    <s v="Prazo"/>
    <n v="0"/>
  </r>
  <r>
    <d v="2019-08-09T00:00:00"/>
    <d v="2019-05-19T00:00:00"/>
    <d v="2019-06-19T21:04:28"/>
    <x v="0"/>
    <x v="2"/>
    <s v="NF5531"/>
    <n v="1071"/>
    <x v="12"/>
    <n v="2019"/>
    <x v="9"/>
    <x v="2"/>
    <x v="11"/>
    <x v="2"/>
    <x v="0"/>
    <s v="Prazo"/>
    <n v="50.12190122280299"/>
  </r>
  <r>
    <d v="2019-06-14T00:00:00"/>
    <d v="2019-05-24T00:00:00"/>
    <d v="2019-06-14T06:55:19"/>
    <x v="0"/>
    <x v="4"/>
    <s v="NF9744"/>
    <n v="2194"/>
    <x v="10"/>
    <n v="2019"/>
    <x v="9"/>
    <x v="2"/>
    <x v="11"/>
    <x v="2"/>
    <x v="0"/>
    <s v="Prazo"/>
    <n v="0"/>
  </r>
  <r>
    <d v="2019-05-26T00:00:00"/>
    <d v="2019-05-26T00:00:00"/>
    <d v="2019-05-26T20:19:16"/>
    <x v="0"/>
    <x v="1"/>
    <s v="NF1516"/>
    <n v="2531"/>
    <x v="8"/>
    <n v="2019"/>
    <x v="9"/>
    <x v="2"/>
    <x v="10"/>
    <x v="2"/>
    <x v="0"/>
    <s v="Prazo"/>
    <n v="0"/>
  </r>
  <r>
    <d v="2019-08-31T00:00:00"/>
    <d v="2019-05-29T00:00:00"/>
    <d v="2019-07-09T05:14:28"/>
    <x v="0"/>
    <x v="0"/>
    <s v="NF2007"/>
    <n v="657"/>
    <x v="12"/>
    <n v="2019"/>
    <x v="9"/>
    <x v="2"/>
    <x v="0"/>
    <x v="2"/>
    <x v="0"/>
    <s v="Prazo"/>
    <n v="52.781625219198759"/>
  </r>
  <r>
    <d v="2019-07-02T00:00:00"/>
    <d v="2019-05-30T00:00:00"/>
    <d v="2019-07-02T04:12:39"/>
    <x v="0"/>
    <x v="3"/>
    <s v="NF9904"/>
    <n v="4535"/>
    <x v="11"/>
    <n v="2019"/>
    <x v="9"/>
    <x v="2"/>
    <x v="0"/>
    <x v="2"/>
    <x v="0"/>
    <s v="Prazo"/>
    <n v="0"/>
  </r>
  <r>
    <d v="2019-07-21T00:00:00"/>
    <d v="2019-06-04T00:00:00"/>
    <d v="2019-06-25T14:48:17"/>
    <x v="0"/>
    <x v="1"/>
    <s v="NF8631"/>
    <n v="1848"/>
    <x v="11"/>
    <n v="2019"/>
    <x v="10"/>
    <x v="2"/>
    <x v="11"/>
    <x v="2"/>
    <x v="0"/>
    <s v="Prazo"/>
    <n v="25.383134667601553"/>
  </r>
  <r>
    <d v="2019-06-17T00:00:00"/>
    <d v="2019-06-09T00:00:00"/>
    <d v="2019-06-16T20:20:17"/>
    <x v="0"/>
    <x v="1"/>
    <s v="NF5098"/>
    <n v="191"/>
    <x v="10"/>
    <n v="2019"/>
    <x v="10"/>
    <x v="2"/>
    <x v="11"/>
    <x v="2"/>
    <x v="0"/>
    <s v="Prazo"/>
    <n v="0.15257995203864994"/>
  </r>
  <r>
    <s v=""/>
    <d v="2019-06-13T00:00:00"/>
    <d v="2019-07-22T22:11:49"/>
    <x v="0"/>
    <x v="3"/>
    <s v="NF8169"/>
    <n v="508"/>
    <x v="4"/>
    <n v="0"/>
    <x v="10"/>
    <x v="2"/>
    <x v="0"/>
    <x v="2"/>
    <x v="1"/>
    <s v="Prazo"/>
    <n v="1647.0751294987131"/>
  </r>
  <r>
    <d v="2019-07-17T00:00:00"/>
    <d v="2019-06-15T00:00:00"/>
    <d v="2019-07-17T14:30:41"/>
    <x v="0"/>
    <x v="4"/>
    <s v="NF4469"/>
    <n v="1482"/>
    <x v="11"/>
    <n v="2019"/>
    <x v="10"/>
    <x v="2"/>
    <x v="0"/>
    <x v="2"/>
    <x v="0"/>
    <s v="Prazo"/>
    <n v="0"/>
  </r>
  <r>
    <d v="2019-07-01T00:00:00"/>
    <d v="2019-06-16T00:00:00"/>
    <d v="2019-07-01T14:28:40"/>
    <x v="0"/>
    <x v="2"/>
    <s v="NF6729"/>
    <n v="555"/>
    <x v="11"/>
    <n v="2019"/>
    <x v="10"/>
    <x v="2"/>
    <x v="0"/>
    <x v="2"/>
    <x v="0"/>
    <s v="Prazo"/>
    <n v="0"/>
  </r>
  <r>
    <d v="2019-10-03T00:00:00"/>
    <d v="2019-06-20T00:00:00"/>
    <d v="2019-08-10T13:42:12"/>
    <x v="0"/>
    <x v="3"/>
    <s v="NF3586"/>
    <n v="1906"/>
    <x v="1"/>
    <n v="2019"/>
    <x v="10"/>
    <x v="2"/>
    <x v="1"/>
    <x v="2"/>
    <x v="0"/>
    <s v="Prazo"/>
    <n v="53.429029688566516"/>
  </r>
  <r>
    <d v="2019-06-29T00:00:00"/>
    <d v="2019-06-25T00:00:00"/>
    <d v="2019-06-29T06:28:21"/>
    <x v="0"/>
    <x v="3"/>
    <s v="NF9837"/>
    <n v="450"/>
    <x v="10"/>
    <n v="2019"/>
    <x v="10"/>
    <x v="2"/>
    <x v="11"/>
    <x v="2"/>
    <x v="0"/>
    <s v="Prazo"/>
    <n v="0"/>
  </r>
  <r>
    <s v=""/>
    <d v="2019-06-28T00:00:00"/>
    <d v="2019-07-16T06:26:47"/>
    <x v="0"/>
    <x v="1"/>
    <s v="NF6344"/>
    <n v="1479"/>
    <x v="4"/>
    <n v="0"/>
    <x v="10"/>
    <x v="2"/>
    <x v="0"/>
    <x v="2"/>
    <x v="1"/>
    <s v="Prazo"/>
    <n v="1653.731398697244"/>
  </r>
  <r>
    <d v="2019-09-19T00:00:00"/>
    <d v="2019-06-29T00:00:00"/>
    <d v="2019-07-01T19:32:54"/>
    <x v="0"/>
    <x v="1"/>
    <s v="NF3701"/>
    <n v="3446"/>
    <x v="0"/>
    <n v="2019"/>
    <x v="10"/>
    <x v="2"/>
    <x v="0"/>
    <x v="2"/>
    <x v="0"/>
    <s v="Prazo"/>
    <n v="79.18548812691005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  <n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  <n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  <n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  <n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  <n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  <n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  <n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  <n v="9.5551236771279946"/>
  </r>
  <r>
    <d v="2017-09-09T10:01:19"/>
    <d v="2017-09-04T00:00:00"/>
    <d v="2017-09-09T10:01:19"/>
    <x v="0"/>
    <x v="0"/>
    <s v="NF7559"/>
    <n v="817"/>
    <x v="1"/>
    <n v="2017"/>
    <x v="1"/>
    <x v="0"/>
    <x v="1"/>
    <x v="0"/>
    <n v="0"/>
  </r>
  <r>
    <s v=""/>
    <d v="2017-09-06T00:00:00"/>
    <d v="2017-09-06T16:52:20"/>
    <x v="0"/>
    <x v="2"/>
    <s v="NF9357"/>
    <n v="1565"/>
    <x v="2"/>
    <n v="0"/>
    <x v="1"/>
    <x v="0"/>
    <x v="1"/>
    <x v="0"/>
    <n v="2331.2969940987969"/>
  </r>
  <r>
    <s v=""/>
    <d v="2017-09-12T00:00:00"/>
    <d v="2017-10-12T05:36:22"/>
    <x v="0"/>
    <x v="3"/>
    <s v="NF3898"/>
    <n v="1357"/>
    <x v="2"/>
    <n v="0"/>
    <x v="1"/>
    <x v="0"/>
    <x v="0"/>
    <x v="0"/>
    <n v="2295.766408007039"/>
  </r>
  <r>
    <d v="2017-10-17T07:52:04"/>
    <d v="2017-09-13T00:00:00"/>
    <d v="2017-10-17T07:52:04"/>
    <x v="0"/>
    <x v="3"/>
    <s v="NF7275"/>
    <n v="4739"/>
    <x v="0"/>
    <n v="2017"/>
    <x v="1"/>
    <x v="0"/>
    <x v="0"/>
    <x v="0"/>
    <n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  <n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  <n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  <n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  <n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  <n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  <n v="76.266783360420959"/>
  </r>
  <r>
    <d v="2017-11-20T07:27:14"/>
    <d v="2017-10-01T00:00:00"/>
    <d v="2017-11-20T07:27:14"/>
    <x v="0"/>
    <x v="1"/>
    <s v="NF7471"/>
    <n v="2894"/>
    <x v="3"/>
    <n v="2017"/>
    <x v="2"/>
    <x v="0"/>
    <x v="2"/>
    <x v="0"/>
    <n v="0"/>
  </r>
  <r>
    <s v=""/>
    <d v="2017-10-04T00:00:00"/>
    <d v="2017-10-22T07:03:06"/>
    <x v="0"/>
    <x v="3"/>
    <s v="NF9225"/>
    <n v="4516"/>
    <x v="2"/>
    <n v="0"/>
    <x v="2"/>
    <x v="0"/>
    <x v="0"/>
    <x v="0"/>
    <n v="2285.7061764536775"/>
  </r>
  <r>
    <d v="2017-10-23T01:23:23"/>
    <d v="2017-10-06T00:00:00"/>
    <d v="2017-10-23T01:23:23"/>
    <x v="0"/>
    <x v="3"/>
    <s v="NF3883"/>
    <n v="885"/>
    <x v="0"/>
    <n v="2017"/>
    <x v="2"/>
    <x v="0"/>
    <x v="0"/>
    <x v="0"/>
    <n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  <n v="4.5936627882620087"/>
  </r>
  <r>
    <d v="2018-02-03T05:45:33"/>
    <d v="2017-10-14T00:00:00"/>
    <d v="2017-11-06T01:00:26"/>
    <x v="0"/>
    <x v="1"/>
    <s v="NF1517"/>
    <n v="145"/>
    <x v="5"/>
    <n v="2018"/>
    <x v="2"/>
    <x v="0"/>
    <x v="2"/>
    <x v="0"/>
    <n v="89.197988829830138"/>
  </r>
  <r>
    <d v="2017-11-12T07:13:39"/>
    <d v="2017-10-16T00:00:00"/>
    <d v="2017-10-23T05:53:31"/>
    <x v="0"/>
    <x v="1"/>
    <s v="NF8626"/>
    <n v="1311"/>
    <x v="3"/>
    <n v="2017"/>
    <x v="2"/>
    <x v="0"/>
    <x v="0"/>
    <x v="0"/>
    <n v="20.055650867514487"/>
  </r>
  <r>
    <d v="2017-11-20T08:40:45"/>
    <d v="2017-10-18T00:00:00"/>
    <d v="2017-11-20T08:40:45"/>
    <x v="0"/>
    <x v="1"/>
    <s v="NF4936"/>
    <n v="4182"/>
    <x v="3"/>
    <n v="2017"/>
    <x v="2"/>
    <x v="0"/>
    <x v="2"/>
    <x v="0"/>
    <n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  <n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  <n v="62.805501991977508"/>
  </r>
  <r>
    <d v="2017-12-20T01:06:12"/>
    <d v="2017-11-03T00:00:00"/>
    <d v="2017-12-20T01:06:12"/>
    <x v="0"/>
    <x v="3"/>
    <s v="NF5821"/>
    <n v="1171"/>
    <x v="6"/>
    <n v="2017"/>
    <x v="3"/>
    <x v="0"/>
    <x v="3"/>
    <x v="0"/>
    <n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  <n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  <n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  <n v="9.938090082097915"/>
  </r>
  <r>
    <d v="2017-12-26T03:29:57"/>
    <d v="2017-11-15T00:00:00"/>
    <d v="2017-12-26T03:29:57"/>
    <x v="0"/>
    <x v="3"/>
    <s v="NF2065"/>
    <n v="3725"/>
    <x v="6"/>
    <n v="2017"/>
    <x v="3"/>
    <x v="0"/>
    <x v="3"/>
    <x v="0"/>
    <n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  <n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  <n v="0"/>
  </r>
  <r>
    <d v="2017-12-07T15:16:42"/>
    <d v="2017-11-19T00:00:00"/>
    <d v="2017-12-07T15:16:42"/>
    <x v="0"/>
    <x v="0"/>
    <s v="NF3208"/>
    <n v="228"/>
    <x v="6"/>
    <n v="2017"/>
    <x v="3"/>
    <x v="0"/>
    <x v="3"/>
    <x v="0"/>
    <n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  <n v="0"/>
  </r>
  <r>
    <s v=""/>
    <d v="2017-11-23T00:00:00"/>
    <d v="2018-01-03T09:48:25"/>
    <x v="0"/>
    <x v="1"/>
    <s v="NF3100"/>
    <n v="1155"/>
    <x v="2"/>
    <n v="0"/>
    <x v="3"/>
    <x v="0"/>
    <x v="4"/>
    <x v="1"/>
    <n v="2212.5913825177995"/>
  </r>
  <r>
    <s v=""/>
    <d v="2017-11-30T00:00:00"/>
    <d v="2017-12-01T00:35:34"/>
    <x v="0"/>
    <x v="1"/>
    <s v="NF7746"/>
    <n v="1967"/>
    <x v="2"/>
    <n v="0"/>
    <x v="3"/>
    <x v="0"/>
    <x v="3"/>
    <x v="0"/>
    <n v="2245.9753024652091"/>
  </r>
  <r>
    <d v="2018-02-28T22:08:26"/>
    <d v="2017-12-01T00:00:00"/>
    <d v="2017-12-27T02:18:23"/>
    <x v="0"/>
    <x v="4"/>
    <s v="NF1179"/>
    <n v="2741"/>
    <x v="5"/>
    <n v="2018"/>
    <x v="4"/>
    <x v="0"/>
    <x v="3"/>
    <x v="0"/>
    <n v="63.826419745593739"/>
  </r>
  <r>
    <d v="2018-01-25T08:17:33"/>
    <d v="2017-12-02T00:00:00"/>
    <d v="2018-01-25T08:17:33"/>
    <x v="0"/>
    <x v="2"/>
    <s v="NF3829"/>
    <n v="1130"/>
    <x v="4"/>
    <n v="2018"/>
    <x v="4"/>
    <x v="0"/>
    <x v="4"/>
    <x v="1"/>
    <n v="0"/>
  </r>
  <r>
    <d v="2018-01-18T12:48:48"/>
    <d v="2017-12-06T00:00:00"/>
    <d v="2018-01-18T12:48:48"/>
    <x v="0"/>
    <x v="3"/>
    <s v="NF6865"/>
    <n v="4835"/>
    <x v="4"/>
    <n v="2018"/>
    <x v="4"/>
    <x v="0"/>
    <x v="4"/>
    <x v="1"/>
    <n v="0"/>
  </r>
  <r>
    <d v="2018-01-29T01:49:50"/>
    <d v="2017-12-08T00:00:00"/>
    <d v="2018-01-29T01:49:50"/>
    <x v="0"/>
    <x v="4"/>
    <s v="NF4400"/>
    <n v="1411"/>
    <x v="4"/>
    <n v="2018"/>
    <x v="4"/>
    <x v="0"/>
    <x v="4"/>
    <x v="1"/>
    <n v="0"/>
  </r>
  <r>
    <d v="2017-12-30T15:10:06"/>
    <d v="2017-12-10T00:00:00"/>
    <d v="2017-12-30T15:10:06"/>
    <x v="0"/>
    <x v="1"/>
    <s v="NF9617"/>
    <n v="457"/>
    <x v="6"/>
    <n v="2017"/>
    <x v="4"/>
    <x v="0"/>
    <x v="3"/>
    <x v="0"/>
    <n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  <n v="0"/>
  </r>
  <r>
    <d v="2017-12-29T04:49:13"/>
    <d v="2017-12-17T00:00:00"/>
    <d v="2017-12-29T04:49:13"/>
    <x v="0"/>
    <x v="4"/>
    <s v="NF6102"/>
    <n v="3440"/>
    <x v="6"/>
    <n v="2017"/>
    <x v="4"/>
    <x v="0"/>
    <x v="3"/>
    <x v="0"/>
    <n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  <n v="0"/>
  </r>
  <r>
    <d v="2018-02-17T01:10:28"/>
    <d v="2017-12-21T00:00:00"/>
    <d v="2018-02-17T01:10:28"/>
    <x v="0"/>
    <x v="1"/>
    <s v="NF4573"/>
    <n v="3273"/>
    <x v="5"/>
    <n v="2018"/>
    <x v="4"/>
    <x v="0"/>
    <x v="5"/>
    <x v="1"/>
    <n v="0"/>
  </r>
  <r>
    <d v="2018-02-04T06:22:55"/>
    <d v="2017-12-25T00:00:00"/>
    <d v="2018-02-04T06:22:55"/>
    <x v="0"/>
    <x v="4"/>
    <s v="NF8503"/>
    <n v="4494"/>
    <x v="5"/>
    <n v="2018"/>
    <x v="4"/>
    <x v="0"/>
    <x v="5"/>
    <x v="1"/>
    <n v="0"/>
  </r>
  <r>
    <d v="2018-01-24T22:12:42"/>
    <d v="2017-12-27T00:00:00"/>
    <d v="2018-01-24T22:12:42"/>
    <x v="0"/>
    <x v="0"/>
    <s v="NF3380"/>
    <n v="2511"/>
    <x v="4"/>
    <n v="2018"/>
    <x v="4"/>
    <x v="0"/>
    <x v="4"/>
    <x v="1"/>
    <n v="0"/>
  </r>
  <r>
    <d v="2018-02-12T23:45:29"/>
    <d v="2017-12-29T00:00:00"/>
    <d v="2018-02-12T23:45:29"/>
    <x v="0"/>
    <x v="2"/>
    <s v="NF6566"/>
    <n v="2015"/>
    <x v="5"/>
    <n v="2018"/>
    <x v="4"/>
    <x v="0"/>
    <x v="5"/>
    <x v="1"/>
    <n v="0"/>
  </r>
  <r>
    <d v="2018-03-21T07:29:39"/>
    <d v="2017-12-31T00:00:00"/>
    <d v="2018-02-20T08:29:43"/>
    <x v="0"/>
    <x v="3"/>
    <s v="NF5838"/>
    <n v="3413"/>
    <x v="7"/>
    <n v="2018"/>
    <x v="4"/>
    <x v="0"/>
    <x v="5"/>
    <x v="1"/>
    <n v="28.958285734232049"/>
  </r>
  <r>
    <d v="2018-02-13T19:04:58"/>
    <d v="2018-01-03T00:00:00"/>
    <d v="2018-01-08T20:21:58"/>
    <x v="0"/>
    <x v="0"/>
    <s v="NF1174"/>
    <n v="4087"/>
    <x v="5"/>
    <n v="2018"/>
    <x v="5"/>
    <x v="1"/>
    <x v="4"/>
    <x v="1"/>
    <n v="35.946524447870615"/>
  </r>
  <r>
    <d v="2018-01-17T08:55:33"/>
    <d v="2018-01-06T00:00:00"/>
    <d v="2018-01-17T08:55:33"/>
    <x v="0"/>
    <x v="1"/>
    <s v="NF2942"/>
    <n v="2441"/>
    <x v="4"/>
    <n v="2018"/>
    <x v="5"/>
    <x v="1"/>
    <x v="4"/>
    <x v="1"/>
    <n v="0"/>
  </r>
  <r>
    <d v="2018-01-27T17:25:05"/>
    <d v="2018-01-09T00:00:00"/>
    <d v="2018-01-27T17:25:05"/>
    <x v="0"/>
    <x v="2"/>
    <s v="NF8563"/>
    <n v="3598"/>
    <x v="4"/>
    <n v="2018"/>
    <x v="5"/>
    <x v="1"/>
    <x v="4"/>
    <x v="1"/>
    <n v="0"/>
  </r>
  <r>
    <d v="2018-01-18T19:45:35"/>
    <d v="2018-01-10T00:00:00"/>
    <d v="2018-01-18T19:45:35"/>
    <x v="0"/>
    <x v="1"/>
    <s v="NF8237"/>
    <n v="4895"/>
    <x v="4"/>
    <n v="2018"/>
    <x v="5"/>
    <x v="1"/>
    <x v="4"/>
    <x v="1"/>
    <n v="0"/>
  </r>
  <r>
    <d v="2018-03-08T13:03:51"/>
    <d v="2018-01-12T00:00:00"/>
    <d v="2018-03-08T13:03:51"/>
    <x v="0"/>
    <x v="1"/>
    <s v="NF4859"/>
    <n v="971"/>
    <x v="7"/>
    <n v="2018"/>
    <x v="5"/>
    <x v="1"/>
    <x v="6"/>
    <x v="1"/>
    <n v="0"/>
  </r>
  <r>
    <d v="2018-02-06T01:03:18"/>
    <d v="2018-01-13T00:00:00"/>
    <d v="2018-02-06T01:03:18"/>
    <x v="0"/>
    <x v="0"/>
    <s v="NF1529"/>
    <n v="556"/>
    <x v="5"/>
    <n v="2018"/>
    <x v="5"/>
    <x v="1"/>
    <x v="5"/>
    <x v="1"/>
    <n v="0"/>
  </r>
  <r>
    <d v="2018-02-13T21:09:50"/>
    <d v="2018-01-14T00:00:00"/>
    <d v="2018-02-13T21:09:50"/>
    <x v="0"/>
    <x v="0"/>
    <s v="NF6931"/>
    <n v="1977"/>
    <x v="5"/>
    <n v="2018"/>
    <x v="5"/>
    <x v="1"/>
    <x v="5"/>
    <x v="1"/>
    <n v="0"/>
  </r>
  <r>
    <d v="2018-01-27T08:34:59"/>
    <d v="2018-01-16T00:00:00"/>
    <d v="2018-01-27T08:34:59"/>
    <x v="0"/>
    <x v="1"/>
    <s v="NF7559"/>
    <n v="2951"/>
    <x v="4"/>
    <n v="2018"/>
    <x v="5"/>
    <x v="1"/>
    <x v="4"/>
    <x v="1"/>
    <n v="0"/>
  </r>
  <r>
    <d v="2018-03-05T09:47:40"/>
    <d v="2018-01-20T00:00:00"/>
    <d v="2018-03-05T09:47:40"/>
    <x v="0"/>
    <x v="1"/>
    <s v="NF9620"/>
    <n v="2535"/>
    <x v="7"/>
    <n v="2018"/>
    <x v="5"/>
    <x v="1"/>
    <x v="6"/>
    <x v="1"/>
    <n v="0"/>
  </r>
  <r>
    <d v="2018-02-10T13:54:37"/>
    <d v="2018-01-21T00:00:00"/>
    <d v="2018-02-10T13:54:37"/>
    <x v="0"/>
    <x v="4"/>
    <s v="NF4547"/>
    <n v="3057"/>
    <x v="5"/>
    <n v="2018"/>
    <x v="5"/>
    <x v="1"/>
    <x v="5"/>
    <x v="1"/>
    <n v="0"/>
  </r>
  <r>
    <d v="2018-02-09T12:37:33"/>
    <d v="2018-01-23T00:00:00"/>
    <d v="2018-02-09T12:37:33"/>
    <x v="0"/>
    <x v="0"/>
    <s v="NF6004"/>
    <n v="3152"/>
    <x v="5"/>
    <n v="2018"/>
    <x v="5"/>
    <x v="1"/>
    <x v="5"/>
    <x v="1"/>
    <n v="0"/>
  </r>
  <r>
    <d v="2018-03-08T03:16:39"/>
    <d v="2018-01-25T00:00:00"/>
    <d v="2018-03-08T03:16:39"/>
    <x v="0"/>
    <x v="3"/>
    <s v="NF3415"/>
    <n v="2247"/>
    <x v="7"/>
    <n v="2018"/>
    <x v="5"/>
    <x v="1"/>
    <x v="6"/>
    <x v="1"/>
    <n v="0"/>
  </r>
  <r>
    <d v="2018-03-21T01:55:31"/>
    <d v="2018-01-27T00:00:00"/>
    <d v="2018-03-21T01:55:31"/>
    <x v="0"/>
    <x v="2"/>
    <s v="NF1603"/>
    <n v="2456"/>
    <x v="7"/>
    <n v="2018"/>
    <x v="5"/>
    <x v="1"/>
    <x v="6"/>
    <x v="1"/>
    <n v="0"/>
  </r>
  <r>
    <d v="2018-02-22T13:23:19"/>
    <d v="2018-01-29T00:00:00"/>
    <d v="2018-02-11T14:14:40"/>
    <x v="0"/>
    <x v="1"/>
    <s v="NF8784"/>
    <n v="3801"/>
    <x v="5"/>
    <n v="2018"/>
    <x v="5"/>
    <x v="1"/>
    <x v="5"/>
    <x v="1"/>
    <n v="10.96434565702657"/>
  </r>
  <r>
    <d v="2018-02-13T09:01:19"/>
    <d v="2018-01-31T00:00:00"/>
    <d v="2018-02-13T09:01:19"/>
    <x v="0"/>
    <x v="0"/>
    <s v="NF1826"/>
    <n v="3049"/>
    <x v="5"/>
    <n v="2018"/>
    <x v="5"/>
    <x v="1"/>
    <x v="5"/>
    <x v="1"/>
    <n v="0"/>
  </r>
  <r>
    <d v="2018-03-29T23:53:02"/>
    <d v="2018-02-04T00:00:00"/>
    <d v="2018-03-11T03:08:27"/>
    <x v="0"/>
    <x v="4"/>
    <s v="NF7390"/>
    <n v="3255"/>
    <x v="7"/>
    <n v="2018"/>
    <x v="6"/>
    <x v="1"/>
    <x v="6"/>
    <x v="1"/>
    <n v="18.864296683648718"/>
  </r>
  <r>
    <d v="2018-03-20T14:43:41"/>
    <d v="2018-02-05T00:00:00"/>
    <d v="2018-03-17T04:59:05"/>
    <x v="0"/>
    <x v="1"/>
    <s v="NF7009"/>
    <n v="2074"/>
    <x v="7"/>
    <n v="2018"/>
    <x v="6"/>
    <x v="1"/>
    <x v="6"/>
    <x v="1"/>
    <n v="3.4059683494342607"/>
  </r>
  <r>
    <d v="2018-03-16T07:02:49"/>
    <d v="2018-02-06T00:00:00"/>
    <d v="2018-03-16T07:02:49"/>
    <x v="0"/>
    <x v="1"/>
    <s v="NF7629"/>
    <n v="3606"/>
    <x v="7"/>
    <n v="2018"/>
    <x v="6"/>
    <x v="1"/>
    <x v="6"/>
    <x v="1"/>
    <n v="0"/>
  </r>
  <r>
    <d v="2018-03-18T07:54:53"/>
    <d v="2018-02-07T00:00:00"/>
    <d v="2018-03-18T07:54:53"/>
    <x v="0"/>
    <x v="2"/>
    <s v="NF2748"/>
    <n v="4867"/>
    <x v="7"/>
    <n v="2018"/>
    <x v="6"/>
    <x v="1"/>
    <x v="6"/>
    <x v="1"/>
    <n v="0"/>
  </r>
  <r>
    <d v="2018-03-16T00:06:55"/>
    <d v="2018-02-09T00:00:00"/>
    <d v="2018-03-16T00:06:55"/>
    <x v="0"/>
    <x v="3"/>
    <s v="NF5961"/>
    <n v="702"/>
    <x v="7"/>
    <n v="2018"/>
    <x v="6"/>
    <x v="1"/>
    <x v="6"/>
    <x v="1"/>
    <n v="0"/>
  </r>
  <r>
    <d v="2018-05-18T00:10:35"/>
    <d v="2018-02-14T00:00:00"/>
    <d v="2018-02-19T10:57:20"/>
    <x v="0"/>
    <x v="3"/>
    <s v="NF7680"/>
    <n v="2801"/>
    <x v="8"/>
    <n v="2018"/>
    <x v="6"/>
    <x v="1"/>
    <x v="5"/>
    <x v="1"/>
    <n v="87.550870348401077"/>
  </r>
  <r>
    <s v=""/>
    <d v="2018-02-15T00:00:00"/>
    <d v="2018-03-10T18:40:49"/>
    <x v="0"/>
    <x v="1"/>
    <s v="NF9629"/>
    <n v="4438"/>
    <x v="2"/>
    <n v="0"/>
    <x v="6"/>
    <x v="1"/>
    <x v="6"/>
    <x v="1"/>
    <n v="2146.2216524770338"/>
  </r>
  <r>
    <d v="2018-04-08T05:09:48"/>
    <d v="2018-02-20T00:00:00"/>
    <d v="2018-04-08T05:09:48"/>
    <x v="0"/>
    <x v="2"/>
    <s v="NF5978"/>
    <n v="3835"/>
    <x v="9"/>
    <n v="2018"/>
    <x v="6"/>
    <x v="1"/>
    <x v="7"/>
    <x v="1"/>
    <n v="0"/>
  </r>
  <r>
    <d v="2018-04-09T09:13:30"/>
    <d v="2018-03-01T00:00:00"/>
    <d v="2018-04-09T09:13:30"/>
    <x v="0"/>
    <x v="1"/>
    <s v="NF5651"/>
    <n v="3893"/>
    <x v="9"/>
    <n v="2018"/>
    <x v="7"/>
    <x v="1"/>
    <x v="7"/>
    <x v="1"/>
    <n v="0"/>
  </r>
  <r>
    <d v="2018-03-25T08:28:33"/>
    <d v="2018-03-04T00:00:00"/>
    <d v="2018-03-25T08:28:33"/>
    <x v="0"/>
    <x v="1"/>
    <s v="NF7772"/>
    <n v="1970"/>
    <x v="7"/>
    <n v="2018"/>
    <x v="7"/>
    <x v="1"/>
    <x v="6"/>
    <x v="1"/>
    <n v="0"/>
  </r>
  <r>
    <d v="2018-04-29T08:19:53"/>
    <d v="2018-03-05T00:00:00"/>
    <d v="2018-04-29T08:19:53"/>
    <x v="0"/>
    <x v="3"/>
    <s v="NF5401"/>
    <n v="729"/>
    <x v="9"/>
    <n v="2018"/>
    <x v="7"/>
    <x v="1"/>
    <x v="7"/>
    <x v="1"/>
    <n v="0"/>
  </r>
  <r>
    <d v="2018-03-29T23:02:23"/>
    <d v="2018-03-07T00:00:00"/>
    <d v="2018-03-29T23:02:23"/>
    <x v="0"/>
    <x v="2"/>
    <s v="NF9115"/>
    <n v="474"/>
    <x v="7"/>
    <n v="2018"/>
    <x v="7"/>
    <x v="1"/>
    <x v="6"/>
    <x v="1"/>
    <n v="0"/>
  </r>
  <r>
    <d v="2018-04-07T20:13:31"/>
    <d v="2018-03-09T00:00:00"/>
    <d v="2018-04-07T20:13:31"/>
    <x v="0"/>
    <x v="3"/>
    <s v="NF4115"/>
    <n v="3164"/>
    <x v="9"/>
    <n v="2018"/>
    <x v="7"/>
    <x v="1"/>
    <x v="7"/>
    <x v="1"/>
    <n v="0"/>
  </r>
  <r>
    <d v="2018-05-08T17:13:02"/>
    <d v="2018-03-14T00:00:00"/>
    <d v="2018-05-08T17:13:02"/>
    <x v="0"/>
    <x v="1"/>
    <s v="NF5683"/>
    <n v="3113"/>
    <x v="8"/>
    <n v="2018"/>
    <x v="7"/>
    <x v="1"/>
    <x v="8"/>
    <x v="1"/>
    <n v="0"/>
  </r>
  <r>
    <d v="2018-07-07T06:27:25"/>
    <d v="2018-03-17T00:00:00"/>
    <d v="2018-04-11T13:42:41"/>
    <x v="0"/>
    <x v="4"/>
    <s v="NF7027"/>
    <n v="789"/>
    <x v="10"/>
    <n v="2018"/>
    <x v="7"/>
    <x v="1"/>
    <x v="7"/>
    <x v="1"/>
    <n v="86.697733497596346"/>
  </r>
  <r>
    <d v="2018-04-01T13:26:12"/>
    <d v="2018-03-21T00:00:00"/>
    <d v="2018-04-01T13:26:12"/>
    <x v="0"/>
    <x v="4"/>
    <s v="NF7168"/>
    <n v="3521"/>
    <x v="9"/>
    <n v="2018"/>
    <x v="7"/>
    <x v="1"/>
    <x v="7"/>
    <x v="1"/>
    <n v="0"/>
  </r>
  <r>
    <d v="2018-03-28T17:37:56"/>
    <d v="2018-03-24T00:00:00"/>
    <d v="2018-03-28T17:37:56"/>
    <x v="0"/>
    <x v="1"/>
    <s v="NF4972"/>
    <n v="4947"/>
    <x v="7"/>
    <n v="2018"/>
    <x v="7"/>
    <x v="1"/>
    <x v="6"/>
    <x v="1"/>
    <n v="0"/>
  </r>
  <r>
    <d v="2018-05-03T14:57:10"/>
    <d v="2018-03-25T00:00:00"/>
    <d v="2018-05-03T14:57:10"/>
    <x v="0"/>
    <x v="4"/>
    <s v="NF7283"/>
    <n v="1527"/>
    <x v="8"/>
    <n v="2018"/>
    <x v="7"/>
    <x v="1"/>
    <x v="8"/>
    <x v="1"/>
    <n v="0"/>
  </r>
  <r>
    <d v="2018-05-14T12:32:29"/>
    <d v="2018-04-01T00:00:00"/>
    <d v="2018-05-14T12:32:29"/>
    <x v="0"/>
    <x v="4"/>
    <s v="NF6320"/>
    <n v="764"/>
    <x v="8"/>
    <n v="2018"/>
    <x v="8"/>
    <x v="1"/>
    <x v="8"/>
    <x v="1"/>
    <n v="0"/>
  </r>
  <r>
    <d v="2018-04-12T02:48:23"/>
    <d v="2018-04-03T00:00:00"/>
    <d v="2018-04-12T02:48:23"/>
    <x v="0"/>
    <x v="2"/>
    <s v="NF7850"/>
    <n v="2463"/>
    <x v="9"/>
    <n v="2018"/>
    <x v="8"/>
    <x v="1"/>
    <x v="7"/>
    <x v="1"/>
    <n v="0"/>
  </r>
  <r>
    <d v="2018-04-30T01:56:26"/>
    <d v="2018-04-05T00:00:00"/>
    <d v="2018-04-25T16:44:12"/>
    <x v="0"/>
    <x v="3"/>
    <s v="NF2420"/>
    <n v="2111"/>
    <x v="9"/>
    <n v="2018"/>
    <x v="8"/>
    <x v="1"/>
    <x v="7"/>
    <x v="1"/>
    <n v="4.3834890981233912"/>
  </r>
  <r>
    <d v="2018-05-01T13:42:29"/>
    <d v="2018-04-06T00:00:00"/>
    <d v="2018-05-01T13:42:29"/>
    <x v="0"/>
    <x v="1"/>
    <s v="NF6764"/>
    <n v="1144"/>
    <x v="8"/>
    <n v="2018"/>
    <x v="8"/>
    <x v="1"/>
    <x v="8"/>
    <x v="1"/>
    <n v="0"/>
  </r>
  <r>
    <d v="2018-05-20T16:28:59"/>
    <d v="2018-04-10T00:00:00"/>
    <d v="2018-05-20T16:28:59"/>
    <x v="0"/>
    <x v="3"/>
    <s v="NF6382"/>
    <n v="597"/>
    <x v="8"/>
    <n v="2018"/>
    <x v="8"/>
    <x v="1"/>
    <x v="8"/>
    <x v="1"/>
    <n v="0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  <n v="81.187894111586502"/>
  </r>
  <r>
    <d v="2018-05-02T07:19:37"/>
    <d v="2018-04-22T00:00:00"/>
    <d v="2018-05-02T07:19:37"/>
    <x v="0"/>
    <x v="4"/>
    <s v="NF2434"/>
    <n v="1996"/>
    <x v="8"/>
    <n v="2018"/>
    <x v="8"/>
    <x v="1"/>
    <x v="8"/>
    <x v="1"/>
    <n v="0"/>
  </r>
  <r>
    <d v="2018-05-12T18:26:56"/>
    <d v="2018-04-28T00:00:00"/>
    <d v="2018-05-12T18:26:56"/>
    <x v="0"/>
    <x v="3"/>
    <s v="NF3230"/>
    <n v="1254"/>
    <x v="8"/>
    <n v="2018"/>
    <x v="8"/>
    <x v="1"/>
    <x v="8"/>
    <x v="1"/>
    <n v="0"/>
  </r>
  <r>
    <d v="2018-05-21T03:30:05"/>
    <d v="2018-04-29T00:00:00"/>
    <d v="2018-05-03T19:21:01"/>
    <x v="0"/>
    <x v="3"/>
    <s v="NF8847"/>
    <n v="905"/>
    <x v="8"/>
    <n v="2018"/>
    <x v="8"/>
    <x v="1"/>
    <x v="8"/>
    <x v="1"/>
    <n v="17.339637859593495"/>
  </r>
  <r>
    <d v="2018-05-31T14:47:54"/>
    <d v="2018-05-02T00:00:00"/>
    <d v="2018-05-31T14:47:54"/>
    <x v="0"/>
    <x v="2"/>
    <s v="NF8053"/>
    <n v="2975"/>
    <x v="8"/>
    <n v="2018"/>
    <x v="9"/>
    <x v="1"/>
    <x v="8"/>
    <x v="1"/>
    <n v="0"/>
  </r>
  <r>
    <d v="2018-05-08T16:17:57"/>
    <d v="2018-05-03T00:00:00"/>
    <d v="2018-05-08T16:17:57"/>
    <x v="0"/>
    <x v="1"/>
    <s v="NF2454"/>
    <n v="4807"/>
    <x v="8"/>
    <n v="2018"/>
    <x v="9"/>
    <x v="1"/>
    <x v="8"/>
    <x v="1"/>
    <n v="0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  <n v="0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  <n v="0"/>
  </r>
  <r>
    <s v=""/>
    <d v="2018-05-18T00:00:00"/>
    <d v="2018-06-02T02:25:53"/>
    <x v="0"/>
    <x v="1"/>
    <s v="NF8780"/>
    <n v="701"/>
    <x v="2"/>
    <n v="0"/>
    <x v="9"/>
    <x v="1"/>
    <x v="9"/>
    <x v="1"/>
    <n v="2062.8986873632384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  <n v="0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  <n v="67.514069071345148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  <n v="27.486589171661763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  <n v="0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  <n v="0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  <n v="0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  <n v="0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  <n v="0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  <n v="0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  <n v="0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  <n v="0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  <n v="41.068831210279313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  <n v="0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  <n v="0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  <n v="0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  <n v="0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  <n v="0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  <n v="0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  <n v="0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  <n v="0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  <n v="0"/>
  </r>
  <r>
    <s v=""/>
    <d v="2018-07-21T00:00:00"/>
    <d v="2018-08-12T21:19:56"/>
    <x v="0"/>
    <x v="2"/>
    <s v="NF5563"/>
    <n v="4217"/>
    <x v="2"/>
    <n v="0"/>
    <x v="11"/>
    <x v="1"/>
    <x v="11"/>
    <x v="1"/>
    <n v="1991.1111562186488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  <n v="0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  <n v="23.637578560781549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  <n v="60.039692208229098"/>
  </r>
  <r>
    <d v="2018-10-02T11:47:41"/>
    <d v="2018-08-07T00:00:00"/>
    <d v="2018-10-02T11:47:41"/>
    <x v="0"/>
    <x v="4"/>
    <s v="NF9886"/>
    <n v="4947"/>
    <x v="0"/>
    <n v="2018"/>
    <x v="0"/>
    <x v="1"/>
    <x v="0"/>
    <x v="1"/>
    <n v="0"/>
  </r>
  <r>
    <d v="2018-09-25T16:55:00"/>
    <d v="2018-08-10T00:00:00"/>
    <d v="2018-09-25T16:55:00"/>
    <x v="0"/>
    <x v="0"/>
    <s v="NF6993"/>
    <n v="902"/>
    <x v="1"/>
    <n v="2018"/>
    <x v="0"/>
    <x v="1"/>
    <x v="1"/>
    <x v="1"/>
    <n v="0"/>
  </r>
  <r>
    <d v="2018-09-23T20:55:42"/>
    <d v="2018-08-12T00:00:00"/>
    <d v="2018-09-23T20:55:42"/>
    <x v="0"/>
    <x v="4"/>
    <s v="NF9126"/>
    <n v="432"/>
    <x v="1"/>
    <n v="2018"/>
    <x v="0"/>
    <x v="1"/>
    <x v="1"/>
    <x v="1"/>
    <n v="0"/>
  </r>
  <r>
    <d v="2018-09-13T22:56:48"/>
    <d v="2018-08-15T00:00:00"/>
    <d v="2018-09-13T22:56:48"/>
    <x v="0"/>
    <x v="2"/>
    <s v="NF3531"/>
    <n v="4084"/>
    <x v="1"/>
    <n v="2018"/>
    <x v="0"/>
    <x v="1"/>
    <x v="1"/>
    <x v="1"/>
    <n v="0"/>
  </r>
  <r>
    <d v="2018-11-29T00:17:37"/>
    <d v="2018-08-22T00:00:00"/>
    <d v="2018-09-16T00:23:57"/>
    <x v="0"/>
    <x v="1"/>
    <s v="NF6599"/>
    <n v="1054"/>
    <x v="3"/>
    <n v="2018"/>
    <x v="0"/>
    <x v="1"/>
    <x v="1"/>
    <x v="1"/>
    <n v="73.9955998959922"/>
  </r>
  <r>
    <d v="2018-09-09T01:51:27"/>
    <d v="2018-08-23T00:00:00"/>
    <d v="2018-09-09T01:51:27"/>
    <x v="0"/>
    <x v="4"/>
    <s v="NF9323"/>
    <n v="4608"/>
    <x v="1"/>
    <n v="2018"/>
    <x v="0"/>
    <x v="1"/>
    <x v="1"/>
    <x v="1"/>
    <n v="0"/>
  </r>
  <r>
    <d v="2018-09-20T03:35:31"/>
    <d v="2018-08-28T00:00:00"/>
    <d v="2018-09-20T03:35:31"/>
    <x v="0"/>
    <x v="0"/>
    <s v="NF3529"/>
    <n v="1238"/>
    <x v="1"/>
    <n v="2018"/>
    <x v="0"/>
    <x v="1"/>
    <x v="1"/>
    <x v="1"/>
    <n v="0"/>
  </r>
  <r>
    <d v="2018-09-27T17:31:08"/>
    <d v="2018-09-03T00:00:00"/>
    <d v="2018-09-27T17:31:08"/>
    <x v="0"/>
    <x v="1"/>
    <s v="NF5824"/>
    <n v="1342"/>
    <x v="1"/>
    <n v="2018"/>
    <x v="1"/>
    <x v="1"/>
    <x v="1"/>
    <x v="1"/>
    <n v="0"/>
  </r>
  <r>
    <d v="2018-12-04T20:10:31"/>
    <d v="2018-09-07T00:00:00"/>
    <d v="2018-10-29T18:42:30"/>
    <x v="0"/>
    <x v="4"/>
    <s v="NF3860"/>
    <n v="2936"/>
    <x v="6"/>
    <n v="2018"/>
    <x v="1"/>
    <x v="1"/>
    <x v="0"/>
    <x v="1"/>
    <n v="36.061121181221097"/>
  </r>
  <r>
    <d v="2018-10-08T03:24:37"/>
    <d v="2018-09-08T00:00:00"/>
    <d v="2018-10-08T03:24:37"/>
    <x v="0"/>
    <x v="1"/>
    <s v="NF7260"/>
    <n v="875"/>
    <x v="0"/>
    <n v="2018"/>
    <x v="1"/>
    <x v="1"/>
    <x v="0"/>
    <x v="1"/>
    <n v="0"/>
  </r>
  <r>
    <d v="2018-09-12T00:31:15"/>
    <d v="2018-09-10T00:00:00"/>
    <d v="2018-09-12T00:31:15"/>
    <x v="0"/>
    <x v="3"/>
    <s v="NF2238"/>
    <n v="159"/>
    <x v="1"/>
    <n v="2018"/>
    <x v="1"/>
    <x v="1"/>
    <x v="1"/>
    <x v="1"/>
    <n v="0"/>
  </r>
  <r>
    <d v="2018-10-09T15:23:27"/>
    <d v="2018-09-15T00:00:00"/>
    <d v="2018-10-09T15:23:27"/>
    <x v="0"/>
    <x v="1"/>
    <s v="NF7342"/>
    <n v="2933"/>
    <x v="0"/>
    <n v="2018"/>
    <x v="1"/>
    <x v="1"/>
    <x v="0"/>
    <x v="1"/>
    <n v="0"/>
  </r>
  <r>
    <d v="2018-11-01T03:06:41"/>
    <d v="2018-09-15T00:00:00"/>
    <d v="2018-11-01T03:06:41"/>
    <x v="0"/>
    <x v="1"/>
    <s v="NF8517"/>
    <n v="4944"/>
    <x v="3"/>
    <n v="2018"/>
    <x v="1"/>
    <x v="1"/>
    <x v="2"/>
    <x v="1"/>
    <n v="0"/>
  </r>
  <r>
    <d v="2018-10-04T15:50:23"/>
    <d v="2018-09-19T00:00:00"/>
    <d v="2018-10-04T15:50:23"/>
    <x v="0"/>
    <x v="0"/>
    <s v="NF9366"/>
    <n v="4173"/>
    <x v="0"/>
    <n v="2018"/>
    <x v="1"/>
    <x v="1"/>
    <x v="0"/>
    <x v="1"/>
    <n v="0"/>
  </r>
  <r>
    <d v="2018-10-02T04:27:54"/>
    <d v="2018-09-24T00:00:00"/>
    <d v="2018-10-02T04:27:54"/>
    <x v="0"/>
    <x v="4"/>
    <s v="NF4973"/>
    <n v="2065"/>
    <x v="0"/>
    <n v="2018"/>
    <x v="1"/>
    <x v="1"/>
    <x v="0"/>
    <x v="1"/>
    <n v="0"/>
  </r>
  <r>
    <d v="2018-11-18T11:16:55"/>
    <d v="2018-09-28T00:00:00"/>
    <d v="2018-11-18T11:16:55"/>
    <x v="0"/>
    <x v="2"/>
    <s v="NF1111"/>
    <n v="521"/>
    <x v="3"/>
    <n v="2018"/>
    <x v="1"/>
    <x v="1"/>
    <x v="2"/>
    <x v="1"/>
    <n v="0"/>
  </r>
  <r>
    <d v="2018-11-13T19:50:37"/>
    <d v="2018-10-01T00:00:00"/>
    <d v="2018-11-13T19:50:37"/>
    <x v="0"/>
    <x v="2"/>
    <s v="NF8344"/>
    <n v="819"/>
    <x v="3"/>
    <n v="2018"/>
    <x v="2"/>
    <x v="1"/>
    <x v="2"/>
    <x v="1"/>
    <n v="0"/>
  </r>
  <r>
    <d v="2018-11-29T03:48:33"/>
    <d v="2018-10-04T00:00:00"/>
    <d v="2018-11-29T03:48:33"/>
    <x v="0"/>
    <x v="0"/>
    <s v="NF8750"/>
    <n v="1260"/>
    <x v="3"/>
    <n v="2018"/>
    <x v="2"/>
    <x v="1"/>
    <x v="2"/>
    <x v="1"/>
    <n v="0"/>
  </r>
  <r>
    <d v="2018-10-16T21:21:41"/>
    <d v="2018-10-10T00:00:00"/>
    <d v="2018-10-16T21:21:41"/>
    <x v="0"/>
    <x v="4"/>
    <s v="NF7616"/>
    <n v="2998"/>
    <x v="0"/>
    <n v="2018"/>
    <x v="2"/>
    <x v="1"/>
    <x v="0"/>
    <x v="1"/>
    <n v="0"/>
  </r>
  <r>
    <d v="2018-10-31T01:07:14"/>
    <d v="2018-10-12T00:00:00"/>
    <d v="2018-10-31T01:07:14"/>
    <x v="0"/>
    <x v="4"/>
    <s v="NF3536"/>
    <n v="4287"/>
    <x v="0"/>
    <n v="2018"/>
    <x v="2"/>
    <x v="1"/>
    <x v="0"/>
    <x v="1"/>
    <n v="0"/>
  </r>
  <r>
    <d v="2019-02-11T18:08:36"/>
    <d v="2018-10-14T00:00:00"/>
    <d v="2018-11-24T03:33:56"/>
    <x v="0"/>
    <x v="3"/>
    <s v="NF9376"/>
    <n v="2015"/>
    <x v="5"/>
    <n v="2019"/>
    <x v="2"/>
    <x v="1"/>
    <x v="2"/>
    <x v="1"/>
    <n v="79.607408259435033"/>
  </r>
  <r>
    <d v="2018-12-15T05:05:06"/>
    <d v="2018-10-20T00:00:00"/>
    <d v="2018-12-15T05:05:06"/>
    <x v="0"/>
    <x v="3"/>
    <s v="NF1222"/>
    <n v="3369"/>
    <x v="6"/>
    <n v="2018"/>
    <x v="2"/>
    <x v="1"/>
    <x v="3"/>
    <x v="1"/>
    <n v="0"/>
  </r>
  <r>
    <d v="2018-10-31T19:28:19"/>
    <d v="2018-10-21T00:00:00"/>
    <d v="2018-10-31T19:28:19"/>
    <x v="0"/>
    <x v="1"/>
    <s v="NF3914"/>
    <n v="4851"/>
    <x v="0"/>
    <n v="2018"/>
    <x v="2"/>
    <x v="1"/>
    <x v="0"/>
    <x v="1"/>
    <n v="0"/>
  </r>
  <r>
    <d v="2018-12-22T00:45:32"/>
    <d v="2018-10-25T00:00:00"/>
    <d v="2018-12-15T00:19:24"/>
    <x v="0"/>
    <x v="1"/>
    <s v="NF7447"/>
    <n v="2178"/>
    <x v="6"/>
    <n v="2018"/>
    <x v="2"/>
    <x v="1"/>
    <x v="3"/>
    <x v="1"/>
    <n v="7.0181459510931745"/>
  </r>
  <r>
    <d v="2018-11-20T01:29:21"/>
    <d v="2018-10-27T00:00:00"/>
    <d v="2018-11-20T01:29:21"/>
    <x v="0"/>
    <x v="3"/>
    <s v="NF5088"/>
    <n v="4052"/>
    <x v="3"/>
    <n v="2018"/>
    <x v="2"/>
    <x v="1"/>
    <x v="2"/>
    <x v="1"/>
    <n v="0"/>
  </r>
  <r>
    <d v="2018-11-16T14:05:40"/>
    <d v="2018-10-30T00:00:00"/>
    <d v="2018-11-16T14:05:40"/>
    <x v="0"/>
    <x v="4"/>
    <s v="NF7858"/>
    <n v="2864"/>
    <x v="3"/>
    <n v="2018"/>
    <x v="2"/>
    <x v="1"/>
    <x v="2"/>
    <x v="1"/>
    <n v="0"/>
  </r>
  <r>
    <d v="2018-12-27T21:24:18"/>
    <d v="2018-11-01T00:00:00"/>
    <d v="2018-12-27T21:24:18"/>
    <x v="0"/>
    <x v="1"/>
    <s v="NF7692"/>
    <n v="2425"/>
    <x v="6"/>
    <n v="2018"/>
    <x v="3"/>
    <x v="1"/>
    <x v="3"/>
    <x v="1"/>
    <n v="0"/>
  </r>
  <r>
    <d v="2019-01-26T03:09:35"/>
    <d v="2018-11-03T00:00:00"/>
    <d v="2019-01-01T13:15:07"/>
    <x v="0"/>
    <x v="4"/>
    <s v="NF7390"/>
    <n v="1542"/>
    <x v="4"/>
    <n v="2019"/>
    <x v="3"/>
    <x v="1"/>
    <x v="4"/>
    <x v="2"/>
    <n v="24.579489612937323"/>
  </r>
  <r>
    <d v="2018-12-12T17:38:41"/>
    <d v="2018-11-08T00:00:00"/>
    <d v="2018-12-12T17:38:41"/>
    <x v="0"/>
    <x v="1"/>
    <s v="NF6262"/>
    <n v="1736"/>
    <x v="6"/>
    <n v="2018"/>
    <x v="3"/>
    <x v="1"/>
    <x v="3"/>
    <x v="1"/>
    <n v="0"/>
  </r>
  <r>
    <d v="2019-01-09T16:18:40"/>
    <d v="2018-11-11T00:00:00"/>
    <d v="2019-01-09T16:18:40"/>
    <x v="0"/>
    <x v="2"/>
    <s v="NF9573"/>
    <n v="1628"/>
    <x v="4"/>
    <n v="2019"/>
    <x v="3"/>
    <x v="1"/>
    <x v="4"/>
    <x v="2"/>
    <n v="0"/>
  </r>
  <r>
    <d v="2018-11-16T02:35:10"/>
    <d v="2018-11-13T00:00:00"/>
    <d v="2018-11-16T02:35:10"/>
    <x v="0"/>
    <x v="1"/>
    <s v="NF8087"/>
    <n v="3853"/>
    <x v="3"/>
    <n v="2018"/>
    <x v="3"/>
    <x v="1"/>
    <x v="2"/>
    <x v="1"/>
    <n v="0"/>
  </r>
  <r>
    <d v="2018-12-17T04:53:47"/>
    <d v="2018-11-17T00:00:00"/>
    <d v="2018-12-17T04:53:47"/>
    <x v="0"/>
    <x v="2"/>
    <s v="NF5909"/>
    <n v="883"/>
    <x v="6"/>
    <n v="2018"/>
    <x v="3"/>
    <x v="1"/>
    <x v="3"/>
    <x v="1"/>
    <n v="0"/>
  </r>
  <r>
    <d v="2018-12-07T18:17:32"/>
    <d v="2018-11-17T00:00:00"/>
    <d v="2018-12-07T18:17:32"/>
    <x v="0"/>
    <x v="1"/>
    <s v="NF4172"/>
    <n v="976"/>
    <x v="6"/>
    <n v="2018"/>
    <x v="3"/>
    <x v="1"/>
    <x v="3"/>
    <x v="1"/>
    <n v="0"/>
  </r>
  <r>
    <d v="2018-12-31T22:37:03"/>
    <d v="2018-11-20T00:00:00"/>
    <d v="2018-12-31T22:37:03"/>
    <x v="0"/>
    <x v="2"/>
    <s v="NF8957"/>
    <n v="2663"/>
    <x v="6"/>
    <n v="2018"/>
    <x v="3"/>
    <x v="1"/>
    <x v="3"/>
    <x v="1"/>
    <n v="0"/>
  </r>
  <r>
    <d v="2018-11-26T22:53:14"/>
    <d v="2018-11-26T00:00:00"/>
    <d v="2018-11-26T22:53:14"/>
    <x v="0"/>
    <x v="1"/>
    <s v="NF2981"/>
    <n v="4888"/>
    <x v="3"/>
    <n v="2018"/>
    <x v="3"/>
    <x v="1"/>
    <x v="2"/>
    <x v="1"/>
    <n v="0"/>
  </r>
  <r>
    <d v="2019-02-21T18:19:59"/>
    <d v="2018-11-29T00:00:00"/>
    <d v="2019-01-13T19:18:14"/>
    <x v="0"/>
    <x v="2"/>
    <s v="NF5104"/>
    <n v="2030"/>
    <x v="5"/>
    <n v="2019"/>
    <x v="3"/>
    <x v="1"/>
    <x v="4"/>
    <x v="2"/>
    <n v="38.95954425088712"/>
  </r>
  <r>
    <s v=""/>
    <d v="2018-12-02T00:00:00"/>
    <d v="2019-01-20T19:42:08"/>
    <x v="0"/>
    <x v="1"/>
    <s v="NF3942"/>
    <n v="2117"/>
    <x v="2"/>
    <n v="0"/>
    <x v="4"/>
    <x v="1"/>
    <x v="4"/>
    <x v="2"/>
    <n v="1830.1790700297788"/>
  </r>
  <r>
    <d v="2019-04-21T08:25:53"/>
    <d v="2018-12-04T00:00:00"/>
    <d v="2019-01-29T18:00:06"/>
    <x v="0"/>
    <x v="1"/>
    <s v="NF6376"/>
    <n v="1236"/>
    <x v="9"/>
    <n v="2019"/>
    <x v="4"/>
    <x v="1"/>
    <x v="4"/>
    <x v="2"/>
    <n v="81.601238821815059"/>
  </r>
  <r>
    <d v="2018-12-31T17:55:32"/>
    <d v="2018-12-09T00:00:00"/>
    <d v="2018-12-31T17:55:32"/>
    <x v="0"/>
    <x v="1"/>
    <s v="NF7518"/>
    <n v="426"/>
    <x v="6"/>
    <n v="2018"/>
    <x v="4"/>
    <x v="1"/>
    <x v="3"/>
    <x v="1"/>
    <n v="0"/>
  </r>
  <r>
    <d v="2018-12-31T02:34:29"/>
    <d v="2018-12-10T00:00:00"/>
    <d v="2018-12-24T03:51:14"/>
    <x v="0"/>
    <x v="4"/>
    <s v="NF5359"/>
    <n v="3956"/>
    <x v="6"/>
    <n v="2018"/>
    <x v="4"/>
    <x v="1"/>
    <x v="3"/>
    <x v="1"/>
    <n v="6.9467066987926955"/>
  </r>
  <r>
    <s v=""/>
    <d v="2018-12-14T00:00:00"/>
    <d v="2019-01-15T17:55:39"/>
    <x v="0"/>
    <x v="1"/>
    <s v="NF5153"/>
    <n v="3042"/>
    <x v="2"/>
    <n v="0"/>
    <x v="4"/>
    <x v="1"/>
    <x v="4"/>
    <x v="2"/>
    <n v="1835.253022215147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  <n v="16.928659294382669"/>
  </r>
  <r>
    <d v="2019-01-22T04:31:20"/>
    <d v="2018-12-18T00:00:00"/>
    <d v="2019-01-22T04:31:20"/>
    <x v="0"/>
    <x v="0"/>
    <s v="NF7641"/>
    <n v="1782"/>
    <x v="4"/>
    <n v="2019"/>
    <x v="4"/>
    <x v="1"/>
    <x v="4"/>
    <x v="2"/>
    <n v="0"/>
  </r>
  <r>
    <d v="2019-02-18T09:40:35"/>
    <d v="2018-12-25T00:00:00"/>
    <d v="2019-02-18T09:40:35"/>
    <x v="0"/>
    <x v="1"/>
    <s v="NF2758"/>
    <n v="365"/>
    <x v="5"/>
    <n v="2019"/>
    <x v="4"/>
    <x v="1"/>
    <x v="5"/>
    <x v="2"/>
    <n v="0"/>
  </r>
  <r>
    <d v="2019-01-26T16:18:05"/>
    <d v="2018-12-27T00:00:00"/>
    <d v="2019-01-26T16:18:05"/>
    <x v="0"/>
    <x v="1"/>
    <s v="NF9279"/>
    <n v="2757"/>
    <x v="4"/>
    <n v="2019"/>
    <x v="4"/>
    <x v="1"/>
    <x v="4"/>
    <x v="2"/>
    <n v="0"/>
  </r>
  <r>
    <d v="2019-02-19T04:57:57"/>
    <d v="2018-12-30T00:00:00"/>
    <d v="2019-02-19T04:57:57"/>
    <x v="0"/>
    <x v="0"/>
    <s v="NF2386"/>
    <n v="2112"/>
    <x v="5"/>
    <n v="2019"/>
    <x v="4"/>
    <x v="1"/>
    <x v="5"/>
    <x v="2"/>
    <n v="0"/>
  </r>
  <r>
    <d v="2019-04-18T04:58:30"/>
    <d v="2019-01-02T00:00:00"/>
    <d v="2019-01-18T13:55:07"/>
    <x v="0"/>
    <x v="0"/>
    <s v="NF6751"/>
    <n v="2190"/>
    <x v="9"/>
    <n v="2019"/>
    <x v="5"/>
    <x v="2"/>
    <x v="4"/>
    <x v="2"/>
    <n v="89.627354713862587"/>
  </r>
  <r>
    <d v="2019-01-20T15:24:57"/>
    <d v="2019-01-04T00:00:00"/>
    <d v="2019-01-20T15:24:57"/>
    <x v="0"/>
    <x v="1"/>
    <s v="NF9460"/>
    <n v="2998"/>
    <x v="4"/>
    <n v="2019"/>
    <x v="5"/>
    <x v="2"/>
    <x v="4"/>
    <x v="2"/>
    <n v="0"/>
  </r>
  <r>
    <d v="2019-02-05T00:47:03"/>
    <d v="2019-01-11T00:00:00"/>
    <d v="2019-02-05T00:47:03"/>
    <x v="0"/>
    <x v="1"/>
    <s v="NF5556"/>
    <n v="3808"/>
    <x v="5"/>
    <n v="2019"/>
    <x v="5"/>
    <x v="2"/>
    <x v="5"/>
    <x v="2"/>
    <n v="0"/>
  </r>
  <r>
    <d v="2019-01-30T11:29:38"/>
    <d v="2019-01-14T00:00:00"/>
    <d v="2019-01-30T11:29:38"/>
    <x v="0"/>
    <x v="1"/>
    <s v="NF4918"/>
    <n v="4928"/>
    <x v="4"/>
    <n v="2019"/>
    <x v="5"/>
    <x v="2"/>
    <x v="4"/>
    <x v="2"/>
    <n v="0"/>
  </r>
  <r>
    <d v="2019-03-12T00:36:53"/>
    <d v="2019-01-17T00:00:00"/>
    <d v="2019-03-12T00:36:53"/>
    <x v="0"/>
    <x v="0"/>
    <s v="NF1763"/>
    <n v="4179"/>
    <x v="7"/>
    <n v="2019"/>
    <x v="5"/>
    <x v="2"/>
    <x v="6"/>
    <x v="2"/>
    <n v="0"/>
  </r>
  <r>
    <d v="2019-02-03T23:50:40"/>
    <d v="2019-01-19T00:00:00"/>
    <d v="2019-02-03T23:50:40"/>
    <x v="0"/>
    <x v="4"/>
    <s v="NF2024"/>
    <n v="4896"/>
    <x v="5"/>
    <n v="2019"/>
    <x v="5"/>
    <x v="2"/>
    <x v="5"/>
    <x v="2"/>
    <n v="0"/>
  </r>
  <r>
    <d v="2019-02-02T03:08:46"/>
    <d v="2019-01-22T00:00:00"/>
    <d v="2019-02-02T03:08:46"/>
    <x v="0"/>
    <x v="0"/>
    <s v="NF8079"/>
    <n v="4092"/>
    <x v="5"/>
    <n v="2019"/>
    <x v="5"/>
    <x v="2"/>
    <x v="5"/>
    <x v="2"/>
    <n v="0"/>
  </r>
  <r>
    <d v="2019-01-31T22:24:29"/>
    <d v="2019-01-27T00:00:00"/>
    <d v="2019-01-31T22:24:29"/>
    <x v="0"/>
    <x v="1"/>
    <s v="NF6383"/>
    <n v="2956"/>
    <x v="4"/>
    <n v="2019"/>
    <x v="5"/>
    <x v="2"/>
    <x v="4"/>
    <x v="2"/>
    <n v="0"/>
  </r>
  <r>
    <d v="2019-02-13T18:40:14"/>
    <d v="2019-01-31T00:00:00"/>
    <d v="2019-02-13T18:40:14"/>
    <x v="0"/>
    <x v="0"/>
    <s v="NF3919"/>
    <n v="533"/>
    <x v="5"/>
    <n v="2019"/>
    <x v="5"/>
    <x v="2"/>
    <x v="5"/>
    <x v="2"/>
    <n v="0"/>
  </r>
  <r>
    <d v="2019-02-24T17:32:07"/>
    <d v="2019-02-01T00:00:00"/>
    <d v="2019-02-24T17:32:07"/>
    <x v="0"/>
    <x v="2"/>
    <s v="NF1390"/>
    <n v="3519"/>
    <x v="5"/>
    <n v="2019"/>
    <x v="6"/>
    <x v="2"/>
    <x v="5"/>
    <x v="2"/>
    <n v="0"/>
  </r>
  <r>
    <d v="2019-03-24T18:54:41"/>
    <d v="2019-02-03T00:00:00"/>
    <d v="2019-03-24T18:54:41"/>
    <x v="0"/>
    <x v="4"/>
    <s v="NF2500"/>
    <n v="757"/>
    <x v="7"/>
    <n v="2019"/>
    <x v="6"/>
    <x v="2"/>
    <x v="6"/>
    <x v="2"/>
    <n v="0"/>
  </r>
  <r>
    <d v="2019-03-28T05:56:28"/>
    <d v="2019-02-07T00:00:00"/>
    <d v="2019-03-28T05:56:28"/>
    <x v="0"/>
    <x v="1"/>
    <s v="NF2427"/>
    <n v="2688"/>
    <x v="7"/>
    <n v="2019"/>
    <x v="6"/>
    <x v="2"/>
    <x v="6"/>
    <x v="2"/>
    <n v="0"/>
  </r>
  <r>
    <d v="2019-03-30T10:37:26"/>
    <d v="2019-02-09T00:00:00"/>
    <d v="2019-03-30T10:37:26"/>
    <x v="0"/>
    <x v="3"/>
    <s v="NF4680"/>
    <n v="340"/>
    <x v="7"/>
    <n v="2019"/>
    <x v="6"/>
    <x v="2"/>
    <x v="6"/>
    <x v="2"/>
    <n v="0"/>
  </r>
  <r>
    <d v="2019-02-12T14:13:18"/>
    <d v="2019-02-10T00:00:00"/>
    <d v="2019-02-12T14:13:18"/>
    <x v="0"/>
    <x v="3"/>
    <s v="NF7019"/>
    <n v="4204"/>
    <x v="5"/>
    <n v="2019"/>
    <x v="6"/>
    <x v="2"/>
    <x v="5"/>
    <x v="2"/>
    <n v="0"/>
  </r>
  <r>
    <d v="2019-03-31T06:50:37"/>
    <d v="2019-02-12T00:00:00"/>
    <d v="2019-03-31T06:50:37"/>
    <x v="0"/>
    <x v="2"/>
    <s v="NF4961"/>
    <n v="3695"/>
    <x v="7"/>
    <n v="2019"/>
    <x v="6"/>
    <x v="2"/>
    <x v="6"/>
    <x v="2"/>
    <n v="0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  <n v="71.870903102673765"/>
  </r>
  <r>
    <d v="2019-04-11T11:34:45"/>
    <d v="2019-02-25T00:00:00"/>
    <d v="2019-03-29T22:04:56"/>
    <x v="0"/>
    <x v="1"/>
    <s v="NF1913"/>
    <n v="4303"/>
    <x v="9"/>
    <n v="2019"/>
    <x v="6"/>
    <x v="2"/>
    <x v="6"/>
    <x v="2"/>
    <n v="12.562376887341088"/>
  </r>
  <r>
    <d v="2019-03-07T17:42:59"/>
    <d v="2019-02-27T00:00:00"/>
    <d v="2019-03-07T17:42:59"/>
    <x v="0"/>
    <x v="3"/>
    <s v="NF5844"/>
    <n v="2674"/>
    <x v="7"/>
    <n v="2019"/>
    <x v="6"/>
    <x v="2"/>
    <x v="6"/>
    <x v="2"/>
    <n v="0"/>
  </r>
  <r>
    <d v="2019-04-14T20:03:15"/>
    <d v="2019-03-02T00:00:00"/>
    <d v="2019-04-14T20:03:15"/>
    <x v="0"/>
    <x v="4"/>
    <s v="NF7813"/>
    <n v="1720"/>
    <x v="9"/>
    <n v="2019"/>
    <x v="7"/>
    <x v="2"/>
    <x v="7"/>
    <x v="2"/>
    <n v="0"/>
  </r>
  <r>
    <d v="2019-04-12T18:11:29"/>
    <d v="2019-03-06T00:00:00"/>
    <d v="2019-04-12T18:11:29"/>
    <x v="0"/>
    <x v="4"/>
    <s v="NF6780"/>
    <n v="1854"/>
    <x v="9"/>
    <n v="2019"/>
    <x v="7"/>
    <x v="2"/>
    <x v="7"/>
    <x v="2"/>
    <n v="0"/>
  </r>
  <r>
    <d v="2019-03-11T01:54:11"/>
    <d v="2019-03-08T00:00:00"/>
    <d v="2019-03-11T01:54:11"/>
    <x v="0"/>
    <x v="1"/>
    <s v="NF9599"/>
    <n v="2568"/>
    <x v="7"/>
    <n v="2019"/>
    <x v="7"/>
    <x v="2"/>
    <x v="6"/>
    <x v="2"/>
    <n v="0"/>
  </r>
  <r>
    <d v="2019-04-17T14:18:26"/>
    <d v="2019-03-08T00:00:00"/>
    <d v="2019-04-17T14:18:26"/>
    <x v="0"/>
    <x v="1"/>
    <s v="NF8659"/>
    <n v="3690"/>
    <x v="9"/>
    <n v="2019"/>
    <x v="7"/>
    <x v="2"/>
    <x v="7"/>
    <x v="2"/>
    <n v="0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  <n v="50.976243909935874"/>
  </r>
  <r>
    <d v="2019-04-16T17:46:42"/>
    <d v="2019-03-12T00:00:00"/>
    <d v="2019-04-16T17:46:42"/>
    <x v="0"/>
    <x v="4"/>
    <s v="NF3068"/>
    <n v="4360"/>
    <x v="9"/>
    <n v="2019"/>
    <x v="7"/>
    <x v="2"/>
    <x v="7"/>
    <x v="2"/>
    <n v="0"/>
  </r>
  <r>
    <s v=""/>
    <d v="2019-03-13T00:00:00"/>
    <d v="2019-04-21T09:02:46"/>
    <x v="0"/>
    <x v="0"/>
    <s v="NF7141"/>
    <n v="1753"/>
    <x v="2"/>
    <n v="0"/>
    <x v="7"/>
    <x v="2"/>
    <x v="7"/>
    <x v="2"/>
    <n v="1739.6230751911935"/>
  </r>
  <r>
    <d v="2019-03-19T15:46:35"/>
    <d v="2019-03-16T00:00:00"/>
    <d v="2019-03-19T15:46:35"/>
    <x v="0"/>
    <x v="4"/>
    <s v="NF3366"/>
    <n v="1421"/>
    <x v="7"/>
    <n v="2019"/>
    <x v="7"/>
    <x v="2"/>
    <x v="6"/>
    <x v="2"/>
    <n v="0"/>
  </r>
  <r>
    <d v="2019-04-11T07:59:33"/>
    <d v="2019-03-19T00:00:00"/>
    <d v="2019-04-11T07:59:33"/>
    <x v="0"/>
    <x v="0"/>
    <s v="NF8853"/>
    <n v="3565"/>
    <x v="9"/>
    <n v="2019"/>
    <x v="7"/>
    <x v="2"/>
    <x v="7"/>
    <x v="2"/>
    <n v="0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  <n v="76.900761643715668"/>
  </r>
  <r>
    <d v="2019-04-15T02:20:04"/>
    <d v="2019-03-27T00:00:00"/>
    <d v="2019-04-02T02:00:21"/>
    <x v="0"/>
    <x v="3"/>
    <s v="NF1441"/>
    <n v="4854"/>
    <x v="9"/>
    <n v="2019"/>
    <x v="7"/>
    <x v="2"/>
    <x v="7"/>
    <x v="2"/>
    <n v="13.01368457609351"/>
  </r>
  <r>
    <d v="2019-04-23T17:40:18"/>
    <d v="2019-04-02T00:00:00"/>
    <d v="2019-04-23T17:40:18"/>
    <x v="0"/>
    <x v="4"/>
    <s v="NF9964"/>
    <n v="3453"/>
    <x v="9"/>
    <n v="2019"/>
    <x v="8"/>
    <x v="2"/>
    <x v="7"/>
    <x v="2"/>
    <n v="0"/>
  </r>
  <r>
    <d v="2019-04-20T02:38:51"/>
    <d v="2019-04-03T00:00:00"/>
    <d v="2019-04-05T19:38:36"/>
    <x v="0"/>
    <x v="1"/>
    <s v="NF9101"/>
    <n v="3341"/>
    <x v="9"/>
    <n v="2019"/>
    <x v="8"/>
    <x v="2"/>
    <x v="7"/>
    <x v="2"/>
    <n v="14.291841027115879"/>
  </r>
  <r>
    <d v="2019-05-20T20:46:13"/>
    <d v="2019-04-06T00:00:00"/>
    <d v="2019-05-20T20:46:13"/>
    <x v="0"/>
    <x v="3"/>
    <s v="NF3185"/>
    <n v="2707"/>
    <x v="8"/>
    <n v="2019"/>
    <x v="8"/>
    <x v="2"/>
    <x v="8"/>
    <x v="2"/>
    <n v="0"/>
  </r>
  <r>
    <d v="2019-05-18T16:24:37"/>
    <d v="2019-04-08T00:00:00"/>
    <d v="2019-05-18T16:24:37"/>
    <x v="0"/>
    <x v="1"/>
    <s v="NF2836"/>
    <n v="1582"/>
    <x v="8"/>
    <n v="2019"/>
    <x v="8"/>
    <x v="2"/>
    <x v="8"/>
    <x v="2"/>
    <n v="0"/>
  </r>
  <r>
    <d v="2019-05-14T12:12:29"/>
    <d v="2019-04-10T00:00:00"/>
    <d v="2019-05-14T12:12:29"/>
    <x v="0"/>
    <x v="1"/>
    <s v="NF7779"/>
    <n v="3889"/>
    <x v="8"/>
    <n v="2019"/>
    <x v="8"/>
    <x v="2"/>
    <x v="8"/>
    <x v="2"/>
    <n v="0"/>
  </r>
  <r>
    <d v="2019-04-29T13:39:41"/>
    <d v="2019-04-14T00:00:00"/>
    <d v="2019-04-29T13:39:41"/>
    <x v="0"/>
    <x v="1"/>
    <s v="NF5919"/>
    <n v="2303"/>
    <x v="9"/>
    <n v="2019"/>
    <x v="8"/>
    <x v="2"/>
    <x v="7"/>
    <x v="2"/>
    <n v="0"/>
  </r>
  <r>
    <d v="2019-05-19T15:44:01"/>
    <d v="2019-04-17T00:00:00"/>
    <d v="2019-05-19T15:44:01"/>
    <x v="0"/>
    <x v="2"/>
    <s v="NF1620"/>
    <n v="802"/>
    <x v="8"/>
    <n v="2019"/>
    <x v="8"/>
    <x v="2"/>
    <x v="8"/>
    <x v="2"/>
    <n v="0"/>
  </r>
  <r>
    <d v="2019-05-04T05:35:47"/>
    <d v="2019-04-19T00:00:00"/>
    <d v="2019-05-04T05:35:47"/>
    <x v="0"/>
    <x v="1"/>
    <s v="NF3801"/>
    <n v="4513"/>
    <x v="8"/>
    <n v="2019"/>
    <x v="8"/>
    <x v="2"/>
    <x v="8"/>
    <x v="2"/>
    <n v="0"/>
  </r>
  <r>
    <d v="2019-05-01T20:46:57"/>
    <d v="2019-04-21T00:00:00"/>
    <d v="2019-05-01T20:46:57"/>
    <x v="0"/>
    <x v="1"/>
    <s v="NF8086"/>
    <n v="3908"/>
    <x v="8"/>
    <n v="2019"/>
    <x v="8"/>
    <x v="2"/>
    <x v="8"/>
    <x v="2"/>
    <n v="0"/>
  </r>
  <r>
    <d v="2019-06-25T21:22:36"/>
    <d v="2019-04-25T00:00:00"/>
    <d v="2019-06-19T00:39:03"/>
    <x v="0"/>
    <x v="1"/>
    <s v="NF4964"/>
    <n v="156"/>
    <x v="11"/>
    <n v="2019"/>
    <x v="8"/>
    <x v="2"/>
    <x v="9"/>
    <x v="2"/>
    <n v="6.8635805509547936"/>
  </r>
  <r>
    <d v="2019-06-06T02:43:25"/>
    <d v="2019-04-27T00:00:00"/>
    <d v="2019-06-06T02:43:25"/>
    <x v="0"/>
    <x v="2"/>
    <s v="NF6112"/>
    <n v="457"/>
    <x v="11"/>
    <n v="2019"/>
    <x v="8"/>
    <x v="2"/>
    <x v="9"/>
    <x v="2"/>
    <n v="0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  <n v="0"/>
  </r>
  <r>
    <d v="2019-05-10T16:48:12"/>
    <d v="2019-05-05T00:00:00"/>
    <d v="2019-05-10T16:48:12"/>
    <x v="0"/>
    <x v="1"/>
    <s v="NF7121"/>
    <n v="1809"/>
    <x v="8"/>
    <n v="2019"/>
    <x v="9"/>
    <x v="2"/>
    <x v="8"/>
    <x v="2"/>
    <n v="0"/>
  </r>
  <r>
    <d v="2019-05-28T17:06:40"/>
    <d v="2019-05-06T00:00:00"/>
    <d v="2019-05-28T17:06:40"/>
    <x v="0"/>
    <x v="2"/>
    <s v="NF8208"/>
    <n v="4172"/>
    <x v="8"/>
    <n v="2019"/>
    <x v="9"/>
    <x v="2"/>
    <x v="8"/>
    <x v="2"/>
    <n v="0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  <n v="0"/>
  </r>
  <r>
    <d v="2019-09-24T08:30:28"/>
    <d v="2019-05-09T00:00:00"/>
    <d v="2019-06-29T04:30:50"/>
    <x v="0"/>
    <x v="2"/>
    <s v="NF9162"/>
    <n v="1700"/>
    <x v="1"/>
    <n v="2019"/>
    <x v="9"/>
    <x v="2"/>
    <x v="9"/>
    <x v="2"/>
    <n v="87.166406665150134"/>
  </r>
  <r>
    <d v="2019-05-29T18:19:47"/>
    <d v="2019-05-10T00:00:00"/>
    <d v="2019-05-29T18:19:47"/>
    <x v="0"/>
    <x v="2"/>
    <s v="NF1497"/>
    <n v="2090"/>
    <x v="8"/>
    <n v="2019"/>
    <x v="9"/>
    <x v="2"/>
    <x v="8"/>
    <x v="2"/>
    <n v="0"/>
  </r>
  <r>
    <d v="2019-05-17T03:13:40"/>
    <d v="2019-05-13T00:00:00"/>
    <d v="2019-05-17T03:13:40"/>
    <x v="0"/>
    <x v="0"/>
    <s v="NF8398"/>
    <n v="3230"/>
    <x v="8"/>
    <n v="2019"/>
    <x v="9"/>
    <x v="2"/>
    <x v="8"/>
    <x v="2"/>
    <n v="0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  <n v="0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  <n v="87.925930991143105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  <n v="0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  <n v="2.031889560057607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  <n v="28.426823942558258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  <n v="0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  <n v="0"/>
  </r>
  <r>
    <s v=""/>
    <d v="2019-06-09T00:00:00"/>
    <d v="2019-07-26T16:06:04"/>
    <x v="0"/>
    <x v="1"/>
    <s v="NF1823"/>
    <n v="2338"/>
    <x v="2"/>
    <n v="0"/>
    <x v="10"/>
    <x v="2"/>
    <x v="10"/>
    <x v="2"/>
    <n v="1643.3291158164211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  <n v="76.845757333467191"/>
  </r>
  <r>
    <s v=""/>
    <d v="2019-06-19T00:00:00"/>
    <d v="2019-08-09T02:03:08"/>
    <x v="0"/>
    <x v="0"/>
    <s v="NF4812"/>
    <n v="2759"/>
    <x v="2"/>
    <n v="0"/>
    <x v="10"/>
    <x v="2"/>
    <x v="11"/>
    <x v="2"/>
    <n v="1629.9144901164909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  <n v="0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  <n v="0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dDetalhaReceita" cacheId="87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B6:O14" firstHeaderRow="1" firstDataRow="2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96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hier="-1"/>
  </pageFields>
  <dataFields count="1">
    <dataField name="Soma de Valor" fld="6" baseField="4" baseItem="3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96" applyNumberFormats="0" applyBorderFormats="0" applyFontFormats="0" applyPatternFormats="0" applyAlignmentFormats="0" applyWidthHeightFormats="1" dataCaption="Valores" updatedVersion="6" minRefreshableVersion="3" colGrandTotals="0" itemPrintTitles="1" createdVersion="6" indent="0" outline="1" outlineData="1" multipleFieldFilters="0">
  <location ref="B6:F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showAll="0"/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</pivotFields>
  <rowFields count="2">
    <field x="3"/>
    <field x="4"/>
  </rowFields>
  <rowItems count="5">
    <i>
      <x/>
    </i>
    <i r="1">
      <x v="1"/>
    </i>
    <i r="1">
      <x v="2"/>
    </i>
    <i r="1">
      <x v="4"/>
    </i>
    <i t="grand">
      <x/>
    </i>
  </rowItems>
  <colFields count="2">
    <field x="7"/>
    <field x="11"/>
  </colFields>
  <colItems count="4">
    <i>
      <x/>
      <x v="8"/>
    </i>
    <i r="1">
      <x v="9"/>
    </i>
    <i r="1">
      <x v="11"/>
    </i>
    <i t="default">
      <x/>
    </i>
  </colItems>
  <pageFields count="1">
    <pageField fld="12" item="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87" applyNumberFormats="0" applyBorderFormats="0" applyFontFormats="0" applyPatternFormats="0" applyAlignmentFormats="0" applyWidthHeightFormats="1" dataCaption="Valores" updatedVersion="6" minRefreshableVersion="3" colGrandTotals="0" itemPrintTitles="1" createdVersion="6" indent="0" outline="1" outlineData="1" multipleFieldFilters="0">
  <location ref="B6:C9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dataField="1" numFmtId="4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/>
    <pivotField axis="axisCol" showAll="0">
      <items count="13">
        <item x="6"/>
        <item x="7"/>
        <item x="8"/>
        <item x="9"/>
        <item x="10"/>
        <item x="11"/>
        <item x="0"/>
        <item x="1"/>
        <item x="2"/>
        <item x="3"/>
        <item x="4"/>
        <item x="5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1">
    <i t="grand">
      <x/>
    </i>
  </rowItems>
  <colFields count="2">
    <field x="7"/>
    <field x="11"/>
  </colFields>
  <pageFields count="1">
    <pageField fld="12" item="0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" cacheId="87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>
  <location ref="B6:G14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2"/>
        <item x="1"/>
        <item t="default"/>
      </items>
    </pivotField>
    <pivotField showAll="0"/>
    <pivotField dataField="1" numFmtId="44" showAll="0"/>
    <pivotField showAll="0"/>
    <pivotField showAll="0"/>
    <pivotField showAll="0"/>
    <pivotField showAll="0"/>
    <pivotField axis="axisCol" showAll="0">
      <items count="13">
        <item x="6"/>
        <item h="1" x="7"/>
        <item h="1" x="8"/>
        <item x="9"/>
        <item x="10"/>
        <item h="1" x="11"/>
        <item x="0"/>
        <item h="1" x="1"/>
        <item h="1" x="2"/>
        <item h="1" x="3"/>
        <item h="1" x="4"/>
        <item h="1" x="5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 defaultSubtotal="0">
      <items count="4">
        <item h="1" m="1" x="3"/>
        <item h="1" x="0"/>
        <item h="1" m="1" x="2"/>
        <item x="1"/>
      </items>
    </pivotField>
    <pivotField showAll="0" defaultSubtotal="0"/>
    <pivotField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11"/>
  </colFields>
  <colItems count="5">
    <i>
      <x v="3"/>
      <x/>
    </i>
    <i r="1">
      <x v="3"/>
    </i>
    <i r="1">
      <x v="4"/>
    </i>
    <i r="1">
      <x v="6"/>
    </i>
    <i t="grand">
      <x/>
    </i>
  </colItems>
  <pageFields count="1">
    <pageField fld="12" item="2" hier="-1"/>
  </pageFields>
  <dataFields count="1">
    <dataField name="Soma de Valor" fld="6" baseField="3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9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9" name="TdDetalhaDespesa"/>
  </pivotTables>
  <data>
    <tabular pivotCacheId="2">
      <items count="3">
        <i x="0" s="1"/>
        <i x="1" s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22" name="TdContasPagar"/>
  </pivotTables>
  <data>
    <tabular pivotCacheId="2">
      <items count="12">
        <i x="1" s="1"/>
        <i x="0" s="1"/>
        <i x="3" s="1"/>
        <i x="4" s="1" nd="1"/>
        <i x="5" s="1" nd="1"/>
        <i x="6" s="1" nd="1"/>
        <i x="7" s="1" nd="1"/>
        <i x="8" s="1" nd="1"/>
        <i x="9" s="1" nd="1"/>
        <i x="10" s="1" nd="1"/>
        <i x="11" s="1" nd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" sourceName="Ano Previsto">
  <pivotTables>
    <pivotTable tabId="22" name="TdContasPagar"/>
  </pivotTables>
  <data>
    <tabular pivotCacheId="2">
      <items count="3">
        <i x="0" s="1"/>
        <i x="1"/>
        <i x="2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24" name="TdContasReceber"/>
  </pivotTables>
  <data>
    <tabular pivotCacheId="1">
      <items count="12">
        <i x="6" s="1" nd="1"/>
        <i x="7" s="1" nd="1"/>
        <i x="8" s="1" nd="1"/>
        <i x="9" s="1" nd="1"/>
        <i x="10" s="1" nd="1"/>
        <i x="11" s="1" nd="1"/>
        <i x="0" s="1" nd="1"/>
        <i x="1" s="1" nd="1"/>
        <i x="2" s="1" nd="1"/>
        <i x="3" s="1" nd="1"/>
        <i x="4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" sourceName="Ano Previsto">
  <pivotTables>
    <pivotTable tabId="24" name="TdContasReceber"/>
  </pivotTables>
  <data>
    <tabular pivotCacheId="1">
      <items count="3">
        <i x="0"/>
        <i x="2"/>
        <i x="1" s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Previsto11" sourceName="Ano Previsto">
  <pivotTables>
    <pivotTable tabId="26" name="TdContasReceber"/>
  </pivotTables>
  <data>
    <tabular pivotCacheId="1">
      <items count="3">
        <i x="2" s="1"/>
        <i x="1" nd="1"/>
        <i x="0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" cache="SegmentaçãodeDados_Mês_Previsto" caption="Mês Previsto" columnCount="6" rowHeight="241300"/>
  <slicer name="Ano Previsto" cache="SegmentaçãodeDados_Ano_Previsto" caption="Ano Previsto" columnCount="3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Previsto 1" cache="SegmentaçãodeDados_Mês_Previsto1" caption="Mês Previsto" columnCount="6" rowHeight="241300"/>
  <slicer name="Ano Previsto 1" cache="SegmentaçãodeDados_Ano_Previsto1" caption="Ano Previsto" columnCount="3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Previsto 2" cache="SegmentaçãodeDados_Ano_Previsto11" caption="Ano Previsto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6">
  <autoFilter ref="B4:B9"/>
  <tableColumns count="1">
    <tableColumn id="1" name="Nível 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5">
  <autoFilter ref="B4:C13"/>
  <tableColumns count="2">
    <tableColumn id="1" name="Nível 1"/>
    <tableColumn id="2" name="Nível 2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4" tableBorderDxfId="33">
  <autoFilter ref="B4:B10"/>
  <tableColumns count="1">
    <tableColumn id="1" name="Nível 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2">
  <autoFilter ref="B4:C16"/>
  <tableColumns count="2">
    <tableColumn id="1" name="Nível 1"/>
    <tableColumn id="2" name="Nível 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5" name="TbRegistrosEntradas" displayName="TbRegistrosEntradas" ref="B3:Q234" totalsRowShown="0" headerRowDxfId="31">
  <autoFilter ref="B3:Q234"/>
  <tableColumns count="16">
    <tableColumn id="1" name="Data do Caixa Realizado" dataDxfId="30"/>
    <tableColumn id="2" name="Data da Competência" dataDxfId="29"/>
    <tableColumn id="3" name="Data do Caixa Previsto" dataDxfId="28"/>
    <tableColumn id="4" name="Conta Nível 1"/>
    <tableColumn id="5" name="Conta Nível 2"/>
    <tableColumn id="6" name="Histórico" dataDxfId="27"/>
    <tableColumn id="7" name="Valor" dataDxfId="26"/>
    <tableColumn id="8" name="Mês Caixa" dataDxfId="25">
      <calculatedColumnFormula>IF(TbRegistrosEntradas[[#This Row],[Data do Caixa Realizado]]="",0,MONTH(TbRegistrosEntradas[[#This Row],[Data do Caixa Realizado]]))</calculatedColumnFormula>
    </tableColumn>
    <tableColumn id="9" name="Ano Caixa" dataDxfId="24">
      <calculatedColumnFormula>IF(TbRegistrosEntradas[[#This Row],[Data do Caixa Realizado]]="",0,YEAR(TbRegistrosEntradas[[#This Row],[Data do Caixa Realizado]]))</calculatedColumnFormula>
    </tableColumn>
    <tableColumn id="10" name="Mês Competência" dataDxfId="23">
      <calculatedColumnFormula>IF(TbRegistrosEntradas[[#This Row],[Data da Competência]]="",0,MONTH(TbRegistrosEntradas[[#This Row],[Data da Competência]]))</calculatedColumnFormula>
    </tableColumn>
    <tableColumn id="11" name="Ano Competência" dataDxfId="22">
      <calculatedColumnFormula>IF(TbRegistrosEntradas[[#This Row],[Data da Competência]]="",0,YEAR(TbRegistrosEntradas[[#This Row],[Data da Competência]]))</calculatedColumnFormula>
    </tableColumn>
    <tableColumn id="12" name="Mês Previsto" dataDxfId="21">
      <calculatedColumnFormula>IF(TbRegistrosEntradas[[#This Row],[Data do Caixa Previsto]]="",0,MONTH(TbRegistrosEntradas[[#This Row],[Data do Caixa Previsto]]))</calculatedColumnFormula>
    </tableColumn>
    <tableColumn id="13" name="Ano Previsto" dataDxfId="20">
      <calculatedColumnFormula>IF(TbRegistrosEntradas[[#This Row],[Data do Caixa Previsto]]="",0,YEAR(TbRegistrosEntradas[[#This Row],[Data do Caixa Previsto]]))</calculatedColumnFormula>
    </tableColumn>
    <tableColumn id="14" name="Conta Vencida" dataDxfId="19">
      <calculatedColumnFormula>IF(AND(TbRegistrosEntradas[[#This Row],[Data do Caixa Previsto]]&lt;TODAY(),TbRegistrosEntradas[[#This Row],[Data do Caixa Realizado]]=""),"Vencida","Não vencida")</calculatedColumnFormula>
    </tableColumn>
    <tableColumn id="15" name="Venda à vista" dataDxfId="6">
      <calculatedColumnFormula>IF(TbRegistrosEntradas[[#This Row],[Data da Competência]]=TbRegistrosEntradas[[#This Row],[Data do Caixa Previsto]],"Vista","Prazo")</calculatedColumnFormula>
    </tableColumn>
    <tableColumn id="16" name="Dias de Atraso" dataDxfId="5">
      <calculatedColumnFormula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calculatedColumnFormula>
    </tableColumn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id="6" name="TbRegistrosSaídas" displayName="TbRegistrosSaídas" ref="B3:O232" totalsRowShown="0" headerRowDxfId="18">
  <autoFilter ref="B3:O232"/>
  <tableColumns count="14">
    <tableColumn id="1" name="Data do Caixa Realizado" dataDxfId="17"/>
    <tableColumn id="2" name="Data da Competência" dataDxfId="16"/>
    <tableColumn id="3" name="Data do Caixa Previsto" dataDxfId="15"/>
    <tableColumn id="4" name="Conta Nível 1"/>
    <tableColumn id="5" name="Conta Nível 2"/>
    <tableColumn id="6" name="Histórico" dataDxfId="14"/>
    <tableColumn id="7" name="Valor" dataDxfId="13"/>
    <tableColumn id="8" name="Mês Caixa" dataDxfId="12">
      <calculatedColumnFormula>IF(TbRegistrosSaídas[[#This Row],[Data do Caixa Realizado]]="",0,MONTH(TbRegistrosSaídas[[#This Row],[Data do Caixa Realizado]]))</calculatedColumnFormula>
    </tableColumn>
    <tableColumn id="9" name="Ano Caixa" dataDxfId="11">
      <calculatedColumnFormula>IF(TbRegistrosSaídas[[#This Row],[Data do Caixa Realizado]]="",0,YEAR(TbRegistrosSaídas[[#This Row],[Data do Caixa Realizado]]))</calculatedColumnFormula>
    </tableColumn>
    <tableColumn id="10" name="Mês Competência" dataDxfId="10">
      <calculatedColumnFormula>IF(TbRegistrosSaídas[[#This Row],[Data da Competência]]="",0,MONTH(TbRegistrosSaídas[[#This Row],[Data da Competência]]))</calculatedColumnFormula>
    </tableColumn>
    <tableColumn id="11" name="Ano Competência" dataDxfId="9">
      <calculatedColumnFormula>IF(TbRegistrosSaídas[[#This Row],[Data da Competência]]="",0,YEAR(TbRegistrosSaídas[[#This Row],[Data da Competência]]))</calculatedColumnFormula>
    </tableColumn>
    <tableColumn id="12" name="Mês Previsto" dataDxfId="8">
      <calculatedColumnFormula>IF(TbRegistrosSaídas[[#This Row],[Data do Caixa Previsto]]="",0,MONTH(TbRegistrosSaídas[[#This Row],[Data do Caixa Previsto]]))</calculatedColumnFormula>
    </tableColumn>
    <tableColumn id="13" name="Ano Previsto" dataDxfId="7">
      <calculatedColumnFormula>IF(TbRegistrosSaídas[[#This Row],[Data do Caixa Previsto]]="",0,YEAR(TbRegistrosSaídas[[#This Row],[Data do Caixa Previsto]]))</calculatedColumnFormula>
    </tableColumn>
    <tableColumn id="15" name="Dias de Atraso" dataDxfId="4">
      <calculatedColumnFormula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tabSelected="1" workbookViewId="0">
      <selection activeCell="B8" sqref="B8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2.710937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39.950000000000003" customHeight="1" x14ac:dyDescent="0.25"/>
    <row r="3" spans="2:14" ht="20.100000000000001" customHeight="1" x14ac:dyDescent="0.25">
      <c r="B3" s="4" t="s">
        <v>2</v>
      </c>
    </row>
    <row r="4" spans="2:14" ht="20.100000000000001" customHeight="1" x14ac:dyDescent="0.25">
      <c r="B4" s="141" t="s">
        <v>3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s="4" t="s">
        <v>4</v>
      </c>
    </row>
    <row r="8" spans="2:14" ht="20.100000000000001" customHeight="1" x14ac:dyDescent="0.25">
      <c r="B8" s="141" t="s">
        <v>5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/>
    <row r="18" spans="4:14" ht="20.100000000000001" customHeight="1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" width="2.85546875" customWidth="1"/>
    <col min="17" max="16382" width="9.140625" hidden="1"/>
    <col min="16383" max="16383" width="2.5703125" hidden="1"/>
    <col min="16384" max="16384" width="2.42578125" hidden="1"/>
  </cols>
  <sheetData>
    <row r="1" spans="2:15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13</v>
      </c>
    </row>
    <row r="2" spans="2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37" t="s">
        <v>540</v>
      </c>
      <c r="C4" t="s">
        <v>541</v>
      </c>
    </row>
    <row r="5" spans="2:15" ht="20.100000000000001" customHeight="1" x14ac:dyDescent="0.25"/>
    <row r="6" spans="2:15" ht="20.100000000000001" customHeight="1" x14ac:dyDescent="0.25">
      <c r="B6" s="37" t="s">
        <v>545</v>
      </c>
      <c r="C6" s="37" t="s">
        <v>544</v>
      </c>
    </row>
    <row r="7" spans="2:15" ht="20.100000000000001" customHeight="1" x14ac:dyDescent="0.25">
      <c r="B7" s="37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2:15" ht="20.100000000000001" customHeight="1" x14ac:dyDescent="0.25">
      <c r="B8" s="12" t="s">
        <v>23</v>
      </c>
      <c r="C8" s="39">
        <v>43479</v>
      </c>
      <c r="D8" s="39">
        <v>56516</v>
      </c>
      <c r="E8" s="39">
        <v>56059</v>
      </c>
      <c r="F8" s="39">
        <v>53165</v>
      </c>
      <c r="G8" s="39">
        <v>41611</v>
      </c>
      <c r="H8" s="39">
        <v>40576</v>
      </c>
      <c r="I8" s="39">
        <v>33298</v>
      </c>
      <c r="J8" s="39">
        <v>32438</v>
      </c>
      <c r="K8" s="39">
        <v>57887</v>
      </c>
      <c r="L8" s="39">
        <v>60137</v>
      </c>
      <c r="M8" s="39">
        <v>62513</v>
      </c>
      <c r="N8" s="39">
        <v>50431</v>
      </c>
      <c r="O8" s="39">
        <v>588110</v>
      </c>
    </row>
    <row r="9" spans="2:15" ht="20.100000000000001" customHeight="1" x14ac:dyDescent="0.25">
      <c r="B9" s="38" t="s">
        <v>30</v>
      </c>
      <c r="C9" s="39">
        <v>6857</v>
      </c>
      <c r="D9" s="39">
        <v>4461</v>
      </c>
      <c r="E9" s="39">
        <v>4800</v>
      </c>
      <c r="F9" s="39"/>
      <c r="G9" s="39">
        <v>10875</v>
      </c>
      <c r="H9" s="39">
        <v>9700</v>
      </c>
      <c r="I9" s="39">
        <v>2713</v>
      </c>
      <c r="J9" s="39">
        <v>3080</v>
      </c>
      <c r="K9" s="39">
        <v>2502</v>
      </c>
      <c r="L9" s="39">
        <v>7137</v>
      </c>
      <c r="M9" s="39">
        <v>7046</v>
      </c>
      <c r="N9" s="39">
        <v>4559</v>
      </c>
      <c r="O9" s="39">
        <v>63730</v>
      </c>
    </row>
    <row r="10" spans="2:15" ht="20.100000000000001" customHeight="1" x14ac:dyDescent="0.25">
      <c r="B10" s="38" t="s">
        <v>31</v>
      </c>
      <c r="C10" s="39">
        <v>3843</v>
      </c>
      <c r="D10" s="39">
        <v>11762</v>
      </c>
      <c r="E10" s="39">
        <v>9651</v>
      </c>
      <c r="F10" s="39">
        <v>14524</v>
      </c>
      <c r="G10" s="39">
        <v>5167</v>
      </c>
      <c r="H10" s="39">
        <v>2114</v>
      </c>
      <c r="I10" s="39">
        <v>8337</v>
      </c>
      <c r="J10" s="39">
        <v>7817</v>
      </c>
      <c r="K10" s="39">
        <v>14528</v>
      </c>
      <c r="L10" s="39">
        <v>10422</v>
      </c>
      <c r="M10" s="39">
        <v>10619</v>
      </c>
      <c r="N10" s="39">
        <v>16304</v>
      </c>
      <c r="O10" s="39">
        <v>115088</v>
      </c>
    </row>
    <row r="11" spans="2:15" ht="20.100000000000001" customHeight="1" x14ac:dyDescent="0.25">
      <c r="B11" s="38" t="s">
        <v>32</v>
      </c>
      <c r="C11" s="39">
        <v>6759</v>
      </c>
      <c r="D11" s="39">
        <v>13905</v>
      </c>
      <c r="E11" s="39">
        <v>10836</v>
      </c>
      <c r="F11" s="39">
        <v>5066</v>
      </c>
      <c r="G11" s="39">
        <v>2805</v>
      </c>
      <c r="H11" s="39">
        <v>4706</v>
      </c>
      <c r="I11" s="39">
        <v>1306</v>
      </c>
      <c r="J11" s="39"/>
      <c r="K11" s="39">
        <v>10681</v>
      </c>
      <c r="L11" s="39">
        <v>6465</v>
      </c>
      <c r="M11" s="39">
        <v>7373</v>
      </c>
      <c r="N11" s="39"/>
      <c r="O11" s="39">
        <v>69902</v>
      </c>
    </row>
    <row r="12" spans="2:15" ht="20.100000000000001" customHeight="1" x14ac:dyDescent="0.25">
      <c r="B12" s="38" t="s">
        <v>33</v>
      </c>
      <c r="C12" s="39">
        <v>18745</v>
      </c>
      <c r="D12" s="39">
        <v>20692</v>
      </c>
      <c r="E12" s="39">
        <v>13156</v>
      </c>
      <c r="F12" s="39">
        <v>32957</v>
      </c>
      <c r="G12" s="39">
        <v>13902</v>
      </c>
      <c r="H12" s="39">
        <v>19226</v>
      </c>
      <c r="I12" s="39">
        <v>12594</v>
      </c>
      <c r="J12" s="39">
        <v>11590</v>
      </c>
      <c r="K12" s="39">
        <v>27785</v>
      </c>
      <c r="L12" s="39">
        <v>20341</v>
      </c>
      <c r="M12" s="39">
        <v>28005</v>
      </c>
      <c r="N12" s="39">
        <v>17080</v>
      </c>
      <c r="O12" s="39">
        <v>236073</v>
      </c>
    </row>
    <row r="13" spans="2:15" ht="20.100000000000001" customHeight="1" x14ac:dyDescent="0.25">
      <c r="B13" s="38" t="s">
        <v>34</v>
      </c>
      <c r="C13" s="39">
        <v>7275</v>
      </c>
      <c r="D13" s="39">
        <v>5696</v>
      </c>
      <c r="E13" s="39">
        <v>17616</v>
      </c>
      <c r="F13" s="39">
        <v>618</v>
      </c>
      <c r="G13" s="39">
        <v>8862</v>
      </c>
      <c r="H13" s="39">
        <v>4830</v>
      </c>
      <c r="I13" s="39">
        <v>8348</v>
      </c>
      <c r="J13" s="39">
        <v>9951</v>
      </c>
      <c r="K13" s="39">
        <v>2391</v>
      </c>
      <c r="L13" s="39">
        <v>15772</v>
      </c>
      <c r="M13" s="39">
        <v>9470</v>
      </c>
      <c r="N13" s="39">
        <v>12488</v>
      </c>
      <c r="O13" s="39">
        <v>103317</v>
      </c>
    </row>
    <row r="14" spans="2:15" ht="20.100000000000001" customHeight="1" x14ac:dyDescent="0.25">
      <c r="B14" s="12" t="s">
        <v>543</v>
      </c>
      <c r="C14" s="39">
        <v>43479</v>
      </c>
      <c r="D14" s="39">
        <v>56516</v>
      </c>
      <c r="E14" s="39">
        <v>56059</v>
      </c>
      <c r="F14" s="39">
        <v>53165</v>
      </c>
      <c r="G14" s="39">
        <v>41611</v>
      </c>
      <c r="H14" s="39">
        <v>40576</v>
      </c>
      <c r="I14" s="39">
        <v>33298</v>
      </c>
      <c r="J14" s="39">
        <v>32438</v>
      </c>
      <c r="K14" s="39">
        <v>57887</v>
      </c>
      <c r="L14" s="39">
        <v>60137</v>
      </c>
      <c r="M14" s="39">
        <v>62513</v>
      </c>
      <c r="N14" s="39">
        <v>50431</v>
      </c>
      <c r="O14" s="39">
        <v>588110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" width="2.85546875" customWidth="1"/>
    <col min="17" max="16382" width="9.140625" hidden="1"/>
    <col min="16383" max="16383" width="2.5703125" hidden="1"/>
    <col min="16384" max="16384" width="2.42578125" hidden="1"/>
  </cols>
  <sheetData>
    <row r="1" spans="2:15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2:15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2:15" ht="20.100000000000001" customHeight="1" x14ac:dyDescent="0.25"/>
    <row r="4" spans="2:15" ht="20.100000000000001" customHeight="1" x14ac:dyDescent="0.25">
      <c r="B4" s="37" t="s">
        <v>540</v>
      </c>
      <c r="C4" t="s">
        <v>541</v>
      </c>
    </row>
    <row r="5" spans="2:15" ht="20.100000000000001" customHeight="1" x14ac:dyDescent="0.25"/>
    <row r="6" spans="2:15" ht="20.100000000000001" customHeight="1" x14ac:dyDescent="0.25">
      <c r="B6" s="37" t="s">
        <v>545</v>
      </c>
      <c r="C6" s="37" t="s">
        <v>544</v>
      </c>
    </row>
    <row r="7" spans="2:15" ht="20.100000000000001" customHeight="1" x14ac:dyDescent="0.25">
      <c r="B7" s="37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2:15" ht="20.100000000000001" customHeight="1" x14ac:dyDescent="0.25">
      <c r="B8" s="12" t="s">
        <v>43</v>
      </c>
      <c r="C8" s="39">
        <v>72353</v>
      </c>
      <c r="D8" s="39">
        <v>51906</v>
      </c>
      <c r="E8" s="39">
        <v>55619</v>
      </c>
      <c r="F8" s="39">
        <v>41790</v>
      </c>
      <c r="G8" s="39">
        <v>62092</v>
      </c>
      <c r="H8" s="39">
        <v>41896</v>
      </c>
      <c r="I8" s="39">
        <v>34065</v>
      </c>
      <c r="J8" s="39">
        <v>32710</v>
      </c>
      <c r="K8" s="39">
        <v>42011</v>
      </c>
      <c r="L8" s="39">
        <v>46262</v>
      </c>
      <c r="M8" s="39">
        <v>48607</v>
      </c>
      <c r="N8" s="39">
        <v>55563</v>
      </c>
      <c r="O8" s="39">
        <v>584874</v>
      </c>
    </row>
    <row r="9" spans="2:15" ht="20.100000000000001" customHeight="1" x14ac:dyDescent="0.25">
      <c r="B9" s="38" t="s">
        <v>30</v>
      </c>
      <c r="C9" s="39">
        <v>7953</v>
      </c>
      <c r="D9" s="39">
        <v>4012</v>
      </c>
      <c r="E9" s="39">
        <v>15192</v>
      </c>
      <c r="F9" s="39">
        <v>6213</v>
      </c>
      <c r="G9" s="39">
        <v>6400</v>
      </c>
      <c r="H9" s="39">
        <v>1613</v>
      </c>
      <c r="I9" s="39"/>
      <c r="J9" s="39">
        <v>9987</v>
      </c>
      <c r="K9" s="39">
        <v>5001</v>
      </c>
      <c r="L9" s="39">
        <v>13446</v>
      </c>
      <c r="M9" s="39">
        <v>1542</v>
      </c>
      <c r="N9" s="39">
        <v>16042</v>
      </c>
      <c r="O9" s="39">
        <v>87401</v>
      </c>
    </row>
    <row r="10" spans="2:15" ht="20.100000000000001" customHeight="1" x14ac:dyDescent="0.25">
      <c r="B10" s="38" t="s">
        <v>31</v>
      </c>
      <c r="C10" s="39">
        <v>6054</v>
      </c>
      <c r="D10" s="39">
        <v>15916</v>
      </c>
      <c r="E10" s="39">
        <v>474</v>
      </c>
      <c r="F10" s="39">
        <v>3722</v>
      </c>
      <c r="G10" s="39">
        <v>18195</v>
      </c>
      <c r="H10" s="39">
        <v>10540</v>
      </c>
      <c r="I10" s="39">
        <v>14461</v>
      </c>
      <c r="J10" s="39">
        <v>4383</v>
      </c>
      <c r="K10" s="39">
        <v>3022</v>
      </c>
      <c r="L10" s="39">
        <v>1158</v>
      </c>
      <c r="M10" s="39">
        <v>7204</v>
      </c>
      <c r="N10" s="39">
        <v>5768</v>
      </c>
      <c r="O10" s="39">
        <v>90897</v>
      </c>
    </row>
    <row r="11" spans="2:15" ht="20.100000000000001" customHeight="1" x14ac:dyDescent="0.25">
      <c r="B11" s="38" t="s">
        <v>32</v>
      </c>
      <c r="C11" s="39">
        <v>2247</v>
      </c>
      <c r="D11" s="39">
        <v>10721</v>
      </c>
      <c r="E11" s="39">
        <v>8747</v>
      </c>
      <c r="F11" s="39">
        <v>7574</v>
      </c>
      <c r="G11" s="39"/>
      <c r="H11" s="39"/>
      <c r="I11" s="39">
        <v>1108</v>
      </c>
      <c r="J11" s="39">
        <v>4462</v>
      </c>
      <c r="K11" s="39">
        <v>7143</v>
      </c>
      <c r="L11" s="39">
        <v>14837</v>
      </c>
      <c r="M11" s="39">
        <v>5208</v>
      </c>
      <c r="N11" s="39">
        <v>8248</v>
      </c>
      <c r="O11" s="39">
        <v>70295</v>
      </c>
    </row>
    <row r="12" spans="2:15" ht="20.100000000000001" customHeight="1" x14ac:dyDescent="0.25">
      <c r="B12" s="38" t="s">
        <v>34</v>
      </c>
      <c r="C12" s="39">
        <v>23815</v>
      </c>
      <c r="D12" s="39">
        <v>4148</v>
      </c>
      <c r="E12" s="39">
        <v>9064</v>
      </c>
      <c r="F12" s="39"/>
      <c r="G12" s="39">
        <v>9140</v>
      </c>
      <c r="H12" s="39">
        <v>15271</v>
      </c>
      <c r="I12" s="39">
        <v>7688</v>
      </c>
      <c r="J12" s="39">
        <v>7095</v>
      </c>
      <c r="K12" s="39">
        <v>9665</v>
      </c>
      <c r="L12" s="39">
        <v>1260</v>
      </c>
      <c r="M12" s="39">
        <v>5147</v>
      </c>
      <c r="N12" s="39">
        <v>6405</v>
      </c>
      <c r="O12" s="39">
        <v>98698</v>
      </c>
    </row>
    <row r="13" spans="2:15" ht="20.100000000000001" customHeight="1" x14ac:dyDescent="0.25">
      <c r="B13" s="38" t="s">
        <v>44</v>
      </c>
      <c r="C13" s="39">
        <v>32284</v>
      </c>
      <c r="D13" s="39">
        <v>17109</v>
      </c>
      <c r="E13" s="39">
        <v>22142</v>
      </c>
      <c r="F13" s="39">
        <v>24281</v>
      </c>
      <c r="G13" s="39">
        <v>28357</v>
      </c>
      <c r="H13" s="39">
        <v>14472</v>
      </c>
      <c r="I13" s="39">
        <v>10808</v>
      </c>
      <c r="J13" s="39">
        <v>6783</v>
      </c>
      <c r="K13" s="39">
        <v>17180</v>
      </c>
      <c r="L13" s="39">
        <v>15561</v>
      </c>
      <c r="M13" s="39">
        <v>29506</v>
      </c>
      <c r="N13" s="39">
        <v>19100</v>
      </c>
      <c r="O13" s="39">
        <v>237583</v>
      </c>
    </row>
    <row r="14" spans="2:15" ht="20.100000000000001" customHeight="1" x14ac:dyDescent="0.25">
      <c r="B14" s="12" t="s">
        <v>543</v>
      </c>
      <c r="C14" s="39">
        <v>72353</v>
      </c>
      <c r="D14" s="39">
        <v>51906</v>
      </c>
      <c r="E14" s="39">
        <v>55619</v>
      </c>
      <c r="F14" s="39">
        <v>41790</v>
      </c>
      <c r="G14" s="39">
        <v>62092</v>
      </c>
      <c r="H14" s="39">
        <v>41896</v>
      </c>
      <c r="I14" s="39">
        <v>34065</v>
      </c>
      <c r="J14" s="39">
        <v>32710</v>
      </c>
      <c r="K14" s="39">
        <v>42011</v>
      </c>
      <c r="L14" s="39">
        <v>46262</v>
      </c>
      <c r="M14" s="39">
        <v>48607</v>
      </c>
      <c r="N14" s="39">
        <v>55563</v>
      </c>
      <c r="O14" s="39">
        <v>584874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6" width="12.7109375" customWidth="1"/>
    <col min="17" max="17" width="2.85546875" customWidth="1"/>
    <col min="18" max="16384" width="9.140625" hidden="1"/>
  </cols>
  <sheetData>
    <row r="1" spans="2:16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2" t="s">
        <v>15</v>
      </c>
    </row>
    <row r="2" spans="2:16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ht="20.100000000000001" customHeight="1" x14ac:dyDescent="0.25"/>
    <row r="4" spans="2:16" ht="20.100000000000001" customHeight="1" x14ac:dyDescent="0.25">
      <c r="B4" s="37" t="s">
        <v>547</v>
      </c>
      <c r="C4" s="12">
        <v>2017</v>
      </c>
    </row>
    <row r="5" spans="2:16" ht="20.100000000000001" customHeight="1" x14ac:dyDescent="0.25"/>
    <row r="6" spans="2:16" ht="20.100000000000001" customHeight="1" x14ac:dyDescent="0.25">
      <c r="B6" s="37" t="s">
        <v>545</v>
      </c>
      <c r="C6" s="37" t="s">
        <v>544</v>
      </c>
    </row>
    <row r="7" spans="2:16" ht="20.100000000000001" customHeight="1" x14ac:dyDescent="0.25">
      <c r="C7">
        <v>0</v>
      </c>
      <c r="F7" t="s">
        <v>548</v>
      </c>
    </row>
    <row r="8" spans="2:16" ht="20.100000000000001" customHeight="1" x14ac:dyDescent="0.25">
      <c r="B8" s="37" t="s">
        <v>542</v>
      </c>
      <c r="C8">
        <v>9</v>
      </c>
      <c r="D8">
        <v>10</v>
      </c>
      <c r="E8">
        <v>12</v>
      </c>
    </row>
    <row r="9" spans="2:16" ht="20.100000000000001" customHeight="1" x14ac:dyDescent="0.25">
      <c r="B9" s="12" t="s">
        <v>43</v>
      </c>
      <c r="C9" s="41">
        <v>1565</v>
      </c>
      <c r="D9" s="41">
        <v>5873</v>
      </c>
      <c r="E9" s="41">
        <v>1967</v>
      </c>
      <c r="F9" s="41">
        <v>9405</v>
      </c>
    </row>
    <row r="10" spans="2:16" ht="20.100000000000001" customHeight="1" x14ac:dyDescent="0.25">
      <c r="B10" s="38" t="s">
        <v>31</v>
      </c>
      <c r="C10" s="41">
        <v>1565</v>
      </c>
      <c r="D10" s="41"/>
      <c r="E10" s="41"/>
      <c r="F10" s="41">
        <v>1565</v>
      </c>
    </row>
    <row r="11" spans="2:16" ht="20.100000000000001" customHeight="1" x14ac:dyDescent="0.25">
      <c r="B11" s="38" t="s">
        <v>32</v>
      </c>
      <c r="C11" s="41"/>
      <c r="D11" s="41">
        <v>5873</v>
      </c>
      <c r="E11" s="41"/>
      <c r="F11" s="41">
        <v>5873</v>
      </c>
    </row>
    <row r="12" spans="2:16" ht="20.100000000000001" customHeight="1" x14ac:dyDescent="0.25">
      <c r="B12" s="38" t="s">
        <v>44</v>
      </c>
      <c r="C12" s="41"/>
      <c r="D12" s="41"/>
      <c r="E12" s="41">
        <v>1967</v>
      </c>
      <c r="F12" s="41">
        <v>1967</v>
      </c>
    </row>
    <row r="13" spans="2:16" ht="20.100000000000001" customHeight="1" x14ac:dyDescent="0.25">
      <c r="B13" s="12" t="s">
        <v>543</v>
      </c>
      <c r="C13" s="41">
        <v>1565</v>
      </c>
      <c r="D13" s="41">
        <v>5873</v>
      </c>
      <c r="E13" s="41">
        <v>1967</v>
      </c>
      <c r="F13" s="41">
        <v>9405</v>
      </c>
    </row>
    <row r="14" spans="2:16" ht="20.100000000000001" customHeight="1" x14ac:dyDescent="0.25"/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6" width="12.7109375" customWidth="1"/>
    <col min="17" max="17" width="2.85546875" customWidth="1"/>
    <col min="18" max="16384" width="9.140625" hidden="1"/>
  </cols>
  <sheetData>
    <row r="1" spans="2:16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2" t="s">
        <v>16</v>
      </c>
    </row>
    <row r="2" spans="2:16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ht="20.100000000000001" customHeight="1" x14ac:dyDescent="0.25"/>
    <row r="4" spans="2:16" ht="20.100000000000001" customHeight="1" x14ac:dyDescent="0.25">
      <c r="B4" s="37" t="s">
        <v>547</v>
      </c>
      <c r="C4" s="12">
        <v>2017</v>
      </c>
    </row>
    <row r="5" spans="2:16" ht="20.100000000000001" customHeight="1" x14ac:dyDescent="0.25"/>
    <row r="6" spans="2:16" ht="20.100000000000001" customHeight="1" x14ac:dyDescent="0.25">
      <c r="B6" s="37" t="s">
        <v>545</v>
      </c>
      <c r="C6" s="37" t="s">
        <v>544</v>
      </c>
    </row>
    <row r="7" spans="2:16" ht="20.100000000000001" customHeight="1" x14ac:dyDescent="0.25"/>
    <row r="8" spans="2:16" ht="20.100000000000001" customHeight="1" x14ac:dyDescent="0.25">
      <c r="B8" s="37" t="s">
        <v>542</v>
      </c>
    </row>
    <row r="9" spans="2:16" ht="20.100000000000001" customHeight="1" x14ac:dyDescent="0.25">
      <c r="B9" s="12" t="s">
        <v>543</v>
      </c>
    </row>
    <row r="10" spans="2:16" ht="20.100000000000001" customHeight="1" x14ac:dyDescent="0.25"/>
    <row r="11" spans="2:16" ht="20.100000000000001" customHeight="1" x14ac:dyDescent="0.25"/>
    <row r="12" spans="2:16" ht="20.100000000000001" customHeight="1" x14ac:dyDescent="0.25"/>
    <row r="13" spans="2:16" ht="20.100000000000001" customHeight="1" x14ac:dyDescent="0.25"/>
    <row r="14" spans="2:16" ht="20.100000000000001" customHeight="1" x14ac:dyDescent="0.25"/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30.7109375" customWidth="1"/>
    <col min="3" max="16" width="12.7109375" customWidth="1"/>
    <col min="17" max="17" width="2.85546875" customWidth="1"/>
    <col min="18" max="16384" width="9.140625" hidden="1"/>
  </cols>
  <sheetData>
    <row r="1" spans="2:16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2" t="s">
        <v>16</v>
      </c>
    </row>
    <row r="2" spans="2:16" ht="76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6" ht="20.100000000000001" customHeight="1" x14ac:dyDescent="0.25"/>
    <row r="4" spans="2:16" ht="20.100000000000001" customHeight="1" x14ac:dyDescent="0.25">
      <c r="B4" s="37" t="s">
        <v>547</v>
      </c>
      <c r="C4" s="12">
        <v>2019</v>
      </c>
    </row>
    <row r="5" spans="2:16" ht="20.100000000000001" customHeight="1" x14ac:dyDescent="0.25"/>
    <row r="6" spans="2:16" ht="20.100000000000001" customHeight="1" x14ac:dyDescent="0.25">
      <c r="B6" s="37" t="s">
        <v>545</v>
      </c>
      <c r="C6" s="37" t="s">
        <v>544</v>
      </c>
    </row>
    <row r="7" spans="2:16" ht="20.100000000000001" customHeight="1" x14ac:dyDescent="0.25">
      <c r="C7" t="s">
        <v>550</v>
      </c>
      <c r="G7" t="s">
        <v>543</v>
      </c>
    </row>
    <row r="8" spans="2:16" ht="20.100000000000001" customHeight="1" x14ac:dyDescent="0.25">
      <c r="B8" s="37" t="s">
        <v>542</v>
      </c>
      <c r="C8">
        <v>1</v>
      </c>
      <c r="D8">
        <v>4</v>
      </c>
      <c r="E8">
        <v>5</v>
      </c>
      <c r="F8">
        <v>7</v>
      </c>
    </row>
    <row r="9" spans="2:16" ht="20.100000000000001" customHeight="1" x14ac:dyDescent="0.25">
      <c r="B9" s="12" t="s">
        <v>23</v>
      </c>
      <c r="C9" s="41">
        <v>483</v>
      </c>
      <c r="D9" s="41">
        <v>9418</v>
      </c>
      <c r="E9" s="41">
        <v>2015</v>
      </c>
      <c r="F9" s="41">
        <v>1987</v>
      </c>
      <c r="G9" s="41">
        <v>13903</v>
      </c>
    </row>
    <row r="10" spans="2:16" ht="20.100000000000001" customHeight="1" x14ac:dyDescent="0.25">
      <c r="B10" s="38" t="s">
        <v>30</v>
      </c>
      <c r="C10" s="41"/>
      <c r="D10" s="41">
        <v>3878</v>
      </c>
      <c r="E10" s="41"/>
      <c r="F10" s="41">
        <v>508</v>
      </c>
      <c r="G10" s="41">
        <v>4386</v>
      </c>
    </row>
    <row r="11" spans="2:16" ht="20.100000000000001" customHeight="1" x14ac:dyDescent="0.25">
      <c r="B11" s="38" t="s">
        <v>31</v>
      </c>
      <c r="C11" s="41"/>
      <c r="D11" s="41">
        <v>2388</v>
      </c>
      <c r="E11" s="41"/>
      <c r="F11" s="41"/>
      <c r="G11" s="41">
        <v>2388</v>
      </c>
    </row>
    <row r="12" spans="2:16" ht="20.100000000000001" customHeight="1" x14ac:dyDescent="0.25">
      <c r="B12" s="38" t="s">
        <v>34</v>
      </c>
      <c r="C12" s="41">
        <v>483</v>
      </c>
      <c r="D12" s="41"/>
      <c r="E12" s="41">
        <v>1348</v>
      </c>
      <c r="F12" s="41"/>
      <c r="G12" s="41">
        <v>1831</v>
      </c>
    </row>
    <row r="13" spans="2:16" ht="20.100000000000001" customHeight="1" x14ac:dyDescent="0.25">
      <c r="B13" s="38" t="s">
        <v>33</v>
      </c>
      <c r="C13" s="41"/>
      <c r="D13" s="41">
        <v>3152</v>
      </c>
      <c r="E13" s="41">
        <v>667</v>
      </c>
      <c r="F13" s="41">
        <v>1479</v>
      </c>
      <c r="G13" s="41">
        <v>5298</v>
      </c>
    </row>
    <row r="14" spans="2:16" ht="20.100000000000001" customHeight="1" x14ac:dyDescent="0.25">
      <c r="B14" s="12" t="s">
        <v>543</v>
      </c>
      <c r="C14" s="41">
        <v>483</v>
      </c>
      <c r="D14" s="41">
        <v>9418</v>
      </c>
      <c r="E14" s="41">
        <v>2015</v>
      </c>
      <c r="F14" s="41">
        <v>1987</v>
      </c>
      <c r="G14" s="41">
        <v>13903</v>
      </c>
    </row>
    <row r="15" spans="2:16" ht="20.100000000000001" customHeight="1" x14ac:dyDescent="0.25"/>
    <row r="16" spans="2:16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>
      <selection activeCell="B1" sqref="B1"/>
    </sheetView>
  </sheetViews>
  <sheetFormatPr defaultColWidth="0" defaultRowHeight="20.100000000000001" customHeight="1" x14ac:dyDescent="0.25"/>
  <cols>
    <col min="1" max="1" width="2.140625" style="43" customWidth="1"/>
    <col min="2" max="2" width="30.7109375" style="43" customWidth="1"/>
    <col min="3" max="3" width="1.7109375" style="43" customWidth="1"/>
    <col min="4" max="4" width="30.7109375" style="43" customWidth="1"/>
    <col min="5" max="5" width="5.7109375" style="43" customWidth="1"/>
    <col min="6" max="6" width="14.7109375" style="43" customWidth="1"/>
    <col min="7" max="7" width="17.85546875" style="43" customWidth="1"/>
    <col min="8" max="8" width="4.7109375" style="43" customWidth="1"/>
    <col min="9" max="9" width="34.42578125" style="43" customWidth="1"/>
    <col min="10" max="10" width="4.5703125" style="43" customWidth="1"/>
    <col min="11" max="11" width="37.7109375" style="43" customWidth="1"/>
    <col min="12" max="12" width="3" style="43" customWidth="1"/>
    <col min="13" max="15" width="9.140625" style="43" hidden="1" customWidth="1"/>
    <col min="16" max="17" width="0" style="43" hidden="1" customWidth="1"/>
    <col min="18" max="16384" width="9.140625" style="43" hidden="1"/>
  </cols>
  <sheetData>
    <row r="1" spans="1:11" customFormat="1" ht="39.950000000000003" customHeight="1" x14ac:dyDescent="0.25">
      <c r="A1" s="87" t="s">
        <v>565</v>
      </c>
      <c r="B1" s="88"/>
      <c r="C1" s="1"/>
      <c r="D1" s="1"/>
      <c r="E1" s="1"/>
      <c r="F1" s="1"/>
      <c r="G1" s="1"/>
      <c r="H1" s="1"/>
      <c r="I1" s="1"/>
      <c r="J1" s="1"/>
      <c r="K1" s="2" t="s">
        <v>17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139">
        <v>43829</v>
      </c>
    </row>
    <row r="3" spans="1:11" ht="15" x14ac:dyDescent="0.25"/>
    <row r="4" spans="1:11" ht="18" customHeight="1" x14ac:dyDescent="0.25">
      <c r="B4" s="42" t="s">
        <v>552</v>
      </c>
      <c r="D4" s="44" t="s">
        <v>553</v>
      </c>
      <c r="F4" s="61"/>
      <c r="G4" s="46"/>
      <c r="H4" s="46"/>
      <c r="I4" s="47" t="s">
        <v>554</v>
      </c>
      <c r="J4" s="46"/>
      <c r="K4" s="48" t="s">
        <v>34</v>
      </c>
    </row>
    <row r="5" spans="1:11" ht="24.95" customHeight="1" x14ac:dyDescent="0.25">
      <c r="B5" s="124">
        <f>DashBoardFinanceiroAtualD!C11</f>
        <v>-3097</v>
      </c>
      <c r="D5" s="127" t="s">
        <v>605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2" t="s">
        <v>555</v>
      </c>
      <c r="D7" s="135"/>
      <c r="F7" s="49"/>
      <c r="G7" s="50"/>
      <c r="H7" s="50"/>
      <c r="I7" s="51"/>
      <c r="J7" s="51"/>
      <c r="K7" s="54" t="s">
        <v>556</v>
      </c>
    </row>
    <row r="8" spans="1:11" ht="24.95" customHeight="1" x14ac:dyDescent="0.25">
      <c r="B8" s="125">
        <f>DashBoardFinanceiroAtualD!D13</f>
        <v>12009</v>
      </c>
      <c r="D8" s="136"/>
      <c r="F8" s="49"/>
      <c r="G8" s="50"/>
      <c r="H8" s="50"/>
      <c r="I8" s="51"/>
      <c r="J8" s="51"/>
      <c r="K8" s="128">
        <f>SUM(DashBoardFinanceiroAtualD!J5:J16)</f>
        <v>4773</v>
      </c>
    </row>
    <row r="9" spans="1:11" ht="5.25" customHeight="1" x14ac:dyDescent="0.25">
      <c r="F9" s="49"/>
      <c r="G9" s="50"/>
      <c r="H9" s="50"/>
      <c r="I9" s="51"/>
      <c r="J9" s="51"/>
      <c r="K9" s="55"/>
    </row>
    <row r="10" spans="1:11" ht="18" customHeight="1" x14ac:dyDescent="0.25">
      <c r="B10" s="42" t="s">
        <v>557</v>
      </c>
      <c r="D10" s="135"/>
      <c r="F10" s="49"/>
      <c r="G10" s="50"/>
      <c r="H10" s="50"/>
      <c r="I10" s="51"/>
      <c r="J10" s="51"/>
      <c r="K10" s="55"/>
    </row>
    <row r="11" spans="1:11" ht="24.95" customHeight="1" x14ac:dyDescent="0.25">
      <c r="B11" s="126">
        <f>DashBoardFinanceiroAtualD!D14</f>
        <v>14673</v>
      </c>
      <c r="D11" s="136"/>
      <c r="F11" s="56"/>
      <c r="G11" s="57"/>
      <c r="H11" s="57"/>
      <c r="I11" s="58"/>
      <c r="J11" s="58"/>
      <c r="K11" s="59"/>
    </row>
    <row r="12" spans="1:11" ht="11.25" customHeight="1" x14ac:dyDescent="0.25">
      <c r="F12" s="60"/>
      <c r="G12" s="60"/>
      <c r="H12" s="60"/>
    </row>
    <row r="13" spans="1:11" ht="20.100000000000001" customHeight="1" x14ac:dyDescent="0.25">
      <c r="B13" s="132" t="s">
        <v>558</v>
      </c>
      <c r="C13" s="133"/>
      <c r="D13" s="134"/>
      <c r="F13" s="132" t="s">
        <v>559</v>
      </c>
      <c r="G13" s="134"/>
      <c r="H13" s="60"/>
      <c r="I13" s="62" t="s">
        <v>560</v>
      </c>
      <c r="K13" s="63" t="s">
        <v>561</v>
      </c>
    </row>
    <row r="14" spans="1:11" ht="20.100000000000001" customHeight="1" x14ac:dyDescent="0.25">
      <c r="B14" s="64"/>
      <c r="C14" s="65"/>
      <c r="D14" s="66"/>
      <c r="F14" s="64" t="s">
        <v>562</v>
      </c>
      <c r="G14" s="67" t="s">
        <v>563</v>
      </c>
      <c r="H14" s="60"/>
      <c r="I14" s="68">
        <f>DashBoardFinanceiroAtualD!E32</f>
        <v>-39131</v>
      </c>
      <c r="K14" s="138" t="s">
        <v>34</v>
      </c>
    </row>
    <row r="15" spans="1:11" ht="15.95" customHeight="1" x14ac:dyDescent="0.25">
      <c r="B15" s="64"/>
      <c r="C15" s="51"/>
      <c r="D15" s="66"/>
      <c r="F15" s="69"/>
      <c r="G15" s="70"/>
      <c r="H15" s="60"/>
      <c r="I15" s="71"/>
      <c r="K15" s="72">
        <f>DashBoardFinanceiroAtualD!H44</f>
        <v>40318</v>
      </c>
    </row>
    <row r="16" spans="1:11" ht="20.100000000000001" customHeight="1" x14ac:dyDescent="0.25">
      <c r="B16" s="73">
        <f>DashBoardFinanceiroAtualD!E22</f>
        <v>130659</v>
      </c>
      <c r="C16" s="51"/>
      <c r="D16" s="66"/>
      <c r="F16" s="74">
        <f ca="1">DashBoardFinanceiroAtualD!E27</f>
        <v>455.63333544936756</v>
      </c>
      <c r="G16" s="75">
        <f ca="1">DashBoardFinanceiroAtualD!J27</f>
        <v>351.96063975176094</v>
      </c>
      <c r="H16" s="60"/>
      <c r="I16" s="71"/>
      <c r="K16" s="76"/>
    </row>
    <row r="17" spans="2:11" ht="15.95" customHeight="1" x14ac:dyDescent="0.25">
      <c r="B17" s="73"/>
      <c r="C17" s="51"/>
      <c r="D17" s="66"/>
      <c r="F17" s="77"/>
      <c r="G17" s="70"/>
      <c r="H17" s="60"/>
      <c r="I17" s="71"/>
      <c r="K17" s="76"/>
    </row>
    <row r="18" spans="2:11" ht="20.100000000000001" customHeight="1" x14ac:dyDescent="0.25">
      <c r="B18" s="64"/>
      <c r="C18" s="51"/>
      <c r="D18" s="66"/>
      <c r="F18" s="78" t="s">
        <v>564</v>
      </c>
      <c r="G18" s="79" t="s">
        <v>564</v>
      </c>
      <c r="H18" s="60"/>
      <c r="I18" s="71"/>
      <c r="K18" s="76"/>
    </row>
    <row r="19" spans="2:11" ht="20.100000000000001" customHeight="1" x14ac:dyDescent="0.25">
      <c r="B19" s="80"/>
      <c r="C19" s="81"/>
      <c r="D19" s="82"/>
      <c r="F19" s="83"/>
      <c r="G19" s="84"/>
      <c r="H19" s="60"/>
      <c r="I19" s="85"/>
      <c r="K19" s="86"/>
    </row>
    <row r="20" spans="2:11" ht="20.100000000000001" customHeight="1" x14ac:dyDescent="0.25">
      <c r="F20" s="60"/>
      <c r="G20" s="60"/>
      <c r="H20" s="60"/>
    </row>
    <row r="21" spans="2:11" ht="20.100000000000001" customHeight="1" x14ac:dyDescent="0.25">
      <c r="B21" s="90"/>
      <c r="C21" s="90"/>
      <c r="D21" s="90"/>
      <c r="E21" s="90"/>
      <c r="F21" s="90"/>
      <c r="G21" s="90"/>
      <c r="H21" s="90"/>
      <c r="I21" s="90"/>
      <c r="J21" s="90"/>
      <c r="K21" s="90"/>
    </row>
    <row r="27" spans="2:11" ht="15" x14ac:dyDescent="0.25">
      <c r="D27" s="91"/>
    </row>
    <row r="30" spans="2:11" ht="15" x14ac:dyDescent="0.25">
      <c r="C30" s="91"/>
    </row>
  </sheetData>
  <mergeCells count="4">
    <mergeCell ref="D7:D8"/>
    <mergeCell ref="D10:D11"/>
    <mergeCell ref="B13:D13"/>
    <mergeCell ref="F13:G13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lista." promptTitle="Plano de contas nível" prompt="Favor selecionar um plano de contas nível 2 da lista." sqref="K14">
      <formula1>PCSaídasN2_2</formula1>
    </dataValidation>
    <dataValidation type="list" allowBlank="1" showInputMessage="1" showErrorMessage="1" errorTitle="Conta Inexisente!" error="Selecione um item da lista." promptTitle="Plano de contas nível" prompt="Favor selecionar um plano de contas nível 2 da lista." sqref="K4">
      <formula1>PCEntradasN2_2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DashBoardFinanceiroAtualD!H5:H16</xm:f>
              <xm:sqref>D10</xm:sqref>
            </x14:sparkline>
          </x14:sparklines>
        </x14:sparklineGroup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DashBoardFinanceiroAtualD!G5:G16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>
      <selection activeCell="D14" sqref="D14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2"/>
      <c r="B1" s="93" t="s">
        <v>566</v>
      </c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92"/>
      <c r="B3" s="92"/>
      <c r="C3" s="92"/>
      <c r="D3" s="92"/>
      <c r="E3" s="92"/>
      <c r="F3" s="94" t="s">
        <v>567</v>
      </c>
      <c r="G3" s="92"/>
      <c r="H3" s="92"/>
      <c r="I3" s="92"/>
      <c r="J3" s="94" t="s">
        <v>568</v>
      </c>
      <c r="K3" s="95" t="s">
        <v>569</v>
      </c>
      <c r="L3" s="96">
        <f>C4</f>
        <v>2019</v>
      </c>
    </row>
    <row r="4" spans="1:12" x14ac:dyDescent="0.25">
      <c r="A4" s="92"/>
      <c r="B4" s="95" t="s">
        <v>570</v>
      </c>
      <c r="C4" s="97">
        <f>YEAR(DashBoardFinanceiroAtual!K2)</f>
        <v>2019</v>
      </c>
      <c r="D4" s="92"/>
      <c r="E4" s="92"/>
      <c r="F4" s="98" t="s">
        <v>571</v>
      </c>
      <c r="G4" s="99" t="s">
        <v>572</v>
      </c>
      <c r="H4" s="98" t="s">
        <v>573</v>
      </c>
      <c r="I4" s="92"/>
      <c r="J4" s="100" t="str">
        <f>DashBoardFinanceiroAtual!K4</f>
        <v>Som e imagem</v>
      </c>
      <c r="K4" s="98" t="s">
        <v>574</v>
      </c>
      <c r="L4" s="98" t="s">
        <v>571</v>
      </c>
    </row>
    <row r="5" spans="1:12" x14ac:dyDescent="0.25">
      <c r="A5" s="92"/>
      <c r="B5" s="95" t="s">
        <v>608</v>
      </c>
      <c r="C5" s="140">
        <f>DashBoardFinanceiroAtual!K2</f>
        <v>43829</v>
      </c>
      <c r="D5" s="92"/>
      <c r="E5" s="92"/>
      <c r="F5" s="101">
        <v>1</v>
      </c>
      <c r="G5" s="102">
        <f>SUMIFS(TbRegistrosSaídas[Valor],TbRegistrosSaídas[Ano Caixa],0,TbRegistrosSaídas[Ano Previsto],$C$4,TbRegistrosSaídas[Mês Previsto],$F5,TbRegistrosSaídas[Data do Caixa Previsto],"&lt;="&amp;C5)</f>
        <v>5159</v>
      </c>
      <c r="H5" s="102">
        <f>SUMIFS(TbRegistrosEntradas[Valor],TbRegistrosEntradas[Ano Caixa],0,TbRegistrosEntradas[Ano Previsto],$C$4,TbRegistrosEntradas[Mês Previsto],$F5,TbRegistrosEntradas[Data do Caixa Previsto],"&lt;="&amp;C5)</f>
        <v>483</v>
      </c>
      <c r="I5" s="92"/>
      <c r="J5" s="102">
        <f>SUMIFS(TbRegistrosEntradas[Valor],TbRegistrosEntradas[Ano Competência],$L$3,TbRegistrosEntradas[Conta Nível 2],$J$4,TbRegistrosEntradas[Mês Competência],F5,TbRegistrosEntradas[Data da Competência],"&lt;="&amp;C5)</f>
        <v>2564</v>
      </c>
      <c r="K5" s="102">
        <f>IF(J5=0,NA(),J5)</f>
        <v>2564</v>
      </c>
      <c r="L5" s="103" t="s">
        <v>575</v>
      </c>
    </row>
    <row r="6" spans="1:12" x14ac:dyDescent="0.25">
      <c r="A6" s="92"/>
      <c r="B6" s="92"/>
      <c r="C6" s="92"/>
      <c r="D6" s="92"/>
      <c r="E6" s="92"/>
      <c r="F6" s="92">
        <v>2</v>
      </c>
      <c r="G6" s="104">
        <f>SUMIFS(TbRegistrosSaídas[Valor],TbRegistrosSaídas[Ano Caixa],0,TbRegistrosSaídas[Ano Previsto],$C$4,TbRegistrosSaídas[Mês Previsto],$F6,TbRegistrosSaídas[Data do Caixa Previsto],"&lt;="&amp;C6)</f>
        <v>0</v>
      </c>
      <c r="H6" s="104">
        <f>SUMIFS(TbRegistrosEntradas[Valor],TbRegistrosEntradas[Ano Caixa],0,TbRegistrosEntradas[Ano Previsto],$C$4,TbRegistrosEntradas[Mês Previsto],$F6,TbRegistrosEntradas[Data do Caixa Previsto],"&lt;="&amp;C6)</f>
        <v>0</v>
      </c>
      <c r="I6" s="92"/>
      <c r="J6" s="104">
        <f>SUMIFS(TbRegistrosEntradas[Valor],TbRegistrosEntradas[Ano Competência],$L$3,TbRegistrosEntradas[Conta Nível 2],$J$4,TbRegistrosEntradas[Mês Competência],F6,TbRegistrosEntradas[Data da Competência],"&lt;="&amp;C6)</f>
        <v>0</v>
      </c>
      <c r="K6" s="104" t="e">
        <f t="shared" ref="K6:K16" si="0">IF(J6=0,NA(),J6)</f>
        <v>#N/A</v>
      </c>
      <c r="L6" s="95" t="s">
        <v>576</v>
      </c>
    </row>
    <row r="7" spans="1:12" x14ac:dyDescent="0.25">
      <c r="A7" s="92"/>
      <c r="B7" s="94" t="s">
        <v>577</v>
      </c>
      <c r="C7" s="92"/>
      <c r="D7" s="92"/>
      <c r="E7" s="92"/>
      <c r="F7" s="92">
        <v>3</v>
      </c>
      <c r="G7" s="104">
        <f>SUMIFS(TbRegistrosSaídas[Valor],TbRegistrosSaídas[Ano Caixa],0,TbRegistrosSaídas[Ano Previsto],$C$4,TbRegistrosSaídas[Mês Previsto],$F7,TbRegistrosSaídas[Data do Caixa Previsto],"&lt;="&amp;C7)</f>
        <v>0</v>
      </c>
      <c r="H7" s="104">
        <f>SUMIFS(TbRegistrosEntradas[Valor],TbRegistrosEntradas[Ano Caixa],0,TbRegistrosEntradas[Ano Previsto],$C$4,TbRegistrosEntradas[Mês Previsto],$F7,TbRegistrosEntradas[Data do Caixa Previsto],"&lt;="&amp;C7)</f>
        <v>0</v>
      </c>
      <c r="I7" s="92"/>
      <c r="J7" s="104">
        <f>SUMIFS(TbRegistrosEntradas[Valor],TbRegistrosEntradas[Ano Competência],$L$3,TbRegistrosEntradas[Conta Nível 2],$J$4,TbRegistrosEntradas[Mês Competência],F7,TbRegistrosEntradas[Data da Competência],"&lt;="&amp;C7)</f>
        <v>0</v>
      </c>
      <c r="K7" s="104" t="e">
        <f t="shared" si="0"/>
        <v>#N/A</v>
      </c>
      <c r="L7" s="95" t="s">
        <v>578</v>
      </c>
    </row>
    <row r="8" spans="1:12" x14ac:dyDescent="0.25">
      <c r="A8" s="92"/>
      <c r="B8" s="101" t="s">
        <v>604</v>
      </c>
      <c r="C8" s="105">
        <f>SUMIFS(TbRegistrosEntradas[Valor],TbRegistrosEntradas[Ano Caixa],"&lt;&gt;0",TbRegistrosEntradas[Ano Caixa],"&lt;"&amp;C4)-SUMIFS(TbRegistrosSaídas[Valor],TbRegistrosSaídas[Ano Caixa],"&lt;&gt;0",TbRegistrosSaídas[Ano Caixa],"&lt;"&amp;C4)</f>
        <v>14746</v>
      </c>
      <c r="D8" s="92"/>
      <c r="E8" s="92"/>
      <c r="F8" s="92">
        <v>4</v>
      </c>
      <c r="G8" s="104">
        <f>SUMIFS(TbRegistrosSaídas[Valor],TbRegistrosSaídas[Ano Caixa],0,TbRegistrosSaídas[Ano Previsto],$C$4,TbRegistrosSaídas[Mês Previsto],$F8,TbRegistrosSaídas[Data do Caixa Previsto],"&lt;="&amp;C8)</f>
        <v>0</v>
      </c>
      <c r="H8" s="104">
        <f>SUMIFS(TbRegistrosEntradas[Valor],TbRegistrosEntradas[Ano Caixa],0,TbRegistrosEntradas[Ano Previsto],$C$4,TbRegistrosEntradas[Mês Previsto],$F8,TbRegistrosEntradas[Data do Caixa Previsto],"&lt;="&amp;C8)</f>
        <v>0</v>
      </c>
      <c r="I8" s="92"/>
      <c r="J8" s="104">
        <f>SUMIFS(TbRegistrosEntradas[Valor],TbRegistrosEntradas[Ano Competência],$L$3,TbRegistrosEntradas[Conta Nível 2],$J$4,TbRegistrosEntradas[Mês Competência],F8,TbRegistrosEntradas[Data da Competência],"&lt;="&amp;C8)</f>
        <v>0</v>
      </c>
      <c r="K8" s="104" t="e">
        <f t="shared" si="0"/>
        <v>#N/A</v>
      </c>
      <c r="L8" s="95" t="s">
        <v>580</v>
      </c>
    </row>
    <row r="9" spans="1:12" x14ac:dyDescent="0.25">
      <c r="A9" s="92"/>
      <c r="B9" s="92" t="s">
        <v>579</v>
      </c>
      <c r="C9" s="106">
        <f>SUMIFS(TbRegistrosEntradas[Valor],TbRegistrosEntradas[Ano Caixa],"&lt;&gt;0",TbRegistrosEntradas[Ano Caixa],C4,TbRegistrosEntradas[Data do Caixa Realizado],"&lt;="&amp;C5)</f>
        <v>161998</v>
      </c>
      <c r="D9" s="92"/>
      <c r="E9" s="92"/>
      <c r="F9" s="92">
        <v>5</v>
      </c>
      <c r="G9" s="104">
        <f>SUMIFS(TbRegistrosSaídas[Valor],TbRegistrosSaídas[Ano Caixa],0,TbRegistrosSaídas[Ano Previsto],$C$4,TbRegistrosSaídas[Mês Previsto],$F9,TbRegistrosSaídas[Data do Caixa Previsto],"&lt;="&amp;C9)</f>
        <v>0</v>
      </c>
      <c r="H9" s="104">
        <f>SUMIFS(TbRegistrosEntradas[Valor],TbRegistrosEntradas[Ano Caixa],0,TbRegistrosEntradas[Ano Previsto],$C$4,TbRegistrosEntradas[Mês Previsto],$F9,TbRegistrosEntradas[Data do Caixa Previsto],"&lt;="&amp;C9)</f>
        <v>2015</v>
      </c>
      <c r="I9" s="92"/>
      <c r="J9" s="104">
        <f>SUMIFS(TbRegistrosEntradas[Valor],TbRegistrosEntradas[Ano Competência],$L$3,TbRegistrosEntradas[Conta Nível 2],$J$4,TbRegistrosEntradas[Mês Competência],F9,TbRegistrosEntradas[Data da Competência],"&lt;="&amp;C9)</f>
        <v>1654</v>
      </c>
      <c r="K9" s="104">
        <f t="shared" si="0"/>
        <v>1654</v>
      </c>
      <c r="L9" s="95" t="s">
        <v>582</v>
      </c>
    </row>
    <row r="10" spans="1:12" x14ac:dyDescent="0.25">
      <c r="A10" s="92"/>
      <c r="B10" s="92" t="s">
        <v>581</v>
      </c>
      <c r="C10" s="106">
        <f>SUMIFS(TbRegistrosSaídas[Valor],TbRegistrosSaídas[Ano Caixa],"&lt;&gt;0",TbRegistrosSaídas[Ano Caixa],C4,TbRegistrosSaídas[Data do Caixa Realizado],"&lt;="&amp;C5)</f>
        <v>179841</v>
      </c>
      <c r="D10" s="92"/>
      <c r="E10" s="92"/>
      <c r="F10" s="92">
        <v>6</v>
      </c>
      <c r="G10" s="104">
        <f>SUMIFS(TbRegistrosSaídas[Valor],TbRegistrosSaídas[Ano Caixa],0,TbRegistrosSaídas[Ano Previsto],$C$4,TbRegistrosSaídas[Mês Previsto],$F10,TbRegistrosSaídas[Data do Caixa Previsto],"&lt;="&amp;C10)</f>
        <v>0</v>
      </c>
      <c r="H10" s="104">
        <f>SUMIFS(TbRegistrosEntradas[Valor],TbRegistrosEntradas[Ano Caixa],0,TbRegistrosEntradas[Ano Previsto],$C$4,TbRegistrosEntradas[Mês Previsto],$F10,TbRegistrosEntradas[Data do Caixa Previsto],"&lt;="&amp;C10)</f>
        <v>770</v>
      </c>
      <c r="I10" s="92"/>
      <c r="J10" s="104">
        <f>SUMIFS(TbRegistrosEntradas[Valor],TbRegistrosEntradas[Ano Competência],$L$3,TbRegistrosEntradas[Conta Nível 2],$J$4,TbRegistrosEntradas[Mês Competência],F10,TbRegistrosEntradas[Data da Competência],"&lt;="&amp;C10)</f>
        <v>555</v>
      </c>
      <c r="K10" s="104">
        <f t="shared" si="0"/>
        <v>555</v>
      </c>
      <c r="L10" s="95" t="s">
        <v>584</v>
      </c>
    </row>
    <row r="11" spans="1:12" x14ac:dyDescent="0.25">
      <c r="A11" s="92"/>
      <c r="B11" s="107" t="s">
        <v>583</v>
      </c>
      <c r="C11" s="108">
        <f>C8+C9-C10</f>
        <v>-3097</v>
      </c>
      <c r="D11" s="92"/>
      <c r="E11" s="92"/>
      <c r="F11" s="92">
        <v>7</v>
      </c>
      <c r="G11" s="104">
        <f>SUMIFS(TbRegistrosSaídas[Valor],TbRegistrosSaídas[Ano Caixa],0,TbRegistrosSaídas[Ano Previsto],$C$4,TbRegistrosSaídas[Mês Previsto],$F11,TbRegistrosSaídas[Data do Caixa Previsto],"&lt;="&amp;C11)</f>
        <v>0</v>
      </c>
      <c r="H11" s="104">
        <f>SUMIFS(TbRegistrosEntradas[Valor],TbRegistrosEntradas[Ano Caixa],0,TbRegistrosEntradas[Ano Previsto],$C$4,TbRegistrosEntradas[Mês Previsto],$F11,TbRegistrosEntradas[Data do Caixa Previsto],"&lt;="&amp;C11)</f>
        <v>0</v>
      </c>
      <c r="I11" s="92"/>
      <c r="J11" s="104">
        <f>SUMIFS(TbRegistrosEntradas[Valor],TbRegistrosEntradas[Ano Competência],$L$3,TbRegistrosEntradas[Conta Nível 2],$J$4,TbRegistrosEntradas[Mês Competência],F11,TbRegistrosEntradas[Data da Competência],"&lt;="&amp;C11)</f>
        <v>0</v>
      </c>
      <c r="K11" s="104" t="e">
        <f t="shared" si="0"/>
        <v>#N/A</v>
      </c>
      <c r="L11" s="95" t="s">
        <v>585</v>
      </c>
    </row>
    <row r="12" spans="1:12" x14ac:dyDescent="0.25">
      <c r="A12" s="92"/>
      <c r="B12" s="92"/>
      <c r="C12" s="92"/>
      <c r="D12" s="92"/>
      <c r="E12" s="92"/>
      <c r="F12" s="92">
        <v>8</v>
      </c>
      <c r="G12" s="104">
        <f>SUMIFS(TbRegistrosSaídas[Valor],TbRegistrosSaídas[Ano Caixa],0,TbRegistrosSaídas[Ano Previsto],$C$4,TbRegistrosSaídas[Mês Previsto],$F12,TbRegistrosSaídas[Data do Caixa Previsto],"&lt;="&amp;C12)</f>
        <v>0</v>
      </c>
      <c r="H12" s="104">
        <f>SUMIFS(TbRegistrosEntradas[Valor],TbRegistrosEntradas[Ano Caixa],0,TbRegistrosEntradas[Ano Previsto],$C$4,TbRegistrosEntradas[Mês Previsto],$F12,TbRegistrosEntradas[Data do Caixa Previsto],"&lt;="&amp;C12)</f>
        <v>0</v>
      </c>
      <c r="I12" s="92"/>
      <c r="J12" s="104">
        <f>SUMIFS(TbRegistrosEntradas[Valor],TbRegistrosEntradas[Ano Competência],$L$3,TbRegistrosEntradas[Conta Nível 2],$J$4,TbRegistrosEntradas[Mês Competência],F12,TbRegistrosEntradas[Data da Competência],"&lt;="&amp;C12)</f>
        <v>0</v>
      </c>
      <c r="K12" s="104" t="e">
        <f t="shared" si="0"/>
        <v>#N/A</v>
      </c>
      <c r="L12" s="95" t="s">
        <v>587</v>
      </c>
    </row>
    <row r="13" spans="1:12" x14ac:dyDescent="0.25">
      <c r="A13" s="92"/>
      <c r="B13" s="109" t="s">
        <v>586</v>
      </c>
      <c r="C13" s="109"/>
      <c r="D13" s="105">
        <f>SUMIFS(TbRegistrosSaídas[Valor],TbRegistrosSaídas[Ano Caixa],0,TbRegistrosSaídas[Ano Previsto],C4,TbRegistrosSaídas[Data do Caixa Previsto],"&lt;="&amp;C5)</f>
        <v>12009</v>
      </c>
      <c r="E13" s="92"/>
      <c r="F13" s="92">
        <v>9</v>
      </c>
      <c r="G13" s="104">
        <f>SUMIFS(TbRegistrosSaídas[Valor],TbRegistrosSaídas[Ano Caixa],0,TbRegistrosSaídas[Ano Previsto],$C$4,TbRegistrosSaídas[Mês Previsto],$F13,TbRegistrosSaídas[Data do Caixa Previsto],"&lt;="&amp;C13)</f>
        <v>0</v>
      </c>
      <c r="H13" s="104">
        <f>SUMIFS(TbRegistrosEntradas[Valor],TbRegistrosEntradas[Ano Caixa],0,TbRegistrosEntradas[Ano Previsto],$C$4,TbRegistrosEntradas[Mês Previsto],$F13,TbRegistrosEntradas[Data do Caixa Previsto],"&lt;="&amp;C13)</f>
        <v>0</v>
      </c>
      <c r="I13" s="92"/>
      <c r="J13" s="104">
        <f>SUMIFS(TbRegistrosEntradas[Valor],TbRegistrosEntradas[Ano Competência],$L$3,TbRegistrosEntradas[Conta Nível 2],$J$4,TbRegistrosEntradas[Mês Competência],F13,TbRegistrosEntradas[Data da Competência],"&lt;="&amp;C13)</f>
        <v>0</v>
      </c>
      <c r="K13" s="104" t="e">
        <f t="shared" si="0"/>
        <v>#N/A</v>
      </c>
      <c r="L13" s="95" t="s">
        <v>589</v>
      </c>
    </row>
    <row r="14" spans="1:12" x14ac:dyDescent="0.25">
      <c r="A14" s="92"/>
      <c r="B14" s="110" t="s">
        <v>588</v>
      </c>
      <c r="C14" s="110"/>
      <c r="D14" s="111">
        <f>SUMIFS(TbRegistrosEntradas[Valor],TbRegistrosEntradas[Ano Caixa],0,TbRegistrosEntradas[Ano Previsto],C4,TbRegistrosEntradas[Data do Caixa Previsto],"&lt;="&amp;C5)</f>
        <v>14673</v>
      </c>
      <c r="E14" s="92"/>
      <c r="F14" s="92">
        <v>10</v>
      </c>
      <c r="G14" s="104">
        <f>SUMIFS(TbRegistrosSaídas[Valor],TbRegistrosSaídas[Ano Caixa],0,TbRegistrosSaídas[Ano Previsto],$C$4,TbRegistrosSaídas[Mês Previsto],$F14,TbRegistrosSaídas[Data do Caixa Previsto],"&lt;="&amp;C14)</f>
        <v>0</v>
      </c>
      <c r="H14" s="104">
        <f>SUMIFS(TbRegistrosEntradas[Valor],TbRegistrosEntradas[Ano Caixa],0,TbRegistrosEntradas[Ano Previsto],$C$4,TbRegistrosEntradas[Mês Previsto],$F14,TbRegistrosEntradas[Data do Caixa Previsto],"&lt;="&amp;C14)</f>
        <v>0</v>
      </c>
      <c r="I14" s="92"/>
      <c r="J14" s="104">
        <f>SUMIFS(TbRegistrosEntradas[Valor],TbRegistrosEntradas[Ano Competência],$L$3,TbRegistrosEntradas[Conta Nível 2],$J$4,TbRegistrosEntradas[Mês Competência],F14,TbRegistrosEntradas[Data da Competência],"&lt;="&amp;C14)</f>
        <v>0</v>
      </c>
      <c r="K14" s="104" t="e">
        <f t="shared" si="0"/>
        <v>#N/A</v>
      </c>
      <c r="L14" s="95" t="s">
        <v>590</v>
      </c>
    </row>
    <row r="15" spans="1:12" x14ac:dyDescent="0.25">
      <c r="A15" s="92"/>
      <c r="B15" s="92"/>
      <c r="C15" s="92"/>
      <c r="D15" s="92"/>
      <c r="E15" s="92"/>
      <c r="F15" s="92">
        <v>11</v>
      </c>
      <c r="G15" s="104">
        <f>SUMIFS(TbRegistrosSaídas[Valor],TbRegistrosSaídas[Ano Caixa],0,TbRegistrosSaídas[Ano Previsto],$C$4,TbRegistrosSaídas[Mês Previsto],$F15,TbRegistrosSaídas[Data do Caixa Previsto],"&lt;="&amp;C15)</f>
        <v>0</v>
      </c>
      <c r="H15" s="104">
        <f>SUMIFS(TbRegistrosEntradas[Valor],TbRegistrosEntradas[Ano Caixa],0,TbRegistrosEntradas[Ano Previsto],$C$4,TbRegistrosEntradas[Mês Previsto],$F15,TbRegistrosEntradas[Data do Caixa Previsto],"&lt;="&amp;C15)</f>
        <v>0</v>
      </c>
      <c r="I15" s="92"/>
      <c r="J15" s="104">
        <f>SUMIFS(TbRegistrosEntradas[Valor],TbRegistrosEntradas[Ano Competência],$L$3,TbRegistrosEntradas[Conta Nível 2],$J$4,TbRegistrosEntradas[Mês Competência],F15,TbRegistrosEntradas[Data da Competência],"&lt;="&amp;C15)</f>
        <v>0</v>
      </c>
      <c r="K15" s="104" t="e">
        <f t="shared" si="0"/>
        <v>#N/A</v>
      </c>
      <c r="L15" s="95" t="s">
        <v>591</v>
      </c>
    </row>
    <row r="16" spans="1:12" x14ac:dyDescent="0.25">
      <c r="A16" s="92"/>
      <c r="B16" s="92"/>
      <c r="C16" s="92"/>
      <c r="D16" s="92"/>
      <c r="E16" s="92"/>
      <c r="F16" s="107">
        <v>12</v>
      </c>
      <c r="G16" s="112">
        <f>SUMIFS(TbRegistrosSaídas[Valor],TbRegistrosSaídas[Ano Caixa],0,TbRegistrosSaídas[Ano Previsto],$C$4,TbRegistrosSaídas[Mês Previsto],$F16,TbRegistrosSaídas[Data do Caixa Previsto],"&lt;="&amp;C16)</f>
        <v>0</v>
      </c>
      <c r="H16" s="112">
        <f>SUMIFS(TbRegistrosEntradas[Valor],TbRegistrosEntradas[Ano Caixa],0,TbRegistrosEntradas[Ano Previsto],$C$4,TbRegistrosEntradas[Mês Previsto],$F16,TbRegistrosEntradas[Data do Caixa Previsto],"&lt;="&amp;C16)</f>
        <v>0</v>
      </c>
      <c r="I16" s="92"/>
      <c r="J16" s="112">
        <f>SUMIFS(TbRegistrosEntradas[Valor],TbRegistrosEntradas[Ano Competência],$L$3,TbRegistrosEntradas[Conta Nível 2],$J$4,TbRegistrosEntradas[Mês Competência],F16,TbRegistrosEntradas[Data da Competência],"&lt;="&amp;C16)</f>
        <v>0</v>
      </c>
      <c r="K16" s="112" t="e">
        <f t="shared" si="0"/>
        <v>#N/A</v>
      </c>
      <c r="L16" s="113" t="s">
        <v>592</v>
      </c>
    </row>
    <row r="17" spans="1:12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25">
      <c r="A20" s="92"/>
      <c r="B20" s="94" t="s">
        <v>593</v>
      </c>
      <c r="C20" s="92"/>
      <c r="D20" s="92"/>
      <c r="E20" s="114"/>
      <c r="F20" s="92"/>
      <c r="G20" s="92"/>
      <c r="H20" s="92"/>
      <c r="I20" s="92"/>
      <c r="J20" s="92"/>
      <c r="K20" s="92"/>
      <c r="L20" s="92"/>
    </row>
    <row r="21" spans="1:12" x14ac:dyDescent="0.25">
      <c r="A21" s="92"/>
      <c r="B21" s="98" t="s">
        <v>594</v>
      </c>
      <c r="C21" s="99" t="s">
        <v>595</v>
      </c>
      <c r="D21" s="99" t="s">
        <v>596</v>
      </c>
      <c r="E21" s="99" t="s">
        <v>556</v>
      </c>
      <c r="F21" s="92"/>
      <c r="G21" s="92"/>
      <c r="H21" s="92"/>
      <c r="I21" s="92"/>
      <c r="J21" s="92"/>
      <c r="K21" s="92"/>
      <c r="L21" s="92"/>
    </row>
    <row r="22" spans="1:12" x14ac:dyDescent="0.25">
      <c r="A22" s="92"/>
      <c r="B22" s="115">
        <f>C4</f>
        <v>2019</v>
      </c>
      <c r="C22" s="116">
        <f>SUMIFS(TbRegistrosEntradas[Valor],TbRegistrosEntradas[Ano Competência],B22,TbRegistrosEntradas[Venda à vista],"Vista",TbRegistrosEntradas[Data da Competência],"&lt;="&amp;C5)</f>
        <v>0</v>
      </c>
      <c r="D22" s="116">
        <f>SUMIFS(TbRegistrosEntradas[Valor],TbRegistrosEntradas[Ano Competência],B22,TbRegistrosEntradas[Venda à vista],"Prazo",TbRegistrosEntradas[Data da Competência],"&lt;="&amp;C5)</f>
        <v>130659</v>
      </c>
      <c r="E22" s="116">
        <f>SUM(C22:D22)</f>
        <v>130659</v>
      </c>
      <c r="F22" s="92"/>
      <c r="G22" s="92"/>
      <c r="H22" s="92"/>
      <c r="I22" s="92"/>
      <c r="J22" s="92"/>
      <c r="K22" s="92"/>
      <c r="L22" s="92"/>
    </row>
    <row r="23" spans="1:12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5">
      <c r="A25" s="92"/>
      <c r="B25" s="94" t="s">
        <v>597</v>
      </c>
      <c r="C25" s="92"/>
      <c r="D25" s="92"/>
      <c r="E25" s="92"/>
      <c r="F25" s="92"/>
      <c r="G25" s="94" t="s">
        <v>598</v>
      </c>
      <c r="H25" s="92"/>
      <c r="I25" s="92"/>
      <c r="J25" s="92"/>
      <c r="K25" s="92"/>
      <c r="L25" s="92"/>
    </row>
    <row r="26" spans="1:12" x14ac:dyDescent="0.25">
      <c r="A26" s="92"/>
      <c r="B26" s="98" t="s">
        <v>594</v>
      </c>
      <c r="C26" s="99" t="s">
        <v>599</v>
      </c>
      <c r="D26" s="99" t="s">
        <v>564</v>
      </c>
      <c r="E26" s="99" t="s">
        <v>600</v>
      </c>
      <c r="F26" s="92"/>
      <c r="G26" s="98" t="s">
        <v>594</v>
      </c>
      <c r="H26" s="99" t="s">
        <v>599</v>
      </c>
      <c r="I26" s="99" t="s">
        <v>564</v>
      </c>
      <c r="J26" s="99" t="s">
        <v>600</v>
      </c>
      <c r="K26" s="92"/>
      <c r="L26" s="92"/>
    </row>
    <row r="27" spans="1:12" x14ac:dyDescent="0.25">
      <c r="A27" s="92"/>
      <c r="B27" s="115">
        <f>C4</f>
        <v>2019</v>
      </c>
      <c r="C27" s="117">
        <f ca="1">COUNTIFS(TbRegistrosEntradas[Ano Competência],$B$27,TbRegistrosEntradas[Dias de Atraso],"&gt;0",TbRegistrosEntradas[Data da Competência],"&lt;="&amp;$C$5)</f>
        <v>20</v>
      </c>
      <c r="D27" s="117">
        <f ca="1">SUMIFS(TbRegistrosEntradas[Dias de Atraso],TbRegistrosEntradas[Ano Competência],$B$27,TbRegistrosEntradas[Dias de Atraso],"&gt;0",TbRegistrosEntradas[Data da Competência],"&lt;="&amp;$C$5)</f>
        <v>9112.6667089873517</v>
      </c>
      <c r="E27" s="117">
        <f ca="1">D27/C27</f>
        <v>455.63333544936756</v>
      </c>
      <c r="F27" s="92"/>
      <c r="G27" s="115">
        <f>C4</f>
        <v>2019</v>
      </c>
      <c r="H27" s="117">
        <f ca="1">COUNTIFS(TbRegistrosSaídas[Ano Competência],$G$27,TbRegistrosSaídas[Dias de Atraso],"&gt;0",TbRegistrosSaídas[Data da Competência],"&lt;="&amp;$C$5)</f>
        <v>16</v>
      </c>
      <c r="I27" s="117">
        <f ca="1">SUMIFS(TbRegistrosSaídas[Dias de Atraso],TbRegistrosSaídas[Ano Competência],$G$27,TbRegistrosSaídas[Dias de Atraso],"&gt;0",TbRegistrosSaídas[Data da Competência],"&lt;="&amp;$C$5)</f>
        <v>5631.370236028175</v>
      </c>
      <c r="J27" s="117">
        <f ca="1">I27/H27</f>
        <v>351.96063975176094</v>
      </c>
      <c r="K27" s="92"/>
      <c r="L27" s="92"/>
    </row>
    <row r="28" spans="1:12" x14ac:dyDescent="0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5">
      <c r="A30" s="92"/>
      <c r="B30" s="94" t="s">
        <v>601</v>
      </c>
      <c r="C30" s="92"/>
      <c r="D30" s="92"/>
      <c r="E30" s="92"/>
      <c r="F30" s="92"/>
      <c r="G30" s="94" t="s">
        <v>602</v>
      </c>
      <c r="H30" s="118">
        <f>C4</f>
        <v>2019</v>
      </c>
      <c r="I30" s="92"/>
      <c r="J30" s="92"/>
      <c r="K30" s="92"/>
      <c r="L30" s="92"/>
    </row>
    <row r="31" spans="1:12" x14ac:dyDescent="0.25">
      <c r="A31" s="92"/>
      <c r="B31" s="119" t="s">
        <v>594</v>
      </c>
      <c r="C31" s="103" t="s">
        <v>579</v>
      </c>
      <c r="D31" s="103" t="s">
        <v>581</v>
      </c>
      <c r="E31" s="103" t="s">
        <v>603</v>
      </c>
      <c r="F31" s="92"/>
      <c r="G31" s="98" t="s">
        <v>571</v>
      </c>
      <c r="H31" s="120" t="str">
        <f>DashBoardFinanceiroAtual!K14</f>
        <v>Som e imagem</v>
      </c>
      <c r="I31" s="92"/>
      <c r="J31" s="92"/>
      <c r="K31" s="92"/>
      <c r="L31" s="92"/>
    </row>
    <row r="32" spans="1:12" x14ac:dyDescent="0.25">
      <c r="A32" s="92"/>
      <c r="B32" s="137">
        <f>C4</f>
        <v>2019</v>
      </c>
      <c r="C32" s="121">
        <f>SUMIFS(TbRegistrosEntradas[Valor],TbRegistrosEntradas[Ano Competência],$B$32,TbRegistrosEntradas[Data da Competência],"&lt;="&amp;$C$5)</f>
        <v>130659</v>
      </c>
      <c r="D32" s="121">
        <f>SUMIFS(TbRegistrosSaídas[Valor],TbRegistrosSaídas[Ano Competência],$B$32,TbRegistrosSaídas[Data da Competência],"&lt;="&amp;C5)</f>
        <v>169790</v>
      </c>
      <c r="E32" s="122">
        <f>C32-D32</f>
        <v>-39131</v>
      </c>
      <c r="F32" s="92"/>
      <c r="G32" s="92">
        <v>1</v>
      </c>
      <c r="H32" s="104">
        <f>SUMIFS(TbRegistrosSaídas[Valor],TbRegistrosSaídas[Mês Competência],$G32,TbRegistrosSaídas[Ano Competência],$H$30,TbRegistrosSaídas[Conta Nível 2],$H$31,TbRegistrosSaídas[Data da Competência],"&lt;="&amp;$C$5)</f>
        <v>10994</v>
      </c>
      <c r="I32" s="92"/>
      <c r="J32" s="92"/>
      <c r="K32" s="92"/>
      <c r="L32" s="92"/>
    </row>
    <row r="33" spans="1:12" x14ac:dyDescent="0.25">
      <c r="A33" s="92"/>
      <c r="B33" s="92"/>
      <c r="C33" s="92"/>
      <c r="D33" s="92"/>
      <c r="E33" s="92"/>
      <c r="F33" s="92"/>
      <c r="G33" s="92">
        <v>2</v>
      </c>
      <c r="H33" s="104">
        <f>SUMIFS(TbRegistrosSaídas[Valor],TbRegistrosSaídas[Mês Competência],$G33,TbRegistrosSaídas[Ano Competência],$H$30,TbRegistrosSaídas[Conta Nível 2],$H$31,TbRegistrosSaídas[Data da Competência],"&lt;="&amp;$C$5)</f>
        <v>4148</v>
      </c>
      <c r="I33" s="92"/>
      <c r="J33" s="92"/>
      <c r="K33" s="92"/>
      <c r="L33" s="92"/>
    </row>
    <row r="34" spans="1:12" x14ac:dyDescent="0.25">
      <c r="A34" s="92"/>
      <c r="B34" s="92"/>
      <c r="C34" s="92"/>
      <c r="D34" s="92"/>
      <c r="E34" s="92"/>
      <c r="F34" s="92"/>
      <c r="G34" s="92">
        <v>3</v>
      </c>
      <c r="H34" s="104">
        <f>SUMIFS(TbRegistrosSaídas[Valor],TbRegistrosSaídas[Mês Competência],$G34,TbRegistrosSaídas[Ano Competência],$H$30,TbRegistrosSaídas[Conta Nível 2],$H$31,TbRegistrosSaídas[Data da Competência],"&lt;="&amp;$C$5)</f>
        <v>9064</v>
      </c>
      <c r="I34" s="92"/>
      <c r="J34" s="92"/>
      <c r="K34" s="92"/>
      <c r="L34" s="92"/>
    </row>
    <row r="35" spans="1:12" x14ac:dyDescent="0.25">
      <c r="A35" s="92"/>
      <c r="B35" s="92"/>
      <c r="C35" s="92"/>
      <c r="D35" s="92"/>
      <c r="E35" s="92"/>
      <c r="F35" s="92"/>
      <c r="G35" s="92">
        <v>4</v>
      </c>
      <c r="H35" s="104">
        <f>SUMIFS(TbRegistrosSaídas[Valor],TbRegistrosSaídas[Mês Competência],$G35,TbRegistrosSaídas[Ano Competência],$H$30,TbRegistrosSaídas[Conta Nível 2],$H$31,TbRegistrosSaídas[Data da Competência],"&lt;="&amp;$C$5)</f>
        <v>0</v>
      </c>
      <c r="I35" s="92"/>
      <c r="J35" s="92"/>
      <c r="K35" s="92"/>
      <c r="L35" s="92"/>
    </row>
    <row r="36" spans="1:12" x14ac:dyDescent="0.25">
      <c r="A36" s="92"/>
      <c r="B36" s="92"/>
      <c r="C36" s="92"/>
      <c r="D36" s="92"/>
      <c r="E36" s="92"/>
      <c r="F36" s="92"/>
      <c r="G36" s="92">
        <v>5</v>
      </c>
      <c r="H36" s="104">
        <f>SUMIFS(TbRegistrosSaídas[Valor],TbRegistrosSaídas[Mês Competência],$G36,TbRegistrosSaídas[Ano Competência],$H$30,TbRegistrosSaídas[Conta Nível 2],$H$31,TbRegistrosSaídas[Data da Competência],"&lt;="&amp;$C$5)</f>
        <v>4597</v>
      </c>
      <c r="I36" s="92"/>
      <c r="J36" s="92"/>
      <c r="K36" s="92"/>
      <c r="L36" s="92"/>
    </row>
    <row r="37" spans="1:12" x14ac:dyDescent="0.25">
      <c r="A37" s="92"/>
      <c r="B37" s="92"/>
      <c r="C37" s="92"/>
      <c r="D37" s="92"/>
      <c r="E37" s="92"/>
      <c r="F37" s="92"/>
      <c r="G37" s="92">
        <v>6</v>
      </c>
      <c r="H37" s="104">
        <f>SUMIFS(TbRegistrosSaídas[Valor],TbRegistrosSaídas[Mês Competência],$G37,TbRegistrosSaídas[Ano Competência],$H$30,TbRegistrosSaídas[Conta Nível 2],$H$31,TbRegistrosSaídas[Data da Competência],"&lt;="&amp;$C$5)</f>
        <v>11515</v>
      </c>
      <c r="I37" s="92"/>
      <c r="J37" s="92"/>
      <c r="K37" s="92"/>
      <c r="L37" s="92"/>
    </row>
    <row r="38" spans="1:12" x14ac:dyDescent="0.25">
      <c r="A38" s="92"/>
      <c r="B38" s="92"/>
      <c r="C38" s="92"/>
      <c r="D38" s="92"/>
      <c r="E38" s="92"/>
      <c r="F38" s="92"/>
      <c r="G38" s="92">
        <v>7</v>
      </c>
      <c r="H38" s="104">
        <f>SUMIFS(TbRegistrosSaídas[Valor],TbRegistrosSaídas[Mês Competência],$G38,TbRegistrosSaídas[Ano Competência],$H$30,TbRegistrosSaídas[Conta Nível 2],$H$31,TbRegistrosSaídas[Data da Competência],"&lt;="&amp;$C$5)</f>
        <v>0</v>
      </c>
      <c r="I38" s="92"/>
      <c r="J38" s="92"/>
      <c r="K38" s="92"/>
      <c r="L38" s="92"/>
    </row>
    <row r="39" spans="1:12" x14ac:dyDescent="0.25">
      <c r="A39" s="92"/>
      <c r="B39" s="92"/>
      <c r="C39" s="92"/>
      <c r="D39" s="92"/>
      <c r="E39" s="92"/>
      <c r="F39" s="92"/>
      <c r="G39" s="92">
        <v>8</v>
      </c>
      <c r="H39" s="104">
        <f>SUMIFS(TbRegistrosSaídas[Valor],TbRegistrosSaídas[Mês Competência],$G39,TbRegistrosSaídas[Ano Competência],$H$30,TbRegistrosSaídas[Conta Nível 2],$H$31,TbRegistrosSaídas[Data da Competência],"&lt;="&amp;$C$5)</f>
        <v>0</v>
      </c>
      <c r="I39" s="92"/>
      <c r="J39" s="92"/>
      <c r="K39" s="92"/>
      <c r="L39" s="92"/>
    </row>
    <row r="40" spans="1:12" x14ac:dyDescent="0.25">
      <c r="A40" s="92"/>
      <c r="B40" s="92"/>
      <c r="C40" s="92"/>
      <c r="D40" s="92"/>
      <c r="E40" s="92"/>
      <c r="F40" s="92"/>
      <c r="G40" s="92">
        <v>9</v>
      </c>
      <c r="H40" s="104">
        <f>SUMIFS(TbRegistrosSaídas[Valor],TbRegistrosSaídas[Mês Competência],$G40,TbRegistrosSaídas[Ano Competência],$H$30,TbRegistrosSaídas[Conta Nível 2],$H$31,TbRegistrosSaídas[Data da Competência],"&lt;="&amp;$C$5)</f>
        <v>0</v>
      </c>
      <c r="I40" s="92"/>
      <c r="J40" s="92"/>
      <c r="K40" s="92"/>
      <c r="L40" s="92"/>
    </row>
    <row r="41" spans="1:12" x14ac:dyDescent="0.25">
      <c r="A41" s="92"/>
      <c r="B41" s="92"/>
      <c r="C41" s="92"/>
      <c r="D41" s="92"/>
      <c r="E41" s="92"/>
      <c r="F41" s="92"/>
      <c r="G41" s="92">
        <v>10</v>
      </c>
      <c r="H41" s="104">
        <f>SUMIFS(TbRegistrosSaídas[Valor],TbRegistrosSaídas[Mês Competência],$G41,TbRegistrosSaídas[Ano Competência],$H$30,TbRegistrosSaídas[Conta Nível 2],$H$31,TbRegistrosSaídas[Data da Competência],"&lt;="&amp;$C$5)</f>
        <v>0</v>
      </c>
      <c r="I41" s="92"/>
      <c r="J41" s="92"/>
      <c r="K41" s="92"/>
      <c r="L41" s="92"/>
    </row>
    <row r="42" spans="1:12" x14ac:dyDescent="0.25">
      <c r="A42" s="92"/>
      <c r="B42" s="92"/>
      <c r="C42" s="92"/>
      <c r="D42" s="92"/>
      <c r="E42" s="92"/>
      <c r="F42" s="92"/>
      <c r="G42" s="92">
        <v>11</v>
      </c>
      <c r="H42" s="104">
        <f>SUMIFS(TbRegistrosSaídas[Valor],TbRegistrosSaídas[Mês Competência],$G42,TbRegistrosSaídas[Ano Competência],$H$30,TbRegistrosSaídas[Conta Nível 2],$H$31,TbRegistrosSaídas[Data da Competência],"&lt;="&amp;$C$5)</f>
        <v>0</v>
      </c>
      <c r="I42" s="92"/>
      <c r="J42" s="92"/>
      <c r="K42" s="92"/>
      <c r="L42" s="92"/>
    </row>
    <row r="43" spans="1:12" x14ac:dyDescent="0.25">
      <c r="A43" s="92"/>
      <c r="B43" s="92"/>
      <c r="C43" s="92"/>
      <c r="D43" s="92"/>
      <c r="E43" s="92"/>
      <c r="F43" s="92"/>
      <c r="G43" s="107">
        <v>12</v>
      </c>
      <c r="H43" s="112">
        <f>SUMIFS(TbRegistrosSaídas[Valor],TbRegistrosSaídas[Mês Competência],$G43,TbRegistrosSaídas[Ano Competência],$H$30,TbRegistrosSaídas[Conta Nível 2],$H$31,TbRegistrosSaídas[Data da Competência],"&lt;="&amp;$C$5)</f>
        <v>0</v>
      </c>
      <c r="I43" s="92"/>
      <c r="J43" s="92"/>
      <c r="K43" s="92"/>
      <c r="L43" s="92"/>
    </row>
    <row r="44" spans="1:12" x14ac:dyDescent="0.25">
      <c r="A44" s="92"/>
      <c r="B44" s="92"/>
      <c r="C44" s="92"/>
      <c r="D44" s="92"/>
      <c r="E44" s="92"/>
      <c r="F44" s="92"/>
      <c r="G44" s="98" t="s">
        <v>556</v>
      </c>
      <c r="H44" s="123">
        <f>SUM(H32:H43)</f>
        <v>40318</v>
      </c>
      <c r="I44" s="92"/>
      <c r="J44" s="92"/>
      <c r="K44" s="92"/>
      <c r="L44" s="92"/>
    </row>
    <row r="45" spans="1:12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 x14ac:dyDescent="0.25">
      <c r="A46" s="92"/>
      <c r="G46" s="92"/>
      <c r="H46" s="92"/>
      <c r="I46" s="92"/>
      <c r="J46" s="92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workbookViewId="0">
      <selection activeCell="B1" sqref="B1"/>
    </sheetView>
  </sheetViews>
  <sheetFormatPr defaultColWidth="0" defaultRowHeight="20.100000000000001" customHeight="1" x14ac:dyDescent="0.25"/>
  <cols>
    <col min="1" max="1" width="2.140625" style="43" customWidth="1"/>
    <col min="2" max="2" width="30.7109375" style="43" customWidth="1"/>
    <col min="3" max="3" width="1.7109375" style="43" customWidth="1"/>
    <col min="4" max="4" width="30.7109375" style="43" customWidth="1"/>
    <col min="5" max="5" width="5.7109375" style="43" customWidth="1"/>
    <col min="6" max="6" width="14.7109375" style="43" customWidth="1"/>
    <col min="7" max="7" width="17.85546875" style="43" customWidth="1"/>
    <col min="8" max="8" width="4.7109375" style="43" customWidth="1"/>
    <col min="9" max="9" width="34.42578125" style="43" customWidth="1"/>
    <col min="10" max="10" width="4.5703125" style="43" customWidth="1"/>
    <col min="11" max="11" width="37.7109375" style="43" customWidth="1"/>
    <col min="12" max="12" width="3" style="43" customWidth="1"/>
    <col min="13" max="15" width="9.140625" style="43" hidden="1" customWidth="1"/>
    <col min="16" max="17" width="0" style="43" hidden="1" customWidth="1"/>
    <col min="18" max="16384" width="9.140625" style="43" hidden="1"/>
  </cols>
  <sheetData>
    <row r="1" spans="1:11" customFormat="1" ht="39.950000000000003" customHeight="1" x14ac:dyDescent="0.25">
      <c r="A1" s="87" t="s">
        <v>565</v>
      </c>
      <c r="B1" s="88"/>
      <c r="C1" s="1"/>
      <c r="D1" s="1"/>
      <c r="E1" s="1"/>
      <c r="F1" s="1"/>
      <c r="G1" s="1"/>
      <c r="H1" s="1"/>
      <c r="I1" s="1"/>
      <c r="J1" s="1"/>
      <c r="K1" s="2" t="s">
        <v>551</v>
      </c>
    </row>
    <row r="2" spans="1:11" customFormat="1" ht="30" customHeight="1" x14ac:dyDescent="0.25">
      <c r="B2" s="5"/>
      <c r="C2" s="5"/>
      <c r="D2" s="5"/>
      <c r="E2" s="5"/>
      <c r="F2" s="5"/>
      <c r="G2" s="5"/>
      <c r="H2" s="5"/>
      <c r="I2" s="5"/>
      <c r="J2" s="5"/>
      <c r="K2" s="89">
        <v>2019</v>
      </c>
    </row>
    <row r="3" spans="1:11" ht="15" x14ac:dyDescent="0.25"/>
    <row r="4" spans="1:11" ht="18" customHeight="1" x14ac:dyDescent="0.25">
      <c r="B4" s="42" t="s">
        <v>552</v>
      </c>
      <c r="D4" s="44" t="s">
        <v>553</v>
      </c>
      <c r="F4" s="45"/>
      <c r="G4" s="46"/>
      <c r="H4" s="46"/>
      <c r="I4" s="47" t="s">
        <v>554</v>
      </c>
      <c r="J4" s="46"/>
      <c r="K4" s="48" t="s">
        <v>31</v>
      </c>
    </row>
    <row r="5" spans="1:11" ht="24.95" customHeight="1" x14ac:dyDescent="0.25">
      <c r="B5" s="124">
        <f>DashBoardFinanceiroAnualD!C11</f>
        <v>-3097</v>
      </c>
      <c r="D5" s="127" t="s">
        <v>605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2" t="s">
        <v>555</v>
      </c>
      <c r="D7" s="135"/>
      <c r="F7" s="49"/>
      <c r="G7" s="50"/>
      <c r="H7" s="50"/>
      <c r="I7" s="51"/>
      <c r="J7" s="51"/>
      <c r="K7" s="54" t="s">
        <v>556</v>
      </c>
    </row>
    <row r="8" spans="1:11" ht="24.95" customHeight="1" x14ac:dyDescent="0.25">
      <c r="B8" s="125">
        <f>DashBoardFinanceiroAnualD!D13</f>
        <v>12009</v>
      </c>
      <c r="D8" s="136"/>
      <c r="F8" s="49"/>
      <c r="G8" s="50"/>
      <c r="H8" s="50"/>
      <c r="I8" s="51"/>
      <c r="J8" s="51"/>
      <c r="K8" s="128">
        <f>SUM(DashBoardFinanceiroAnualD!J5:J16)</f>
        <v>20663</v>
      </c>
    </row>
    <row r="9" spans="1:11" ht="5.25" customHeight="1" x14ac:dyDescent="0.25">
      <c r="F9" s="49"/>
      <c r="G9" s="50"/>
      <c r="H9" s="50"/>
      <c r="I9" s="51"/>
      <c r="J9" s="51"/>
      <c r="K9" s="55"/>
    </row>
    <row r="10" spans="1:11" ht="18" customHeight="1" x14ac:dyDescent="0.25">
      <c r="B10" s="42" t="s">
        <v>557</v>
      </c>
      <c r="D10" s="135"/>
      <c r="F10" s="49"/>
      <c r="G10" s="50"/>
      <c r="H10" s="50"/>
      <c r="I10" s="51"/>
      <c r="J10" s="51"/>
      <c r="K10" s="55"/>
    </row>
    <row r="11" spans="1:11" ht="24.95" customHeight="1" x14ac:dyDescent="0.25">
      <c r="B11" s="126">
        <f>DashBoardFinanceiroAnualD!D14</f>
        <v>14673</v>
      </c>
      <c r="D11" s="136"/>
      <c r="F11" s="56"/>
      <c r="G11" s="57"/>
      <c r="H11" s="57"/>
      <c r="I11" s="58"/>
      <c r="J11" s="58"/>
      <c r="K11" s="59"/>
    </row>
    <row r="12" spans="1:11" ht="11.25" customHeight="1" x14ac:dyDescent="0.25">
      <c r="F12" s="60"/>
      <c r="G12" s="60"/>
      <c r="H12" s="60"/>
    </row>
    <row r="13" spans="1:11" ht="20.100000000000001" customHeight="1" x14ac:dyDescent="0.25">
      <c r="B13" s="132" t="s">
        <v>558</v>
      </c>
      <c r="C13" s="133"/>
      <c r="D13" s="134"/>
      <c r="F13" s="132" t="s">
        <v>559</v>
      </c>
      <c r="G13" s="134"/>
      <c r="H13" s="60"/>
      <c r="I13" s="62" t="s">
        <v>560</v>
      </c>
      <c r="K13" s="63" t="s">
        <v>561</v>
      </c>
    </row>
    <row r="14" spans="1:11" ht="20.100000000000001" customHeight="1" x14ac:dyDescent="0.25">
      <c r="B14" s="64"/>
      <c r="C14" s="65"/>
      <c r="D14" s="66"/>
      <c r="F14" s="64" t="s">
        <v>562</v>
      </c>
      <c r="G14" s="67" t="s">
        <v>563</v>
      </c>
      <c r="H14" s="60"/>
      <c r="I14" s="68">
        <f>DashBoardFinanceiroAnualD!E32</f>
        <v>-39131</v>
      </c>
      <c r="K14" s="138" t="s">
        <v>34</v>
      </c>
    </row>
    <row r="15" spans="1:11" ht="15.95" customHeight="1" x14ac:dyDescent="0.25">
      <c r="B15" s="64"/>
      <c r="C15" s="51"/>
      <c r="D15" s="66"/>
      <c r="F15" s="69"/>
      <c r="G15" s="70"/>
      <c r="H15" s="60"/>
      <c r="I15" s="71"/>
      <c r="K15" s="72">
        <f>DashBoardFinanceiroAnualD!H44</f>
        <v>40318</v>
      </c>
    </row>
    <row r="16" spans="1:11" ht="20.100000000000001" customHeight="1" x14ac:dyDescent="0.25">
      <c r="B16" s="73">
        <f>DashBoardFinanceiroAnualD!E22</f>
        <v>130659</v>
      </c>
      <c r="C16" s="51"/>
      <c r="D16" s="66"/>
      <c r="F16" s="74">
        <f ca="1">DashBoardFinanceiroAnualD!E27</f>
        <v>455.63333544936756</v>
      </c>
      <c r="G16" s="75">
        <f ca="1">DashBoardFinanceiroAnualD!J27</f>
        <v>351.96063975176094</v>
      </c>
      <c r="H16" s="60"/>
      <c r="I16" s="71"/>
      <c r="K16" s="76"/>
    </row>
    <row r="17" spans="2:11" ht="15.95" customHeight="1" x14ac:dyDescent="0.25">
      <c r="B17" s="73"/>
      <c r="C17" s="51"/>
      <c r="D17" s="66"/>
      <c r="F17" s="77"/>
      <c r="G17" s="70"/>
      <c r="H17" s="60"/>
      <c r="I17" s="71"/>
      <c r="K17" s="76"/>
    </row>
    <row r="18" spans="2:11" ht="20.100000000000001" customHeight="1" x14ac:dyDescent="0.25">
      <c r="B18" s="64"/>
      <c r="C18" s="51"/>
      <c r="D18" s="66"/>
      <c r="F18" s="78" t="s">
        <v>564</v>
      </c>
      <c r="G18" s="79" t="s">
        <v>564</v>
      </c>
      <c r="H18" s="60"/>
      <c r="I18" s="71"/>
      <c r="K18" s="76"/>
    </row>
    <row r="19" spans="2:11" ht="20.100000000000001" customHeight="1" x14ac:dyDescent="0.25">
      <c r="B19" s="80"/>
      <c r="C19" s="81"/>
      <c r="D19" s="82"/>
      <c r="F19" s="83"/>
      <c r="G19" s="84"/>
      <c r="H19" s="60"/>
      <c r="I19" s="85"/>
      <c r="K19" s="86"/>
    </row>
    <row r="20" spans="2:11" ht="20.100000000000001" customHeight="1" x14ac:dyDescent="0.25">
      <c r="F20" s="60"/>
      <c r="G20" s="60"/>
      <c r="H20" s="60"/>
    </row>
    <row r="21" spans="2:11" ht="20.100000000000001" customHeight="1" x14ac:dyDescent="0.25">
      <c r="B21" s="90"/>
      <c r="C21" s="90"/>
      <c r="D21" s="90"/>
      <c r="E21" s="90"/>
      <c r="F21" s="90"/>
      <c r="G21" s="90"/>
      <c r="H21" s="90"/>
      <c r="I21" s="90"/>
      <c r="J21" s="90"/>
      <c r="K21" s="90"/>
    </row>
    <row r="27" spans="2:11" ht="15" x14ac:dyDescent="0.25">
      <c r="D27" s="91"/>
    </row>
    <row r="30" spans="2:11" ht="15" x14ac:dyDescent="0.25">
      <c r="C30" s="91"/>
    </row>
  </sheetData>
  <mergeCells count="4">
    <mergeCell ref="B13:D13"/>
    <mergeCell ref="F13:G13"/>
    <mergeCell ref="D7:D8"/>
    <mergeCell ref="D10:D11"/>
  </mergeCells>
  <conditionalFormatting sqref="I14">
    <cfRule type="cellIs" dxfId="3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lista." promptTitle="Plano de contas nível" prompt="Favor selecionar um plano de contas nível 2 da lista." sqref="K4">
      <formula1>PCEntradasN2_2</formula1>
    </dataValidation>
    <dataValidation type="list" allowBlank="1" showInputMessage="1" showErrorMessage="1" errorTitle="Conta Inexisente!" error="Selecione um item da lista." promptTitle="Plano de contas nível" prompt="Favor selecionar um plano de contas nível 2 da lista." sqref="K14">
      <formula1>PCSaídasN2_2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workbookViewId="0">
      <selection activeCell="K23" sqref="K23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2"/>
      <c r="B1" s="93" t="s">
        <v>566</v>
      </c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spans="1:12" x14ac:dyDescent="0.25">
      <c r="A3" s="92"/>
      <c r="B3" s="92"/>
      <c r="C3" s="92"/>
      <c r="D3" s="92"/>
      <c r="E3" s="92"/>
      <c r="F3" s="94" t="s">
        <v>567</v>
      </c>
      <c r="G3" s="92"/>
      <c r="H3" s="92"/>
      <c r="I3" s="92"/>
      <c r="J3" s="94" t="s">
        <v>568</v>
      </c>
      <c r="K3" s="95" t="s">
        <v>569</v>
      </c>
      <c r="L3" s="96">
        <f>C4</f>
        <v>2019</v>
      </c>
    </row>
    <row r="4" spans="1:12" x14ac:dyDescent="0.25">
      <c r="A4" s="92"/>
      <c r="B4" s="95" t="s">
        <v>570</v>
      </c>
      <c r="C4" s="97">
        <f>DashBoardFinanceiroAnual!K2</f>
        <v>2019</v>
      </c>
      <c r="D4" s="92"/>
      <c r="E4" s="92"/>
      <c r="F4" s="98" t="s">
        <v>571</v>
      </c>
      <c r="G4" s="99" t="s">
        <v>572</v>
      </c>
      <c r="H4" s="98" t="s">
        <v>573</v>
      </c>
      <c r="I4" s="92"/>
      <c r="J4" s="100" t="str">
        <f>DashBoardFinanceiroAnual!K4</f>
        <v>Informática</v>
      </c>
      <c r="K4" s="98" t="s">
        <v>574</v>
      </c>
      <c r="L4" s="98" t="s">
        <v>571</v>
      </c>
    </row>
    <row r="5" spans="1:12" x14ac:dyDescent="0.25">
      <c r="A5" s="92"/>
      <c r="B5" s="92"/>
      <c r="C5" s="92"/>
      <c r="D5" s="92"/>
      <c r="E5" s="92"/>
      <c r="F5" s="101">
        <v>1</v>
      </c>
      <c r="G5" s="102">
        <f>SUMIFS(TbRegistrosSaídas[Valor],TbRegistrosSaídas[Ano Caixa],0,TbRegistrosSaídas[Ano Previsto],$C$4,TbRegistrosSaídas[Mês Previsto],$F5)</f>
        <v>5159</v>
      </c>
      <c r="H5" s="102">
        <f>SUMIFS(TbRegistrosEntradas[Valor],TbRegistrosEntradas[Ano Caixa],0,TbRegistrosEntradas[Ano Previsto],$C$4,TbRegistrosEntradas[Mês Previsto],$F5)</f>
        <v>483</v>
      </c>
      <c r="I5" s="92"/>
      <c r="J5" s="102">
        <f>SUMIFS(TbRegistrosEntradas[Valor],TbRegistrosEntradas[Ano Competência],$L$3,TbRegistrosEntradas[Conta Nível 2],$J$4,TbRegistrosEntradas[Mês Competência],F5)</f>
        <v>0</v>
      </c>
      <c r="K5" s="102" t="e">
        <f>IF(J5=0,NA(),J5)</f>
        <v>#N/A</v>
      </c>
      <c r="L5" s="103" t="s">
        <v>575</v>
      </c>
    </row>
    <row r="6" spans="1:12" x14ac:dyDescent="0.25">
      <c r="A6" s="92"/>
      <c r="B6" s="92"/>
      <c r="C6" s="92"/>
      <c r="D6" s="92"/>
      <c r="E6" s="92"/>
      <c r="F6" s="92">
        <v>2</v>
      </c>
      <c r="G6" s="104">
        <f>SUMIFS(TbRegistrosSaídas[Valor],TbRegistrosSaídas[Ano Caixa],0,TbRegistrosSaídas[Ano Previsto],$C$4,TbRegistrosSaídas[Mês Previsto],$F6)</f>
        <v>0</v>
      </c>
      <c r="H6" s="104">
        <f>SUMIFS(TbRegistrosEntradas[Valor],TbRegistrosEntradas[Ano Caixa],0,TbRegistrosEntradas[Ano Previsto],$C$4,TbRegistrosEntradas[Mês Previsto],$F6)</f>
        <v>0</v>
      </c>
      <c r="I6" s="92"/>
      <c r="J6" s="104">
        <f>SUMIFS(TbRegistrosEntradas[Valor],TbRegistrosEntradas[Ano Competência],$L$3,TbRegistrosEntradas[Conta Nível 2],$J$4,TbRegistrosEntradas[Mês Competência],F6)</f>
        <v>1417</v>
      </c>
      <c r="K6" s="104">
        <f t="shared" ref="K6:K16" si="0">IF(J6=0,NA(),J6)</f>
        <v>1417</v>
      </c>
      <c r="L6" s="95" t="s">
        <v>576</v>
      </c>
    </row>
    <row r="7" spans="1:12" x14ac:dyDescent="0.25">
      <c r="A7" s="92"/>
      <c r="B7" s="94" t="s">
        <v>577</v>
      </c>
      <c r="C7" s="92"/>
      <c r="D7" s="92"/>
      <c r="E7" s="92"/>
      <c r="F7" s="92">
        <v>3</v>
      </c>
      <c r="G7" s="104">
        <f>SUMIFS(TbRegistrosSaídas[Valor],TbRegistrosSaídas[Ano Caixa],0,TbRegistrosSaídas[Ano Previsto],$C$4,TbRegistrosSaídas[Mês Previsto],$F7)</f>
        <v>0</v>
      </c>
      <c r="H7" s="104">
        <f>SUMIFS(TbRegistrosEntradas[Valor],TbRegistrosEntradas[Ano Caixa],0,TbRegistrosEntradas[Ano Previsto],$C$4,TbRegistrosEntradas[Mês Previsto],$F7)</f>
        <v>0</v>
      </c>
      <c r="I7" s="92"/>
      <c r="J7" s="104">
        <f>SUMIFS(TbRegistrosEntradas[Valor],TbRegistrosEntradas[Ano Competência],$L$3,TbRegistrosEntradas[Conta Nível 2],$J$4,TbRegistrosEntradas[Mês Competência],F7)</f>
        <v>4022</v>
      </c>
      <c r="K7" s="104">
        <f t="shared" si="0"/>
        <v>4022</v>
      </c>
      <c r="L7" s="95" t="s">
        <v>578</v>
      </c>
    </row>
    <row r="8" spans="1:12" x14ac:dyDescent="0.25">
      <c r="A8" s="92"/>
      <c r="B8" s="101" t="s">
        <v>604</v>
      </c>
      <c r="C8" s="105">
        <f>SUMIFS(TbRegistrosEntradas[Valor],TbRegistrosEntradas[Ano Caixa],"&lt;&gt;0",TbRegistrosEntradas[Ano Caixa],"&lt;"&amp;C4)-SUMIFS(TbRegistrosSaídas[Valor],TbRegistrosSaídas[Ano Caixa],"&lt;&gt;0",TbRegistrosSaídas[Ano Caixa],"&lt;"&amp;C4)</f>
        <v>14746</v>
      </c>
      <c r="D8" s="92"/>
      <c r="E8" s="92"/>
      <c r="F8" s="92">
        <v>4</v>
      </c>
      <c r="G8" s="104">
        <f>SUMIFS(TbRegistrosSaídas[Valor],TbRegistrosSaídas[Ano Caixa],0,TbRegistrosSaídas[Ano Previsto],$C$4,TbRegistrosSaídas[Mês Previsto],$F8)</f>
        <v>1753</v>
      </c>
      <c r="H8" s="104">
        <f>SUMIFS(TbRegistrosEntradas[Valor],TbRegistrosEntradas[Ano Caixa],0,TbRegistrosEntradas[Ano Previsto],$C$4,TbRegistrosEntradas[Mês Previsto],$F8)</f>
        <v>9418</v>
      </c>
      <c r="I8" s="92"/>
      <c r="J8" s="104">
        <f>SUMIFS(TbRegistrosEntradas[Valor],TbRegistrosEntradas[Ano Competência],$L$3,TbRegistrosEntradas[Conta Nível 2],$J$4,TbRegistrosEntradas[Mês Competência],F8)</f>
        <v>10057</v>
      </c>
      <c r="K8" s="104">
        <f t="shared" si="0"/>
        <v>10057</v>
      </c>
      <c r="L8" s="95" t="s">
        <v>580</v>
      </c>
    </row>
    <row r="9" spans="1:12" x14ac:dyDescent="0.25">
      <c r="A9" s="92"/>
      <c r="B9" s="92" t="s">
        <v>579</v>
      </c>
      <c r="C9" s="106">
        <f>SUMIFS(TbRegistrosEntradas[Valor],TbRegistrosEntradas[Ano Caixa],"&lt;&gt;0",TbRegistrosEntradas[Ano Caixa],C4)</f>
        <v>161998</v>
      </c>
      <c r="D9" s="92"/>
      <c r="E9" s="92"/>
      <c r="F9" s="92">
        <v>5</v>
      </c>
      <c r="G9" s="104">
        <f>SUMIFS(TbRegistrosSaídas[Valor],TbRegistrosSaídas[Ano Caixa],0,TbRegistrosSaídas[Ano Previsto],$C$4,TbRegistrosSaídas[Mês Previsto],$F9)</f>
        <v>0</v>
      </c>
      <c r="H9" s="104">
        <f>SUMIFS(TbRegistrosEntradas[Valor],TbRegistrosEntradas[Ano Caixa],0,TbRegistrosEntradas[Ano Previsto],$C$4,TbRegistrosEntradas[Mês Previsto],$F9)</f>
        <v>2015</v>
      </c>
      <c r="I9" s="92"/>
      <c r="J9" s="104">
        <f>SUMIFS(TbRegistrosEntradas[Valor],TbRegistrosEntradas[Ano Competência],$L$3,TbRegistrosEntradas[Conta Nível 2],$J$4,TbRegistrosEntradas[Mês Competência],F9)</f>
        <v>5167</v>
      </c>
      <c r="K9" s="104">
        <f t="shared" si="0"/>
        <v>5167</v>
      </c>
      <c r="L9" s="95" t="s">
        <v>582</v>
      </c>
    </row>
    <row r="10" spans="1:12" x14ac:dyDescent="0.25">
      <c r="A10" s="92"/>
      <c r="B10" s="92" t="s">
        <v>581</v>
      </c>
      <c r="C10" s="106">
        <f>SUMIFS(TbRegistrosSaídas[Valor],TbRegistrosSaídas[Ano Caixa],"&lt;&gt;0",TbRegistrosSaídas[Ano Caixa],C4)</f>
        <v>179841</v>
      </c>
      <c r="D10" s="92"/>
      <c r="E10" s="92"/>
      <c r="F10" s="92">
        <v>6</v>
      </c>
      <c r="G10" s="104">
        <f>SUMIFS(TbRegistrosSaídas[Valor],TbRegistrosSaídas[Ano Caixa],0,TbRegistrosSaídas[Ano Previsto],$C$4,TbRegistrosSaídas[Mês Previsto],$F10)</f>
        <v>0</v>
      </c>
      <c r="H10" s="104">
        <f>SUMIFS(TbRegistrosEntradas[Valor],TbRegistrosEntradas[Ano Caixa],0,TbRegistrosEntradas[Ano Previsto],$C$4,TbRegistrosEntradas[Mês Previsto],$F10)</f>
        <v>770</v>
      </c>
      <c r="I10" s="92"/>
      <c r="J10" s="104">
        <f>SUMIFS(TbRegistrosEntradas[Valor],TbRegistrosEntradas[Ano Competência],$L$3,TbRegistrosEntradas[Conta Nível 2],$J$4,TbRegistrosEntradas[Mês Competência],F10)</f>
        <v>0</v>
      </c>
      <c r="K10" s="104" t="e">
        <f t="shared" si="0"/>
        <v>#N/A</v>
      </c>
      <c r="L10" s="95" t="s">
        <v>584</v>
      </c>
    </row>
    <row r="11" spans="1:12" x14ac:dyDescent="0.25">
      <c r="A11" s="92"/>
      <c r="B11" s="107" t="s">
        <v>583</v>
      </c>
      <c r="C11" s="108">
        <f>C8+C9-C10</f>
        <v>-3097</v>
      </c>
      <c r="D11" s="92"/>
      <c r="E11" s="92"/>
      <c r="F11" s="92">
        <v>7</v>
      </c>
      <c r="G11" s="104">
        <f>SUMIFS(TbRegistrosSaídas[Valor],TbRegistrosSaídas[Ano Caixa],0,TbRegistrosSaídas[Ano Previsto],$C$4,TbRegistrosSaídas[Mês Previsto],$F11)</f>
        <v>2338</v>
      </c>
      <c r="H11" s="104">
        <f>SUMIFS(TbRegistrosEntradas[Valor],TbRegistrosEntradas[Ano Caixa],0,TbRegistrosEntradas[Ano Previsto],$C$4,TbRegistrosEntradas[Mês Previsto],$F11)</f>
        <v>1987</v>
      </c>
      <c r="I11" s="92"/>
      <c r="J11" s="104">
        <f>SUMIFS(TbRegistrosEntradas[Valor],TbRegistrosEntradas[Ano Competência],$L$3,TbRegistrosEntradas[Conta Nível 2],$J$4,TbRegistrosEntradas[Mês Competência],F11)</f>
        <v>0</v>
      </c>
      <c r="K11" s="104" t="e">
        <f t="shared" si="0"/>
        <v>#N/A</v>
      </c>
      <c r="L11" s="95" t="s">
        <v>585</v>
      </c>
    </row>
    <row r="12" spans="1:12" x14ac:dyDescent="0.25">
      <c r="A12" s="92"/>
      <c r="B12" s="92"/>
      <c r="C12" s="92"/>
      <c r="D12" s="92"/>
      <c r="E12" s="92"/>
      <c r="F12" s="92">
        <v>8</v>
      </c>
      <c r="G12" s="104">
        <f>SUMIFS(TbRegistrosSaídas[Valor],TbRegistrosSaídas[Ano Caixa],0,TbRegistrosSaídas[Ano Previsto],$C$4,TbRegistrosSaídas[Mês Previsto],$F12)</f>
        <v>2759</v>
      </c>
      <c r="H12" s="104">
        <f>SUMIFS(TbRegistrosEntradas[Valor],TbRegistrosEntradas[Ano Caixa],0,TbRegistrosEntradas[Ano Previsto],$C$4,TbRegistrosEntradas[Mês Previsto],$F12)</f>
        <v>0</v>
      </c>
      <c r="I12" s="92"/>
      <c r="J12" s="104">
        <f>SUMIFS(TbRegistrosEntradas[Valor],TbRegistrosEntradas[Ano Competência],$L$3,TbRegistrosEntradas[Conta Nível 2],$J$4,TbRegistrosEntradas[Mês Competência],F12)</f>
        <v>0</v>
      </c>
      <c r="K12" s="104" t="e">
        <f t="shared" si="0"/>
        <v>#N/A</v>
      </c>
      <c r="L12" s="95" t="s">
        <v>587</v>
      </c>
    </row>
    <row r="13" spans="1:12" x14ac:dyDescent="0.25">
      <c r="A13" s="92"/>
      <c r="B13" s="109" t="s">
        <v>586</v>
      </c>
      <c r="C13" s="109"/>
      <c r="D13" s="105">
        <f>SUMIFS(TbRegistrosSaídas[Valor],TbRegistrosSaídas[Ano Caixa],0,TbRegistrosSaídas[Ano Previsto],C4)</f>
        <v>12009</v>
      </c>
      <c r="E13" s="92"/>
      <c r="F13" s="92">
        <v>9</v>
      </c>
      <c r="G13" s="104">
        <f>SUMIFS(TbRegistrosSaídas[Valor],TbRegistrosSaídas[Ano Caixa],0,TbRegistrosSaídas[Ano Previsto],$C$4,TbRegistrosSaídas[Mês Previsto],$F13)</f>
        <v>0</v>
      </c>
      <c r="H13" s="104">
        <f>SUMIFS(TbRegistrosEntradas[Valor],TbRegistrosEntradas[Ano Caixa],0,TbRegistrosEntradas[Ano Previsto],$C$4,TbRegistrosEntradas[Mês Previsto],$F13)</f>
        <v>0</v>
      </c>
      <c r="I13" s="92"/>
      <c r="J13" s="104">
        <f>SUMIFS(TbRegistrosEntradas[Valor],TbRegistrosEntradas[Ano Competência],$L$3,TbRegistrosEntradas[Conta Nível 2],$J$4,TbRegistrosEntradas[Mês Competência],F13)</f>
        <v>0</v>
      </c>
      <c r="K13" s="104" t="e">
        <f t="shared" si="0"/>
        <v>#N/A</v>
      </c>
      <c r="L13" s="95" t="s">
        <v>589</v>
      </c>
    </row>
    <row r="14" spans="1:12" x14ac:dyDescent="0.25">
      <c r="A14" s="92"/>
      <c r="B14" s="110" t="s">
        <v>588</v>
      </c>
      <c r="C14" s="110"/>
      <c r="D14" s="111">
        <f>SUMIFS(TbRegistrosEntradas[Valor],TbRegistrosEntradas[Ano Caixa],0,TbRegistrosEntradas[Ano Previsto],C4)</f>
        <v>14673</v>
      </c>
      <c r="E14" s="92"/>
      <c r="F14" s="92">
        <v>10</v>
      </c>
      <c r="G14" s="104">
        <f>SUMIFS(TbRegistrosSaídas[Valor],TbRegistrosSaídas[Ano Caixa],0,TbRegistrosSaídas[Ano Previsto],$C$4,TbRegistrosSaídas[Mês Previsto],$F14)</f>
        <v>0</v>
      </c>
      <c r="H14" s="104">
        <f>SUMIFS(TbRegistrosEntradas[Valor],TbRegistrosEntradas[Ano Caixa],0,TbRegistrosEntradas[Ano Previsto],$C$4,TbRegistrosEntradas[Mês Previsto],$F14)</f>
        <v>0</v>
      </c>
      <c r="I14" s="92"/>
      <c r="J14" s="104">
        <f>SUMIFS(TbRegistrosEntradas[Valor],TbRegistrosEntradas[Ano Competência],$L$3,TbRegistrosEntradas[Conta Nível 2],$J$4,TbRegistrosEntradas[Mês Competência],F14)</f>
        <v>0</v>
      </c>
      <c r="K14" s="104" t="e">
        <f t="shared" si="0"/>
        <v>#N/A</v>
      </c>
      <c r="L14" s="95" t="s">
        <v>590</v>
      </c>
    </row>
    <row r="15" spans="1:12" x14ac:dyDescent="0.25">
      <c r="A15" s="92"/>
      <c r="B15" s="92"/>
      <c r="C15" s="92"/>
      <c r="D15" s="92"/>
      <c r="E15" s="92"/>
      <c r="F15" s="92">
        <v>11</v>
      </c>
      <c r="G15" s="104">
        <f>SUMIFS(TbRegistrosSaídas[Valor],TbRegistrosSaídas[Ano Caixa],0,TbRegistrosSaídas[Ano Previsto],$C$4,TbRegistrosSaídas[Mês Previsto],$F15)</f>
        <v>0</v>
      </c>
      <c r="H15" s="104">
        <f>SUMIFS(TbRegistrosEntradas[Valor],TbRegistrosEntradas[Ano Caixa],0,TbRegistrosEntradas[Ano Previsto],$C$4,TbRegistrosEntradas[Mês Previsto],$F15)</f>
        <v>0</v>
      </c>
      <c r="I15" s="92"/>
      <c r="J15" s="104">
        <f>SUMIFS(TbRegistrosEntradas[Valor],TbRegistrosEntradas[Ano Competência],$L$3,TbRegistrosEntradas[Conta Nível 2],$J$4,TbRegistrosEntradas[Mês Competência],F15)</f>
        <v>0</v>
      </c>
      <c r="K15" s="104" t="e">
        <f t="shared" si="0"/>
        <v>#N/A</v>
      </c>
      <c r="L15" s="95" t="s">
        <v>591</v>
      </c>
    </row>
    <row r="16" spans="1:12" x14ac:dyDescent="0.25">
      <c r="A16" s="92"/>
      <c r="B16" s="92"/>
      <c r="C16" s="92"/>
      <c r="D16" s="92"/>
      <c r="E16" s="92"/>
      <c r="F16" s="107">
        <v>12</v>
      </c>
      <c r="G16" s="112">
        <f>SUMIFS(TbRegistrosSaídas[Valor],TbRegistrosSaídas[Ano Caixa],0,TbRegistrosSaídas[Ano Previsto],$C$4,TbRegistrosSaídas[Mês Previsto],$F16)</f>
        <v>0</v>
      </c>
      <c r="H16" s="112">
        <f>SUMIFS(TbRegistrosEntradas[Valor],TbRegistrosEntradas[Ano Caixa],0,TbRegistrosEntradas[Ano Previsto],$C$4,TbRegistrosEntradas[Mês Previsto],$F16)</f>
        <v>0</v>
      </c>
      <c r="I16" s="92"/>
      <c r="J16" s="112">
        <f>SUMIFS(TbRegistrosEntradas[Valor],TbRegistrosEntradas[Ano Competência],$L$3,TbRegistrosEntradas[Conta Nível 2],$J$4,TbRegistrosEntradas[Mês Competência],F16)</f>
        <v>0</v>
      </c>
      <c r="K16" s="112" t="e">
        <f t="shared" si="0"/>
        <v>#N/A</v>
      </c>
      <c r="L16" s="113" t="s">
        <v>592</v>
      </c>
    </row>
    <row r="17" spans="1:12" x14ac:dyDescent="0.25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</row>
    <row r="18" spans="1:12" x14ac:dyDescent="0.25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</row>
    <row r="19" spans="1:12" x14ac:dyDescent="0.25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</row>
    <row r="20" spans="1:12" x14ac:dyDescent="0.25">
      <c r="A20" s="92"/>
      <c r="B20" s="94" t="s">
        <v>593</v>
      </c>
      <c r="C20" s="92"/>
      <c r="D20" s="92"/>
      <c r="E20" s="114"/>
      <c r="F20" s="92"/>
      <c r="G20" s="92"/>
      <c r="H20" s="92"/>
      <c r="I20" s="92"/>
      <c r="J20" s="92"/>
      <c r="K20" s="92"/>
      <c r="L20" s="92"/>
    </row>
    <row r="21" spans="1:12" x14ac:dyDescent="0.25">
      <c r="A21" s="92"/>
      <c r="B21" s="98" t="s">
        <v>594</v>
      </c>
      <c r="C21" s="99" t="s">
        <v>595</v>
      </c>
      <c r="D21" s="99" t="s">
        <v>596</v>
      </c>
      <c r="E21" s="99" t="s">
        <v>556</v>
      </c>
      <c r="F21" s="92"/>
      <c r="G21" s="92"/>
      <c r="H21" s="92"/>
      <c r="I21" s="92"/>
      <c r="J21" s="92"/>
      <c r="K21" s="92"/>
      <c r="L21" s="92"/>
    </row>
    <row r="22" spans="1:12" x14ac:dyDescent="0.25">
      <c r="A22" s="92"/>
      <c r="B22" s="115">
        <f>C4</f>
        <v>2019</v>
      </c>
      <c r="C22" s="116">
        <f>SUMIFS(TbRegistrosEntradas[Valor],TbRegistrosEntradas[Ano Competência],B22,TbRegistrosEntradas[Venda à vista],"Vista")</f>
        <v>0</v>
      </c>
      <c r="D22" s="116">
        <f>SUMIFS(TbRegistrosEntradas[Valor],TbRegistrosEntradas[Ano Competência],B22,TbRegistrosEntradas[Venda à vista],"Prazo")</f>
        <v>130659</v>
      </c>
      <c r="E22" s="116">
        <f>SUM(C22:D22)</f>
        <v>130659</v>
      </c>
      <c r="F22" s="92"/>
      <c r="G22" s="92"/>
      <c r="H22" s="92"/>
      <c r="I22" s="92"/>
      <c r="J22" s="92"/>
      <c r="K22" s="92"/>
      <c r="L22" s="92"/>
    </row>
    <row r="23" spans="1:12" x14ac:dyDescent="0.25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</row>
    <row r="24" spans="1:12" x14ac:dyDescent="0.25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</row>
    <row r="25" spans="1:12" x14ac:dyDescent="0.25">
      <c r="A25" s="92"/>
      <c r="B25" s="94" t="s">
        <v>597</v>
      </c>
      <c r="C25" s="92"/>
      <c r="D25" s="92"/>
      <c r="E25" s="92"/>
      <c r="F25" s="92"/>
      <c r="G25" s="94" t="s">
        <v>598</v>
      </c>
      <c r="H25" s="92"/>
      <c r="I25" s="92"/>
      <c r="J25" s="92"/>
      <c r="K25" s="92"/>
      <c r="L25" s="92"/>
    </row>
    <row r="26" spans="1:12" x14ac:dyDescent="0.25">
      <c r="A26" s="92"/>
      <c r="B26" s="98" t="s">
        <v>594</v>
      </c>
      <c r="C26" s="99" t="s">
        <v>599</v>
      </c>
      <c r="D26" s="99" t="s">
        <v>564</v>
      </c>
      <c r="E26" s="99" t="s">
        <v>600</v>
      </c>
      <c r="F26" s="92"/>
      <c r="G26" s="98" t="s">
        <v>594</v>
      </c>
      <c r="H26" s="99" t="s">
        <v>599</v>
      </c>
      <c r="I26" s="99" t="s">
        <v>564</v>
      </c>
      <c r="J26" s="99" t="s">
        <v>600</v>
      </c>
      <c r="K26" s="92"/>
      <c r="L26" s="92"/>
    </row>
    <row r="27" spans="1:12" x14ac:dyDescent="0.25">
      <c r="A27" s="92"/>
      <c r="B27" s="115">
        <f>C4</f>
        <v>2019</v>
      </c>
      <c r="C27" s="117">
        <f ca="1">COUNTIFS(TbRegistrosEntradas[Ano Competência],$B$27,TbRegistrosEntradas[Dias de Atraso],"&gt;0")</f>
        <v>20</v>
      </c>
      <c r="D27" s="117">
        <f ca="1">SUMIFS(TbRegistrosEntradas[Dias de Atraso],TbRegistrosEntradas[Ano Competência],$B$27,TbRegistrosEntradas[Dias de Atraso],"&gt;0")</f>
        <v>9112.6667089873517</v>
      </c>
      <c r="E27" s="117">
        <f ca="1">D27/C27</f>
        <v>455.63333544936756</v>
      </c>
      <c r="F27" s="92"/>
      <c r="G27" s="115">
        <f>C4</f>
        <v>2019</v>
      </c>
      <c r="H27" s="117">
        <f ca="1">COUNTIFS(TbRegistrosSaídas[Ano Competência],$G$27,TbRegistrosSaídas[Dias de Atraso],"&gt;0")</f>
        <v>16</v>
      </c>
      <c r="I27" s="117">
        <f ca="1">SUMIFS(TbRegistrosSaídas[Dias de Atraso],TbRegistrosSaídas[Ano Competência],$G$27,TbRegistrosSaídas[Dias de Atraso],"&gt;0")</f>
        <v>5631.370236028175</v>
      </c>
      <c r="J27" s="117">
        <f ca="1">I27/H27</f>
        <v>351.96063975176094</v>
      </c>
      <c r="K27" s="92"/>
      <c r="L27" s="92"/>
    </row>
    <row r="28" spans="1:12" x14ac:dyDescent="0.25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</row>
    <row r="29" spans="1:12" x14ac:dyDescent="0.25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</row>
    <row r="30" spans="1:12" x14ac:dyDescent="0.25">
      <c r="A30" s="92"/>
      <c r="B30" s="94" t="s">
        <v>601</v>
      </c>
      <c r="C30" s="92"/>
      <c r="D30" s="92"/>
      <c r="E30" s="92"/>
      <c r="F30" s="92"/>
      <c r="G30" s="94" t="s">
        <v>602</v>
      </c>
      <c r="H30" s="118">
        <f>C4</f>
        <v>2019</v>
      </c>
      <c r="I30" s="92"/>
      <c r="J30" s="92"/>
      <c r="K30" s="92"/>
      <c r="L30" s="92"/>
    </row>
    <row r="31" spans="1:12" x14ac:dyDescent="0.25">
      <c r="A31" s="92"/>
      <c r="B31" s="119" t="s">
        <v>594</v>
      </c>
      <c r="C31" s="103" t="s">
        <v>579</v>
      </c>
      <c r="D31" s="103" t="s">
        <v>581</v>
      </c>
      <c r="E31" s="103" t="s">
        <v>603</v>
      </c>
      <c r="F31" s="92"/>
      <c r="G31" s="98" t="s">
        <v>571</v>
      </c>
      <c r="H31" s="120" t="str">
        <f>DashBoardFinanceiroAnual!K14</f>
        <v>Som e imagem</v>
      </c>
      <c r="I31" s="92"/>
      <c r="J31" s="92"/>
      <c r="K31" s="92"/>
      <c r="L31" s="92"/>
    </row>
    <row r="32" spans="1:12" x14ac:dyDescent="0.25">
      <c r="A32" s="92"/>
      <c r="B32" s="137">
        <f>C4</f>
        <v>2019</v>
      </c>
      <c r="C32" s="121">
        <f>SUMIFS(TbRegistrosEntradas[Valor],TbRegistrosEntradas[Ano Competência],$B$32)</f>
        <v>130659</v>
      </c>
      <c r="D32" s="121">
        <f>SUMIFS(TbRegistrosSaídas[Valor],TbRegistrosSaídas[Ano Competência],$B$32)</f>
        <v>169790</v>
      </c>
      <c r="E32" s="122">
        <f>C32-D32</f>
        <v>-39131</v>
      </c>
      <c r="F32" s="92"/>
      <c r="G32" s="92">
        <v>1</v>
      </c>
      <c r="H32" s="104">
        <f>SUMIFS(TbRegistrosSaídas[Valor],TbRegistrosSaídas[Mês Competência],$G32,TbRegistrosSaídas[Ano Competência],$H$30,TbRegistrosSaídas[Conta Nível 2],$H$31)</f>
        <v>10994</v>
      </c>
      <c r="I32" s="92"/>
      <c r="J32" s="92"/>
      <c r="K32" s="92"/>
      <c r="L32" s="92"/>
    </row>
    <row r="33" spans="1:12" x14ac:dyDescent="0.25">
      <c r="A33" s="92"/>
      <c r="B33" s="92"/>
      <c r="C33" s="92"/>
      <c r="D33" s="92"/>
      <c r="E33" s="92"/>
      <c r="F33" s="92"/>
      <c r="G33" s="92">
        <v>2</v>
      </c>
      <c r="H33" s="104">
        <f>SUMIFS(TbRegistrosSaídas[Valor],TbRegistrosSaídas[Mês Competência],$G33,TbRegistrosSaídas[Ano Competência],$H$30,TbRegistrosSaídas[Conta Nível 2],$H$31)</f>
        <v>4148</v>
      </c>
      <c r="I33" s="92"/>
      <c r="J33" s="92"/>
      <c r="K33" s="92"/>
      <c r="L33" s="92"/>
    </row>
    <row r="34" spans="1:12" x14ac:dyDescent="0.25">
      <c r="A34" s="92"/>
      <c r="B34" s="92"/>
      <c r="C34" s="92"/>
      <c r="D34" s="92"/>
      <c r="E34" s="92"/>
      <c r="F34" s="92"/>
      <c r="G34" s="92">
        <v>3</v>
      </c>
      <c r="H34" s="104">
        <f>SUMIFS(TbRegistrosSaídas[Valor],TbRegistrosSaídas[Mês Competência],$G34,TbRegistrosSaídas[Ano Competência],$H$30,TbRegistrosSaídas[Conta Nível 2],$H$31)</f>
        <v>9064</v>
      </c>
      <c r="I34" s="92"/>
      <c r="J34" s="92"/>
      <c r="K34" s="92"/>
      <c r="L34" s="92"/>
    </row>
    <row r="35" spans="1:12" x14ac:dyDescent="0.25">
      <c r="A35" s="92"/>
      <c r="B35" s="92"/>
      <c r="C35" s="92"/>
      <c r="D35" s="92"/>
      <c r="E35" s="92"/>
      <c r="F35" s="92"/>
      <c r="G35" s="92">
        <v>4</v>
      </c>
      <c r="H35" s="104">
        <f>SUMIFS(TbRegistrosSaídas[Valor],TbRegistrosSaídas[Mês Competência],$G35,TbRegistrosSaídas[Ano Competência],$H$30,TbRegistrosSaídas[Conta Nível 2],$H$31)</f>
        <v>0</v>
      </c>
      <c r="I35" s="92"/>
      <c r="J35" s="92"/>
      <c r="K35" s="92"/>
      <c r="L35" s="92"/>
    </row>
    <row r="36" spans="1:12" x14ac:dyDescent="0.25">
      <c r="A36" s="92"/>
      <c r="B36" s="92"/>
      <c r="C36" s="92"/>
      <c r="D36" s="92"/>
      <c r="E36" s="92"/>
      <c r="F36" s="92"/>
      <c r="G36" s="92">
        <v>5</v>
      </c>
      <c r="H36" s="104">
        <f>SUMIFS(TbRegistrosSaídas[Valor],TbRegistrosSaídas[Mês Competência],$G36,TbRegistrosSaídas[Ano Competência],$H$30,TbRegistrosSaídas[Conta Nível 2],$H$31)</f>
        <v>4597</v>
      </c>
      <c r="I36" s="92"/>
      <c r="J36" s="92"/>
      <c r="K36" s="92"/>
      <c r="L36" s="92"/>
    </row>
    <row r="37" spans="1:12" x14ac:dyDescent="0.25">
      <c r="A37" s="92"/>
      <c r="B37" s="92"/>
      <c r="C37" s="92"/>
      <c r="D37" s="92"/>
      <c r="E37" s="92"/>
      <c r="F37" s="92"/>
      <c r="G37" s="92">
        <v>6</v>
      </c>
      <c r="H37" s="104">
        <f>SUMIFS(TbRegistrosSaídas[Valor],TbRegistrosSaídas[Mês Competência],$G37,TbRegistrosSaídas[Ano Competência],$H$30,TbRegistrosSaídas[Conta Nível 2],$H$31)</f>
        <v>11515</v>
      </c>
      <c r="I37" s="92"/>
      <c r="J37" s="92"/>
      <c r="K37" s="92"/>
      <c r="L37" s="92"/>
    </row>
    <row r="38" spans="1:12" x14ac:dyDescent="0.25">
      <c r="A38" s="92"/>
      <c r="B38" s="92"/>
      <c r="C38" s="92"/>
      <c r="D38" s="92"/>
      <c r="E38" s="92"/>
      <c r="F38" s="92"/>
      <c r="G38" s="92">
        <v>7</v>
      </c>
      <c r="H38" s="104">
        <f>SUMIFS(TbRegistrosSaídas[Valor],TbRegistrosSaídas[Mês Competência],$G38,TbRegistrosSaídas[Ano Competência],$H$30,TbRegistrosSaídas[Conta Nível 2],$H$31)</f>
        <v>0</v>
      </c>
      <c r="I38" s="92"/>
      <c r="J38" s="92"/>
      <c r="K38" s="92"/>
      <c r="L38" s="92"/>
    </row>
    <row r="39" spans="1:12" x14ac:dyDescent="0.25">
      <c r="A39" s="92"/>
      <c r="B39" s="92"/>
      <c r="C39" s="92"/>
      <c r="D39" s="92"/>
      <c r="E39" s="92"/>
      <c r="F39" s="92"/>
      <c r="G39" s="92">
        <v>8</v>
      </c>
      <c r="H39" s="104">
        <f>SUMIFS(TbRegistrosSaídas[Valor],TbRegistrosSaídas[Mês Competência],$G39,TbRegistrosSaídas[Ano Competência],$H$30,TbRegistrosSaídas[Conta Nível 2],$H$31)</f>
        <v>0</v>
      </c>
      <c r="I39" s="92"/>
      <c r="J39" s="92"/>
      <c r="K39" s="92"/>
      <c r="L39" s="92"/>
    </row>
    <row r="40" spans="1:12" x14ac:dyDescent="0.25">
      <c r="A40" s="92"/>
      <c r="B40" s="92"/>
      <c r="C40" s="92"/>
      <c r="D40" s="92"/>
      <c r="E40" s="92"/>
      <c r="F40" s="92"/>
      <c r="G40" s="92">
        <v>9</v>
      </c>
      <c r="H40" s="104">
        <f>SUMIFS(TbRegistrosSaídas[Valor],TbRegistrosSaídas[Mês Competência],$G40,TbRegistrosSaídas[Ano Competência],$H$30,TbRegistrosSaídas[Conta Nível 2],$H$31)</f>
        <v>0</v>
      </c>
      <c r="I40" s="92"/>
      <c r="J40" s="92"/>
      <c r="K40" s="92"/>
      <c r="L40" s="92"/>
    </row>
    <row r="41" spans="1:12" x14ac:dyDescent="0.25">
      <c r="A41" s="92"/>
      <c r="B41" s="92"/>
      <c r="C41" s="92"/>
      <c r="D41" s="92"/>
      <c r="E41" s="92"/>
      <c r="F41" s="92"/>
      <c r="G41" s="92">
        <v>10</v>
      </c>
      <c r="H41" s="104">
        <f>SUMIFS(TbRegistrosSaídas[Valor],TbRegistrosSaídas[Mês Competência],$G41,TbRegistrosSaídas[Ano Competência],$H$30,TbRegistrosSaídas[Conta Nível 2],$H$31)</f>
        <v>0</v>
      </c>
      <c r="I41" s="92"/>
      <c r="J41" s="92"/>
      <c r="K41" s="92"/>
      <c r="L41" s="92"/>
    </row>
    <row r="42" spans="1:12" x14ac:dyDescent="0.25">
      <c r="A42" s="92"/>
      <c r="B42" s="92"/>
      <c r="C42" s="92"/>
      <c r="D42" s="92"/>
      <c r="E42" s="92"/>
      <c r="F42" s="92"/>
      <c r="G42" s="92">
        <v>11</v>
      </c>
      <c r="H42" s="104">
        <f>SUMIFS(TbRegistrosSaídas[Valor],TbRegistrosSaídas[Mês Competência],$G42,TbRegistrosSaídas[Ano Competência],$H$30,TbRegistrosSaídas[Conta Nível 2],$H$31)</f>
        <v>0</v>
      </c>
      <c r="I42" s="92"/>
      <c r="J42" s="92"/>
      <c r="K42" s="92"/>
      <c r="L42" s="92"/>
    </row>
    <row r="43" spans="1:12" x14ac:dyDescent="0.25">
      <c r="A43" s="92"/>
      <c r="B43" s="92"/>
      <c r="C43" s="92"/>
      <c r="D43" s="92"/>
      <c r="E43" s="92"/>
      <c r="F43" s="92"/>
      <c r="G43" s="107">
        <v>12</v>
      </c>
      <c r="H43" s="112">
        <f>SUMIFS(TbRegistrosSaídas[Valor],TbRegistrosSaídas[Mês Competência],$G43,TbRegistrosSaídas[Ano Competência],$H$30,TbRegistrosSaídas[Conta Nível 2],$H$31)</f>
        <v>0</v>
      </c>
      <c r="I43" s="92"/>
      <c r="J43" s="92"/>
      <c r="K43" s="92"/>
      <c r="L43" s="92"/>
    </row>
    <row r="44" spans="1:12" x14ac:dyDescent="0.25">
      <c r="A44" s="92"/>
      <c r="B44" s="92"/>
      <c r="C44" s="92"/>
      <c r="D44" s="92"/>
      <c r="E44" s="92"/>
      <c r="F44" s="92"/>
      <c r="G44" s="98" t="s">
        <v>556</v>
      </c>
      <c r="H44" s="123">
        <f>SUM(H32:H43)</f>
        <v>40318</v>
      </c>
      <c r="I44" s="92"/>
      <c r="J44" s="92"/>
      <c r="K44" s="92"/>
      <c r="L44" s="92"/>
    </row>
    <row r="45" spans="1:12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</row>
    <row r="46" spans="1:12" x14ac:dyDescent="0.25">
      <c r="A46" s="92"/>
      <c r="G46" s="92"/>
      <c r="H46" s="92"/>
      <c r="I46" s="92"/>
      <c r="J46" s="92"/>
    </row>
  </sheetData>
  <conditionalFormatting sqref="C11">
    <cfRule type="cellIs" dxfId="2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7" sqref="B7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2.710937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showGridLines="0" workbookViewId="0">
      <pane ySplit="4" topLeftCell="A5" activePane="bottomLeft" state="frozen"/>
      <selection pane="bottomLeft" activeCell="D19" sqref="D19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2.710937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24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7" t="s">
        <v>35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19</v>
      </c>
    </row>
    <row r="6" spans="2:14" ht="20.100000000000001" customHeight="1" x14ac:dyDescent="0.25">
      <c r="B6" t="s">
        <v>20</v>
      </c>
    </row>
    <row r="7" spans="2:14" ht="20.100000000000001" customHeight="1" x14ac:dyDescent="0.25">
      <c r="B7" t="s">
        <v>21</v>
      </c>
    </row>
    <row r="8" spans="2:14" ht="20.100000000000001" customHeight="1" x14ac:dyDescent="0.25">
      <c r="B8" t="s">
        <v>22</v>
      </c>
    </row>
    <row r="9" spans="2:14" ht="20.100000000000001" customHeight="1" x14ac:dyDescent="0.25">
      <c r="B9" t="s">
        <v>23</v>
      </c>
    </row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" sqref="B1"/>
    </sheetView>
  </sheetViews>
  <sheetFormatPr defaultColWidth="0" defaultRowHeight="15" x14ac:dyDescent="0.25"/>
  <cols>
    <col min="1" max="1" width="2.85546875" customWidth="1"/>
    <col min="2" max="3" width="40.7109375" customWidth="1"/>
    <col min="4" max="4" width="10.28515625" customWidth="1"/>
    <col min="5" max="5" width="10" customWidth="1"/>
    <col min="6" max="14" width="10.14062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39.950000000000003" customHeight="1" x14ac:dyDescent="0.25">
      <c r="B2" s="9"/>
      <c r="C2" s="9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30" t="s">
        <v>36</v>
      </c>
      <c r="C3" s="13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18</v>
      </c>
      <c r="C4" s="8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19</v>
      </c>
      <c r="C5" t="s">
        <v>27</v>
      </c>
    </row>
    <row r="6" spans="2:14" ht="20.100000000000001" customHeight="1" x14ac:dyDescent="0.25">
      <c r="B6" t="s">
        <v>26</v>
      </c>
      <c r="C6" t="s">
        <v>28</v>
      </c>
    </row>
    <row r="7" spans="2:14" ht="20.100000000000001" customHeight="1" x14ac:dyDescent="0.25">
      <c r="B7" t="s">
        <v>22</v>
      </c>
      <c r="C7" t="s">
        <v>29</v>
      </c>
    </row>
    <row r="8" spans="2:14" ht="20.100000000000001" customHeight="1" x14ac:dyDescent="0.25">
      <c r="B8" t="s">
        <v>23</v>
      </c>
      <c r="C8" t="s">
        <v>30</v>
      </c>
    </row>
    <row r="9" spans="2:14" ht="20.100000000000001" customHeight="1" x14ac:dyDescent="0.25">
      <c r="B9" t="s">
        <v>23</v>
      </c>
      <c r="C9" t="s">
        <v>31</v>
      </c>
    </row>
    <row r="10" spans="2:14" ht="20.100000000000001" customHeight="1" x14ac:dyDescent="0.25">
      <c r="B10" t="s">
        <v>23</v>
      </c>
      <c r="C10" t="s">
        <v>32</v>
      </c>
    </row>
    <row r="11" spans="2:14" ht="20.100000000000001" customHeight="1" x14ac:dyDescent="0.25">
      <c r="B11" t="s">
        <v>23</v>
      </c>
      <c r="C11" t="s">
        <v>33</v>
      </c>
    </row>
    <row r="12" spans="2:14" ht="20.100000000000001" customHeight="1" x14ac:dyDescent="0.25">
      <c r="B12" t="s">
        <v>23</v>
      </c>
      <c r="C12" t="s">
        <v>34</v>
      </c>
    </row>
    <row r="13" spans="2:14" ht="20.100000000000001" customHeight="1" x14ac:dyDescent="0.25">
      <c r="B13" t="s">
        <v>20</v>
      </c>
      <c r="C13" t="s">
        <v>59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showInputMessage="1" showErrorMessage="1" errorTitle="Erro" error="A categoria informada é inválida, favor selecionar uma da lista." promptTitle="PC Entrada Nível 1" prompt="Favor selecionar uma categoria do plano de contas nível 1." sqref="B5:B13">
      <formula1>PCEntradasN1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ignoredErrors>
    <ignoredError sqref="B5:B7" listDataValidation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showGridLines="0" workbookViewId="0">
      <pane ySplit="4" topLeftCell="A5" activePane="bottomLeft" state="frozen"/>
      <selection pane="bottomLeft" activeCell="B1" sqref="B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2.710937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0" t="s">
        <v>37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18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43</v>
      </c>
    </row>
    <row r="6" spans="2:14" ht="20.100000000000001" customHeight="1" x14ac:dyDescent="0.25">
      <c r="B6" t="s">
        <v>38</v>
      </c>
    </row>
    <row r="7" spans="2:14" ht="20.100000000000001" customHeight="1" x14ac:dyDescent="0.25">
      <c r="B7" t="s">
        <v>39</v>
      </c>
    </row>
    <row r="8" spans="2:14" ht="20.100000000000001" customHeight="1" x14ac:dyDescent="0.25">
      <c r="B8" t="s">
        <v>51</v>
      </c>
    </row>
    <row r="9" spans="2:14" ht="20.100000000000001" customHeight="1" x14ac:dyDescent="0.25">
      <c r="B9" t="s">
        <v>40</v>
      </c>
    </row>
    <row r="10" spans="2:14" ht="20.100000000000001" customHeight="1" x14ac:dyDescent="0.25">
      <c r="B10" t="s">
        <v>41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  <row r="18" ht="20.100000000000001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showGridLines="0" workbookViewId="0">
      <pane ySplit="4" topLeftCell="A5" activePane="bottomLeft" state="frozen"/>
      <selection pane="bottomLeft" activeCell="D32" sqref="D32"/>
    </sheetView>
  </sheetViews>
  <sheetFormatPr defaultColWidth="0" defaultRowHeight="15" x14ac:dyDescent="0.25"/>
  <cols>
    <col min="1" max="1" width="2.85546875" customWidth="1"/>
    <col min="2" max="3" width="40.7109375" customWidth="1"/>
    <col min="4" max="4" width="10.28515625" customWidth="1"/>
    <col min="5" max="5" width="10" customWidth="1"/>
    <col min="6" max="14" width="10.14062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2:14" ht="39.950000000000003" customHeight="1" x14ac:dyDescent="0.25">
      <c r="B2" s="9"/>
      <c r="C2" s="9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130" t="s">
        <v>42</v>
      </c>
      <c r="C3" s="130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8" t="s">
        <v>18</v>
      </c>
      <c r="C4" s="8" t="s">
        <v>25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B5" t="s">
        <v>43</v>
      </c>
      <c r="C5" t="s">
        <v>30</v>
      </c>
    </row>
    <row r="6" spans="2:14" ht="20.100000000000001" customHeight="1" x14ac:dyDescent="0.25">
      <c r="B6" t="s">
        <v>43</v>
      </c>
      <c r="C6" t="s">
        <v>31</v>
      </c>
    </row>
    <row r="7" spans="2:14" ht="20.100000000000001" customHeight="1" x14ac:dyDescent="0.25">
      <c r="B7" t="s">
        <v>43</v>
      </c>
      <c r="C7" t="s">
        <v>32</v>
      </c>
    </row>
    <row r="8" spans="2:14" ht="20.100000000000001" customHeight="1" x14ac:dyDescent="0.25">
      <c r="B8" t="s">
        <v>43</v>
      </c>
      <c r="C8" t="s">
        <v>34</v>
      </c>
    </row>
    <row r="9" spans="2:14" ht="20.100000000000001" customHeight="1" x14ac:dyDescent="0.25">
      <c r="B9" t="s">
        <v>43</v>
      </c>
      <c r="C9" t="s">
        <v>44</v>
      </c>
    </row>
    <row r="10" spans="2:14" ht="20.100000000000001" customHeight="1" x14ac:dyDescent="0.25">
      <c r="B10" t="s">
        <v>38</v>
      </c>
      <c r="C10" t="s">
        <v>45</v>
      </c>
    </row>
    <row r="11" spans="2:14" ht="20.100000000000001" customHeight="1" x14ac:dyDescent="0.25">
      <c r="B11" t="s">
        <v>38</v>
      </c>
      <c r="C11" t="s">
        <v>46</v>
      </c>
    </row>
    <row r="12" spans="2:14" ht="20.100000000000001" customHeight="1" x14ac:dyDescent="0.25">
      <c r="B12" t="s">
        <v>39</v>
      </c>
      <c r="C12" t="s">
        <v>47</v>
      </c>
    </row>
    <row r="13" spans="2:14" ht="20.100000000000001" customHeight="1" x14ac:dyDescent="0.25">
      <c r="B13" t="s">
        <v>39</v>
      </c>
      <c r="C13" t="s">
        <v>48</v>
      </c>
    </row>
    <row r="14" spans="2:14" ht="20.100000000000001" customHeight="1" x14ac:dyDescent="0.25">
      <c r="B14" t="s">
        <v>51</v>
      </c>
      <c r="C14" t="s">
        <v>49</v>
      </c>
    </row>
    <row r="15" spans="2:14" ht="20.100000000000001" customHeight="1" x14ac:dyDescent="0.25">
      <c r="B15" t="s">
        <v>40</v>
      </c>
      <c r="C15" t="s">
        <v>50</v>
      </c>
    </row>
    <row r="16" spans="2:14" ht="20.100000000000001" customHeight="1" x14ac:dyDescent="0.25">
      <c r="B16" t="s">
        <v>41</v>
      </c>
      <c r="C16" t="s">
        <v>59</v>
      </c>
    </row>
    <row r="17" ht="20.100000000000001" customHeight="1" x14ac:dyDescent="0.25"/>
    <row r="18" ht="20.100000000000001" customHeight="1" x14ac:dyDescent="0.25"/>
    <row r="19" ht="20.100000000000001" customHeight="1" x14ac:dyDescent="0.25"/>
    <row r="20" ht="20.100000000000001" customHeight="1" x14ac:dyDescent="0.25"/>
  </sheetData>
  <mergeCells count="1">
    <mergeCell ref="B3:C3"/>
  </mergeCells>
  <dataValidations count="1">
    <dataValidation type="list" showInputMessage="1" showErrorMessage="1" errorTitle="Erro" error="A categoria informada é inválida, favor selecionar uma da lista." promptTitle="PC Saída Nível 1" prompt="Favor selecionar uma categoria do plano de contas de saída nível 1." sqref="B5:B16">
      <formula1>PCSaídasN1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34"/>
  <sheetViews>
    <sheetView showGridLines="0" workbookViewId="0">
      <pane ySplit="3" topLeftCell="A14" activePane="bottomLeft" state="frozen"/>
      <selection pane="bottomLeft" activeCell="G20" sqref="G20"/>
    </sheetView>
  </sheetViews>
  <sheetFormatPr defaultColWidth="0" defaultRowHeight="15" x14ac:dyDescent="0.25"/>
  <cols>
    <col min="1" max="1" width="2.85546875" customWidth="1"/>
    <col min="2" max="2" width="24" customWidth="1"/>
    <col min="3" max="3" width="21.85546875" customWidth="1"/>
    <col min="4" max="4" width="22.7109375" customWidth="1"/>
    <col min="5" max="5" width="47.42578125" customWidth="1"/>
    <col min="6" max="6" width="36.28515625" customWidth="1"/>
    <col min="7" max="7" width="48.5703125" customWidth="1"/>
    <col min="8" max="8" width="18.7109375" customWidth="1"/>
    <col min="9" max="14" width="16.7109375" hidden="1" customWidth="1"/>
    <col min="15" max="15" width="14.42578125" hidden="1" customWidth="1"/>
    <col min="16" max="17" width="0" hidden="1" customWidth="1"/>
    <col min="18" max="16384" width="12.42578125" hidden="1"/>
  </cols>
  <sheetData>
    <row r="1" spans="2:17" ht="39.950000000000003" customHeight="1" x14ac:dyDescent="0.25">
      <c r="B1" s="3"/>
      <c r="C1" s="1"/>
      <c r="D1" s="1"/>
      <c r="E1" s="1"/>
      <c r="F1" s="1"/>
      <c r="G1" s="1"/>
      <c r="H1" s="2" t="s">
        <v>10</v>
      </c>
      <c r="I1" s="17"/>
      <c r="J1" s="17"/>
    </row>
    <row r="2" spans="2:17" ht="39.950000000000003" customHeight="1" x14ac:dyDescent="0.25">
      <c r="B2" s="5"/>
      <c r="C2" s="5"/>
      <c r="D2" s="5"/>
      <c r="E2" s="129"/>
      <c r="F2" s="5"/>
      <c r="G2" s="5"/>
      <c r="H2" s="5"/>
      <c r="I2" s="17"/>
      <c r="J2" s="17"/>
    </row>
    <row r="3" spans="2:17" ht="40.5" customHeight="1" x14ac:dyDescent="0.25">
      <c r="B3" s="14" t="s">
        <v>52</v>
      </c>
      <c r="C3" s="14" t="s">
        <v>53</v>
      </c>
      <c r="D3" s="14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537</v>
      </c>
      <c r="J3" s="11" t="s">
        <v>538</v>
      </c>
      <c r="K3" s="11" t="s">
        <v>539</v>
      </c>
      <c r="L3" s="11" t="s">
        <v>540</v>
      </c>
      <c r="M3" s="11" t="s">
        <v>546</v>
      </c>
      <c r="N3" s="11" t="s">
        <v>547</v>
      </c>
      <c r="O3" s="11" t="s">
        <v>549</v>
      </c>
      <c r="P3" s="11" t="s">
        <v>606</v>
      </c>
      <c r="Q3" s="11" t="s">
        <v>607</v>
      </c>
    </row>
    <row r="4" spans="2:17" ht="20.100000000000001" customHeight="1" x14ac:dyDescent="0.25">
      <c r="B4" s="15">
        <v>42994</v>
      </c>
      <c r="C4" s="15">
        <v>42957</v>
      </c>
      <c r="D4" s="15">
        <v>43310</v>
      </c>
      <c r="E4" t="s">
        <v>23</v>
      </c>
      <c r="F4" t="s">
        <v>31</v>
      </c>
      <c r="G4" s="13" t="s">
        <v>60</v>
      </c>
      <c r="H4" s="16">
        <v>1133</v>
      </c>
      <c r="I4">
        <f>IF(TbRegistrosEntradas[[#This Row],[Data do Caixa Realizado]]="",0,MONTH(TbRegistrosEntradas[[#This Row],[Data do Caixa Realizado]]))</f>
        <v>9</v>
      </c>
      <c r="J4">
        <f>IF(TbRegistrosEntradas[[#This Row],[Data do Caixa Realizado]]="",0,YEAR(TbRegistrosEntradas[[#This Row],[Data do Caixa Realizado]]))</f>
        <v>2017</v>
      </c>
      <c r="K4">
        <f>IF(TbRegistrosEntradas[[#This Row],[Data da Competência]]="",0,MONTH(TbRegistrosEntradas[[#This Row],[Data da Competência]]))</f>
        <v>8</v>
      </c>
      <c r="L4">
        <f>IF(TbRegistrosEntradas[[#This Row],[Data da Competência]]="",0,YEAR(TbRegistrosEntradas[[#This Row],[Data da Competência]]))</f>
        <v>2017</v>
      </c>
      <c r="M4" s="40">
        <f>IF(TbRegistrosEntradas[[#This Row],[Data do Caixa Previsto]]="",0,MONTH(TbRegistrosEntradas[[#This Row],[Data do Caixa Previsto]]))</f>
        <v>7</v>
      </c>
      <c r="N4" s="40">
        <f>IF(TbRegistrosEntradas[[#This Row],[Data do Caixa Previsto]]="",0,YEAR(TbRegistrosEntradas[[#This Row],[Data do Caixa Previsto]]))</f>
        <v>2018</v>
      </c>
      <c r="O4" s="40" t="str">
        <f ca="1">IF(AND(TbRegistrosEntradas[[#This Row],[Data do Caixa Previsto]]&lt;TODAY(),TbRegistrosEntradas[[#This Row],[Data do Caixa Realizado]]=""),"Vencida","Não vencida")</f>
        <v>Não vencida</v>
      </c>
      <c r="P4" s="40" t="str">
        <f>IF(TbRegistrosEntradas[[#This Row],[Data da Competência]]=TbRegistrosEntradas[[#This Row],[Data do Caixa Previsto]],"Vista","Prazo")</f>
        <v>Prazo</v>
      </c>
      <c r="Q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5" spans="2:17" ht="20.100000000000001" customHeight="1" x14ac:dyDescent="0.25">
      <c r="B5" s="15">
        <v>42985</v>
      </c>
      <c r="C5" s="15">
        <v>42960</v>
      </c>
      <c r="D5" s="15">
        <v>43309</v>
      </c>
      <c r="E5" t="s">
        <v>23</v>
      </c>
      <c r="F5" t="s">
        <v>33</v>
      </c>
      <c r="G5" s="13" t="s">
        <v>61</v>
      </c>
      <c r="H5" s="16">
        <v>164</v>
      </c>
      <c r="I5">
        <f>IF(TbRegistrosEntradas[[#This Row],[Data do Caixa Realizado]]="",0,MONTH(TbRegistrosEntradas[[#This Row],[Data do Caixa Realizado]]))</f>
        <v>9</v>
      </c>
      <c r="J5">
        <f>IF(TbRegistrosEntradas[[#This Row],[Data do Caixa Realizado]]="",0,YEAR(TbRegistrosEntradas[[#This Row],[Data do Caixa Realizado]]))</f>
        <v>2017</v>
      </c>
      <c r="K5">
        <f>IF(TbRegistrosEntradas[[#This Row],[Data da Competência]]="",0,MONTH(TbRegistrosEntradas[[#This Row],[Data da Competência]]))</f>
        <v>8</v>
      </c>
      <c r="L5">
        <f>IF(TbRegistrosEntradas[[#This Row],[Data da Competência]]="",0,YEAR(TbRegistrosEntradas[[#This Row],[Data da Competência]]))</f>
        <v>2017</v>
      </c>
      <c r="M5" s="40">
        <f>IF(TbRegistrosEntradas[[#This Row],[Data do Caixa Previsto]]="",0,MONTH(TbRegistrosEntradas[[#This Row],[Data do Caixa Previsto]]))</f>
        <v>7</v>
      </c>
      <c r="N5" s="40">
        <f>IF(TbRegistrosEntradas[[#This Row],[Data do Caixa Previsto]]="",0,YEAR(TbRegistrosEntradas[[#This Row],[Data do Caixa Previsto]]))</f>
        <v>2018</v>
      </c>
      <c r="O5" s="40" t="str">
        <f ca="1">IF(AND(TbRegistrosEntradas[[#This Row],[Data do Caixa Previsto]]&lt;TODAY(),TbRegistrosEntradas[[#This Row],[Data do Caixa Realizado]]=""),"Vencida","Não vencida")</f>
        <v>Não vencida</v>
      </c>
      <c r="P5" s="40" t="str">
        <f>IF(TbRegistrosEntradas[[#This Row],[Data da Competência]]=TbRegistrosEntradas[[#This Row],[Data do Caixa Previsto]],"Vista","Prazo")</f>
        <v>Prazo</v>
      </c>
      <c r="Q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6" spans="2:17" ht="20.100000000000001" customHeight="1" x14ac:dyDescent="0.25">
      <c r="B6" s="15">
        <v>43007</v>
      </c>
      <c r="C6" s="15">
        <v>42964</v>
      </c>
      <c r="D6" s="15">
        <v>43313</v>
      </c>
      <c r="E6" t="s">
        <v>23</v>
      </c>
      <c r="F6" t="s">
        <v>33</v>
      </c>
      <c r="G6" s="13" t="s">
        <v>62</v>
      </c>
      <c r="H6" s="16">
        <v>2937</v>
      </c>
      <c r="I6">
        <f>IF(TbRegistrosEntradas[[#This Row],[Data do Caixa Realizado]]="",0,MONTH(TbRegistrosEntradas[[#This Row],[Data do Caixa Realizado]]))</f>
        <v>9</v>
      </c>
      <c r="J6">
        <f>IF(TbRegistrosEntradas[[#This Row],[Data do Caixa Realizado]]="",0,YEAR(TbRegistrosEntradas[[#This Row],[Data do Caixa Realizado]]))</f>
        <v>2017</v>
      </c>
      <c r="K6">
        <f>IF(TbRegistrosEntradas[[#This Row],[Data da Competência]]="",0,MONTH(TbRegistrosEntradas[[#This Row],[Data da Competência]]))</f>
        <v>8</v>
      </c>
      <c r="L6">
        <f>IF(TbRegistrosEntradas[[#This Row],[Data da Competência]]="",0,YEAR(TbRegistrosEntradas[[#This Row],[Data da Competência]]))</f>
        <v>2017</v>
      </c>
      <c r="M6" s="40">
        <f>IF(TbRegistrosEntradas[[#This Row],[Data do Caixa Previsto]]="",0,MONTH(TbRegistrosEntradas[[#This Row],[Data do Caixa Previsto]]))</f>
        <v>8</v>
      </c>
      <c r="N6" s="40">
        <f>IF(TbRegistrosEntradas[[#This Row],[Data do Caixa Previsto]]="",0,YEAR(TbRegistrosEntradas[[#This Row],[Data do Caixa Previsto]]))</f>
        <v>2018</v>
      </c>
      <c r="O6" s="40" t="str">
        <f ca="1">IF(AND(TbRegistrosEntradas[[#This Row],[Data do Caixa Previsto]]&lt;TODAY(),TbRegistrosEntradas[[#This Row],[Data do Caixa Realizado]]=""),"Vencida","Não vencida")</f>
        <v>Não vencida</v>
      </c>
      <c r="P6" s="40" t="str">
        <f>IF(TbRegistrosEntradas[[#This Row],[Data da Competência]]=TbRegistrosEntradas[[#This Row],[Data do Caixa Previsto]],"Vista","Prazo")</f>
        <v>Prazo</v>
      </c>
      <c r="Q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" spans="2:17" ht="20.100000000000001" customHeight="1" x14ac:dyDescent="0.25">
      <c r="B7" s="15">
        <v>43020</v>
      </c>
      <c r="C7" s="15">
        <v>42969</v>
      </c>
      <c r="D7" s="15">
        <v>43317</v>
      </c>
      <c r="E7" t="s">
        <v>23</v>
      </c>
      <c r="F7" t="s">
        <v>34</v>
      </c>
      <c r="G7" s="13" t="s">
        <v>63</v>
      </c>
      <c r="H7" s="16">
        <v>807</v>
      </c>
      <c r="I7">
        <f>IF(TbRegistrosEntradas[[#This Row],[Data do Caixa Realizado]]="",0,MONTH(TbRegistrosEntradas[[#This Row],[Data do Caixa Realizado]]))</f>
        <v>10</v>
      </c>
      <c r="J7">
        <f>IF(TbRegistrosEntradas[[#This Row],[Data do Caixa Realizado]]="",0,YEAR(TbRegistrosEntradas[[#This Row],[Data do Caixa Realizado]]))</f>
        <v>2017</v>
      </c>
      <c r="K7">
        <f>IF(TbRegistrosEntradas[[#This Row],[Data da Competência]]="",0,MONTH(TbRegistrosEntradas[[#This Row],[Data da Competência]]))</f>
        <v>8</v>
      </c>
      <c r="L7">
        <f>IF(TbRegistrosEntradas[[#This Row],[Data da Competência]]="",0,YEAR(TbRegistrosEntradas[[#This Row],[Data da Competência]]))</f>
        <v>2017</v>
      </c>
      <c r="M7" s="40">
        <f>IF(TbRegistrosEntradas[[#This Row],[Data do Caixa Previsto]]="",0,MONTH(TbRegistrosEntradas[[#This Row],[Data do Caixa Previsto]]))</f>
        <v>8</v>
      </c>
      <c r="N7" s="40">
        <f>IF(TbRegistrosEntradas[[#This Row],[Data do Caixa Previsto]]="",0,YEAR(TbRegistrosEntradas[[#This Row],[Data do Caixa Previsto]]))</f>
        <v>2018</v>
      </c>
      <c r="O7" s="40" t="str">
        <f ca="1">IF(AND(TbRegistrosEntradas[[#This Row],[Data do Caixa Previsto]]&lt;TODAY(),TbRegistrosEntradas[[#This Row],[Data do Caixa Realizado]]=""),"Vencida","Não vencida")</f>
        <v>Não vencida</v>
      </c>
      <c r="P7" s="40" t="str">
        <f>IF(TbRegistrosEntradas[[#This Row],[Data da Competência]]=TbRegistrosEntradas[[#This Row],[Data do Caixa Previsto]],"Vista","Prazo")</f>
        <v>Prazo</v>
      </c>
      <c r="Q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" spans="2:17" ht="20.100000000000001" customHeight="1" x14ac:dyDescent="0.25">
      <c r="B8" s="15">
        <v>43014</v>
      </c>
      <c r="C8" s="15">
        <v>42972</v>
      </c>
      <c r="D8" s="15">
        <v>43328</v>
      </c>
      <c r="E8" t="s">
        <v>23</v>
      </c>
      <c r="F8" t="s">
        <v>31</v>
      </c>
      <c r="G8" s="13" t="s">
        <v>64</v>
      </c>
      <c r="H8" s="16">
        <v>2612</v>
      </c>
      <c r="I8">
        <f>IF(TbRegistrosEntradas[[#This Row],[Data do Caixa Realizado]]="",0,MONTH(TbRegistrosEntradas[[#This Row],[Data do Caixa Realizado]]))</f>
        <v>10</v>
      </c>
      <c r="J8">
        <f>IF(TbRegistrosEntradas[[#This Row],[Data do Caixa Realizado]]="",0,YEAR(TbRegistrosEntradas[[#This Row],[Data do Caixa Realizado]]))</f>
        <v>2017</v>
      </c>
      <c r="K8">
        <f>IF(TbRegistrosEntradas[[#This Row],[Data da Competência]]="",0,MONTH(TbRegistrosEntradas[[#This Row],[Data da Competência]]))</f>
        <v>8</v>
      </c>
      <c r="L8">
        <f>IF(TbRegistrosEntradas[[#This Row],[Data da Competência]]="",0,YEAR(TbRegistrosEntradas[[#This Row],[Data da Competência]]))</f>
        <v>2017</v>
      </c>
      <c r="M8" s="40">
        <f>IF(TbRegistrosEntradas[[#This Row],[Data do Caixa Previsto]]="",0,MONTH(TbRegistrosEntradas[[#This Row],[Data do Caixa Previsto]]))</f>
        <v>8</v>
      </c>
      <c r="N8" s="40">
        <f>IF(TbRegistrosEntradas[[#This Row],[Data do Caixa Previsto]]="",0,YEAR(TbRegistrosEntradas[[#This Row],[Data do Caixa Previsto]]))</f>
        <v>2018</v>
      </c>
      <c r="O8" s="40" t="str">
        <f ca="1">IF(AND(TbRegistrosEntradas[[#This Row],[Data do Caixa Previsto]]&lt;TODAY(),TbRegistrosEntradas[[#This Row],[Data do Caixa Realizado]]=""),"Vencida","Não vencida")</f>
        <v>Não vencida</v>
      </c>
      <c r="P8" s="40" t="str">
        <f>IF(TbRegistrosEntradas[[#This Row],[Data da Competência]]=TbRegistrosEntradas[[#This Row],[Data do Caixa Previsto]],"Vista","Prazo")</f>
        <v>Prazo</v>
      </c>
      <c r="Q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" spans="2:17" ht="20.100000000000001" customHeight="1" x14ac:dyDescent="0.25">
      <c r="B9" s="15">
        <v>43054</v>
      </c>
      <c r="C9" s="15">
        <v>42974</v>
      </c>
      <c r="D9" s="15">
        <v>43310</v>
      </c>
      <c r="E9" t="s">
        <v>23</v>
      </c>
      <c r="F9" t="s">
        <v>33</v>
      </c>
      <c r="G9" s="13" t="s">
        <v>65</v>
      </c>
      <c r="H9" s="16">
        <v>2483</v>
      </c>
      <c r="I9">
        <f>IF(TbRegistrosEntradas[[#This Row],[Data do Caixa Realizado]]="",0,MONTH(TbRegistrosEntradas[[#This Row],[Data do Caixa Realizado]]))</f>
        <v>11</v>
      </c>
      <c r="J9">
        <f>IF(TbRegistrosEntradas[[#This Row],[Data do Caixa Realizado]]="",0,YEAR(TbRegistrosEntradas[[#This Row],[Data do Caixa Realizado]]))</f>
        <v>2017</v>
      </c>
      <c r="K9">
        <f>IF(TbRegistrosEntradas[[#This Row],[Data da Competência]]="",0,MONTH(TbRegistrosEntradas[[#This Row],[Data da Competência]]))</f>
        <v>8</v>
      </c>
      <c r="L9">
        <f>IF(TbRegistrosEntradas[[#This Row],[Data da Competência]]="",0,YEAR(TbRegistrosEntradas[[#This Row],[Data da Competência]]))</f>
        <v>2017</v>
      </c>
      <c r="M9" s="40">
        <f>IF(TbRegistrosEntradas[[#This Row],[Data do Caixa Previsto]]="",0,MONTH(TbRegistrosEntradas[[#This Row],[Data do Caixa Previsto]]))</f>
        <v>7</v>
      </c>
      <c r="N9" s="40">
        <f>IF(TbRegistrosEntradas[[#This Row],[Data do Caixa Previsto]]="",0,YEAR(TbRegistrosEntradas[[#This Row],[Data do Caixa Previsto]]))</f>
        <v>2018</v>
      </c>
      <c r="O9" s="40" t="str">
        <f ca="1">IF(AND(TbRegistrosEntradas[[#This Row],[Data do Caixa Previsto]]&lt;TODAY(),TbRegistrosEntradas[[#This Row],[Data do Caixa Realizado]]=""),"Vencida","Não vencida")</f>
        <v>Não vencida</v>
      </c>
      <c r="P9" s="40" t="str">
        <f>IF(TbRegistrosEntradas[[#This Row],[Data da Competência]]=TbRegistrosEntradas[[#This Row],[Data do Caixa Previsto]],"Vista","Prazo")</f>
        <v>Prazo</v>
      </c>
      <c r="Q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" spans="2:17" ht="20.100000000000001" customHeight="1" x14ac:dyDescent="0.25">
      <c r="B10" s="15">
        <v>43087</v>
      </c>
      <c r="C10" s="15">
        <v>42979</v>
      </c>
      <c r="D10" s="15">
        <v>43343</v>
      </c>
      <c r="E10" t="s">
        <v>23</v>
      </c>
      <c r="F10" t="s">
        <v>31</v>
      </c>
      <c r="G10" s="13" t="s">
        <v>66</v>
      </c>
      <c r="H10" s="16">
        <v>4387</v>
      </c>
      <c r="I10">
        <f>IF(TbRegistrosEntradas[[#This Row],[Data do Caixa Realizado]]="",0,MONTH(TbRegistrosEntradas[[#This Row],[Data do Caixa Realizado]]))</f>
        <v>12</v>
      </c>
      <c r="J10">
        <f>IF(TbRegistrosEntradas[[#This Row],[Data do Caixa Realizado]]="",0,YEAR(TbRegistrosEntradas[[#This Row],[Data do Caixa Realizado]]))</f>
        <v>2017</v>
      </c>
      <c r="K10">
        <f>IF(TbRegistrosEntradas[[#This Row],[Data da Competência]]="",0,MONTH(TbRegistrosEntradas[[#This Row],[Data da Competência]]))</f>
        <v>9</v>
      </c>
      <c r="L10">
        <f>IF(TbRegistrosEntradas[[#This Row],[Data da Competência]]="",0,YEAR(TbRegistrosEntradas[[#This Row],[Data da Competência]]))</f>
        <v>2017</v>
      </c>
      <c r="M10" s="40">
        <f>IF(TbRegistrosEntradas[[#This Row],[Data do Caixa Previsto]]="",0,MONTH(TbRegistrosEntradas[[#This Row],[Data do Caixa Previsto]]))</f>
        <v>8</v>
      </c>
      <c r="N10" s="40">
        <f>IF(TbRegistrosEntradas[[#This Row],[Data do Caixa Previsto]]="",0,YEAR(TbRegistrosEntradas[[#This Row],[Data do Caixa Previsto]]))</f>
        <v>2018</v>
      </c>
      <c r="O10" s="40" t="str">
        <f ca="1">IF(AND(TbRegistrosEntradas[[#This Row],[Data do Caixa Previsto]]&lt;TODAY(),TbRegistrosEntradas[[#This Row],[Data do Caixa Realizado]]=""),"Vencida","Não vencida")</f>
        <v>Não vencida</v>
      </c>
      <c r="P10" s="40" t="str">
        <f>IF(TbRegistrosEntradas[[#This Row],[Data da Competência]]=TbRegistrosEntradas[[#This Row],[Data do Caixa Previsto]],"Vista","Prazo")</f>
        <v>Prazo</v>
      </c>
      <c r="Q1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" spans="2:17" ht="20.100000000000001" customHeight="1" x14ac:dyDescent="0.25">
      <c r="B11" s="15">
        <v>43004</v>
      </c>
      <c r="C11" s="15">
        <v>42980</v>
      </c>
      <c r="D11" s="15">
        <v>43316</v>
      </c>
      <c r="E11" t="s">
        <v>23</v>
      </c>
      <c r="F11" t="s">
        <v>33</v>
      </c>
      <c r="G11" s="13" t="s">
        <v>67</v>
      </c>
      <c r="H11" s="16">
        <v>4268</v>
      </c>
      <c r="I11">
        <f>IF(TbRegistrosEntradas[[#This Row],[Data do Caixa Realizado]]="",0,MONTH(TbRegistrosEntradas[[#This Row],[Data do Caixa Realizado]]))</f>
        <v>9</v>
      </c>
      <c r="J11">
        <f>IF(TbRegistrosEntradas[[#This Row],[Data do Caixa Realizado]]="",0,YEAR(TbRegistrosEntradas[[#This Row],[Data do Caixa Realizado]]))</f>
        <v>2017</v>
      </c>
      <c r="K11">
        <f>IF(TbRegistrosEntradas[[#This Row],[Data da Competência]]="",0,MONTH(TbRegistrosEntradas[[#This Row],[Data da Competência]]))</f>
        <v>9</v>
      </c>
      <c r="L11">
        <f>IF(TbRegistrosEntradas[[#This Row],[Data da Competência]]="",0,YEAR(TbRegistrosEntradas[[#This Row],[Data da Competência]]))</f>
        <v>2017</v>
      </c>
      <c r="M11" s="40">
        <f>IF(TbRegistrosEntradas[[#This Row],[Data do Caixa Previsto]]="",0,MONTH(TbRegistrosEntradas[[#This Row],[Data do Caixa Previsto]]))</f>
        <v>8</v>
      </c>
      <c r="N11" s="40">
        <f>IF(TbRegistrosEntradas[[#This Row],[Data do Caixa Previsto]]="",0,YEAR(TbRegistrosEntradas[[#This Row],[Data do Caixa Previsto]]))</f>
        <v>2018</v>
      </c>
      <c r="O11" s="40" t="str">
        <f ca="1">IF(AND(TbRegistrosEntradas[[#This Row],[Data do Caixa Previsto]]&lt;TODAY(),TbRegistrosEntradas[[#This Row],[Data do Caixa Realizado]]=""),"Vencida","Não vencida")</f>
        <v>Não vencida</v>
      </c>
      <c r="P11" s="40" t="str">
        <f>IF(TbRegistrosEntradas[[#This Row],[Data da Competência]]=TbRegistrosEntradas[[#This Row],[Data do Caixa Previsto]],"Vista","Prazo")</f>
        <v>Prazo</v>
      </c>
      <c r="Q1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" spans="2:17" ht="20.100000000000001" customHeight="1" x14ac:dyDescent="0.25">
      <c r="B12" s="15">
        <v>43015</v>
      </c>
      <c r="C12" s="15">
        <v>42984</v>
      </c>
      <c r="D12" s="15">
        <v>43336</v>
      </c>
      <c r="E12" t="s">
        <v>23</v>
      </c>
      <c r="F12" t="s">
        <v>33</v>
      </c>
      <c r="G12" s="13" t="s">
        <v>68</v>
      </c>
      <c r="H12" s="16">
        <v>3761</v>
      </c>
      <c r="I12">
        <f>IF(TbRegistrosEntradas[[#This Row],[Data do Caixa Realizado]]="",0,MONTH(TbRegistrosEntradas[[#This Row],[Data do Caixa Realizado]]))</f>
        <v>10</v>
      </c>
      <c r="J12">
        <f>IF(TbRegistrosEntradas[[#This Row],[Data do Caixa Realizado]]="",0,YEAR(TbRegistrosEntradas[[#This Row],[Data do Caixa Realizado]]))</f>
        <v>2017</v>
      </c>
      <c r="K12">
        <f>IF(TbRegistrosEntradas[[#This Row],[Data da Competência]]="",0,MONTH(TbRegistrosEntradas[[#This Row],[Data da Competência]]))</f>
        <v>9</v>
      </c>
      <c r="L12">
        <f>IF(TbRegistrosEntradas[[#This Row],[Data da Competência]]="",0,YEAR(TbRegistrosEntradas[[#This Row],[Data da Competência]]))</f>
        <v>2017</v>
      </c>
      <c r="M12" s="40">
        <f>IF(TbRegistrosEntradas[[#This Row],[Data do Caixa Previsto]]="",0,MONTH(TbRegistrosEntradas[[#This Row],[Data do Caixa Previsto]]))</f>
        <v>8</v>
      </c>
      <c r="N12" s="40">
        <f>IF(TbRegistrosEntradas[[#This Row],[Data do Caixa Previsto]]="",0,YEAR(TbRegistrosEntradas[[#This Row],[Data do Caixa Previsto]]))</f>
        <v>2018</v>
      </c>
      <c r="O12" s="40" t="str">
        <f ca="1">IF(AND(TbRegistrosEntradas[[#This Row],[Data do Caixa Previsto]]&lt;TODAY(),TbRegistrosEntradas[[#This Row],[Data do Caixa Realizado]]=""),"Vencida","Não vencida")</f>
        <v>Não vencida</v>
      </c>
      <c r="P12" s="40" t="str">
        <f>IF(TbRegistrosEntradas[[#This Row],[Data da Competência]]=TbRegistrosEntradas[[#This Row],[Data do Caixa Previsto]],"Vista","Prazo")</f>
        <v>Prazo</v>
      </c>
      <c r="Q1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3" spans="2:17" ht="20.100000000000001" customHeight="1" x14ac:dyDescent="0.25">
      <c r="B13" s="15" t="s">
        <v>69</v>
      </c>
      <c r="C13" s="15">
        <v>42988</v>
      </c>
      <c r="D13" s="15">
        <v>43323</v>
      </c>
      <c r="E13" t="s">
        <v>23</v>
      </c>
      <c r="F13" t="s">
        <v>33</v>
      </c>
      <c r="G13" s="13" t="s">
        <v>70</v>
      </c>
      <c r="H13" s="16">
        <v>4983</v>
      </c>
      <c r="I13">
        <f>IF(TbRegistrosEntradas[[#This Row],[Data do Caixa Realizado]]="",0,MONTH(TbRegistrosEntradas[[#This Row],[Data do Caixa Realizado]]))</f>
        <v>0</v>
      </c>
      <c r="J13">
        <f>IF(TbRegistrosEntradas[[#This Row],[Data do Caixa Realizado]]="",0,YEAR(TbRegistrosEntradas[[#This Row],[Data do Caixa Realizado]]))</f>
        <v>0</v>
      </c>
      <c r="K13">
        <f>IF(TbRegistrosEntradas[[#This Row],[Data da Competência]]="",0,MONTH(TbRegistrosEntradas[[#This Row],[Data da Competência]]))</f>
        <v>9</v>
      </c>
      <c r="L13">
        <f>IF(TbRegistrosEntradas[[#This Row],[Data da Competência]]="",0,YEAR(TbRegistrosEntradas[[#This Row],[Data da Competência]]))</f>
        <v>2017</v>
      </c>
      <c r="M13" s="40">
        <f>IF(TbRegistrosEntradas[[#This Row],[Data do Caixa Previsto]]="",0,MONTH(TbRegistrosEntradas[[#This Row],[Data do Caixa Previsto]]))</f>
        <v>8</v>
      </c>
      <c r="N13" s="40">
        <f>IF(TbRegistrosEntradas[[#This Row],[Data do Caixa Previsto]]="",0,YEAR(TbRegistrosEntradas[[#This Row],[Data do Caixa Previsto]]))</f>
        <v>2018</v>
      </c>
      <c r="O13" s="40" t="str">
        <f ca="1">IF(AND(TbRegistrosEntradas[[#This Row],[Data do Caixa Previsto]]&lt;TODAY(),TbRegistrosEntradas[[#This Row],[Data do Caixa Realizado]]=""),"Vencida","Não vencida")</f>
        <v>Vencida</v>
      </c>
      <c r="P13" s="40" t="str">
        <f>IF(TbRegistrosEntradas[[#This Row],[Data da Competência]]=TbRegistrosEntradas[[#This Row],[Data do Caixa Previsto]],"Vista","Prazo")</f>
        <v>Prazo</v>
      </c>
      <c r="Q1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1993</v>
      </c>
    </row>
    <row r="14" spans="2:17" ht="20.100000000000001" customHeight="1" x14ac:dyDescent="0.25">
      <c r="B14" s="15">
        <v>42997</v>
      </c>
      <c r="C14" s="15">
        <v>42990</v>
      </c>
      <c r="D14" s="15">
        <v>43311</v>
      </c>
      <c r="E14" t="s">
        <v>23</v>
      </c>
      <c r="F14" t="s">
        <v>30</v>
      </c>
      <c r="G14" s="13" t="s">
        <v>71</v>
      </c>
      <c r="H14" s="16">
        <v>2502</v>
      </c>
      <c r="I14">
        <f>IF(TbRegistrosEntradas[[#This Row],[Data do Caixa Realizado]]="",0,MONTH(TbRegistrosEntradas[[#This Row],[Data do Caixa Realizado]]))</f>
        <v>9</v>
      </c>
      <c r="J14">
        <f>IF(TbRegistrosEntradas[[#This Row],[Data do Caixa Realizado]]="",0,YEAR(TbRegistrosEntradas[[#This Row],[Data do Caixa Realizado]]))</f>
        <v>2017</v>
      </c>
      <c r="K14">
        <f>IF(TbRegistrosEntradas[[#This Row],[Data da Competência]]="",0,MONTH(TbRegistrosEntradas[[#This Row],[Data da Competência]]))</f>
        <v>9</v>
      </c>
      <c r="L14">
        <f>IF(TbRegistrosEntradas[[#This Row],[Data da Competência]]="",0,YEAR(TbRegistrosEntradas[[#This Row],[Data da Competência]]))</f>
        <v>2017</v>
      </c>
      <c r="M14" s="40">
        <f>IF(TbRegistrosEntradas[[#This Row],[Data do Caixa Previsto]]="",0,MONTH(TbRegistrosEntradas[[#This Row],[Data do Caixa Previsto]]))</f>
        <v>7</v>
      </c>
      <c r="N14" s="40">
        <f>IF(TbRegistrosEntradas[[#This Row],[Data do Caixa Previsto]]="",0,YEAR(TbRegistrosEntradas[[#This Row],[Data do Caixa Previsto]]))</f>
        <v>2018</v>
      </c>
      <c r="O14" s="40" t="str">
        <f ca="1">IF(AND(TbRegistrosEntradas[[#This Row],[Data do Caixa Previsto]]&lt;TODAY(),TbRegistrosEntradas[[#This Row],[Data do Caixa Realizado]]=""),"Vencida","Não vencida")</f>
        <v>Não vencida</v>
      </c>
      <c r="P14" s="40" t="str">
        <f>IF(TbRegistrosEntradas[[#This Row],[Data da Competência]]=TbRegistrosEntradas[[#This Row],[Data do Caixa Previsto]],"Vista","Prazo")</f>
        <v>Prazo</v>
      </c>
      <c r="Q1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" spans="2:17" ht="20.100000000000001" customHeight="1" x14ac:dyDescent="0.25">
      <c r="B15" s="15">
        <v>43004</v>
      </c>
      <c r="C15" s="15">
        <v>42994</v>
      </c>
      <c r="D15" s="15">
        <v>43302</v>
      </c>
      <c r="E15" t="s">
        <v>23</v>
      </c>
      <c r="F15" t="s">
        <v>33</v>
      </c>
      <c r="G15" s="13" t="s">
        <v>72</v>
      </c>
      <c r="H15" s="16">
        <v>2337</v>
      </c>
      <c r="I15">
        <f>IF(TbRegistrosEntradas[[#This Row],[Data do Caixa Realizado]]="",0,MONTH(TbRegistrosEntradas[[#This Row],[Data do Caixa Realizado]]))</f>
        <v>9</v>
      </c>
      <c r="J15">
        <f>IF(TbRegistrosEntradas[[#This Row],[Data do Caixa Realizado]]="",0,YEAR(TbRegistrosEntradas[[#This Row],[Data do Caixa Realizado]]))</f>
        <v>2017</v>
      </c>
      <c r="K15">
        <f>IF(TbRegistrosEntradas[[#This Row],[Data da Competência]]="",0,MONTH(TbRegistrosEntradas[[#This Row],[Data da Competência]]))</f>
        <v>9</v>
      </c>
      <c r="L15">
        <f>IF(TbRegistrosEntradas[[#This Row],[Data da Competência]]="",0,YEAR(TbRegistrosEntradas[[#This Row],[Data da Competência]]))</f>
        <v>2017</v>
      </c>
      <c r="M15" s="40">
        <f>IF(TbRegistrosEntradas[[#This Row],[Data do Caixa Previsto]]="",0,MONTH(TbRegistrosEntradas[[#This Row],[Data do Caixa Previsto]]))</f>
        <v>7</v>
      </c>
      <c r="N15" s="40">
        <f>IF(TbRegistrosEntradas[[#This Row],[Data do Caixa Previsto]]="",0,YEAR(TbRegistrosEntradas[[#This Row],[Data do Caixa Previsto]]))</f>
        <v>2018</v>
      </c>
      <c r="O15" s="40" t="str">
        <f ca="1">IF(AND(TbRegistrosEntradas[[#This Row],[Data do Caixa Previsto]]&lt;TODAY(),TbRegistrosEntradas[[#This Row],[Data do Caixa Realizado]]=""),"Vencida","Não vencida")</f>
        <v>Não vencida</v>
      </c>
      <c r="P15" s="40" t="str">
        <f>IF(TbRegistrosEntradas[[#This Row],[Data da Competência]]=TbRegistrosEntradas[[#This Row],[Data do Caixa Previsto]],"Vista","Prazo")</f>
        <v>Prazo</v>
      </c>
      <c r="Q1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6" spans="2:17" ht="20.100000000000001" customHeight="1" x14ac:dyDescent="0.25">
      <c r="B16" s="15">
        <v>43010</v>
      </c>
      <c r="C16" s="15">
        <v>43001</v>
      </c>
      <c r="D16" s="15">
        <v>43346</v>
      </c>
      <c r="E16" t="s">
        <v>23</v>
      </c>
      <c r="F16" t="s">
        <v>32</v>
      </c>
      <c r="G16" s="13" t="s">
        <v>73</v>
      </c>
      <c r="H16" s="16">
        <v>3125</v>
      </c>
      <c r="I16">
        <f>IF(TbRegistrosEntradas[[#This Row],[Data do Caixa Realizado]]="",0,MONTH(TbRegistrosEntradas[[#This Row],[Data do Caixa Realizado]]))</f>
        <v>10</v>
      </c>
      <c r="J16">
        <f>IF(TbRegistrosEntradas[[#This Row],[Data do Caixa Realizado]]="",0,YEAR(TbRegistrosEntradas[[#This Row],[Data do Caixa Realizado]]))</f>
        <v>2017</v>
      </c>
      <c r="K16">
        <f>IF(TbRegistrosEntradas[[#This Row],[Data da Competência]]="",0,MONTH(TbRegistrosEntradas[[#This Row],[Data da Competência]]))</f>
        <v>9</v>
      </c>
      <c r="L16">
        <f>IF(TbRegistrosEntradas[[#This Row],[Data da Competência]]="",0,YEAR(TbRegistrosEntradas[[#This Row],[Data da Competência]]))</f>
        <v>2017</v>
      </c>
      <c r="M16" s="40">
        <f>IF(TbRegistrosEntradas[[#This Row],[Data do Caixa Previsto]]="",0,MONTH(TbRegistrosEntradas[[#This Row],[Data do Caixa Previsto]]))</f>
        <v>9</v>
      </c>
      <c r="N16" s="40">
        <f>IF(TbRegistrosEntradas[[#This Row],[Data do Caixa Previsto]]="",0,YEAR(TbRegistrosEntradas[[#This Row],[Data do Caixa Previsto]]))</f>
        <v>2018</v>
      </c>
      <c r="O16" s="40" t="str">
        <f ca="1">IF(AND(TbRegistrosEntradas[[#This Row],[Data do Caixa Previsto]]&lt;TODAY(),TbRegistrosEntradas[[#This Row],[Data do Caixa Realizado]]=""),"Vencida","Não vencida")</f>
        <v>Não vencida</v>
      </c>
      <c r="P16" s="40" t="str">
        <f>IF(TbRegistrosEntradas[[#This Row],[Data da Competência]]=TbRegistrosEntradas[[#This Row],[Data do Caixa Previsto]],"Vista","Prazo")</f>
        <v>Prazo</v>
      </c>
      <c r="Q1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" spans="2:17" ht="20.100000000000001" customHeight="1" x14ac:dyDescent="0.25">
      <c r="B17" s="15">
        <v>43056</v>
      </c>
      <c r="C17" s="15">
        <v>43004</v>
      </c>
      <c r="D17" s="15">
        <v>43333</v>
      </c>
      <c r="E17" t="s">
        <v>23</v>
      </c>
      <c r="F17" t="s">
        <v>33</v>
      </c>
      <c r="G17" s="13" t="s">
        <v>74</v>
      </c>
      <c r="H17" s="16">
        <v>1201</v>
      </c>
      <c r="I17">
        <f>IF(TbRegistrosEntradas[[#This Row],[Data do Caixa Realizado]]="",0,MONTH(TbRegistrosEntradas[[#This Row],[Data do Caixa Realizado]]))</f>
        <v>11</v>
      </c>
      <c r="J17">
        <f>IF(TbRegistrosEntradas[[#This Row],[Data do Caixa Realizado]]="",0,YEAR(TbRegistrosEntradas[[#This Row],[Data do Caixa Realizado]]))</f>
        <v>2017</v>
      </c>
      <c r="K17">
        <f>IF(TbRegistrosEntradas[[#This Row],[Data da Competência]]="",0,MONTH(TbRegistrosEntradas[[#This Row],[Data da Competência]]))</f>
        <v>9</v>
      </c>
      <c r="L17">
        <f>IF(TbRegistrosEntradas[[#This Row],[Data da Competência]]="",0,YEAR(TbRegistrosEntradas[[#This Row],[Data da Competência]]))</f>
        <v>2017</v>
      </c>
      <c r="M17" s="40">
        <f>IF(TbRegistrosEntradas[[#This Row],[Data do Caixa Previsto]]="",0,MONTH(TbRegistrosEntradas[[#This Row],[Data do Caixa Previsto]]))</f>
        <v>8</v>
      </c>
      <c r="N17" s="40">
        <f>IF(TbRegistrosEntradas[[#This Row],[Data do Caixa Previsto]]="",0,YEAR(TbRegistrosEntradas[[#This Row],[Data do Caixa Previsto]]))</f>
        <v>2018</v>
      </c>
      <c r="O17" s="40" t="str">
        <f ca="1">IF(AND(TbRegistrosEntradas[[#This Row],[Data do Caixa Previsto]]&lt;TODAY(),TbRegistrosEntradas[[#This Row],[Data do Caixa Realizado]]=""),"Vencida","Não vencida")</f>
        <v>Não vencida</v>
      </c>
      <c r="P17" s="40" t="str">
        <f>IF(TbRegistrosEntradas[[#This Row],[Data da Competência]]=TbRegistrosEntradas[[#This Row],[Data do Caixa Previsto]],"Vista","Prazo")</f>
        <v>Prazo</v>
      </c>
      <c r="Q1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" spans="2:17" x14ac:dyDescent="0.25">
      <c r="B18" s="15">
        <v>43033</v>
      </c>
      <c r="C18" s="15">
        <v>43005</v>
      </c>
      <c r="D18" s="15">
        <v>43350</v>
      </c>
      <c r="E18" t="s">
        <v>23</v>
      </c>
      <c r="F18" t="s">
        <v>31</v>
      </c>
      <c r="G18" s="13" t="s">
        <v>75</v>
      </c>
      <c r="H18" s="16">
        <v>4380</v>
      </c>
      <c r="I18">
        <f>IF(TbRegistrosEntradas[[#This Row],[Data do Caixa Realizado]]="",0,MONTH(TbRegistrosEntradas[[#This Row],[Data do Caixa Realizado]]))</f>
        <v>10</v>
      </c>
      <c r="J18">
        <f>IF(TbRegistrosEntradas[[#This Row],[Data do Caixa Realizado]]="",0,YEAR(TbRegistrosEntradas[[#This Row],[Data do Caixa Realizado]]))</f>
        <v>2017</v>
      </c>
      <c r="K18">
        <f>IF(TbRegistrosEntradas[[#This Row],[Data da Competência]]="",0,MONTH(TbRegistrosEntradas[[#This Row],[Data da Competência]]))</f>
        <v>9</v>
      </c>
      <c r="L18">
        <f>IF(TbRegistrosEntradas[[#This Row],[Data da Competência]]="",0,YEAR(TbRegistrosEntradas[[#This Row],[Data da Competência]]))</f>
        <v>2017</v>
      </c>
      <c r="M18" s="40">
        <f>IF(TbRegistrosEntradas[[#This Row],[Data do Caixa Previsto]]="",0,MONTH(TbRegistrosEntradas[[#This Row],[Data do Caixa Previsto]]))</f>
        <v>9</v>
      </c>
      <c r="N18" s="40">
        <f>IF(TbRegistrosEntradas[[#This Row],[Data do Caixa Previsto]]="",0,YEAR(TbRegistrosEntradas[[#This Row],[Data do Caixa Previsto]]))</f>
        <v>2018</v>
      </c>
      <c r="O18" s="40" t="str">
        <f ca="1">IF(AND(TbRegistrosEntradas[[#This Row],[Data do Caixa Previsto]]&lt;TODAY(),TbRegistrosEntradas[[#This Row],[Data do Caixa Realizado]]=""),"Vencida","Não vencida")</f>
        <v>Não vencida</v>
      </c>
      <c r="P18" s="40" t="str">
        <f>IF(TbRegistrosEntradas[[#This Row],[Data da Competência]]=TbRegistrosEntradas[[#This Row],[Data do Caixa Previsto]],"Vista","Prazo")</f>
        <v>Prazo</v>
      </c>
      <c r="Q1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" spans="2:17" x14ac:dyDescent="0.25">
      <c r="B19" s="15">
        <v>43019</v>
      </c>
      <c r="C19" s="15">
        <v>43008</v>
      </c>
      <c r="D19" s="15">
        <v>43352</v>
      </c>
      <c r="E19" t="s">
        <v>23</v>
      </c>
      <c r="F19" t="s">
        <v>32</v>
      </c>
      <c r="G19" s="13" t="s">
        <v>76</v>
      </c>
      <c r="H19" s="16">
        <v>919</v>
      </c>
      <c r="I19">
        <f>IF(TbRegistrosEntradas[[#This Row],[Data do Caixa Realizado]]="",0,MONTH(TbRegistrosEntradas[[#This Row],[Data do Caixa Realizado]]))</f>
        <v>10</v>
      </c>
      <c r="J19">
        <f>IF(TbRegistrosEntradas[[#This Row],[Data do Caixa Realizado]]="",0,YEAR(TbRegistrosEntradas[[#This Row],[Data do Caixa Realizado]]))</f>
        <v>2017</v>
      </c>
      <c r="K19">
        <f>IF(TbRegistrosEntradas[[#This Row],[Data da Competência]]="",0,MONTH(TbRegistrosEntradas[[#This Row],[Data da Competência]]))</f>
        <v>9</v>
      </c>
      <c r="L19">
        <f>IF(TbRegistrosEntradas[[#This Row],[Data da Competência]]="",0,YEAR(TbRegistrosEntradas[[#This Row],[Data da Competência]]))</f>
        <v>2017</v>
      </c>
      <c r="M19" s="40">
        <f>IF(TbRegistrosEntradas[[#This Row],[Data do Caixa Previsto]]="",0,MONTH(TbRegistrosEntradas[[#This Row],[Data do Caixa Previsto]]))</f>
        <v>9</v>
      </c>
      <c r="N19" s="40">
        <f>IF(TbRegistrosEntradas[[#This Row],[Data do Caixa Previsto]]="",0,YEAR(TbRegistrosEntradas[[#This Row],[Data do Caixa Previsto]]))</f>
        <v>2018</v>
      </c>
      <c r="O19" s="40" t="str">
        <f ca="1">IF(AND(TbRegistrosEntradas[[#This Row],[Data do Caixa Previsto]]&lt;TODAY(),TbRegistrosEntradas[[#This Row],[Data do Caixa Realizado]]=""),"Vencida","Não vencida")</f>
        <v>Não vencida</v>
      </c>
      <c r="P19" s="40" t="str">
        <f>IF(TbRegistrosEntradas[[#This Row],[Data da Competência]]=TbRegistrosEntradas[[#This Row],[Data do Caixa Previsto]],"Vista","Prazo")</f>
        <v>Prazo</v>
      </c>
      <c r="Q1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0" spans="2:17" x14ac:dyDescent="0.25">
      <c r="B20" s="15">
        <v>43025</v>
      </c>
      <c r="C20" s="15">
        <v>43012</v>
      </c>
      <c r="D20" s="15">
        <v>43357</v>
      </c>
      <c r="E20" t="s">
        <v>23</v>
      </c>
      <c r="F20" t="s">
        <v>34</v>
      </c>
      <c r="G20" s="13" t="s">
        <v>77</v>
      </c>
      <c r="H20" s="16">
        <v>4590</v>
      </c>
      <c r="I20">
        <f>IF(TbRegistrosEntradas[[#This Row],[Data do Caixa Realizado]]="",0,MONTH(TbRegistrosEntradas[[#This Row],[Data do Caixa Realizado]]))</f>
        <v>10</v>
      </c>
      <c r="J20">
        <f>IF(TbRegistrosEntradas[[#This Row],[Data do Caixa Realizado]]="",0,YEAR(TbRegistrosEntradas[[#This Row],[Data do Caixa Realizado]]))</f>
        <v>2017</v>
      </c>
      <c r="K20">
        <f>IF(TbRegistrosEntradas[[#This Row],[Data da Competência]]="",0,MONTH(TbRegistrosEntradas[[#This Row],[Data da Competência]]))</f>
        <v>10</v>
      </c>
      <c r="L20">
        <f>IF(TbRegistrosEntradas[[#This Row],[Data da Competência]]="",0,YEAR(TbRegistrosEntradas[[#This Row],[Data da Competência]]))</f>
        <v>2017</v>
      </c>
      <c r="M20" s="40">
        <f>IF(TbRegistrosEntradas[[#This Row],[Data do Caixa Previsto]]="",0,MONTH(TbRegistrosEntradas[[#This Row],[Data do Caixa Previsto]]))</f>
        <v>9</v>
      </c>
      <c r="N20" s="40">
        <f>IF(TbRegistrosEntradas[[#This Row],[Data do Caixa Previsto]]="",0,YEAR(TbRegistrosEntradas[[#This Row],[Data do Caixa Previsto]]))</f>
        <v>2018</v>
      </c>
      <c r="O20" s="40" t="str">
        <f ca="1">IF(AND(TbRegistrosEntradas[[#This Row],[Data do Caixa Previsto]]&lt;TODAY(),TbRegistrosEntradas[[#This Row],[Data do Caixa Realizado]]=""),"Vencida","Não vencida")</f>
        <v>Não vencida</v>
      </c>
      <c r="P20" s="40" t="str">
        <f>IF(TbRegistrosEntradas[[#This Row],[Data da Competência]]=TbRegistrosEntradas[[#This Row],[Data do Caixa Previsto]],"Vista","Prazo")</f>
        <v>Prazo</v>
      </c>
      <c r="Q2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" spans="2:17" x14ac:dyDescent="0.25">
      <c r="B21" s="15">
        <v>43052</v>
      </c>
      <c r="C21" s="15">
        <v>43015</v>
      </c>
      <c r="D21" s="15">
        <v>43321</v>
      </c>
      <c r="E21" t="s">
        <v>23</v>
      </c>
      <c r="F21" t="s">
        <v>30</v>
      </c>
      <c r="G21" s="13" t="s">
        <v>78</v>
      </c>
      <c r="H21" s="16">
        <v>1958</v>
      </c>
      <c r="I21">
        <f>IF(TbRegistrosEntradas[[#This Row],[Data do Caixa Realizado]]="",0,MONTH(TbRegistrosEntradas[[#This Row],[Data do Caixa Realizado]]))</f>
        <v>11</v>
      </c>
      <c r="J21">
        <f>IF(TbRegistrosEntradas[[#This Row],[Data do Caixa Realizado]]="",0,YEAR(TbRegistrosEntradas[[#This Row],[Data do Caixa Realizado]]))</f>
        <v>2017</v>
      </c>
      <c r="K21">
        <f>IF(TbRegistrosEntradas[[#This Row],[Data da Competência]]="",0,MONTH(TbRegistrosEntradas[[#This Row],[Data da Competência]]))</f>
        <v>10</v>
      </c>
      <c r="L21">
        <f>IF(TbRegistrosEntradas[[#This Row],[Data da Competência]]="",0,YEAR(TbRegistrosEntradas[[#This Row],[Data da Competência]]))</f>
        <v>2017</v>
      </c>
      <c r="M21" s="40">
        <f>IF(TbRegistrosEntradas[[#This Row],[Data do Caixa Previsto]]="",0,MONTH(TbRegistrosEntradas[[#This Row],[Data do Caixa Previsto]]))</f>
        <v>8</v>
      </c>
      <c r="N21" s="40">
        <f>IF(TbRegistrosEntradas[[#This Row],[Data do Caixa Previsto]]="",0,YEAR(TbRegistrosEntradas[[#This Row],[Data do Caixa Previsto]]))</f>
        <v>2018</v>
      </c>
      <c r="O21" s="40" t="str">
        <f ca="1">IF(AND(TbRegistrosEntradas[[#This Row],[Data do Caixa Previsto]]&lt;TODAY(),TbRegistrosEntradas[[#This Row],[Data do Caixa Realizado]]=""),"Vencida","Não vencida")</f>
        <v>Não vencida</v>
      </c>
      <c r="P21" s="40" t="str">
        <f>IF(TbRegistrosEntradas[[#This Row],[Data da Competência]]=TbRegistrosEntradas[[#This Row],[Data do Caixa Previsto]],"Vista","Prazo")</f>
        <v>Prazo</v>
      </c>
      <c r="Q2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2" spans="2:17" x14ac:dyDescent="0.25">
      <c r="B22" s="15" t="s">
        <v>69</v>
      </c>
      <c r="C22" s="15">
        <v>43017</v>
      </c>
      <c r="D22" s="15">
        <v>43341</v>
      </c>
      <c r="E22" t="s">
        <v>23</v>
      </c>
      <c r="F22" t="s">
        <v>31</v>
      </c>
      <c r="G22" s="13" t="s">
        <v>79</v>
      </c>
      <c r="H22" s="16">
        <v>1171</v>
      </c>
      <c r="I22">
        <f>IF(TbRegistrosEntradas[[#This Row],[Data do Caixa Realizado]]="",0,MONTH(TbRegistrosEntradas[[#This Row],[Data do Caixa Realizado]]))</f>
        <v>0</v>
      </c>
      <c r="J22">
        <f>IF(TbRegistrosEntradas[[#This Row],[Data do Caixa Realizado]]="",0,YEAR(TbRegistrosEntradas[[#This Row],[Data do Caixa Realizado]]))</f>
        <v>0</v>
      </c>
      <c r="K22">
        <f>IF(TbRegistrosEntradas[[#This Row],[Data da Competência]]="",0,MONTH(TbRegistrosEntradas[[#This Row],[Data da Competência]]))</f>
        <v>10</v>
      </c>
      <c r="L22">
        <f>IF(TbRegistrosEntradas[[#This Row],[Data da Competência]]="",0,YEAR(TbRegistrosEntradas[[#This Row],[Data da Competência]]))</f>
        <v>2017</v>
      </c>
      <c r="M22" s="40">
        <f>IF(TbRegistrosEntradas[[#This Row],[Data do Caixa Previsto]]="",0,MONTH(TbRegistrosEntradas[[#This Row],[Data do Caixa Previsto]]))</f>
        <v>8</v>
      </c>
      <c r="N22" s="40">
        <f>IF(TbRegistrosEntradas[[#This Row],[Data do Caixa Previsto]]="",0,YEAR(TbRegistrosEntradas[[#This Row],[Data do Caixa Previsto]]))</f>
        <v>2018</v>
      </c>
      <c r="O22" s="40" t="str">
        <f ca="1">IF(AND(TbRegistrosEntradas[[#This Row],[Data do Caixa Previsto]]&lt;TODAY(),TbRegistrosEntradas[[#This Row],[Data do Caixa Realizado]]=""),"Vencida","Não vencida")</f>
        <v>Vencida</v>
      </c>
      <c r="P22" s="40" t="str">
        <f>IF(TbRegistrosEntradas[[#This Row],[Data da Competência]]=TbRegistrosEntradas[[#This Row],[Data do Caixa Previsto]],"Vista","Prazo")</f>
        <v>Prazo</v>
      </c>
      <c r="Q2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1975</v>
      </c>
    </row>
    <row r="23" spans="2:17" x14ac:dyDescent="0.25">
      <c r="B23" s="15">
        <v>43134</v>
      </c>
      <c r="C23" s="15">
        <v>43019</v>
      </c>
      <c r="D23" s="15">
        <v>43019</v>
      </c>
      <c r="E23" t="s">
        <v>23</v>
      </c>
      <c r="F23" t="s">
        <v>33</v>
      </c>
      <c r="G23" s="13" t="s">
        <v>80</v>
      </c>
      <c r="H23" s="16">
        <v>2587</v>
      </c>
      <c r="I23">
        <f>IF(TbRegistrosEntradas[[#This Row],[Data do Caixa Realizado]]="",0,MONTH(TbRegistrosEntradas[[#This Row],[Data do Caixa Realizado]]))</f>
        <v>2</v>
      </c>
      <c r="J23">
        <f>IF(TbRegistrosEntradas[[#This Row],[Data do Caixa Realizado]]="",0,YEAR(TbRegistrosEntradas[[#This Row],[Data do Caixa Realizado]]))</f>
        <v>2018</v>
      </c>
      <c r="K23">
        <f>IF(TbRegistrosEntradas[[#This Row],[Data da Competência]]="",0,MONTH(TbRegistrosEntradas[[#This Row],[Data da Competência]]))</f>
        <v>10</v>
      </c>
      <c r="L23">
        <f>IF(TbRegistrosEntradas[[#This Row],[Data da Competência]]="",0,YEAR(TbRegistrosEntradas[[#This Row],[Data da Competência]]))</f>
        <v>2017</v>
      </c>
      <c r="M23" s="40">
        <f>IF(TbRegistrosEntradas[[#This Row],[Data do Caixa Previsto]]="",0,MONTH(TbRegistrosEntradas[[#This Row],[Data do Caixa Previsto]]))</f>
        <v>10</v>
      </c>
      <c r="N23" s="40">
        <f>IF(TbRegistrosEntradas[[#This Row],[Data do Caixa Previsto]]="",0,YEAR(TbRegistrosEntradas[[#This Row],[Data do Caixa Previsto]]))</f>
        <v>2017</v>
      </c>
      <c r="O23" s="40" t="str">
        <f ca="1">IF(AND(TbRegistrosEntradas[[#This Row],[Data do Caixa Previsto]]&lt;TODAY(),TbRegistrosEntradas[[#This Row],[Data do Caixa Realizado]]=""),"Vencida","Não vencida")</f>
        <v>Não vencida</v>
      </c>
      <c r="P23" s="40" t="str">
        <f>IF(TbRegistrosEntradas[[#This Row],[Data da Competência]]=TbRegistrosEntradas[[#This Row],[Data do Caixa Previsto]],"Vista","Prazo")</f>
        <v>Vista</v>
      </c>
      <c r="Q2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115</v>
      </c>
    </row>
    <row r="24" spans="2:17" x14ac:dyDescent="0.25">
      <c r="B24" s="15">
        <v>43045</v>
      </c>
      <c r="C24" s="15">
        <v>43023</v>
      </c>
      <c r="D24" s="15">
        <v>43023</v>
      </c>
      <c r="E24" t="s">
        <v>23</v>
      </c>
      <c r="F24" t="s">
        <v>33</v>
      </c>
      <c r="G24" s="13" t="s">
        <v>81</v>
      </c>
      <c r="H24" s="16">
        <v>3425</v>
      </c>
      <c r="I24">
        <f>IF(TbRegistrosEntradas[[#This Row],[Data do Caixa Realizado]]="",0,MONTH(TbRegistrosEntradas[[#This Row],[Data do Caixa Realizado]]))</f>
        <v>11</v>
      </c>
      <c r="J24">
        <f>IF(TbRegistrosEntradas[[#This Row],[Data do Caixa Realizado]]="",0,YEAR(TbRegistrosEntradas[[#This Row],[Data do Caixa Realizado]]))</f>
        <v>2017</v>
      </c>
      <c r="K24">
        <f>IF(TbRegistrosEntradas[[#This Row],[Data da Competência]]="",0,MONTH(TbRegistrosEntradas[[#This Row],[Data da Competência]]))</f>
        <v>10</v>
      </c>
      <c r="L24">
        <f>IF(TbRegistrosEntradas[[#This Row],[Data da Competência]]="",0,YEAR(TbRegistrosEntradas[[#This Row],[Data da Competência]]))</f>
        <v>2017</v>
      </c>
      <c r="M24" s="40">
        <f>IF(TbRegistrosEntradas[[#This Row],[Data do Caixa Previsto]]="",0,MONTH(TbRegistrosEntradas[[#This Row],[Data do Caixa Previsto]]))</f>
        <v>10</v>
      </c>
      <c r="N24" s="40">
        <f>IF(TbRegistrosEntradas[[#This Row],[Data do Caixa Previsto]]="",0,YEAR(TbRegistrosEntradas[[#This Row],[Data do Caixa Previsto]]))</f>
        <v>2017</v>
      </c>
      <c r="O24" s="40" t="str">
        <f ca="1">IF(AND(TbRegistrosEntradas[[#This Row],[Data do Caixa Previsto]]&lt;TODAY(),TbRegistrosEntradas[[#This Row],[Data do Caixa Realizado]]=""),"Vencida","Não vencida")</f>
        <v>Não vencida</v>
      </c>
      <c r="P24" s="40" t="str">
        <f>IF(TbRegistrosEntradas[[#This Row],[Data da Competência]]=TbRegistrosEntradas[[#This Row],[Data do Caixa Previsto]],"Vista","Prazo")</f>
        <v>Vista</v>
      </c>
      <c r="Q2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22</v>
      </c>
    </row>
    <row r="25" spans="2:17" x14ac:dyDescent="0.25">
      <c r="B25" s="15">
        <v>43057</v>
      </c>
      <c r="C25" s="15">
        <v>43026</v>
      </c>
      <c r="D25" s="15">
        <v>43026</v>
      </c>
      <c r="E25" t="s">
        <v>23</v>
      </c>
      <c r="F25" t="s">
        <v>34</v>
      </c>
      <c r="G25" s="13" t="s">
        <v>82</v>
      </c>
      <c r="H25" s="16">
        <v>4454</v>
      </c>
      <c r="I25">
        <f>IF(TbRegistrosEntradas[[#This Row],[Data do Caixa Realizado]]="",0,MONTH(TbRegistrosEntradas[[#This Row],[Data do Caixa Realizado]]))</f>
        <v>11</v>
      </c>
      <c r="J25">
        <f>IF(TbRegistrosEntradas[[#This Row],[Data do Caixa Realizado]]="",0,YEAR(TbRegistrosEntradas[[#This Row],[Data do Caixa Realizado]]))</f>
        <v>2017</v>
      </c>
      <c r="K25">
        <f>IF(TbRegistrosEntradas[[#This Row],[Data da Competência]]="",0,MONTH(TbRegistrosEntradas[[#This Row],[Data da Competência]]))</f>
        <v>10</v>
      </c>
      <c r="L25">
        <f>IF(TbRegistrosEntradas[[#This Row],[Data da Competência]]="",0,YEAR(TbRegistrosEntradas[[#This Row],[Data da Competência]]))</f>
        <v>2017</v>
      </c>
      <c r="M25" s="40">
        <f>IF(TbRegistrosEntradas[[#This Row],[Data do Caixa Previsto]]="",0,MONTH(TbRegistrosEntradas[[#This Row],[Data do Caixa Previsto]]))</f>
        <v>10</v>
      </c>
      <c r="N25" s="40">
        <f>IF(TbRegistrosEntradas[[#This Row],[Data do Caixa Previsto]]="",0,YEAR(TbRegistrosEntradas[[#This Row],[Data do Caixa Previsto]]))</f>
        <v>2017</v>
      </c>
      <c r="O25" s="40" t="str">
        <f ca="1">IF(AND(TbRegistrosEntradas[[#This Row],[Data do Caixa Previsto]]&lt;TODAY(),TbRegistrosEntradas[[#This Row],[Data do Caixa Realizado]]=""),"Vencida","Não vencida")</f>
        <v>Não vencida</v>
      </c>
      <c r="P25" s="40" t="str">
        <f>IF(TbRegistrosEntradas[[#This Row],[Data da Competência]]=TbRegistrosEntradas[[#This Row],[Data do Caixa Previsto]],"Vista","Prazo")</f>
        <v>Vista</v>
      </c>
      <c r="Q2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31</v>
      </c>
    </row>
    <row r="26" spans="2:17" x14ac:dyDescent="0.25">
      <c r="B26" s="15">
        <v>43037</v>
      </c>
      <c r="C26" s="15">
        <v>43030</v>
      </c>
      <c r="D26" s="15">
        <v>43030</v>
      </c>
      <c r="E26" t="s">
        <v>23</v>
      </c>
      <c r="F26" t="s">
        <v>31</v>
      </c>
      <c r="G26" s="13" t="s">
        <v>83</v>
      </c>
      <c r="H26" s="16">
        <v>2134</v>
      </c>
      <c r="I26">
        <f>IF(TbRegistrosEntradas[[#This Row],[Data do Caixa Realizado]]="",0,MONTH(TbRegistrosEntradas[[#This Row],[Data do Caixa Realizado]]))</f>
        <v>10</v>
      </c>
      <c r="J26">
        <f>IF(TbRegistrosEntradas[[#This Row],[Data do Caixa Realizado]]="",0,YEAR(TbRegistrosEntradas[[#This Row],[Data do Caixa Realizado]]))</f>
        <v>2017</v>
      </c>
      <c r="K26">
        <f>IF(TbRegistrosEntradas[[#This Row],[Data da Competência]]="",0,MONTH(TbRegistrosEntradas[[#This Row],[Data da Competência]]))</f>
        <v>10</v>
      </c>
      <c r="L26">
        <f>IF(TbRegistrosEntradas[[#This Row],[Data da Competência]]="",0,YEAR(TbRegistrosEntradas[[#This Row],[Data da Competência]]))</f>
        <v>2017</v>
      </c>
      <c r="M26" s="40">
        <f>IF(TbRegistrosEntradas[[#This Row],[Data do Caixa Previsto]]="",0,MONTH(TbRegistrosEntradas[[#This Row],[Data do Caixa Previsto]]))</f>
        <v>10</v>
      </c>
      <c r="N26" s="40">
        <f>IF(TbRegistrosEntradas[[#This Row],[Data do Caixa Previsto]]="",0,YEAR(TbRegistrosEntradas[[#This Row],[Data do Caixa Previsto]]))</f>
        <v>2017</v>
      </c>
      <c r="O26" s="40" t="str">
        <f ca="1">IF(AND(TbRegistrosEntradas[[#This Row],[Data do Caixa Previsto]]&lt;TODAY(),TbRegistrosEntradas[[#This Row],[Data do Caixa Realizado]]=""),"Vencida","Não vencida")</f>
        <v>Não vencida</v>
      </c>
      <c r="P26" s="40" t="str">
        <f>IF(TbRegistrosEntradas[[#This Row],[Data da Competência]]=TbRegistrosEntradas[[#This Row],[Data do Caixa Previsto]],"Vista","Prazo")</f>
        <v>Vista</v>
      </c>
      <c r="Q2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7</v>
      </c>
    </row>
    <row r="27" spans="2:17" x14ac:dyDescent="0.25">
      <c r="B27" s="15">
        <v>43086</v>
      </c>
      <c r="C27" s="15">
        <v>43032</v>
      </c>
      <c r="D27" s="15">
        <v>43032</v>
      </c>
      <c r="E27" t="s">
        <v>23</v>
      </c>
      <c r="F27" t="s">
        <v>30</v>
      </c>
      <c r="G27" s="13" t="s">
        <v>84</v>
      </c>
      <c r="H27" s="16">
        <v>257</v>
      </c>
      <c r="I27">
        <f>IF(TbRegistrosEntradas[[#This Row],[Data do Caixa Realizado]]="",0,MONTH(TbRegistrosEntradas[[#This Row],[Data do Caixa Realizado]]))</f>
        <v>12</v>
      </c>
      <c r="J27">
        <f>IF(TbRegistrosEntradas[[#This Row],[Data do Caixa Realizado]]="",0,YEAR(TbRegistrosEntradas[[#This Row],[Data do Caixa Realizado]]))</f>
        <v>2017</v>
      </c>
      <c r="K27">
        <f>IF(TbRegistrosEntradas[[#This Row],[Data da Competência]]="",0,MONTH(TbRegistrosEntradas[[#This Row],[Data da Competência]]))</f>
        <v>10</v>
      </c>
      <c r="L27">
        <f>IF(TbRegistrosEntradas[[#This Row],[Data da Competência]]="",0,YEAR(TbRegistrosEntradas[[#This Row],[Data da Competência]]))</f>
        <v>2017</v>
      </c>
      <c r="M27" s="40">
        <f>IF(TbRegistrosEntradas[[#This Row],[Data do Caixa Previsto]]="",0,MONTH(TbRegistrosEntradas[[#This Row],[Data do Caixa Previsto]]))</f>
        <v>10</v>
      </c>
      <c r="N27" s="40">
        <f>IF(TbRegistrosEntradas[[#This Row],[Data do Caixa Previsto]]="",0,YEAR(TbRegistrosEntradas[[#This Row],[Data do Caixa Previsto]]))</f>
        <v>2017</v>
      </c>
      <c r="O27" s="40" t="str">
        <f ca="1">IF(AND(TbRegistrosEntradas[[#This Row],[Data do Caixa Previsto]]&lt;TODAY(),TbRegistrosEntradas[[#This Row],[Data do Caixa Realizado]]=""),"Vencida","Não vencida")</f>
        <v>Não vencida</v>
      </c>
      <c r="P27" s="40" t="str">
        <f>IF(TbRegistrosEntradas[[#This Row],[Data da Competência]]=TbRegistrosEntradas[[#This Row],[Data do Caixa Previsto]],"Vista","Prazo")</f>
        <v>Vista</v>
      </c>
      <c r="Q2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54</v>
      </c>
    </row>
    <row r="28" spans="2:17" x14ac:dyDescent="0.25">
      <c r="B28" s="15">
        <v>43068</v>
      </c>
      <c r="C28" s="15">
        <v>43032</v>
      </c>
      <c r="D28" s="15">
        <v>43032</v>
      </c>
      <c r="E28" t="s">
        <v>23</v>
      </c>
      <c r="F28" t="s">
        <v>32</v>
      </c>
      <c r="G28" s="13" t="s">
        <v>85</v>
      </c>
      <c r="H28" s="16">
        <v>2019</v>
      </c>
      <c r="I28">
        <f>IF(TbRegistrosEntradas[[#This Row],[Data do Caixa Realizado]]="",0,MONTH(TbRegistrosEntradas[[#This Row],[Data do Caixa Realizado]]))</f>
        <v>11</v>
      </c>
      <c r="J28">
        <f>IF(TbRegistrosEntradas[[#This Row],[Data do Caixa Realizado]]="",0,YEAR(TbRegistrosEntradas[[#This Row],[Data do Caixa Realizado]]))</f>
        <v>2017</v>
      </c>
      <c r="K28">
        <f>IF(TbRegistrosEntradas[[#This Row],[Data da Competência]]="",0,MONTH(TbRegistrosEntradas[[#This Row],[Data da Competência]]))</f>
        <v>10</v>
      </c>
      <c r="L28">
        <f>IF(TbRegistrosEntradas[[#This Row],[Data da Competência]]="",0,YEAR(TbRegistrosEntradas[[#This Row],[Data da Competência]]))</f>
        <v>2017</v>
      </c>
      <c r="M28" s="40">
        <f>IF(TbRegistrosEntradas[[#This Row],[Data do Caixa Previsto]]="",0,MONTH(TbRegistrosEntradas[[#This Row],[Data do Caixa Previsto]]))</f>
        <v>10</v>
      </c>
      <c r="N28" s="40">
        <f>IF(TbRegistrosEntradas[[#This Row],[Data do Caixa Previsto]]="",0,YEAR(TbRegistrosEntradas[[#This Row],[Data do Caixa Previsto]]))</f>
        <v>2017</v>
      </c>
      <c r="O28" s="40" t="str">
        <f ca="1">IF(AND(TbRegistrosEntradas[[#This Row],[Data do Caixa Previsto]]&lt;TODAY(),TbRegistrosEntradas[[#This Row],[Data do Caixa Realizado]]=""),"Vencida","Não vencida")</f>
        <v>Não vencida</v>
      </c>
      <c r="P28" s="40" t="str">
        <f>IF(TbRegistrosEntradas[[#This Row],[Data da Competência]]=TbRegistrosEntradas[[#This Row],[Data do Caixa Previsto]],"Vista","Prazo")</f>
        <v>Vista</v>
      </c>
      <c r="Q2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36</v>
      </c>
    </row>
    <row r="29" spans="2:17" x14ac:dyDescent="0.25">
      <c r="B29" s="15">
        <v>43091</v>
      </c>
      <c r="C29" s="15">
        <v>43034</v>
      </c>
      <c r="D29" s="15">
        <v>43034</v>
      </c>
      <c r="E29" t="s">
        <v>23</v>
      </c>
      <c r="F29" t="s">
        <v>33</v>
      </c>
      <c r="G29" s="13" t="s">
        <v>86</v>
      </c>
      <c r="H29" s="16">
        <v>3696</v>
      </c>
      <c r="I29">
        <f>IF(TbRegistrosEntradas[[#This Row],[Data do Caixa Realizado]]="",0,MONTH(TbRegistrosEntradas[[#This Row],[Data do Caixa Realizado]]))</f>
        <v>12</v>
      </c>
      <c r="J29">
        <f>IF(TbRegistrosEntradas[[#This Row],[Data do Caixa Realizado]]="",0,YEAR(TbRegistrosEntradas[[#This Row],[Data do Caixa Realizado]]))</f>
        <v>2017</v>
      </c>
      <c r="K29">
        <f>IF(TbRegistrosEntradas[[#This Row],[Data da Competência]]="",0,MONTH(TbRegistrosEntradas[[#This Row],[Data da Competência]]))</f>
        <v>10</v>
      </c>
      <c r="L29">
        <f>IF(TbRegistrosEntradas[[#This Row],[Data da Competência]]="",0,YEAR(TbRegistrosEntradas[[#This Row],[Data da Competência]]))</f>
        <v>2017</v>
      </c>
      <c r="M29" s="40">
        <f>IF(TbRegistrosEntradas[[#This Row],[Data do Caixa Previsto]]="",0,MONTH(TbRegistrosEntradas[[#This Row],[Data do Caixa Previsto]]))</f>
        <v>10</v>
      </c>
      <c r="N29" s="40">
        <f>IF(TbRegistrosEntradas[[#This Row],[Data do Caixa Previsto]]="",0,YEAR(TbRegistrosEntradas[[#This Row],[Data do Caixa Previsto]]))</f>
        <v>2017</v>
      </c>
      <c r="O29" s="40" t="str">
        <f ca="1">IF(AND(TbRegistrosEntradas[[#This Row],[Data do Caixa Previsto]]&lt;TODAY(),TbRegistrosEntradas[[#This Row],[Data do Caixa Realizado]]=""),"Vencida","Não vencida")</f>
        <v>Não vencida</v>
      </c>
      <c r="P29" s="40" t="str">
        <f>IF(TbRegistrosEntradas[[#This Row],[Data da Competência]]=TbRegistrosEntradas[[#This Row],[Data do Caixa Previsto]],"Vista","Prazo")</f>
        <v>Vista</v>
      </c>
      <c r="Q2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57</v>
      </c>
    </row>
    <row r="30" spans="2:17" x14ac:dyDescent="0.25">
      <c r="B30" s="15">
        <v>43052</v>
      </c>
      <c r="C30" s="15">
        <v>43038</v>
      </c>
      <c r="D30" s="15">
        <v>43038</v>
      </c>
      <c r="E30" t="s">
        <v>23</v>
      </c>
      <c r="F30" t="s">
        <v>32</v>
      </c>
      <c r="G30" s="13" t="s">
        <v>87</v>
      </c>
      <c r="H30" s="16">
        <v>4446</v>
      </c>
      <c r="I30">
        <f>IF(TbRegistrosEntradas[[#This Row],[Data do Caixa Realizado]]="",0,MONTH(TbRegistrosEntradas[[#This Row],[Data do Caixa Realizado]]))</f>
        <v>11</v>
      </c>
      <c r="J30">
        <f>IF(TbRegistrosEntradas[[#This Row],[Data do Caixa Realizado]]="",0,YEAR(TbRegistrosEntradas[[#This Row],[Data do Caixa Realizado]]))</f>
        <v>2017</v>
      </c>
      <c r="K30">
        <f>IF(TbRegistrosEntradas[[#This Row],[Data da Competência]]="",0,MONTH(TbRegistrosEntradas[[#This Row],[Data da Competência]]))</f>
        <v>10</v>
      </c>
      <c r="L30">
        <f>IF(TbRegistrosEntradas[[#This Row],[Data da Competência]]="",0,YEAR(TbRegistrosEntradas[[#This Row],[Data da Competência]]))</f>
        <v>2017</v>
      </c>
      <c r="M30" s="40">
        <f>IF(TbRegistrosEntradas[[#This Row],[Data do Caixa Previsto]]="",0,MONTH(TbRegistrosEntradas[[#This Row],[Data do Caixa Previsto]]))</f>
        <v>10</v>
      </c>
      <c r="N30" s="40">
        <f>IF(TbRegistrosEntradas[[#This Row],[Data do Caixa Previsto]]="",0,YEAR(TbRegistrosEntradas[[#This Row],[Data do Caixa Previsto]]))</f>
        <v>2017</v>
      </c>
      <c r="O30" s="40" t="str">
        <f ca="1">IF(AND(TbRegistrosEntradas[[#This Row],[Data do Caixa Previsto]]&lt;TODAY(),TbRegistrosEntradas[[#This Row],[Data do Caixa Realizado]]=""),"Vencida","Não vencida")</f>
        <v>Não vencida</v>
      </c>
      <c r="P30" s="40" t="str">
        <f>IF(TbRegistrosEntradas[[#This Row],[Data da Competência]]=TbRegistrosEntradas[[#This Row],[Data do Caixa Previsto]],"Vista","Prazo")</f>
        <v>Vista</v>
      </c>
      <c r="Q3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14</v>
      </c>
    </row>
    <row r="31" spans="2:17" x14ac:dyDescent="0.25">
      <c r="B31" s="15">
        <v>43057</v>
      </c>
      <c r="C31" s="15">
        <v>43040</v>
      </c>
      <c r="D31" s="15">
        <v>43040</v>
      </c>
      <c r="E31" t="s">
        <v>23</v>
      </c>
      <c r="F31" t="s">
        <v>32</v>
      </c>
      <c r="G31" s="13" t="s">
        <v>88</v>
      </c>
      <c r="H31" s="16">
        <v>1445</v>
      </c>
      <c r="I31">
        <f>IF(TbRegistrosEntradas[[#This Row],[Data do Caixa Realizado]]="",0,MONTH(TbRegistrosEntradas[[#This Row],[Data do Caixa Realizado]]))</f>
        <v>11</v>
      </c>
      <c r="J31">
        <f>IF(TbRegistrosEntradas[[#This Row],[Data do Caixa Realizado]]="",0,YEAR(TbRegistrosEntradas[[#This Row],[Data do Caixa Realizado]]))</f>
        <v>2017</v>
      </c>
      <c r="K31">
        <f>IF(TbRegistrosEntradas[[#This Row],[Data da Competência]]="",0,MONTH(TbRegistrosEntradas[[#This Row],[Data da Competência]]))</f>
        <v>11</v>
      </c>
      <c r="L31">
        <f>IF(TbRegistrosEntradas[[#This Row],[Data da Competência]]="",0,YEAR(TbRegistrosEntradas[[#This Row],[Data da Competência]]))</f>
        <v>2017</v>
      </c>
      <c r="M31" s="40">
        <f>IF(TbRegistrosEntradas[[#This Row],[Data do Caixa Previsto]]="",0,MONTH(TbRegistrosEntradas[[#This Row],[Data do Caixa Previsto]]))</f>
        <v>11</v>
      </c>
      <c r="N31" s="40">
        <f>IF(TbRegistrosEntradas[[#This Row],[Data do Caixa Previsto]]="",0,YEAR(TbRegistrosEntradas[[#This Row],[Data do Caixa Previsto]]))</f>
        <v>2017</v>
      </c>
      <c r="O31" s="40" t="str">
        <f ca="1">IF(AND(TbRegistrosEntradas[[#This Row],[Data do Caixa Previsto]]&lt;TODAY(),TbRegistrosEntradas[[#This Row],[Data do Caixa Realizado]]=""),"Vencida","Não vencida")</f>
        <v>Não vencida</v>
      </c>
      <c r="P31" s="40" t="str">
        <f>IF(TbRegistrosEntradas[[#This Row],[Data da Competência]]=TbRegistrosEntradas[[#This Row],[Data do Caixa Previsto]],"Vista","Prazo")</f>
        <v>Vista</v>
      </c>
      <c r="Q3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</v>
      </c>
    </row>
    <row r="32" spans="2:17" x14ac:dyDescent="0.25">
      <c r="B32" s="15">
        <v>43082</v>
      </c>
      <c r="C32" s="15">
        <v>43043</v>
      </c>
      <c r="D32" s="15">
        <v>43043</v>
      </c>
      <c r="E32" t="s">
        <v>23</v>
      </c>
      <c r="F32" t="s">
        <v>31</v>
      </c>
      <c r="G32" s="13" t="s">
        <v>89</v>
      </c>
      <c r="H32" s="16">
        <v>3559</v>
      </c>
      <c r="I32">
        <f>IF(TbRegistrosEntradas[[#This Row],[Data do Caixa Realizado]]="",0,MONTH(TbRegistrosEntradas[[#This Row],[Data do Caixa Realizado]]))</f>
        <v>12</v>
      </c>
      <c r="J32">
        <f>IF(TbRegistrosEntradas[[#This Row],[Data do Caixa Realizado]]="",0,YEAR(TbRegistrosEntradas[[#This Row],[Data do Caixa Realizado]]))</f>
        <v>2017</v>
      </c>
      <c r="K32">
        <f>IF(TbRegistrosEntradas[[#This Row],[Data da Competência]]="",0,MONTH(TbRegistrosEntradas[[#This Row],[Data da Competência]]))</f>
        <v>11</v>
      </c>
      <c r="L32">
        <f>IF(TbRegistrosEntradas[[#This Row],[Data da Competência]]="",0,YEAR(TbRegistrosEntradas[[#This Row],[Data da Competência]]))</f>
        <v>2017</v>
      </c>
      <c r="M32" s="40">
        <f>IF(TbRegistrosEntradas[[#This Row],[Data do Caixa Previsto]]="",0,MONTH(TbRegistrosEntradas[[#This Row],[Data do Caixa Previsto]]))</f>
        <v>11</v>
      </c>
      <c r="N32" s="40">
        <f>IF(TbRegistrosEntradas[[#This Row],[Data do Caixa Previsto]]="",0,YEAR(TbRegistrosEntradas[[#This Row],[Data do Caixa Previsto]]))</f>
        <v>2017</v>
      </c>
      <c r="O32" s="40" t="str">
        <f ca="1">IF(AND(TbRegistrosEntradas[[#This Row],[Data do Caixa Previsto]]&lt;TODAY(),TbRegistrosEntradas[[#This Row],[Data do Caixa Realizado]]=""),"Vencida","Não vencida")</f>
        <v>Não vencida</v>
      </c>
      <c r="P32" s="40" t="str">
        <f>IF(TbRegistrosEntradas[[#This Row],[Data da Competência]]=TbRegistrosEntradas[[#This Row],[Data do Caixa Previsto]],"Vista","Prazo")</f>
        <v>Vista</v>
      </c>
      <c r="Q3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39</v>
      </c>
    </row>
    <row r="33" spans="2:17" x14ac:dyDescent="0.25">
      <c r="B33" s="15">
        <v>43073</v>
      </c>
      <c r="C33" s="15">
        <v>43047</v>
      </c>
      <c r="D33" s="15">
        <v>43047</v>
      </c>
      <c r="E33" t="s">
        <v>23</v>
      </c>
      <c r="F33" t="s">
        <v>33</v>
      </c>
      <c r="G33" s="13" t="s">
        <v>90</v>
      </c>
      <c r="H33" s="16">
        <v>547</v>
      </c>
      <c r="I33">
        <f>IF(TbRegistrosEntradas[[#This Row],[Data do Caixa Realizado]]="",0,MONTH(TbRegistrosEntradas[[#This Row],[Data do Caixa Realizado]]))</f>
        <v>12</v>
      </c>
      <c r="J33">
        <f>IF(TbRegistrosEntradas[[#This Row],[Data do Caixa Realizado]]="",0,YEAR(TbRegistrosEntradas[[#This Row],[Data do Caixa Realizado]]))</f>
        <v>2017</v>
      </c>
      <c r="K33">
        <f>IF(TbRegistrosEntradas[[#This Row],[Data da Competência]]="",0,MONTH(TbRegistrosEntradas[[#This Row],[Data da Competência]]))</f>
        <v>11</v>
      </c>
      <c r="L33">
        <f>IF(TbRegistrosEntradas[[#This Row],[Data da Competência]]="",0,YEAR(TbRegistrosEntradas[[#This Row],[Data da Competência]]))</f>
        <v>2017</v>
      </c>
      <c r="M33" s="40">
        <f>IF(TbRegistrosEntradas[[#This Row],[Data do Caixa Previsto]]="",0,MONTH(TbRegistrosEntradas[[#This Row],[Data do Caixa Previsto]]))</f>
        <v>11</v>
      </c>
      <c r="N33" s="40">
        <f>IF(TbRegistrosEntradas[[#This Row],[Data do Caixa Previsto]]="",0,YEAR(TbRegistrosEntradas[[#This Row],[Data do Caixa Previsto]]))</f>
        <v>2017</v>
      </c>
      <c r="O33" s="40" t="str">
        <f ca="1">IF(AND(TbRegistrosEntradas[[#This Row],[Data do Caixa Previsto]]&lt;TODAY(),TbRegistrosEntradas[[#This Row],[Data do Caixa Realizado]]=""),"Vencida","Não vencida")</f>
        <v>Não vencida</v>
      </c>
      <c r="P33" s="40" t="str">
        <f>IF(TbRegistrosEntradas[[#This Row],[Data da Competência]]=TbRegistrosEntradas[[#This Row],[Data do Caixa Previsto]],"Vista","Prazo")</f>
        <v>Vista</v>
      </c>
      <c r="Q3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26</v>
      </c>
    </row>
    <row r="34" spans="2:17" x14ac:dyDescent="0.25">
      <c r="B34" s="15">
        <v>43090</v>
      </c>
      <c r="C34" s="15">
        <v>43051</v>
      </c>
      <c r="D34" s="15">
        <v>43051</v>
      </c>
      <c r="E34" t="s">
        <v>23</v>
      </c>
      <c r="F34" t="s">
        <v>33</v>
      </c>
      <c r="G34" s="13" t="s">
        <v>91</v>
      </c>
      <c r="H34" s="16">
        <v>1221</v>
      </c>
      <c r="I34">
        <f>IF(TbRegistrosEntradas[[#This Row],[Data do Caixa Realizado]]="",0,MONTH(TbRegistrosEntradas[[#This Row],[Data do Caixa Realizado]]))</f>
        <v>12</v>
      </c>
      <c r="J34">
        <f>IF(TbRegistrosEntradas[[#This Row],[Data do Caixa Realizado]]="",0,YEAR(TbRegistrosEntradas[[#This Row],[Data do Caixa Realizado]]))</f>
        <v>2017</v>
      </c>
      <c r="K34">
        <f>IF(TbRegistrosEntradas[[#This Row],[Data da Competência]]="",0,MONTH(TbRegistrosEntradas[[#This Row],[Data da Competência]]))</f>
        <v>11</v>
      </c>
      <c r="L34">
        <f>IF(TbRegistrosEntradas[[#This Row],[Data da Competência]]="",0,YEAR(TbRegistrosEntradas[[#This Row],[Data da Competência]]))</f>
        <v>2017</v>
      </c>
      <c r="M34" s="40">
        <f>IF(TbRegistrosEntradas[[#This Row],[Data do Caixa Previsto]]="",0,MONTH(TbRegistrosEntradas[[#This Row],[Data do Caixa Previsto]]))</f>
        <v>11</v>
      </c>
      <c r="N34" s="40">
        <f>IF(TbRegistrosEntradas[[#This Row],[Data do Caixa Previsto]]="",0,YEAR(TbRegistrosEntradas[[#This Row],[Data do Caixa Previsto]]))</f>
        <v>2017</v>
      </c>
      <c r="O34" s="40" t="str">
        <f ca="1">IF(AND(TbRegistrosEntradas[[#This Row],[Data do Caixa Previsto]]&lt;TODAY(),TbRegistrosEntradas[[#This Row],[Data do Caixa Realizado]]=""),"Vencida","Não vencida")</f>
        <v>Não vencida</v>
      </c>
      <c r="P34" s="40" t="str">
        <f>IF(TbRegistrosEntradas[[#This Row],[Data da Competência]]=TbRegistrosEntradas[[#This Row],[Data do Caixa Previsto]],"Vista","Prazo")</f>
        <v>Vista</v>
      </c>
      <c r="Q3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39</v>
      </c>
    </row>
    <row r="35" spans="2:17" x14ac:dyDescent="0.25">
      <c r="B35" s="15">
        <v>43130</v>
      </c>
      <c r="C35" s="15">
        <v>43053</v>
      </c>
      <c r="D35" s="15">
        <v>43374</v>
      </c>
      <c r="E35" t="s">
        <v>23</v>
      </c>
      <c r="F35" t="s">
        <v>32</v>
      </c>
      <c r="G35" s="13" t="s">
        <v>92</v>
      </c>
      <c r="H35" s="16">
        <v>4108</v>
      </c>
      <c r="I35">
        <f>IF(TbRegistrosEntradas[[#This Row],[Data do Caixa Realizado]]="",0,MONTH(TbRegistrosEntradas[[#This Row],[Data do Caixa Realizado]]))</f>
        <v>1</v>
      </c>
      <c r="J35">
        <f>IF(TbRegistrosEntradas[[#This Row],[Data do Caixa Realizado]]="",0,YEAR(TbRegistrosEntradas[[#This Row],[Data do Caixa Realizado]]))</f>
        <v>2018</v>
      </c>
      <c r="K35">
        <f>IF(TbRegistrosEntradas[[#This Row],[Data da Competência]]="",0,MONTH(TbRegistrosEntradas[[#This Row],[Data da Competência]]))</f>
        <v>11</v>
      </c>
      <c r="L35">
        <f>IF(TbRegistrosEntradas[[#This Row],[Data da Competência]]="",0,YEAR(TbRegistrosEntradas[[#This Row],[Data da Competência]]))</f>
        <v>2017</v>
      </c>
      <c r="M35" s="40">
        <f>IF(TbRegistrosEntradas[[#This Row],[Data do Caixa Previsto]]="",0,MONTH(TbRegistrosEntradas[[#This Row],[Data do Caixa Previsto]]))</f>
        <v>10</v>
      </c>
      <c r="N35" s="40">
        <f>IF(TbRegistrosEntradas[[#This Row],[Data do Caixa Previsto]]="",0,YEAR(TbRegistrosEntradas[[#This Row],[Data do Caixa Previsto]]))</f>
        <v>2018</v>
      </c>
      <c r="O35" s="40" t="str">
        <f ca="1">IF(AND(TbRegistrosEntradas[[#This Row],[Data do Caixa Previsto]]&lt;TODAY(),TbRegistrosEntradas[[#This Row],[Data do Caixa Realizado]]=""),"Vencida","Não vencida")</f>
        <v>Não vencida</v>
      </c>
      <c r="P35" s="40" t="str">
        <f>IF(TbRegistrosEntradas[[#This Row],[Data da Competência]]=TbRegistrosEntradas[[#This Row],[Data do Caixa Previsto]],"Vista","Prazo")</f>
        <v>Prazo</v>
      </c>
      <c r="Q3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36" spans="2:17" x14ac:dyDescent="0.25">
      <c r="B36" s="15">
        <v>43081</v>
      </c>
      <c r="C36" s="15">
        <v>43055</v>
      </c>
      <c r="D36" s="15">
        <v>43377</v>
      </c>
      <c r="E36" t="s">
        <v>23</v>
      </c>
      <c r="F36" t="s">
        <v>33</v>
      </c>
      <c r="G36" s="13" t="s">
        <v>93</v>
      </c>
      <c r="H36" s="16">
        <v>3714</v>
      </c>
      <c r="I36">
        <f>IF(TbRegistrosEntradas[[#This Row],[Data do Caixa Realizado]]="",0,MONTH(TbRegistrosEntradas[[#This Row],[Data do Caixa Realizado]]))</f>
        <v>12</v>
      </c>
      <c r="J36">
        <f>IF(TbRegistrosEntradas[[#This Row],[Data do Caixa Realizado]]="",0,YEAR(TbRegistrosEntradas[[#This Row],[Data do Caixa Realizado]]))</f>
        <v>2017</v>
      </c>
      <c r="K36">
        <f>IF(TbRegistrosEntradas[[#This Row],[Data da Competência]]="",0,MONTH(TbRegistrosEntradas[[#This Row],[Data da Competência]]))</f>
        <v>11</v>
      </c>
      <c r="L36">
        <f>IF(TbRegistrosEntradas[[#This Row],[Data da Competência]]="",0,YEAR(TbRegistrosEntradas[[#This Row],[Data da Competência]]))</f>
        <v>2017</v>
      </c>
      <c r="M36" s="40">
        <f>IF(TbRegistrosEntradas[[#This Row],[Data do Caixa Previsto]]="",0,MONTH(TbRegistrosEntradas[[#This Row],[Data do Caixa Previsto]]))</f>
        <v>10</v>
      </c>
      <c r="N36" s="40">
        <f>IF(TbRegistrosEntradas[[#This Row],[Data do Caixa Previsto]]="",0,YEAR(TbRegistrosEntradas[[#This Row],[Data do Caixa Previsto]]))</f>
        <v>2018</v>
      </c>
      <c r="O36" s="40" t="str">
        <f ca="1">IF(AND(TbRegistrosEntradas[[#This Row],[Data do Caixa Previsto]]&lt;TODAY(),TbRegistrosEntradas[[#This Row],[Data do Caixa Realizado]]=""),"Vencida","Não vencida")</f>
        <v>Não vencida</v>
      </c>
      <c r="P36" s="40" t="str">
        <f>IF(TbRegistrosEntradas[[#This Row],[Data da Competência]]=TbRegistrosEntradas[[#This Row],[Data do Caixa Previsto]],"Vista","Prazo")</f>
        <v>Prazo</v>
      </c>
      <c r="Q3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37" spans="2:17" x14ac:dyDescent="0.25">
      <c r="B37" s="15">
        <v>43101</v>
      </c>
      <c r="C37" s="15">
        <v>43057</v>
      </c>
      <c r="D37" s="15">
        <v>43405</v>
      </c>
      <c r="E37" t="s">
        <v>23</v>
      </c>
      <c r="F37" t="s">
        <v>30</v>
      </c>
      <c r="G37" s="13" t="s">
        <v>94</v>
      </c>
      <c r="H37" s="16">
        <v>4843</v>
      </c>
      <c r="I37">
        <f>IF(TbRegistrosEntradas[[#This Row],[Data do Caixa Realizado]]="",0,MONTH(TbRegistrosEntradas[[#This Row],[Data do Caixa Realizado]]))</f>
        <v>1</v>
      </c>
      <c r="J37">
        <f>IF(TbRegistrosEntradas[[#This Row],[Data do Caixa Realizado]]="",0,YEAR(TbRegistrosEntradas[[#This Row],[Data do Caixa Realizado]]))</f>
        <v>2018</v>
      </c>
      <c r="K37">
        <f>IF(TbRegistrosEntradas[[#This Row],[Data da Competência]]="",0,MONTH(TbRegistrosEntradas[[#This Row],[Data da Competência]]))</f>
        <v>11</v>
      </c>
      <c r="L37">
        <f>IF(TbRegistrosEntradas[[#This Row],[Data da Competência]]="",0,YEAR(TbRegistrosEntradas[[#This Row],[Data da Competência]]))</f>
        <v>2017</v>
      </c>
      <c r="M37" s="40">
        <f>IF(TbRegistrosEntradas[[#This Row],[Data do Caixa Previsto]]="",0,MONTH(TbRegistrosEntradas[[#This Row],[Data do Caixa Previsto]]))</f>
        <v>11</v>
      </c>
      <c r="N37" s="40">
        <f>IF(TbRegistrosEntradas[[#This Row],[Data do Caixa Previsto]]="",0,YEAR(TbRegistrosEntradas[[#This Row],[Data do Caixa Previsto]]))</f>
        <v>2018</v>
      </c>
      <c r="O37" s="40" t="str">
        <f ca="1">IF(AND(TbRegistrosEntradas[[#This Row],[Data do Caixa Previsto]]&lt;TODAY(),TbRegistrosEntradas[[#This Row],[Data do Caixa Realizado]]=""),"Vencida","Não vencida")</f>
        <v>Não vencida</v>
      </c>
      <c r="P37" s="40" t="str">
        <f>IF(TbRegistrosEntradas[[#This Row],[Data da Competência]]=TbRegistrosEntradas[[#This Row],[Data do Caixa Previsto]],"Vista","Prazo")</f>
        <v>Prazo</v>
      </c>
      <c r="Q3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38" spans="2:17" x14ac:dyDescent="0.25">
      <c r="B38" s="15">
        <v>43151</v>
      </c>
      <c r="C38" s="15">
        <v>43058</v>
      </c>
      <c r="D38" s="15">
        <v>43395</v>
      </c>
      <c r="E38" t="s">
        <v>23</v>
      </c>
      <c r="F38" t="s">
        <v>34</v>
      </c>
      <c r="G38" s="13" t="s">
        <v>95</v>
      </c>
      <c r="H38" s="16">
        <v>4831</v>
      </c>
      <c r="I38">
        <f>IF(TbRegistrosEntradas[[#This Row],[Data do Caixa Realizado]]="",0,MONTH(TbRegistrosEntradas[[#This Row],[Data do Caixa Realizado]]))</f>
        <v>2</v>
      </c>
      <c r="J38">
        <f>IF(TbRegistrosEntradas[[#This Row],[Data do Caixa Realizado]]="",0,YEAR(TbRegistrosEntradas[[#This Row],[Data do Caixa Realizado]]))</f>
        <v>2018</v>
      </c>
      <c r="K38">
        <f>IF(TbRegistrosEntradas[[#This Row],[Data da Competência]]="",0,MONTH(TbRegistrosEntradas[[#This Row],[Data da Competência]]))</f>
        <v>11</v>
      </c>
      <c r="L38">
        <f>IF(TbRegistrosEntradas[[#This Row],[Data da Competência]]="",0,YEAR(TbRegistrosEntradas[[#This Row],[Data da Competência]]))</f>
        <v>2017</v>
      </c>
      <c r="M38" s="40">
        <f>IF(TbRegistrosEntradas[[#This Row],[Data do Caixa Previsto]]="",0,MONTH(TbRegistrosEntradas[[#This Row],[Data do Caixa Previsto]]))</f>
        <v>10</v>
      </c>
      <c r="N38" s="40">
        <f>IF(TbRegistrosEntradas[[#This Row],[Data do Caixa Previsto]]="",0,YEAR(TbRegistrosEntradas[[#This Row],[Data do Caixa Previsto]]))</f>
        <v>2018</v>
      </c>
      <c r="O38" s="40" t="str">
        <f ca="1">IF(AND(TbRegistrosEntradas[[#This Row],[Data do Caixa Previsto]]&lt;TODAY(),TbRegistrosEntradas[[#This Row],[Data do Caixa Realizado]]=""),"Vencida","Não vencida")</f>
        <v>Não vencida</v>
      </c>
      <c r="P38" s="40" t="str">
        <f>IF(TbRegistrosEntradas[[#This Row],[Data da Competência]]=TbRegistrosEntradas[[#This Row],[Data do Caixa Previsto]],"Vista","Prazo")</f>
        <v>Prazo</v>
      </c>
      <c r="Q3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39" spans="2:17" x14ac:dyDescent="0.25">
      <c r="B39" s="15">
        <v>43188</v>
      </c>
      <c r="C39" s="15">
        <v>43059</v>
      </c>
      <c r="D39" s="15">
        <v>43392</v>
      </c>
      <c r="E39" t="s">
        <v>23</v>
      </c>
      <c r="F39" t="s">
        <v>33</v>
      </c>
      <c r="G39" s="13" t="s">
        <v>96</v>
      </c>
      <c r="H39" s="16">
        <v>2072</v>
      </c>
      <c r="I39">
        <f>IF(TbRegistrosEntradas[[#This Row],[Data do Caixa Realizado]]="",0,MONTH(TbRegistrosEntradas[[#This Row],[Data do Caixa Realizado]]))</f>
        <v>3</v>
      </c>
      <c r="J39">
        <f>IF(TbRegistrosEntradas[[#This Row],[Data do Caixa Realizado]]="",0,YEAR(TbRegistrosEntradas[[#This Row],[Data do Caixa Realizado]]))</f>
        <v>2018</v>
      </c>
      <c r="K39">
        <f>IF(TbRegistrosEntradas[[#This Row],[Data da Competência]]="",0,MONTH(TbRegistrosEntradas[[#This Row],[Data da Competência]]))</f>
        <v>11</v>
      </c>
      <c r="L39">
        <f>IF(TbRegistrosEntradas[[#This Row],[Data da Competência]]="",0,YEAR(TbRegistrosEntradas[[#This Row],[Data da Competência]]))</f>
        <v>2017</v>
      </c>
      <c r="M39" s="40">
        <f>IF(TbRegistrosEntradas[[#This Row],[Data do Caixa Previsto]]="",0,MONTH(TbRegistrosEntradas[[#This Row],[Data do Caixa Previsto]]))</f>
        <v>10</v>
      </c>
      <c r="N39" s="40">
        <f>IF(TbRegistrosEntradas[[#This Row],[Data do Caixa Previsto]]="",0,YEAR(TbRegistrosEntradas[[#This Row],[Data do Caixa Previsto]]))</f>
        <v>2018</v>
      </c>
      <c r="O39" s="40" t="str">
        <f ca="1">IF(AND(TbRegistrosEntradas[[#This Row],[Data do Caixa Previsto]]&lt;TODAY(),TbRegistrosEntradas[[#This Row],[Data do Caixa Realizado]]=""),"Vencida","Não vencida")</f>
        <v>Não vencida</v>
      </c>
      <c r="P39" s="40" t="str">
        <f>IF(TbRegistrosEntradas[[#This Row],[Data da Competência]]=TbRegistrosEntradas[[#This Row],[Data do Caixa Previsto]],"Vista","Prazo")</f>
        <v>Prazo</v>
      </c>
      <c r="Q3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40" spans="2:17" x14ac:dyDescent="0.25">
      <c r="B40" s="15">
        <v>43122</v>
      </c>
      <c r="C40" s="15">
        <v>43063</v>
      </c>
      <c r="D40" s="15">
        <v>43399</v>
      </c>
      <c r="E40" t="s">
        <v>23</v>
      </c>
      <c r="F40" t="s">
        <v>31</v>
      </c>
      <c r="G40" s="13" t="s">
        <v>97</v>
      </c>
      <c r="H40" s="16">
        <v>3992</v>
      </c>
      <c r="I40">
        <f>IF(TbRegistrosEntradas[[#This Row],[Data do Caixa Realizado]]="",0,MONTH(TbRegistrosEntradas[[#This Row],[Data do Caixa Realizado]]))</f>
        <v>1</v>
      </c>
      <c r="J40">
        <f>IF(TbRegistrosEntradas[[#This Row],[Data do Caixa Realizado]]="",0,YEAR(TbRegistrosEntradas[[#This Row],[Data do Caixa Realizado]]))</f>
        <v>2018</v>
      </c>
      <c r="K40">
        <f>IF(TbRegistrosEntradas[[#This Row],[Data da Competência]]="",0,MONTH(TbRegistrosEntradas[[#This Row],[Data da Competência]]))</f>
        <v>11</v>
      </c>
      <c r="L40">
        <f>IF(TbRegistrosEntradas[[#This Row],[Data da Competência]]="",0,YEAR(TbRegistrosEntradas[[#This Row],[Data da Competência]]))</f>
        <v>2017</v>
      </c>
      <c r="M40" s="40">
        <f>IF(TbRegistrosEntradas[[#This Row],[Data do Caixa Previsto]]="",0,MONTH(TbRegistrosEntradas[[#This Row],[Data do Caixa Previsto]]))</f>
        <v>10</v>
      </c>
      <c r="N40" s="40">
        <f>IF(TbRegistrosEntradas[[#This Row],[Data do Caixa Previsto]]="",0,YEAR(TbRegistrosEntradas[[#This Row],[Data do Caixa Previsto]]))</f>
        <v>2018</v>
      </c>
      <c r="O40" s="40" t="str">
        <f ca="1">IF(AND(TbRegistrosEntradas[[#This Row],[Data do Caixa Previsto]]&lt;TODAY(),TbRegistrosEntradas[[#This Row],[Data do Caixa Realizado]]=""),"Vencida","Não vencida")</f>
        <v>Não vencida</v>
      </c>
      <c r="P40" s="40" t="str">
        <f>IF(TbRegistrosEntradas[[#This Row],[Data da Competência]]=TbRegistrosEntradas[[#This Row],[Data do Caixa Previsto]],"Vista","Prazo")</f>
        <v>Prazo</v>
      </c>
      <c r="Q4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41" spans="2:17" x14ac:dyDescent="0.25">
      <c r="B41" s="15" t="s">
        <v>69</v>
      </c>
      <c r="C41" s="15">
        <v>43068</v>
      </c>
      <c r="D41" s="15">
        <v>43432</v>
      </c>
      <c r="E41" t="s">
        <v>23</v>
      </c>
      <c r="F41" t="s">
        <v>30</v>
      </c>
      <c r="G41" s="13" t="s">
        <v>98</v>
      </c>
      <c r="H41" s="16">
        <v>1284</v>
      </c>
      <c r="I41">
        <f>IF(TbRegistrosEntradas[[#This Row],[Data do Caixa Realizado]]="",0,MONTH(TbRegistrosEntradas[[#This Row],[Data do Caixa Realizado]]))</f>
        <v>0</v>
      </c>
      <c r="J41">
        <f>IF(TbRegistrosEntradas[[#This Row],[Data do Caixa Realizado]]="",0,YEAR(TbRegistrosEntradas[[#This Row],[Data do Caixa Realizado]]))</f>
        <v>0</v>
      </c>
      <c r="K41">
        <f>IF(TbRegistrosEntradas[[#This Row],[Data da Competência]]="",0,MONTH(TbRegistrosEntradas[[#This Row],[Data da Competência]]))</f>
        <v>11</v>
      </c>
      <c r="L41">
        <f>IF(TbRegistrosEntradas[[#This Row],[Data da Competência]]="",0,YEAR(TbRegistrosEntradas[[#This Row],[Data da Competência]]))</f>
        <v>2017</v>
      </c>
      <c r="M41" s="40">
        <f>IF(TbRegistrosEntradas[[#This Row],[Data do Caixa Previsto]]="",0,MONTH(TbRegistrosEntradas[[#This Row],[Data do Caixa Previsto]]))</f>
        <v>11</v>
      </c>
      <c r="N41" s="40">
        <f>IF(TbRegistrosEntradas[[#This Row],[Data do Caixa Previsto]]="",0,YEAR(TbRegistrosEntradas[[#This Row],[Data do Caixa Previsto]]))</f>
        <v>2018</v>
      </c>
      <c r="O41" s="40" t="str">
        <f ca="1">IF(AND(TbRegistrosEntradas[[#This Row],[Data do Caixa Previsto]]&lt;TODAY(),TbRegistrosEntradas[[#This Row],[Data do Caixa Realizado]]=""),"Vencida","Não vencida")</f>
        <v>Vencida</v>
      </c>
      <c r="P41" s="40" t="str">
        <f>IF(TbRegistrosEntradas[[#This Row],[Data da Competência]]=TbRegistrosEntradas[[#This Row],[Data do Caixa Previsto]],"Vista","Prazo")</f>
        <v>Prazo</v>
      </c>
      <c r="Q4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1884</v>
      </c>
    </row>
    <row r="42" spans="2:17" x14ac:dyDescent="0.25">
      <c r="B42" s="15">
        <v>43121</v>
      </c>
      <c r="C42" s="15">
        <v>43073</v>
      </c>
      <c r="D42" s="15">
        <v>43423</v>
      </c>
      <c r="E42" t="s">
        <v>23</v>
      </c>
      <c r="F42" t="s">
        <v>31</v>
      </c>
      <c r="G42" s="13" t="s">
        <v>99</v>
      </c>
      <c r="H42" s="16">
        <v>4073</v>
      </c>
      <c r="I42">
        <f>IF(TbRegistrosEntradas[[#This Row],[Data do Caixa Realizado]]="",0,MONTH(TbRegistrosEntradas[[#This Row],[Data do Caixa Realizado]]))</f>
        <v>1</v>
      </c>
      <c r="J42">
        <f>IF(TbRegistrosEntradas[[#This Row],[Data do Caixa Realizado]]="",0,YEAR(TbRegistrosEntradas[[#This Row],[Data do Caixa Realizado]]))</f>
        <v>2018</v>
      </c>
      <c r="K42">
        <f>IF(TbRegistrosEntradas[[#This Row],[Data da Competência]]="",0,MONTH(TbRegistrosEntradas[[#This Row],[Data da Competência]]))</f>
        <v>12</v>
      </c>
      <c r="L42">
        <f>IF(TbRegistrosEntradas[[#This Row],[Data da Competência]]="",0,YEAR(TbRegistrosEntradas[[#This Row],[Data da Competência]]))</f>
        <v>2017</v>
      </c>
      <c r="M42" s="40">
        <f>IF(TbRegistrosEntradas[[#This Row],[Data do Caixa Previsto]]="",0,MONTH(TbRegistrosEntradas[[#This Row],[Data do Caixa Previsto]]))</f>
        <v>11</v>
      </c>
      <c r="N42" s="40">
        <f>IF(TbRegistrosEntradas[[#This Row],[Data do Caixa Previsto]]="",0,YEAR(TbRegistrosEntradas[[#This Row],[Data do Caixa Previsto]]))</f>
        <v>2018</v>
      </c>
      <c r="O42" s="40" t="str">
        <f ca="1">IF(AND(TbRegistrosEntradas[[#This Row],[Data do Caixa Previsto]]&lt;TODAY(),TbRegistrosEntradas[[#This Row],[Data do Caixa Realizado]]=""),"Vencida","Não vencida")</f>
        <v>Não vencida</v>
      </c>
      <c r="P42" s="40" t="str">
        <f>IF(TbRegistrosEntradas[[#This Row],[Data da Competência]]=TbRegistrosEntradas[[#This Row],[Data do Caixa Previsto]],"Vista","Prazo")</f>
        <v>Prazo</v>
      </c>
      <c r="Q4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43" spans="2:17" x14ac:dyDescent="0.25">
      <c r="B43" s="15">
        <v>43084</v>
      </c>
      <c r="C43" s="15">
        <v>43073</v>
      </c>
      <c r="D43" s="15">
        <v>43073</v>
      </c>
      <c r="E43" t="s">
        <v>23</v>
      </c>
      <c r="F43" t="s">
        <v>30</v>
      </c>
      <c r="G43" s="13" t="s">
        <v>100</v>
      </c>
      <c r="H43" s="16">
        <v>3008</v>
      </c>
      <c r="I43">
        <f>IF(TbRegistrosEntradas[[#This Row],[Data do Caixa Realizado]]="",0,MONTH(TbRegistrosEntradas[[#This Row],[Data do Caixa Realizado]]))</f>
        <v>12</v>
      </c>
      <c r="J43">
        <f>IF(TbRegistrosEntradas[[#This Row],[Data do Caixa Realizado]]="",0,YEAR(TbRegistrosEntradas[[#This Row],[Data do Caixa Realizado]]))</f>
        <v>2017</v>
      </c>
      <c r="K43">
        <f>IF(TbRegistrosEntradas[[#This Row],[Data da Competência]]="",0,MONTH(TbRegistrosEntradas[[#This Row],[Data da Competência]]))</f>
        <v>12</v>
      </c>
      <c r="L43">
        <f>IF(TbRegistrosEntradas[[#This Row],[Data da Competência]]="",0,YEAR(TbRegistrosEntradas[[#This Row],[Data da Competência]]))</f>
        <v>2017</v>
      </c>
      <c r="M43" s="40">
        <f>IF(TbRegistrosEntradas[[#This Row],[Data do Caixa Previsto]]="",0,MONTH(TbRegistrosEntradas[[#This Row],[Data do Caixa Previsto]]))</f>
        <v>12</v>
      </c>
      <c r="N43" s="40">
        <f>IF(TbRegistrosEntradas[[#This Row],[Data do Caixa Previsto]]="",0,YEAR(TbRegistrosEntradas[[#This Row],[Data do Caixa Previsto]]))</f>
        <v>2017</v>
      </c>
      <c r="O43" s="40" t="str">
        <f ca="1">IF(AND(TbRegistrosEntradas[[#This Row],[Data do Caixa Previsto]]&lt;TODAY(),TbRegistrosEntradas[[#This Row],[Data do Caixa Realizado]]=""),"Vencida","Não vencida")</f>
        <v>Não vencida</v>
      </c>
      <c r="P43" s="40" t="str">
        <f>IF(TbRegistrosEntradas[[#This Row],[Data da Competência]]=TbRegistrosEntradas[[#This Row],[Data do Caixa Previsto]],"Vista","Prazo")</f>
        <v>Vista</v>
      </c>
      <c r="Q4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11</v>
      </c>
    </row>
    <row r="44" spans="2:17" x14ac:dyDescent="0.25">
      <c r="B44" s="15">
        <v>43131</v>
      </c>
      <c r="C44" s="15">
        <v>43080</v>
      </c>
      <c r="D44" s="15">
        <v>43080</v>
      </c>
      <c r="E44" t="s">
        <v>23</v>
      </c>
      <c r="F44" t="s">
        <v>30</v>
      </c>
      <c r="G44" s="13" t="s">
        <v>101</v>
      </c>
      <c r="H44" s="16">
        <v>1267</v>
      </c>
      <c r="I44">
        <f>IF(TbRegistrosEntradas[[#This Row],[Data do Caixa Realizado]]="",0,MONTH(TbRegistrosEntradas[[#This Row],[Data do Caixa Realizado]]))</f>
        <v>1</v>
      </c>
      <c r="J44">
        <f>IF(TbRegistrosEntradas[[#This Row],[Data do Caixa Realizado]]="",0,YEAR(TbRegistrosEntradas[[#This Row],[Data do Caixa Realizado]]))</f>
        <v>2018</v>
      </c>
      <c r="K44">
        <f>IF(TbRegistrosEntradas[[#This Row],[Data da Competência]]="",0,MONTH(TbRegistrosEntradas[[#This Row],[Data da Competência]]))</f>
        <v>12</v>
      </c>
      <c r="L44">
        <f>IF(TbRegistrosEntradas[[#This Row],[Data da Competência]]="",0,YEAR(TbRegistrosEntradas[[#This Row],[Data da Competência]]))</f>
        <v>2017</v>
      </c>
      <c r="M44" s="40">
        <f>IF(TbRegistrosEntradas[[#This Row],[Data do Caixa Previsto]]="",0,MONTH(TbRegistrosEntradas[[#This Row],[Data do Caixa Previsto]]))</f>
        <v>12</v>
      </c>
      <c r="N44" s="40">
        <f>IF(TbRegistrosEntradas[[#This Row],[Data do Caixa Previsto]]="",0,YEAR(TbRegistrosEntradas[[#This Row],[Data do Caixa Previsto]]))</f>
        <v>2017</v>
      </c>
      <c r="O44" s="40" t="str">
        <f ca="1">IF(AND(TbRegistrosEntradas[[#This Row],[Data do Caixa Previsto]]&lt;TODAY(),TbRegistrosEntradas[[#This Row],[Data do Caixa Realizado]]=""),"Vencida","Não vencida")</f>
        <v>Não vencida</v>
      </c>
      <c r="P44" s="40" t="str">
        <f>IF(TbRegistrosEntradas[[#This Row],[Data da Competência]]=TbRegistrosEntradas[[#This Row],[Data do Caixa Previsto]],"Vista","Prazo")</f>
        <v>Vista</v>
      </c>
      <c r="Q4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51</v>
      </c>
    </row>
    <row r="45" spans="2:17" x14ac:dyDescent="0.25">
      <c r="B45" s="15">
        <v>43103</v>
      </c>
      <c r="C45" s="15">
        <v>43082</v>
      </c>
      <c r="D45" s="15">
        <v>43082</v>
      </c>
      <c r="E45" t="s">
        <v>23</v>
      </c>
      <c r="F45" t="s">
        <v>30</v>
      </c>
      <c r="G45" s="13" t="s">
        <v>102</v>
      </c>
      <c r="H45" s="16">
        <v>284</v>
      </c>
      <c r="I45">
        <f>IF(TbRegistrosEntradas[[#This Row],[Data do Caixa Realizado]]="",0,MONTH(TbRegistrosEntradas[[#This Row],[Data do Caixa Realizado]]))</f>
        <v>1</v>
      </c>
      <c r="J45">
        <f>IF(TbRegistrosEntradas[[#This Row],[Data do Caixa Realizado]]="",0,YEAR(TbRegistrosEntradas[[#This Row],[Data do Caixa Realizado]]))</f>
        <v>2018</v>
      </c>
      <c r="K45">
        <f>IF(TbRegistrosEntradas[[#This Row],[Data da Competência]]="",0,MONTH(TbRegistrosEntradas[[#This Row],[Data da Competência]]))</f>
        <v>12</v>
      </c>
      <c r="L45">
        <f>IF(TbRegistrosEntradas[[#This Row],[Data da Competência]]="",0,YEAR(TbRegistrosEntradas[[#This Row],[Data da Competência]]))</f>
        <v>2017</v>
      </c>
      <c r="M45" s="40">
        <f>IF(TbRegistrosEntradas[[#This Row],[Data do Caixa Previsto]]="",0,MONTH(TbRegistrosEntradas[[#This Row],[Data do Caixa Previsto]]))</f>
        <v>12</v>
      </c>
      <c r="N45" s="40">
        <f>IF(TbRegistrosEntradas[[#This Row],[Data do Caixa Previsto]]="",0,YEAR(TbRegistrosEntradas[[#This Row],[Data do Caixa Previsto]]))</f>
        <v>2017</v>
      </c>
      <c r="O45" s="40" t="str">
        <f ca="1">IF(AND(TbRegistrosEntradas[[#This Row],[Data do Caixa Previsto]]&lt;TODAY(),TbRegistrosEntradas[[#This Row],[Data do Caixa Realizado]]=""),"Vencida","Não vencida")</f>
        <v>Não vencida</v>
      </c>
      <c r="P45" s="40" t="str">
        <f>IF(TbRegistrosEntradas[[#This Row],[Data da Competência]]=TbRegistrosEntradas[[#This Row],[Data do Caixa Previsto]],"Vista","Prazo")</f>
        <v>Vista</v>
      </c>
      <c r="Q4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21</v>
      </c>
    </row>
    <row r="46" spans="2:17" x14ac:dyDescent="0.25">
      <c r="B46" s="15">
        <v>43086</v>
      </c>
      <c r="C46" s="15">
        <v>43083</v>
      </c>
      <c r="D46" s="15">
        <v>43083</v>
      </c>
      <c r="E46" t="s">
        <v>23</v>
      </c>
      <c r="F46" t="s">
        <v>33</v>
      </c>
      <c r="G46" s="13" t="s">
        <v>103</v>
      </c>
      <c r="H46" s="16">
        <v>2046</v>
      </c>
      <c r="I46">
        <f>IF(TbRegistrosEntradas[[#This Row],[Data do Caixa Realizado]]="",0,MONTH(TbRegistrosEntradas[[#This Row],[Data do Caixa Realizado]]))</f>
        <v>12</v>
      </c>
      <c r="J46">
        <f>IF(TbRegistrosEntradas[[#This Row],[Data do Caixa Realizado]]="",0,YEAR(TbRegistrosEntradas[[#This Row],[Data do Caixa Realizado]]))</f>
        <v>2017</v>
      </c>
      <c r="K46">
        <f>IF(TbRegistrosEntradas[[#This Row],[Data da Competência]]="",0,MONTH(TbRegistrosEntradas[[#This Row],[Data da Competência]]))</f>
        <v>12</v>
      </c>
      <c r="L46">
        <f>IF(TbRegistrosEntradas[[#This Row],[Data da Competência]]="",0,YEAR(TbRegistrosEntradas[[#This Row],[Data da Competência]]))</f>
        <v>2017</v>
      </c>
      <c r="M46" s="40">
        <f>IF(TbRegistrosEntradas[[#This Row],[Data do Caixa Previsto]]="",0,MONTH(TbRegistrosEntradas[[#This Row],[Data do Caixa Previsto]]))</f>
        <v>12</v>
      </c>
      <c r="N46" s="40">
        <f>IF(TbRegistrosEntradas[[#This Row],[Data do Caixa Previsto]]="",0,YEAR(TbRegistrosEntradas[[#This Row],[Data do Caixa Previsto]]))</f>
        <v>2017</v>
      </c>
      <c r="O46" s="40" t="str">
        <f ca="1">IF(AND(TbRegistrosEntradas[[#This Row],[Data do Caixa Previsto]]&lt;TODAY(),TbRegistrosEntradas[[#This Row],[Data do Caixa Realizado]]=""),"Vencida","Não vencida")</f>
        <v>Não vencida</v>
      </c>
      <c r="P46" s="40" t="str">
        <f>IF(TbRegistrosEntradas[[#This Row],[Data da Competência]]=TbRegistrosEntradas[[#This Row],[Data do Caixa Previsto]],"Vista","Prazo")</f>
        <v>Vista</v>
      </c>
      <c r="Q4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</v>
      </c>
    </row>
    <row r="47" spans="2:17" x14ac:dyDescent="0.25">
      <c r="B47" s="15">
        <v>43135</v>
      </c>
      <c r="C47" s="15">
        <v>43085</v>
      </c>
      <c r="D47" s="15">
        <v>43085</v>
      </c>
      <c r="E47" t="s">
        <v>23</v>
      </c>
      <c r="F47" t="s">
        <v>31</v>
      </c>
      <c r="G47" s="13" t="s">
        <v>104</v>
      </c>
      <c r="H47" s="16">
        <v>3880</v>
      </c>
      <c r="I47">
        <f>IF(TbRegistrosEntradas[[#This Row],[Data do Caixa Realizado]]="",0,MONTH(TbRegistrosEntradas[[#This Row],[Data do Caixa Realizado]]))</f>
        <v>2</v>
      </c>
      <c r="J47">
        <f>IF(TbRegistrosEntradas[[#This Row],[Data do Caixa Realizado]]="",0,YEAR(TbRegistrosEntradas[[#This Row],[Data do Caixa Realizado]]))</f>
        <v>2018</v>
      </c>
      <c r="K47">
        <f>IF(TbRegistrosEntradas[[#This Row],[Data da Competência]]="",0,MONTH(TbRegistrosEntradas[[#This Row],[Data da Competência]]))</f>
        <v>12</v>
      </c>
      <c r="L47">
        <f>IF(TbRegistrosEntradas[[#This Row],[Data da Competência]]="",0,YEAR(TbRegistrosEntradas[[#This Row],[Data da Competência]]))</f>
        <v>2017</v>
      </c>
      <c r="M47" s="40">
        <f>IF(TbRegistrosEntradas[[#This Row],[Data do Caixa Previsto]]="",0,MONTH(TbRegistrosEntradas[[#This Row],[Data do Caixa Previsto]]))</f>
        <v>12</v>
      </c>
      <c r="N47" s="40">
        <f>IF(TbRegistrosEntradas[[#This Row],[Data do Caixa Previsto]]="",0,YEAR(TbRegistrosEntradas[[#This Row],[Data do Caixa Previsto]]))</f>
        <v>2017</v>
      </c>
      <c r="O47" s="40" t="str">
        <f ca="1">IF(AND(TbRegistrosEntradas[[#This Row],[Data do Caixa Previsto]]&lt;TODAY(),TbRegistrosEntradas[[#This Row],[Data do Caixa Realizado]]=""),"Vencida","Não vencida")</f>
        <v>Não vencida</v>
      </c>
      <c r="P47" s="40" t="str">
        <f>IF(TbRegistrosEntradas[[#This Row],[Data da Competência]]=TbRegistrosEntradas[[#This Row],[Data do Caixa Previsto]],"Vista","Prazo")</f>
        <v>Vista</v>
      </c>
      <c r="Q4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50</v>
      </c>
    </row>
    <row r="48" spans="2:17" x14ac:dyDescent="0.25">
      <c r="B48" s="15">
        <v>43123</v>
      </c>
      <c r="C48" s="15">
        <v>43086</v>
      </c>
      <c r="D48" s="15">
        <v>43086</v>
      </c>
      <c r="E48" t="s">
        <v>23</v>
      </c>
      <c r="F48" t="s">
        <v>31</v>
      </c>
      <c r="G48" s="13" t="s">
        <v>105</v>
      </c>
      <c r="H48" s="16">
        <v>3149</v>
      </c>
      <c r="I48">
        <f>IF(TbRegistrosEntradas[[#This Row],[Data do Caixa Realizado]]="",0,MONTH(TbRegistrosEntradas[[#This Row],[Data do Caixa Realizado]]))</f>
        <v>1</v>
      </c>
      <c r="J48">
        <f>IF(TbRegistrosEntradas[[#This Row],[Data do Caixa Realizado]]="",0,YEAR(TbRegistrosEntradas[[#This Row],[Data do Caixa Realizado]]))</f>
        <v>2018</v>
      </c>
      <c r="K48">
        <f>IF(TbRegistrosEntradas[[#This Row],[Data da Competência]]="",0,MONTH(TbRegistrosEntradas[[#This Row],[Data da Competência]]))</f>
        <v>12</v>
      </c>
      <c r="L48">
        <f>IF(TbRegistrosEntradas[[#This Row],[Data da Competência]]="",0,YEAR(TbRegistrosEntradas[[#This Row],[Data da Competência]]))</f>
        <v>2017</v>
      </c>
      <c r="M48" s="40">
        <f>IF(TbRegistrosEntradas[[#This Row],[Data do Caixa Previsto]]="",0,MONTH(TbRegistrosEntradas[[#This Row],[Data do Caixa Previsto]]))</f>
        <v>12</v>
      </c>
      <c r="N48" s="40">
        <f>IF(TbRegistrosEntradas[[#This Row],[Data do Caixa Previsto]]="",0,YEAR(TbRegistrosEntradas[[#This Row],[Data do Caixa Previsto]]))</f>
        <v>2017</v>
      </c>
      <c r="O48" s="40" t="str">
        <f ca="1">IF(AND(TbRegistrosEntradas[[#This Row],[Data do Caixa Previsto]]&lt;TODAY(),TbRegistrosEntradas[[#This Row],[Data do Caixa Realizado]]=""),"Vencida","Não vencida")</f>
        <v>Não vencida</v>
      </c>
      <c r="P48" s="40" t="str">
        <f>IF(TbRegistrosEntradas[[#This Row],[Data da Competência]]=TbRegistrosEntradas[[#This Row],[Data do Caixa Previsto]],"Vista","Prazo")</f>
        <v>Vista</v>
      </c>
      <c r="Q4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37</v>
      </c>
    </row>
    <row r="49" spans="2:17" x14ac:dyDescent="0.25">
      <c r="B49" s="15">
        <v>43125</v>
      </c>
      <c r="C49" s="15">
        <v>43088</v>
      </c>
      <c r="D49" s="15">
        <v>43088</v>
      </c>
      <c r="E49" t="s">
        <v>23</v>
      </c>
      <c r="F49" t="s">
        <v>33</v>
      </c>
      <c r="G49" s="13" t="s">
        <v>106</v>
      </c>
      <c r="H49" s="16">
        <v>668</v>
      </c>
      <c r="I49">
        <f>IF(TbRegistrosEntradas[[#This Row],[Data do Caixa Realizado]]="",0,MONTH(TbRegistrosEntradas[[#This Row],[Data do Caixa Realizado]]))</f>
        <v>1</v>
      </c>
      <c r="J49">
        <f>IF(TbRegistrosEntradas[[#This Row],[Data do Caixa Realizado]]="",0,YEAR(TbRegistrosEntradas[[#This Row],[Data do Caixa Realizado]]))</f>
        <v>2018</v>
      </c>
      <c r="K49">
        <f>IF(TbRegistrosEntradas[[#This Row],[Data da Competência]]="",0,MONTH(TbRegistrosEntradas[[#This Row],[Data da Competência]]))</f>
        <v>12</v>
      </c>
      <c r="L49">
        <f>IF(TbRegistrosEntradas[[#This Row],[Data da Competência]]="",0,YEAR(TbRegistrosEntradas[[#This Row],[Data da Competência]]))</f>
        <v>2017</v>
      </c>
      <c r="M49" s="40">
        <f>IF(TbRegistrosEntradas[[#This Row],[Data do Caixa Previsto]]="",0,MONTH(TbRegistrosEntradas[[#This Row],[Data do Caixa Previsto]]))</f>
        <v>12</v>
      </c>
      <c r="N49" s="40">
        <f>IF(TbRegistrosEntradas[[#This Row],[Data do Caixa Previsto]]="",0,YEAR(TbRegistrosEntradas[[#This Row],[Data do Caixa Previsto]]))</f>
        <v>2017</v>
      </c>
      <c r="O49" s="40" t="str">
        <f ca="1">IF(AND(TbRegistrosEntradas[[#This Row],[Data do Caixa Previsto]]&lt;TODAY(),TbRegistrosEntradas[[#This Row],[Data do Caixa Realizado]]=""),"Vencida","Não vencida")</f>
        <v>Não vencida</v>
      </c>
      <c r="P49" s="40" t="str">
        <f>IF(TbRegistrosEntradas[[#This Row],[Data da Competência]]=TbRegistrosEntradas[[#This Row],[Data do Caixa Previsto]],"Vista","Prazo")</f>
        <v>Vista</v>
      </c>
      <c r="Q4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37</v>
      </c>
    </row>
    <row r="50" spans="2:17" x14ac:dyDescent="0.25">
      <c r="B50" s="15">
        <v>43117</v>
      </c>
      <c r="C50" s="15">
        <v>43089</v>
      </c>
      <c r="D50" s="15">
        <v>43089</v>
      </c>
      <c r="E50" t="s">
        <v>23</v>
      </c>
      <c r="F50" t="s">
        <v>34</v>
      </c>
      <c r="G50" s="13" t="s">
        <v>107</v>
      </c>
      <c r="H50" s="16">
        <v>3721</v>
      </c>
      <c r="I50">
        <f>IF(TbRegistrosEntradas[[#This Row],[Data do Caixa Realizado]]="",0,MONTH(TbRegistrosEntradas[[#This Row],[Data do Caixa Realizado]]))</f>
        <v>1</v>
      </c>
      <c r="J50">
        <f>IF(TbRegistrosEntradas[[#This Row],[Data do Caixa Realizado]]="",0,YEAR(TbRegistrosEntradas[[#This Row],[Data do Caixa Realizado]]))</f>
        <v>2018</v>
      </c>
      <c r="K50">
        <f>IF(TbRegistrosEntradas[[#This Row],[Data da Competência]]="",0,MONTH(TbRegistrosEntradas[[#This Row],[Data da Competência]]))</f>
        <v>12</v>
      </c>
      <c r="L50">
        <f>IF(TbRegistrosEntradas[[#This Row],[Data da Competência]]="",0,YEAR(TbRegistrosEntradas[[#This Row],[Data da Competência]]))</f>
        <v>2017</v>
      </c>
      <c r="M50" s="40">
        <f>IF(TbRegistrosEntradas[[#This Row],[Data do Caixa Previsto]]="",0,MONTH(TbRegistrosEntradas[[#This Row],[Data do Caixa Previsto]]))</f>
        <v>12</v>
      </c>
      <c r="N50" s="40">
        <f>IF(TbRegistrosEntradas[[#This Row],[Data do Caixa Previsto]]="",0,YEAR(TbRegistrosEntradas[[#This Row],[Data do Caixa Previsto]]))</f>
        <v>2017</v>
      </c>
      <c r="O50" s="40" t="str">
        <f ca="1">IF(AND(TbRegistrosEntradas[[#This Row],[Data do Caixa Previsto]]&lt;TODAY(),TbRegistrosEntradas[[#This Row],[Data do Caixa Realizado]]=""),"Vencida","Não vencida")</f>
        <v>Não vencida</v>
      </c>
      <c r="P50" s="40" t="str">
        <f>IF(TbRegistrosEntradas[[#This Row],[Data da Competência]]=TbRegistrosEntradas[[#This Row],[Data do Caixa Previsto]],"Vista","Prazo")</f>
        <v>Vista</v>
      </c>
      <c r="Q5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28</v>
      </c>
    </row>
    <row r="51" spans="2:17" x14ac:dyDescent="0.25">
      <c r="B51" s="15">
        <v>43222</v>
      </c>
      <c r="C51" s="15">
        <v>43091</v>
      </c>
      <c r="D51" s="15">
        <v>43091</v>
      </c>
      <c r="E51" t="s">
        <v>23</v>
      </c>
      <c r="F51" t="s">
        <v>31</v>
      </c>
      <c r="G51" s="13" t="s">
        <v>108</v>
      </c>
      <c r="H51" s="16">
        <v>3114</v>
      </c>
      <c r="I51">
        <f>IF(TbRegistrosEntradas[[#This Row],[Data do Caixa Realizado]]="",0,MONTH(TbRegistrosEntradas[[#This Row],[Data do Caixa Realizado]]))</f>
        <v>5</v>
      </c>
      <c r="J51">
        <f>IF(TbRegistrosEntradas[[#This Row],[Data do Caixa Realizado]]="",0,YEAR(TbRegistrosEntradas[[#This Row],[Data do Caixa Realizado]]))</f>
        <v>2018</v>
      </c>
      <c r="K51">
        <f>IF(TbRegistrosEntradas[[#This Row],[Data da Competência]]="",0,MONTH(TbRegistrosEntradas[[#This Row],[Data da Competência]]))</f>
        <v>12</v>
      </c>
      <c r="L51">
        <f>IF(TbRegistrosEntradas[[#This Row],[Data da Competência]]="",0,YEAR(TbRegistrosEntradas[[#This Row],[Data da Competência]]))</f>
        <v>2017</v>
      </c>
      <c r="M51" s="40">
        <f>IF(TbRegistrosEntradas[[#This Row],[Data do Caixa Previsto]]="",0,MONTH(TbRegistrosEntradas[[#This Row],[Data do Caixa Previsto]]))</f>
        <v>12</v>
      </c>
      <c r="N51" s="40">
        <f>IF(TbRegistrosEntradas[[#This Row],[Data do Caixa Previsto]]="",0,YEAR(TbRegistrosEntradas[[#This Row],[Data do Caixa Previsto]]))</f>
        <v>2017</v>
      </c>
      <c r="O51" s="40" t="str">
        <f ca="1">IF(AND(TbRegistrosEntradas[[#This Row],[Data do Caixa Previsto]]&lt;TODAY(),TbRegistrosEntradas[[#This Row],[Data do Caixa Realizado]]=""),"Vencida","Não vencida")</f>
        <v>Não vencida</v>
      </c>
      <c r="P51" s="40" t="str">
        <f>IF(TbRegistrosEntradas[[#This Row],[Data da Competência]]=TbRegistrosEntradas[[#This Row],[Data do Caixa Previsto]],"Vista","Prazo")</f>
        <v>Vista</v>
      </c>
      <c r="Q5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131</v>
      </c>
    </row>
    <row r="52" spans="2:17" x14ac:dyDescent="0.25">
      <c r="B52" s="15">
        <v>43171</v>
      </c>
      <c r="C52" s="15">
        <v>43095</v>
      </c>
      <c r="D52" s="15">
        <v>43095</v>
      </c>
      <c r="E52" t="s">
        <v>23</v>
      </c>
      <c r="F52" t="s">
        <v>33</v>
      </c>
      <c r="G52" s="13" t="s">
        <v>109</v>
      </c>
      <c r="H52" s="16">
        <v>1436</v>
      </c>
      <c r="I52">
        <f>IF(TbRegistrosEntradas[[#This Row],[Data do Caixa Realizado]]="",0,MONTH(TbRegistrosEntradas[[#This Row],[Data do Caixa Realizado]]))</f>
        <v>3</v>
      </c>
      <c r="J52">
        <f>IF(TbRegistrosEntradas[[#This Row],[Data do Caixa Realizado]]="",0,YEAR(TbRegistrosEntradas[[#This Row],[Data do Caixa Realizado]]))</f>
        <v>2018</v>
      </c>
      <c r="K52">
        <f>IF(TbRegistrosEntradas[[#This Row],[Data da Competência]]="",0,MONTH(TbRegistrosEntradas[[#This Row],[Data da Competência]]))</f>
        <v>12</v>
      </c>
      <c r="L52">
        <f>IF(TbRegistrosEntradas[[#This Row],[Data da Competência]]="",0,YEAR(TbRegistrosEntradas[[#This Row],[Data da Competência]]))</f>
        <v>2017</v>
      </c>
      <c r="M52" s="40">
        <f>IF(TbRegistrosEntradas[[#This Row],[Data do Caixa Previsto]]="",0,MONTH(TbRegistrosEntradas[[#This Row],[Data do Caixa Previsto]]))</f>
        <v>12</v>
      </c>
      <c r="N52" s="40">
        <f>IF(TbRegistrosEntradas[[#This Row],[Data do Caixa Previsto]]="",0,YEAR(TbRegistrosEntradas[[#This Row],[Data do Caixa Previsto]]))</f>
        <v>2017</v>
      </c>
      <c r="O52" s="40" t="str">
        <f ca="1">IF(AND(TbRegistrosEntradas[[#This Row],[Data do Caixa Previsto]]&lt;TODAY(),TbRegistrosEntradas[[#This Row],[Data do Caixa Realizado]]=""),"Vencida","Não vencida")</f>
        <v>Não vencida</v>
      </c>
      <c r="P52" s="40" t="str">
        <f>IF(TbRegistrosEntradas[[#This Row],[Data da Competência]]=TbRegistrosEntradas[[#This Row],[Data do Caixa Previsto]],"Vista","Prazo")</f>
        <v>Vista</v>
      </c>
      <c r="Q5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76</v>
      </c>
    </row>
    <row r="53" spans="2:17" x14ac:dyDescent="0.25">
      <c r="B53" s="15">
        <v>43101</v>
      </c>
      <c r="C53" s="15">
        <v>43099</v>
      </c>
      <c r="D53" s="15">
        <v>43099</v>
      </c>
      <c r="E53" t="s">
        <v>23</v>
      </c>
      <c r="F53" t="s">
        <v>33</v>
      </c>
      <c r="G53" s="13" t="s">
        <v>110</v>
      </c>
      <c r="H53" s="16">
        <v>3192</v>
      </c>
      <c r="I53">
        <f>IF(TbRegistrosEntradas[[#This Row],[Data do Caixa Realizado]]="",0,MONTH(TbRegistrosEntradas[[#This Row],[Data do Caixa Realizado]]))</f>
        <v>1</v>
      </c>
      <c r="J53">
        <f>IF(TbRegistrosEntradas[[#This Row],[Data do Caixa Realizado]]="",0,YEAR(TbRegistrosEntradas[[#This Row],[Data do Caixa Realizado]]))</f>
        <v>2018</v>
      </c>
      <c r="K53">
        <f>IF(TbRegistrosEntradas[[#This Row],[Data da Competência]]="",0,MONTH(TbRegistrosEntradas[[#This Row],[Data da Competência]]))</f>
        <v>12</v>
      </c>
      <c r="L53">
        <f>IF(TbRegistrosEntradas[[#This Row],[Data da Competência]]="",0,YEAR(TbRegistrosEntradas[[#This Row],[Data da Competência]]))</f>
        <v>2017</v>
      </c>
      <c r="M53" s="40">
        <f>IF(TbRegistrosEntradas[[#This Row],[Data do Caixa Previsto]]="",0,MONTH(TbRegistrosEntradas[[#This Row],[Data do Caixa Previsto]]))</f>
        <v>12</v>
      </c>
      <c r="N53" s="40">
        <f>IF(TbRegistrosEntradas[[#This Row],[Data do Caixa Previsto]]="",0,YEAR(TbRegistrosEntradas[[#This Row],[Data do Caixa Previsto]]))</f>
        <v>2017</v>
      </c>
      <c r="O53" s="40" t="str">
        <f ca="1">IF(AND(TbRegistrosEntradas[[#This Row],[Data do Caixa Previsto]]&lt;TODAY(),TbRegistrosEntradas[[#This Row],[Data do Caixa Realizado]]=""),"Vencida","Não vencida")</f>
        <v>Não vencida</v>
      </c>
      <c r="P53" s="40" t="str">
        <f>IF(TbRegistrosEntradas[[#This Row],[Data da Competência]]=TbRegistrosEntradas[[#This Row],[Data do Caixa Previsto]],"Vista","Prazo")</f>
        <v>Vista</v>
      </c>
      <c r="Q5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</v>
      </c>
    </row>
    <row r="54" spans="2:17" x14ac:dyDescent="0.25">
      <c r="B54" s="15">
        <v>43144</v>
      </c>
      <c r="C54" s="15">
        <v>43100</v>
      </c>
      <c r="D54" s="15">
        <v>43100</v>
      </c>
      <c r="E54" t="s">
        <v>23</v>
      </c>
      <c r="F54" t="s">
        <v>34</v>
      </c>
      <c r="G54" s="13" t="s">
        <v>111</v>
      </c>
      <c r="H54" s="16">
        <v>2687</v>
      </c>
      <c r="I54">
        <f>IF(TbRegistrosEntradas[[#This Row],[Data do Caixa Realizado]]="",0,MONTH(TbRegistrosEntradas[[#This Row],[Data do Caixa Realizado]]))</f>
        <v>2</v>
      </c>
      <c r="J54">
        <f>IF(TbRegistrosEntradas[[#This Row],[Data do Caixa Realizado]]="",0,YEAR(TbRegistrosEntradas[[#This Row],[Data do Caixa Realizado]]))</f>
        <v>2018</v>
      </c>
      <c r="K54">
        <f>IF(TbRegistrosEntradas[[#This Row],[Data da Competência]]="",0,MONTH(TbRegistrosEntradas[[#This Row],[Data da Competência]]))</f>
        <v>12</v>
      </c>
      <c r="L54">
        <f>IF(TbRegistrosEntradas[[#This Row],[Data da Competência]]="",0,YEAR(TbRegistrosEntradas[[#This Row],[Data da Competência]]))</f>
        <v>2017</v>
      </c>
      <c r="M54" s="40">
        <f>IF(TbRegistrosEntradas[[#This Row],[Data do Caixa Previsto]]="",0,MONTH(TbRegistrosEntradas[[#This Row],[Data do Caixa Previsto]]))</f>
        <v>12</v>
      </c>
      <c r="N54" s="40">
        <f>IF(TbRegistrosEntradas[[#This Row],[Data do Caixa Previsto]]="",0,YEAR(TbRegistrosEntradas[[#This Row],[Data do Caixa Previsto]]))</f>
        <v>2017</v>
      </c>
      <c r="O54" s="40" t="str">
        <f ca="1">IF(AND(TbRegistrosEntradas[[#This Row],[Data do Caixa Previsto]]&lt;TODAY(),TbRegistrosEntradas[[#This Row],[Data do Caixa Realizado]]=""),"Vencida","Não vencida")</f>
        <v>Não vencida</v>
      </c>
      <c r="P54" s="40" t="str">
        <f>IF(TbRegistrosEntradas[[#This Row],[Data da Competência]]=TbRegistrosEntradas[[#This Row],[Data do Caixa Previsto]],"Vista","Prazo")</f>
        <v>Vista</v>
      </c>
      <c r="Q5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44</v>
      </c>
    </row>
    <row r="55" spans="2:17" x14ac:dyDescent="0.25">
      <c r="B55" s="15">
        <v>43159</v>
      </c>
      <c r="C55" s="15">
        <v>43103</v>
      </c>
      <c r="D55" s="15">
        <v>43465</v>
      </c>
      <c r="E55" t="s">
        <v>23</v>
      </c>
      <c r="F55" t="s">
        <v>33</v>
      </c>
      <c r="G55" s="13" t="s">
        <v>112</v>
      </c>
      <c r="H55" s="16">
        <v>1561</v>
      </c>
      <c r="I55">
        <f>IF(TbRegistrosEntradas[[#This Row],[Data do Caixa Realizado]]="",0,MONTH(TbRegistrosEntradas[[#This Row],[Data do Caixa Realizado]]))</f>
        <v>2</v>
      </c>
      <c r="J55">
        <f>IF(TbRegistrosEntradas[[#This Row],[Data do Caixa Realizado]]="",0,YEAR(TbRegistrosEntradas[[#This Row],[Data do Caixa Realizado]]))</f>
        <v>2018</v>
      </c>
      <c r="K55">
        <f>IF(TbRegistrosEntradas[[#This Row],[Data da Competência]]="",0,MONTH(TbRegistrosEntradas[[#This Row],[Data da Competência]]))</f>
        <v>1</v>
      </c>
      <c r="L55">
        <f>IF(TbRegistrosEntradas[[#This Row],[Data da Competência]]="",0,YEAR(TbRegistrosEntradas[[#This Row],[Data da Competência]]))</f>
        <v>2018</v>
      </c>
      <c r="M55" s="40">
        <f>IF(TbRegistrosEntradas[[#This Row],[Data do Caixa Previsto]]="",0,MONTH(TbRegistrosEntradas[[#This Row],[Data do Caixa Previsto]]))</f>
        <v>12</v>
      </c>
      <c r="N55" s="40">
        <f>IF(TbRegistrosEntradas[[#This Row],[Data do Caixa Previsto]]="",0,YEAR(TbRegistrosEntradas[[#This Row],[Data do Caixa Previsto]]))</f>
        <v>2018</v>
      </c>
      <c r="O55" s="40" t="str">
        <f ca="1">IF(AND(TbRegistrosEntradas[[#This Row],[Data do Caixa Previsto]]&lt;TODAY(),TbRegistrosEntradas[[#This Row],[Data do Caixa Realizado]]=""),"Vencida","Não vencida")</f>
        <v>Não vencida</v>
      </c>
      <c r="P55" s="40" t="str">
        <f>IF(TbRegistrosEntradas[[#This Row],[Data da Competência]]=TbRegistrosEntradas[[#This Row],[Data do Caixa Previsto]],"Vista","Prazo")</f>
        <v>Prazo</v>
      </c>
      <c r="Q5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56" spans="2:17" x14ac:dyDescent="0.25">
      <c r="B56" s="15">
        <v>43113</v>
      </c>
      <c r="C56" s="15">
        <v>43109</v>
      </c>
      <c r="D56" s="15">
        <v>43447</v>
      </c>
      <c r="E56" t="s">
        <v>23</v>
      </c>
      <c r="F56" t="s">
        <v>33</v>
      </c>
      <c r="G56" s="13" t="s">
        <v>113</v>
      </c>
      <c r="H56" s="16">
        <v>1573</v>
      </c>
      <c r="I56">
        <f>IF(TbRegistrosEntradas[[#This Row],[Data do Caixa Realizado]]="",0,MONTH(TbRegistrosEntradas[[#This Row],[Data do Caixa Realizado]]))</f>
        <v>1</v>
      </c>
      <c r="J56">
        <f>IF(TbRegistrosEntradas[[#This Row],[Data do Caixa Realizado]]="",0,YEAR(TbRegistrosEntradas[[#This Row],[Data do Caixa Realizado]]))</f>
        <v>2018</v>
      </c>
      <c r="K56">
        <f>IF(TbRegistrosEntradas[[#This Row],[Data da Competência]]="",0,MONTH(TbRegistrosEntradas[[#This Row],[Data da Competência]]))</f>
        <v>1</v>
      </c>
      <c r="L56">
        <f>IF(TbRegistrosEntradas[[#This Row],[Data da Competência]]="",0,YEAR(TbRegistrosEntradas[[#This Row],[Data da Competência]]))</f>
        <v>2018</v>
      </c>
      <c r="M56" s="40">
        <f>IF(TbRegistrosEntradas[[#This Row],[Data do Caixa Previsto]]="",0,MONTH(TbRegistrosEntradas[[#This Row],[Data do Caixa Previsto]]))</f>
        <v>12</v>
      </c>
      <c r="N56" s="40">
        <f>IF(TbRegistrosEntradas[[#This Row],[Data do Caixa Previsto]]="",0,YEAR(TbRegistrosEntradas[[#This Row],[Data do Caixa Previsto]]))</f>
        <v>2018</v>
      </c>
      <c r="O56" s="40" t="str">
        <f ca="1">IF(AND(TbRegistrosEntradas[[#This Row],[Data do Caixa Previsto]]&lt;TODAY(),TbRegistrosEntradas[[#This Row],[Data do Caixa Realizado]]=""),"Vencida","Não vencida")</f>
        <v>Não vencida</v>
      </c>
      <c r="P56" s="40" t="str">
        <f>IF(TbRegistrosEntradas[[#This Row],[Data da Competência]]=TbRegistrosEntradas[[#This Row],[Data do Caixa Previsto]],"Vista","Prazo")</f>
        <v>Prazo</v>
      </c>
      <c r="Q5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57" spans="2:17" x14ac:dyDescent="0.25">
      <c r="B57" s="15">
        <v>43147</v>
      </c>
      <c r="C57" s="15">
        <v>43117</v>
      </c>
      <c r="D57" s="15">
        <v>43477</v>
      </c>
      <c r="E57" t="s">
        <v>23</v>
      </c>
      <c r="F57" t="s">
        <v>33</v>
      </c>
      <c r="G57" s="13" t="s">
        <v>114</v>
      </c>
      <c r="H57" s="16">
        <v>1364</v>
      </c>
      <c r="I57">
        <f>IF(TbRegistrosEntradas[[#This Row],[Data do Caixa Realizado]]="",0,MONTH(TbRegistrosEntradas[[#This Row],[Data do Caixa Realizado]]))</f>
        <v>2</v>
      </c>
      <c r="J57">
        <f>IF(TbRegistrosEntradas[[#This Row],[Data do Caixa Realizado]]="",0,YEAR(TbRegistrosEntradas[[#This Row],[Data do Caixa Realizado]]))</f>
        <v>2018</v>
      </c>
      <c r="K57">
        <f>IF(TbRegistrosEntradas[[#This Row],[Data da Competência]]="",0,MONTH(TbRegistrosEntradas[[#This Row],[Data da Competência]]))</f>
        <v>1</v>
      </c>
      <c r="L57">
        <f>IF(TbRegistrosEntradas[[#This Row],[Data da Competência]]="",0,YEAR(TbRegistrosEntradas[[#This Row],[Data da Competência]]))</f>
        <v>2018</v>
      </c>
      <c r="M57" s="40">
        <f>IF(TbRegistrosEntradas[[#This Row],[Data do Caixa Previsto]]="",0,MONTH(TbRegistrosEntradas[[#This Row],[Data do Caixa Previsto]]))</f>
        <v>1</v>
      </c>
      <c r="N57" s="40">
        <f>IF(TbRegistrosEntradas[[#This Row],[Data do Caixa Previsto]]="",0,YEAR(TbRegistrosEntradas[[#This Row],[Data do Caixa Previsto]]))</f>
        <v>2019</v>
      </c>
      <c r="O57" s="40" t="str">
        <f ca="1">IF(AND(TbRegistrosEntradas[[#This Row],[Data do Caixa Previsto]]&lt;TODAY(),TbRegistrosEntradas[[#This Row],[Data do Caixa Realizado]]=""),"Vencida","Não vencida")</f>
        <v>Não vencida</v>
      </c>
      <c r="P57" s="40" t="str">
        <f>IF(TbRegistrosEntradas[[#This Row],[Data da Competência]]=TbRegistrosEntradas[[#This Row],[Data do Caixa Previsto]],"Vista","Prazo")</f>
        <v>Prazo</v>
      </c>
      <c r="Q5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58" spans="2:17" x14ac:dyDescent="0.25">
      <c r="B58" s="15">
        <v>43166</v>
      </c>
      <c r="C58" s="15">
        <v>43121</v>
      </c>
      <c r="D58" s="15">
        <v>43455</v>
      </c>
      <c r="E58" t="s">
        <v>23</v>
      </c>
      <c r="F58" t="s">
        <v>34</v>
      </c>
      <c r="G58" s="13" t="s">
        <v>115</v>
      </c>
      <c r="H58" s="16">
        <v>783</v>
      </c>
      <c r="I58">
        <f>IF(TbRegistrosEntradas[[#This Row],[Data do Caixa Realizado]]="",0,MONTH(TbRegistrosEntradas[[#This Row],[Data do Caixa Realizado]]))</f>
        <v>3</v>
      </c>
      <c r="J58">
        <f>IF(TbRegistrosEntradas[[#This Row],[Data do Caixa Realizado]]="",0,YEAR(TbRegistrosEntradas[[#This Row],[Data do Caixa Realizado]]))</f>
        <v>2018</v>
      </c>
      <c r="K58">
        <f>IF(TbRegistrosEntradas[[#This Row],[Data da Competência]]="",0,MONTH(TbRegistrosEntradas[[#This Row],[Data da Competência]]))</f>
        <v>1</v>
      </c>
      <c r="L58">
        <f>IF(TbRegistrosEntradas[[#This Row],[Data da Competência]]="",0,YEAR(TbRegistrosEntradas[[#This Row],[Data da Competência]]))</f>
        <v>2018</v>
      </c>
      <c r="M58" s="40">
        <f>IF(TbRegistrosEntradas[[#This Row],[Data do Caixa Previsto]]="",0,MONTH(TbRegistrosEntradas[[#This Row],[Data do Caixa Previsto]]))</f>
        <v>12</v>
      </c>
      <c r="N58" s="40">
        <f>IF(TbRegistrosEntradas[[#This Row],[Data do Caixa Previsto]]="",0,YEAR(TbRegistrosEntradas[[#This Row],[Data do Caixa Previsto]]))</f>
        <v>2018</v>
      </c>
      <c r="O58" s="40" t="str">
        <f ca="1">IF(AND(TbRegistrosEntradas[[#This Row],[Data do Caixa Previsto]]&lt;TODAY(),TbRegistrosEntradas[[#This Row],[Data do Caixa Realizado]]=""),"Vencida","Não vencida")</f>
        <v>Não vencida</v>
      </c>
      <c r="P58" s="40" t="str">
        <f>IF(TbRegistrosEntradas[[#This Row],[Data da Competência]]=TbRegistrosEntradas[[#This Row],[Data do Caixa Previsto]],"Vista","Prazo")</f>
        <v>Prazo</v>
      </c>
      <c r="Q5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59" spans="2:17" x14ac:dyDescent="0.25">
      <c r="B59" s="15">
        <v>43164</v>
      </c>
      <c r="C59" s="15">
        <v>43122</v>
      </c>
      <c r="D59" s="15">
        <v>43487</v>
      </c>
      <c r="E59" t="s">
        <v>23</v>
      </c>
      <c r="F59" t="s">
        <v>34</v>
      </c>
      <c r="G59" s="13" t="s">
        <v>116</v>
      </c>
      <c r="H59" s="16">
        <v>3928</v>
      </c>
      <c r="I59">
        <f>IF(TbRegistrosEntradas[[#This Row],[Data do Caixa Realizado]]="",0,MONTH(TbRegistrosEntradas[[#This Row],[Data do Caixa Realizado]]))</f>
        <v>3</v>
      </c>
      <c r="J59">
        <f>IF(TbRegistrosEntradas[[#This Row],[Data do Caixa Realizado]]="",0,YEAR(TbRegistrosEntradas[[#This Row],[Data do Caixa Realizado]]))</f>
        <v>2018</v>
      </c>
      <c r="K59">
        <f>IF(TbRegistrosEntradas[[#This Row],[Data da Competência]]="",0,MONTH(TbRegistrosEntradas[[#This Row],[Data da Competência]]))</f>
        <v>1</v>
      </c>
      <c r="L59">
        <f>IF(TbRegistrosEntradas[[#This Row],[Data da Competência]]="",0,YEAR(TbRegistrosEntradas[[#This Row],[Data da Competência]]))</f>
        <v>2018</v>
      </c>
      <c r="M59" s="40">
        <f>IF(TbRegistrosEntradas[[#This Row],[Data do Caixa Previsto]]="",0,MONTH(TbRegistrosEntradas[[#This Row],[Data do Caixa Previsto]]))</f>
        <v>1</v>
      </c>
      <c r="N59" s="40">
        <f>IF(TbRegistrosEntradas[[#This Row],[Data do Caixa Previsto]]="",0,YEAR(TbRegistrosEntradas[[#This Row],[Data do Caixa Previsto]]))</f>
        <v>2019</v>
      </c>
      <c r="O59" s="40" t="str">
        <f ca="1">IF(AND(TbRegistrosEntradas[[#This Row],[Data do Caixa Previsto]]&lt;TODAY(),TbRegistrosEntradas[[#This Row],[Data do Caixa Realizado]]=""),"Vencida","Não vencida")</f>
        <v>Não vencida</v>
      </c>
      <c r="P59" s="40" t="str">
        <f>IF(TbRegistrosEntradas[[#This Row],[Data da Competência]]=TbRegistrosEntradas[[#This Row],[Data do Caixa Previsto]],"Vista","Prazo")</f>
        <v>Prazo</v>
      </c>
      <c r="Q5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60" spans="2:17" x14ac:dyDescent="0.25">
      <c r="B60" s="15">
        <v>43142</v>
      </c>
      <c r="C60" s="15">
        <v>43124</v>
      </c>
      <c r="D60" s="15">
        <v>43477</v>
      </c>
      <c r="E60" t="s">
        <v>23</v>
      </c>
      <c r="F60" t="s">
        <v>31</v>
      </c>
      <c r="G60" s="13" t="s">
        <v>117</v>
      </c>
      <c r="H60" s="16">
        <v>3843</v>
      </c>
      <c r="I60">
        <f>IF(TbRegistrosEntradas[[#This Row],[Data do Caixa Realizado]]="",0,MONTH(TbRegistrosEntradas[[#This Row],[Data do Caixa Realizado]]))</f>
        <v>2</v>
      </c>
      <c r="J60">
        <f>IF(TbRegistrosEntradas[[#This Row],[Data do Caixa Realizado]]="",0,YEAR(TbRegistrosEntradas[[#This Row],[Data do Caixa Realizado]]))</f>
        <v>2018</v>
      </c>
      <c r="K60">
        <f>IF(TbRegistrosEntradas[[#This Row],[Data da Competência]]="",0,MONTH(TbRegistrosEntradas[[#This Row],[Data da Competência]]))</f>
        <v>1</v>
      </c>
      <c r="L60">
        <f>IF(TbRegistrosEntradas[[#This Row],[Data da Competência]]="",0,YEAR(TbRegistrosEntradas[[#This Row],[Data da Competência]]))</f>
        <v>2018</v>
      </c>
      <c r="M60" s="40">
        <f>IF(TbRegistrosEntradas[[#This Row],[Data do Caixa Previsto]]="",0,MONTH(TbRegistrosEntradas[[#This Row],[Data do Caixa Previsto]]))</f>
        <v>1</v>
      </c>
      <c r="N60" s="40">
        <f>IF(TbRegistrosEntradas[[#This Row],[Data do Caixa Previsto]]="",0,YEAR(TbRegistrosEntradas[[#This Row],[Data do Caixa Previsto]]))</f>
        <v>2019</v>
      </c>
      <c r="O60" s="40" t="str">
        <f ca="1">IF(AND(TbRegistrosEntradas[[#This Row],[Data do Caixa Previsto]]&lt;TODAY(),TbRegistrosEntradas[[#This Row],[Data do Caixa Realizado]]=""),"Vencida","Não vencida")</f>
        <v>Não vencida</v>
      </c>
      <c r="P60" s="40" t="str">
        <f>IF(TbRegistrosEntradas[[#This Row],[Data da Competência]]=TbRegistrosEntradas[[#This Row],[Data do Caixa Previsto]],"Vista","Prazo")</f>
        <v>Prazo</v>
      </c>
      <c r="Q6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61" spans="2:17" x14ac:dyDescent="0.25">
      <c r="B61" s="15">
        <v>43183</v>
      </c>
      <c r="C61" s="15">
        <v>43125</v>
      </c>
      <c r="D61" s="15">
        <v>43469</v>
      </c>
      <c r="E61" t="s">
        <v>23</v>
      </c>
      <c r="F61" t="s">
        <v>30</v>
      </c>
      <c r="G61" s="13" t="s">
        <v>118</v>
      </c>
      <c r="H61" s="16">
        <v>1864</v>
      </c>
      <c r="I61">
        <f>IF(TbRegistrosEntradas[[#This Row],[Data do Caixa Realizado]]="",0,MONTH(TbRegistrosEntradas[[#This Row],[Data do Caixa Realizado]]))</f>
        <v>3</v>
      </c>
      <c r="J61">
        <f>IF(TbRegistrosEntradas[[#This Row],[Data do Caixa Realizado]]="",0,YEAR(TbRegistrosEntradas[[#This Row],[Data do Caixa Realizado]]))</f>
        <v>2018</v>
      </c>
      <c r="K61">
        <f>IF(TbRegistrosEntradas[[#This Row],[Data da Competência]]="",0,MONTH(TbRegistrosEntradas[[#This Row],[Data da Competência]]))</f>
        <v>1</v>
      </c>
      <c r="L61">
        <f>IF(TbRegistrosEntradas[[#This Row],[Data da Competência]]="",0,YEAR(TbRegistrosEntradas[[#This Row],[Data da Competência]]))</f>
        <v>2018</v>
      </c>
      <c r="M61" s="40">
        <f>IF(TbRegistrosEntradas[[#This Row],[Data do Caixa Previsto]]="",0,MONTH(TbRegistrosEntradas[[#This Row],[Data do Caixa Previsto]]))</f>
        <v>1</v>
      </c>
      <c r="N61" s="40">
        <f>IF(TbRegistrosEntradas[[#This Row],[Data do Caixa Previsto]]="",0,YEAR(TbRegistrosEntradas[[#This Row],[Data do Caixa Previsto]]))</f>
        <v>2019</v>
      </c>
      <c r="O61" s="40" t="str">
        <f ca="1">IF(AND(TbRegistrosEntradas[[#This Row],[Data do Caixa Previsto]]&lt;TODAY(),TbRegistrosEntradas[[#This Row],[Data do Caixa Realizado]]=""),"Vencida","Não vencida")</f>
        <v>Não vencida</v>
      </c>
      <c r="P61" s="40" t="str">
        <f>IF(TbRegistrosEntradas[[#This Row],[Data da Competência]]=TbRegistrosEntradas[[#This Row],[Data do Caixa Previsto]],"Vista","Prazo")</f>
        <v>Prazo</v>
      </c>
      <c r="Q6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62" spans="2:17" x14ac:dyDescent="0.25">
      <c r="B62" s="15">
        <v>43181</v>
      </c>
      <c r="C62" s="15">
        <v>43128</v>
      </c>
      <c r="D62" s="15">
        <v>43128</v>
      </c>
      <c r="E62" t="s">
        <v>23</v>
      </c>
      <c r="F62" t="s">
        <v>33</v>
      </c>
      <c r="G62" s="13" t="s">
        <v>119</v>
      </c>
      <c r="H62" s="16">
        <v>1184</v>
      </c>
      <c r="I62">
        <f>IF(TbRegistrosEntradas[[#This Row],[Data do Caixa Realizado]]="",0,MONTH(TbRegistrosEntradas[[#This Row],[Data do Caixa Realizado]]))</f>
        <v>3</v>
      </c>
      <c r="J62">
        <f>IF(TbRegistrosEntradas[[#This Row],[Data do Caixa Realizado]]="",0,YEAR(TbRegistrosEntradas[[#This Row],[Data do Caixa Realizado]]))</f>
        <v>2018</v>
      </c>
      <c r="K62">
        <f>IF(TbRegistrosEntradas[[#This Row],[Data da Competência]]="",0,MONTH(TbRegistrosEntradas[[#This Row],[Data da Competência]]))</f>
        <v>1</v>
      </c>
      <c r="L62">
        <f>IF(TbRegistrosEntradas[[#This Row],[Data da Competência]]="",0,YEAR(TbRegistrosEntradas[[#This Row],[Data da Competência]]))</f>
        <v>2018</v>
      </c>
      <c r="M62" s="40">
        <f>IF(TbRegistrosEntradas[[#This Row],[Data do Caixa Previsto]]="",0,MONTH(TbRegistrosEntradas[[#This Row],[Data do Caixa Previsto]]))</f>
        <v>1</v>
      </c>
      <c r="N62" s="40">
        <f>IF(TbRegistrosEntradas[[#This Row],[Data do Caixa Previsto]]="",0,YEAR(TbRegistrosEntradas[[#This Row],[Data do Caixa Previsto]]))</f>
        <v>2018</v>
      </c>
      <c r="O62" s="40" t="str">
        <f ca="1">IF(AND(TbRegistrosEntradas[[#This Row],[Data do Caixa Previsto]]&lt;TODAY(),TbRegistrosEntradas[[#This Row],[Data do Caixa Realizado]]=""),"Vencida","Não vencida")</f>
        <v>Não vencida</v>
      </c>
      <c r="P62" s="40" t="str">
        <f>IF(TbRegistrosEntradas[[#This Row],[Data da Competência]]=TbRegistrosEntradas[[#This Row],[Data do Caixa Previsto]],"Vista","Prazo")</f>
        <v>Vista</v>
      </c>
      <c r="Q6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53</v>
      </c>
    </row>
    <row r="63" spans="2:17" x14ac:dyDescent="0.25">
      <c r="B63" s="15">
        <v>43161</v>
      </c>
      <c r="C63" s="15">
        <v>43129</v>
      </c>
      <c r="D63" s="15">
        <v>43129</v>
      </c>
      <c r="E63" t="s">
        <v>23</v>
      </c>
      <c r="F63" t="s">
        <v>33</v>
      </c>
      <c r="G63" s="13" t="s">
        <v>120</v>
      </c>
      <c r="H63" s="16">
        <v>4055</v>
      </c>
      <c r="I63">
        <f>IF(TbRegistrosEntradas[[#This Row],[Data do Caixa Realizado]]="",0,MONTH(TbRegistrosEntradas[[#This Row],[Data do Caixa Realizado]]))</f>
        <v>3</v>
      </c>
      <c r="J63">
        <f>IF(TbRegistrosEntradas[[#This Row],[Data do Caixa Realizado]]="",0,YEAR(TbRegistrosEntradas[[#This Row],[Data do Caixa Realizado]]))</f>
        <v>2018</v>
      </c>
      <c r="K63">
        <f>IF(TbRegistrosEntradas[[#This Row],[Data da Competência]]="",0,MONTH(TbRegistrosEntradas[[#This Row],[Data da Competência]]))</f>
        <v>1</v>
      </c>
      <c r="L63">
        <f>IF(TbRegistrosEntradas[[#This Row],[Data da Competência]]="",0,YEAR(TbRegistrosEntradas[[#This Row],[Data da Competência]]))</f>
        <v>2018</v>
      </c>
      <c r="M63" s="40">
        <f>IF(TbRegistrosEntradas[[#This Row],[Data do Caixa Previsto]]="",0,MONTH(TbRegistrosEntradas[[#This Row],[Data do Caixa Previsto]]))</f>
        <v>1</v>
      </c>
      <c r="N63" s="40">
        <f>IF(TbRegistrosEntradas[[#This Row],[Data do Caixa Previsto]]="",0,YEAR(TbRegistrosEntradas[[#This Row],[Data do Caixa Previsto]]))</f>
        <v>2018</v>
      </c>
      <c r="O63" s="40" t="str">
        <f ca="1">IF(AND(TbRegistrosEntradas[[#This Row],[Data do Caixa Previsto]]&lt;TODAY(),TbRegistrosEntradas[[#This Row],[Data do Caixa Realizado]]=""),"Vencida","Não vencida")</f>
        <v>Não vencida</v>
      </c>
      <c r="P63" s="40" t="str">
        <f>IF(TbRegistrosEntradas[[#This Row],[Data da Competência]]=TbRegistrosEntradas[[#This Row],[Data do Caixa Previsto]],"Vista","Prazo")</f>
        <v>Vista</v>
      </c>
      <c r="Q6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32</v>
      </c>
    </row>
    <row r="64" spans="2:17" x14ac:dyDescent="0.25">
      <c r="B64" s="15">
        <v>43178</v>
      </c>
      <c r="C64" s="15">
        <v>43130</v>
      </c>
      <c r="D64" s="15">
        <v>43130</v>
      </c>
      <c r="E64" t="s">
        <v>23</v>
      </c>
      <c r="F64" t="s">
        <v>33</v>
      </c>
      <c r="G64" s="13" t="s">
        <v>121</v>
      </c>
      <c r="H64" s="16">
        <v>427</v>
      </c>
      <c r="I64">
        <f>IF(TbRegistrosEntradas[[#This Row],[Data do Caixa Realizado]]="",0,MONTH(TbRegistrosEntradas[[#This Row],[Data do Caixa Realizado]]))</f>
        <v>3</v>
      </c>
      <c r="J64">
        <f>IF(TbRegistrosEntradas[[#This Row],[Data do Caixa Realizado]]="",0,YEAR(TbRegistrosEntradas[[#This Row],[Data do Caixa Realizado]]))</f>
        <v>2018</v>
      </c>
      <c r="K64">
        <f>IF(TbRegistrosEntradas[[#This Row],[Data da Competência]]="",0,MONTH(TbRegistrosEntradas[[#This Row],[Data da Competência]]))</f>
        <v>1</v>
      </c>
      <c r="L64">
        <f>IF(TbRegistrosEntradas[[#This Row],[Data da Competência]]="",0,YEAR(TbRegistrosEntradas[[#This Row],[Data da Competência]]))</f>
        <v>2018</v>
      </c>
      <c r="M64" s="40">
        <f>IF(TbRegistrosEntradas[[#This Row],[Data do Caixa Previsto]]="",0,MONTH(TbRegistrosEntradas[[#This Row],[Data do Caixa Previsto]]))</f>
        <v>1</v>
      </c>
      <c r="N64" s="40">
        <f>IF(TbRegistrosEntradas[[#This Row],[Data do Caixa Previsto]]="",0,YEAR(TbRegistrosEntradas[[#This Row],[Data do Caixa Previsto]]))</f>
        <v>2018</v>
      </c>
      <c r="O64" s="40" t="str">
        <f ca="1">IF(AND(TbRegistrosEntradas[[#This Row],[Data do Caixa Previsto]]&lt;TODAY(),TbRegistrosEntradas[[#This Row],[Data do Caixa Realizado]]=""),"Vencida","Não vencida")</f>
        <v>Não vencida</v>
      </c>
      <c r="P64" s="40" t="str">
        <f>IF(TbRegistrosEntradas[[#This Row],[Data da Competência]]=TbRegistrosEntradas[[#This Row],[Data do Caixa Previsto]],"Vista","Prazo")</f>
        <v>Vista</v>
      </c>
      <c r="Q6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48</v>
      </c>
    </row>
    <row r="65" spans="2:17" x14ac:dyDescent="0.25">
      <c r="B65" s="15">
        <v>43138</v>
      </c>
      <c r="C65" s="15">
        <v>43133</v>
      </c>
      <c r="D65" s="15">
        <v>43133</v>
      </c>
      <c r="E65" t="s">
        <v>23</v>
      </c>
      <c r="F65" t="s">
        <v>32</v>
      </c>
      <c r="G65" s="13" t="s">
        <v>122</v>
      </c>
      <c r="H65" s="16">
        <v>460</v>
      </c>
      <c r="I65">
        <f>IF(TbRegistrosEntradas[[#This Row],[Data do Caixa Realizado]]="",0,MONTH(TbRegistrosEntradas[[#This Row],[Data do Caixa Realizado]]))</f>
        <v>2</v>
      </c>
      <c r="J65">
        <f>IF(TbRegistrosEntradas[[#This Row],[Data do Caixa Realizado]]="",0,YEAR(TbRegistrosEntradas[[#This Row],[Data do Caixa Realizado]]))</f>
        <v>2018</v>
      </c>
      <c r="K65">
        <f>IF(TbRegistrosEntradas[[#This Row],[Data da Competência]]="",0,MONTH(TbRegistrosEntradas[[#This Row],[Data da Competência]]))</f>
        <v>2</v>
      </c>
      <c r="L65">
        <f>IF(TbRegistrosEntradas[[#This Row],[Data da Competência]]="",0,YEAR(TbRegistrosEntradas[[#This Row],[Data da Competência]]))</f>
        <v>2018</v>
      </c>
      <c r="M65" s="40">
        <f>IF(TbRegistrosEntradas[[#This Row],[Data do Caixa Previsto]]="",0,MONTH(TbRegistrosEntradas[[#This Row],[Data do Caixa Previsto]]))</f>
        <v>2</v>
      </c>
      <c r="N65" s="40">
        <f>IF(TbRegistrosEntradas[[#This Row],[Data do Caixa Previsto]]="",0,YEAR(TbRegistrosEntradas[[#This Row],[Data do Caixa Previsto]]))</f>
        <v>2018</v>
      </c>
      <c r="O65" s="40" t="str">
        <f ca="1">IF(AND(TbRegistrosEntradas[[#This Row],[Data do Caixa Previsto]]&lt;TODAY(),TbRegistrosEntradas[[#This Row],[Data do Caixa Realizado]]=""),"Vencida","Não vencida")</f>
        <v>Não vencida</v>
      </c>
      <c r="P65" s="40" t="str">
        <f>IF(TbRegistrosEntradas[[#This Row],[Data da Competência]]=TbRegistrosEntradas[[#This Row],[Data do Caixa Previsto]],"Vista","Prazo")</f>
        <v>Vista</v>
      </c>
      <c r="Q6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</v>
      </c>
    </row>
    <row r="66" spans="2:17" x14ac:dyDescent="0.25">
      <c r="B66" s="15">
        <v>43190</v>
      </c>
      <c r="C66" s="15">
        <v>43136</v>
      </c>
      <c r="D66" s="15">
        <v>43136</v>
      </c>
      <c r="E66" t="s">
        <v>23</v>
      </c>
      <c r="F66" t="s">
        <v>34</v>
      </c>
      <c r="G66" s="13" t="s">
        <v>123</v>
      </c>
      <c r="H66" s="16">
        <v>964</v>
      </c>
      <c r="I66">
        <f>IF(TbRegistrosEntradas[[#This Row],[Data do Caixa Realizado]]="",0,MONTH(TbRegistrosEntradas[[#This Row],[Data do Caixa Realizado]]))</f>
        <v>3</v>
      </c>
      <c r="J66">
        <f>IF(TbRegistrosEntradas[[#This Row],[Data do Caixa Realizado]]="",0,YEAR(TbRegistrosEntradas[[#This Row],[Data do Caixa Realizado]]))</f>
        <v>2018</v>
      </c>
      <c r="K66">
        <f>IF(TbRegistrosEntradas[[#This Row],[Data da Competência]]="",0,MONTH(TbRegistrosEntradas[[#This Row],[Data da Competência]]))</f>
        <v>2</v>
      </c>
      <c r="L66">
        <f>IF(TbRegistrosEntradas[[#This Row],[Data da Competência]]="",0,YEAR(TbRegistrosEntradas[[#This Row],[Data da Competência]]))</f>
        <v>2018</v>
      </c>
      <c r="M66" s="40">
        <f>IF(TbRegistrosEntradas[[#This Row],[Data do Caixa Previsto]]="",0,MONTH(TbRegistrosEntradas[[#This Row],[Data do Caixa Previsto]]))</f>
        <v>2</v>
      </c>
      <c r="N66" s="40">
        <f>IF(TbRegistrosEntradas[[#This Row],[Data do Caixa Previsto]]="",0,YEAR(TbRegistrosEntradas[[#This Row],[Data do Caixa Previsto]]))</f>
        <v>2018</v>
      </c>
      <c r="O66" s="40" t="str">
        <f ca="1">IF(AND(TbRegistrosEntradas[[#This Row],[Data do Caixa Previsto]]&lt;TODAY(),TbRegistrosEntradas[[#This Row],[Data do Caixa Realizado]]=""),"Vencida","Não vencida")</f>
        <v>Não vencida</v>
      </c>
      <c r="P66" s="40" t="str">
        <f>IF(TbRegistrosEntradas[[#This Row],[Data da Competência]]=TbRegistrosEntradas[[#This Row],[Data do Caixa Previsto]],"Vista","Prazo")</f>
        <v>Vista</v>
      </c>
      <c r="Q6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54</v>
      </c>
    </row>
    <row r="67" spans="2:17" x14ac:dyDescent="0.25">
      <c r="B67" s="15">
        <v>43145</v>
      </c>
      <c r="C67" s="15">
        <v>43140</v>
      </c>
      <c r="D67" s="15">
        <v>43140</v>
      </c>
      <c r="E67" t="s">
        <v>23</v>
      </c>
      <c r="F67" t="s">
        <v>33</v>
      </c>
      <c r="G67" s="13" t="s">
        <v>124</v>
      </c>
      <c r="H67" s="16">
        <v>3412</v>
      </c>
      <c r="I67">
        <f>IF(TbRegistrosEntradas[[#This Row],[Data do Caixa Realizado]]="",0,MONTH(TbRegistrosEntradas[[#This Row],[Data do Caixa Realizado]]))</f>
        <v>2</v>
      </c>
      <c r="J67">
        <f>IF(TbRegistrosEntradas[[#This Row],[Data do Caixa Realizado]]="",0,YEAR(TbRegistrosEntradas[[#This Row],[Data do Caixa Realizado]]))</f>
        <v>2018</v>
      </c>
      <c r="K67">
        <f>IF(TbRegistrosEntradas[[#This Row],[Data da Competência]]="",0,MONTH(TbRegistrosEntradas[[#This Row],[Data da Competência]]))</f>
        <v>2</v>
      </c>
      <c r="L67">
        <f>IF(TbRegistrosEntradas[[#This Row],[Data da Competência]]="",0,YEAR(TbRegistrosEntradas[[#This Row],[Data da Competência]]))</f>
        <v>2018</v>
      </c>
      <c r="M67" s="40">
        <f>IF(TbRegistrosEntradas[[#This Row],[Data do Caixa Previsto]]="",0,MONTH(TbRegistrosEntradas[[#This Row],[Data do Caixa Previsto]]))</f>
        <v>2</v>
      </c>
      <c r="N67" s="40">
        <f>IF(TbRegistrosEntradas[[#This Row],[Data do Caixa Previsto]]="",0,YEAR(TbRegistrosEntradas[[#This Row],[Data do Caixa Previsto]]))</f>
        <v>2018</v>
      </c>
      <c r="O67" s="40" t="str">
        <f ca="1">IF(AND(TbRegistrosEntradas[[#This Row],[Data do Caixa Previsto]]&lt;TODAY(),TbRegistrosEntradas[[#This Row],[Data do Caixa Realizado]]=""),"Vencida","Não vencida")</f>
        <v>Não vencida</v>
      </c>
      <c r="P67" s="40" t="str">
        <f>IF(TbRegistrosEntradas[[#This Row],[Data da Competência]]=TbRegistrosEntradas[[#This Row],[Data do Caixa Previsto]],"Vista","Prazo")</f>
        <v>Vista</v>
      </c>
      <c r="Q6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</v>
      </c>
    </row>
    <row r="68" spans="2:17" x14ac:dyDescent="0.25">
      <c r="B68" s="15">
        <v>43146</v>
      </c>
      <c r="C68" s="15">
        <v>43142</v>
      </c>
      <c r="D68" s="15">
        <v>43142</v>
      </c>
      <c r="E68" t="s">
        <v>23</v>
      </c>
      <c r="F68" t="s">
        <v>31</v>
      </c>
      <c r="G68" s="13" t="s">
        <v>125</v>
      </c>
      <c r="H68" s="16">
        <v>3095</v>
      </c>
      <c r="I68">
        <f>IF(TbRegistrosEntradas[[#This Row],[Data do Caixa Realizado]]="",0,MONTH(TbRegistrosEntradas[[#This Row],[Data do Caixa Realizado]]))</f>
        <v>2</v>
      </c>
      <c r="J68">
        <f>IF(TbRegistrosEntradas[[#This Row],[Data do Caixa Realizado]]="",0,YEAR(TbRegistrosEntradas[[#This Row],[Data do Caixa Realizado]]))</f>
        <v>2018</v>
      </c>
      <c r="K68">
        <f>IF(TbRegistrosEntradas[[#This Row],[Data da Competência]]="",0,MONTH(TbRegistrosEntradas[[#This Row],[Data da Competência]]))</f>
        <v>2</v>
      </c>
      <c r="L68">
        <f>IF(TbRegistrosEntradas[[#This Row],[Data da Competência]]="",0,YEAR(TbRegistrosEntradas[[#This Row],[Data da Competência]]))</f>
        <v>2018</v>
      </c>
      <c r="M68" s="40">
        <f>IF(TbRegistrosEntradas[[#This Row],[Data do Caixa Previsto]]="",0,MONTH(TbRegistrosEntradas[[#This Row],[Data do Caixa Previsto]]))</f>
        <v>2</v>
      </c>
      <c r="N68" s="40">
        <f>IF(TbRegistrosEntradas[[#This Row],[Data do Caixa Previsto]]="",0,YEAR(TbRegistrosEntradas[[#This Row],[Data do Caixa Previsto]]))</f>
        <v>2018</v>
      </c>
      <c r="O68" s="40" t="str">
        <f ca="1">IF(AND(TbRegistrosEntradas[[#This Row],[Data do Caixa Previsto]]&lt;TODAY(),TbRegistrosEntradas[[#This Row],[Data do Caixa Realizado]]=""),"Vencida","Não vencida")</f>
        <v>Não vencida</v>
      </c>
      <c r="P68" s="40" t="str">
        <f>IF(TbRegistrosEntradas[[#This Row],[Data da Competência]]=TbRegistrosEntradas[[#This Row],[Data do Caixa Previsto]],"Vista","Prazo")</f>
        <v>Vista</v>
      </c>
      <c r="Q6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</v>
      </c>
    </row>
    <row r="69" spans="2:17" x14ac:dyDescent="0.25">
      <c r="B69" s="15">
        <v>43193</v>
      </c>
      <c r="C69" s="15">
        <v>43148</v>
      </c>
      <c r="D69" s="15">
        <v>43148</v>
      </c>
      <c r="E69" t="s">
        <v>23</v>
      </c>
      <c r="F69" t="s">
        <v>32</v>
      </c>
      <c r="G69" s="13" t="s">
        <v>126</v>
      </c>
      <c r="H69" s="16">
        <v>1532</v>
      </c>
      <c r="I69">
        <f>IF(TbRegistrosEntradas[[#This Row],[Data do Caixa Realizado]]="",0,MONTH(TbRegistrosEntradas[[#This Row],[Data do Caixa Realizado]]))</f>
        <v>4</v>
      </c>
      <c r="J69">
        <f>IF(TbRegistrosEntradas[[#This Row],[Data do Caixa Realizado]]="",0,YEAR(TbRegistrosEntradas[[#This Row],[Data do Caixa Realizado]]))</f>
        <v>2018</v>
      </c>
      <c r="K69">
        <f>IF(TbRegistrosEntradas[[#This Row],[Data da Competência]]="",0,MONTH(TbRegistrosEntradas[[#This Row],[Data da Competência]]))</f>
        <v>2</v>
      </c>
      <c r="L69">
        <f>IF(TbRegistrosEntradas[[#This Row],[Data da Competência]]="",0,YEAR(TbRegistrosEntradas[[#This Row],[Data da Competência]]))</f>
        <v>2018</v>
      </c>
      <c r="M69" s="40">
        <f>IF(TbRegistrosEntradas[[#This Row],[Data do Caixa Previsto]]="",0,MONTH(TbRegistrosEntradas[[#This Row],[Data do Caixa Previsto]]))</f>
        <v>2</v>
      </c>
      <c r="N69" s="40">
        <f>IF(TbRegistrosEntradas[[#This Row],[Data do Caixa Previsto]]="",0,YEAR(TbRegistrosEntradas[[#This Row],[Data do Caixa Previsto]]))</f>
        <v>2018</v>
      </c>
      <c r="O69" s="40" t="str">
        <f ca="1">IF(AND(TbRegistrosEntradas[[#This Row],[Data do Caixa Previsto]]&lt;TODAY(),TbRegistrosEntradas[[#This Row],[Data do Caixa Realizado]]=""),"Vencida","Não vencida")</f>
        <v>Não vencida</v>
      </c>
      <c r="P69" s="40" t="str">
        <f>IF(TbRegistrosEntradas[[#This Row],[Data da Competência]]=TbRegistrosEntradas[[#This Row],[Data do Caixa Previsto]],"Vista","Prazo")</f>
        <v>Vista</v>
      </c>
      <c r="Q6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45</v>
      </c>
    </row>
    <row r="70" spans="2:17" x14ac:dyDescent="0.25">
      <c r="B70" s="15">
        <v>43193</v>
      </c>
      <c r="C70" s="15">
        <v>43151</v>
      </c>
      <c r="D70" s="15">
        <v>43151</v>
      </c>
      <c r="E70" t="s">
        <v>23</v>
      </c>
      <c r="F70" t="s">
        <v>32</v>
      </c>
      <c r="G70" s="13" t="s">
        <v>127</v>
      </c>
      <c r="H70" s="16">
        <v>3726</v>
      </c>
      <c r="I70">
        <f>IF(TbRegistrosEntradas[[#This Row],[Data do Caixa Realizado]]="",0,MONTH(TbRegistrosEntradas[[#This Row],[Data do Caixa Realizado]]))</f>
        <v>4</v>
      </c>
      <c r="J70">
        <f>IF(TbRegistrosEntradas[[#This Row],[Data do Caixa Realizado]]="",0,YEAR(TbRegistrosEntradas[[#This Row],[Data do Caixa Realizado]]))</f>
        <v>2018</v>
      </c>
      <c r="K70">
        <f>IF(TbRegistrosEntradas[[#This Row],[Data da Competência]]="",0,MONTH(TbRegistrosEntradas[[#This Row],[Data da Competência]]))</f>
        <v>2</v>
      </c>
      <c r="L70">
        <f>IF(TbRegistrosEntradas[[#This Row],[Data da Competência]]="",0,YEAR(TbRegistrosEntradas[[#This Row],[Data da Competência]]))</f>
        <v>2018</v>
      </c>
      <c r="M70" s="40">
        <f>IF(TbRegistrosEntradas[[#This Row],[Data do Caixa Previsto]]="",0,MONTH(TbRegistrosEntradas[[#This Row],[Data do Caixa Previsto]]))</f>
        <v>2</v>
      </c>
      <c r="N70" s="40">
        <f>IF(TbRegistrosEntradas[[#This Row],[Data do Caixa Previsto]]="",0,YEAR(TbRegistrosEntradas[[#This Row],[Data do Caixa Previsto]]))</f>
        <v>2018</v>
      </c>
      <c r="O70" s="40" t="str">
        <f ca="1">IF(AND(TbRegistrosEntradas[[#This Row],[Data do Caixa Previsto]]&lt;TODAY(),TbRegistrosEntradas[[#This Row],[Data do Caixa Realizado]]=""),"Vencida","Não vencida")</f>
        <v>Não vencida</v>
      </c>
      <c r="P70" s="40" t="str">
        <f>IF(TbRegistrosEntradas[[#This Row],[Data da Competência]]=TbRegistrosEntradas[[#This Row],[Data do Caixa Previsto]],"Vista","Prazo")</f>
        <v>Vista</v>
      </c>
      <c r="Q7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42</v>
      </c>
    </row>
    <row r="71" spans="2:17" x14ac:dyDescent="0.25">
      <c r="B71" s="15">
        <v>43261</v>
      </c>
      <c r="C71" s="15">
        <v>43154</v>
      </c>
      <c r="D71" s="15">
        <v>43154</v>
      </c>
      <c r="E71" t="s">
        <v>23</v>
      </c>
      <c r="F71" t="s">
        <v>33</v>
      </c>
      <c r="G71" s="13" t="s">
        <v>128</v>
      </c>
      <c r="H71" s="16">
        <v>4322</v>
      </c>
      <c r="I71">
        <f>IF(TbRegistrosEntradas[[#This Row],[Data do Caixa Realizado]]="",0,MONTH(TbRegistrosEntradas[[#This Row],[Data do Caixa Realizado]]))</f>
        <v>6</v>
      </c>
      <c r="J71">
        <f>IF(TbRegistrosEntradas[[#This Row],[Data do Caixa Realizado]]="",0,YEAR(TbRegistrosEntradas[[#This Row],[Data do Caixa Realizado]]))</f>
        <v>2018</v>
      </c>
      <c r="K71">
        <f>IF(TbRegistrosEntradas[[#This Row],[Data da Competência]]="",0,MONTH(TbRegistrosEntradas[[#This Row],[Data da Competência]]))</f>
        <v>2</v>
      </c>
      <c r="L71">
        <f>IF(TbRegistrosEntradas[[#This Row],[Data da Competência]]="",0,YEAR(TbRegistrosEntradas[[#This Row],[Data da Competência]]))</f>
        <v>2018</v>
      </c>
      <c r="M71" s="40">
        <f>IF(TbRegistrosEntradas[[#This Row],[Data do Caixa Previsto]]="",0,MONTH(TbRegistrosEntradas[[#This Row],[Data do Caixa Previsto]]))</f>
        <v>2</v>
      </c>
      <c r="N71" s="40">
        <f>IF(TbRegistrosEntradas[[#This Row],[Data do Caixa Previsto]]="",0,YEAR(TbRegistrosEntradas[[#This Row],[Data do Caixa Previsto]]))</f>
        <v>2018</v>
      </c>
      <c r="O71" s="40" t="str">
        <f ca="1">IF(AND(TbRegistrosEntradas[[#This Row],[Data do Caixa Previsto]]&lt;TODAY(),TbRegistrosEntradas[[#This Row],[Data do Caixa Realizado]]=""),"Vencida","Não vencida")</f>
        <v>Não vencida</v>
      </c>
      <c r="P71" s="40" t="str">
        <f>IF(TbRegistrosEntradas[[#This Row],[Data da Competência]]=TbRegistrosEntradas[[#This Row],[Data do Caixa Previsto]],"Vista","Prazo")</f>
        <v>Vista</v>
      </c>
      <c r="Q7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107</v>
      </c>
    </row>
    <row r="72" spans="2:17" x14ac:dyDescent="0.25">
      <c r="B72" s="15">
        <v>43253</v>
      </c>
      <c r="C72" s="15">
        <v>43156</v>
      </c>
      <c r="D72" s="15">
        <v>43156</v>
      </c>
      <c r="E72" t="s">
        <v>23</v>
      </c>
      <c r="F72" t="s">
        <v>31</v>
      </c>
      <c r="G72" s="13" t="s">
        <v>129</v>
      </c>
      <c r="H72" s="16">
        <v>3998</v>
      </c>
      <c r="I72">
        <f>IF(TbRegistrosEntradas[[#This Row],[Data do Caixa Realizado]]="",0,MONTH(TbRegistrosEntradas[[#This Row],[Data do Caixa Realizado]]))</f>
        <v>6</v>
      </c>
      <c r="J72">
        <f>IF(TbRegistrosEntradas[[#This Row],[Data do Caixa Realizado]]="",0,YEAR(TbRegistrosEntradas[[#This Row],[Data do Caixa Realizado]]))</f>
        <v>2018</v>
      </c>
      <c r="K72">
        <f>IF(TbRegistrosEntradas[[#This Row],[Data da Competência]]="",0,MONTH(TbRegistrosEntradas[[#This Row],[Data da Competência]]))</f>
        <v>2</v>
      </c>
      <c r="L72">
        <f>IF(TbRegistrosEntradas[[#This Row],[Data da Competência]]="",0,YEAR(TbRegistrosEntradas[[#This Row],[Data da Competência]]))</f>
        <v>2018</v>
      </c>
      <c r="M72" s="40">
        <f>IF(TbRegistrosEntradas[[#This Row],[Data do Caixa Previsto]]="",0,MONTH(TbRegistrosEntradas[[#This Row],[Data do Caixa Previsto]]))</f>
        <v>2</v>
      </c>
      <c r="N72" s="40">
        <f>IF(TbRegistrosEntradas[[#This Row],[Data do Caixa Previsto]]="",0,YEAR(TbRegistrosEntradas[[#This Row],[Data do Caixa Previsto]]))</f>
        <v>2018</v>
      </c>
      <c r="O72" s="40" t="str">
        <f ca="1">IF(AND(TbRegistrosEntradas[[#This Row],[Data do Caixa Previsto]]&lt;TODAY(),TbRegistrosEntradas[[#This Row],[Data do Caixa Realizado]]=""),"Vencida","Não vencida")</f>
        <v>Não vencida</v>
      </c>
      <c r="P72" s="40" t="str">
        <f>IF(TbRegistrosEntradas[[#This Row],[Data da Competência]]=TbRegistrosEntradas[[#This Row],[Data do Caixa Previsto]],"Vista","Prazo")</f>
        <v>Vista</v>
      </c>
      <c r="Q7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97</v>
      </c>
    </row>
    <row r="73" spans="2:17" x14ac:dyDescent="0.25">
      <c r="B73" s="15">
        <v>43268</v>
      </c>
      <c r="C73" s="15">
        <v>43158</v>
      </c>
      <c r="D73" s="15">
        <v>43505</v>
      </c>
      <c r="E73" t="s">
        <v>23</v>
      </c>
      <c r="F73" t="s">
        <v>31</v>
      </c>
      <c r="G73" s="13" t="s">
        <v>130</v>
      </c>
      <c r="H73" s="16">
        <v>3252</v>
      </c>
      <c r="I73">
        <f>IF(TbRegistrosEntradas[[#This Row],[Data do Caixa Realizado]]="",0,MONTH(TbRegistrosEntradas[[#This Row],[Data do Caixa Realizado]]))</f>
        <v>6</v>
      </c>
      <c r="J73">
        <f>IF(TbRegistrosEntradas[[#This Row],[Data do Caixa Realizado]]="",0,YEAR(TbRegistrosEntradas[[#This Row],[Data do Caixa Realizado]]))</f>
        <v>2018</v>
      </c>
      <c r="K73">
        <f>IF(TbRegistrosEntradas[[#This Row],[Data da Competência]]="",0,MONTH(TbRegistrosEntradas[[#This Row],[Data da Competência]]))</f>
        <v>2</v>
      </c>
      <c r="L73">
        <f>IF(TbRegistrosEntradas[[#This Row],[Data da Competência]]="",0,YEAR(TbRegistrosEntradas[[#This Row],[Data da Competência]]))</f>
        <v>2018</v>
      </c>
      <c r="M73" s="40">
        <f>IF(TbRegistrosEntradas[[#This Row],[Data do Caixa Previsto]]="",0,MONTH(TbRegistrosEntradas[[#This Row],[Data do Caixa Previsto]]))</f>
        <v>2</v>
      </c>
      <c r="N73" s="40">
        <f>IF(TbRegistrosEntradas[[#This Row],[Data do Caixa Previsto]]="",0,YEAR(TbRegistrosEntradas[[#This Row],[Data do Caixa Previsto]]))</f>
        <v>2019</v>
      </c>
      <c r="O73" s="40" t="str">
        <f ca="1">IF(AND(TbRegistrosEntradas[[#This Row],[Data do Caixa Previsto]]&lt;TODAY(),TbRegistrosEntradas[[#This Row],[Data do Caixa Realizado]]=""),"Vencida","Não vencida")</f>
        <v>Não vencida</v>
      </c>
      <c r="P73" s="40" t="str">
        <f>IF(TbRegistrosEntradas[[#This Row],[Data da Competência]]=TbRegistrosEntradas[[#This Row],[Data do Caixa Previsto]],"Vista","Prazo")</f>
        <v>Prazo</v>
      </c>
      <c r="Q7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4" spans="2:17" x14ac:dyDescent="0.25">
      <c r="B74" s="15">
        <v>43169</v>
      </c>
      <c r="C74" s="15">
        <v>43160</v>
      </c>
      <c r="D74" s="15">
        <v>43513</v>
      </c>
      <c r="E74" t="s">
        <v>23</v>
      </c>
      <c r="F74" t="s">
        <v>32</v>
      </c>
      <c r="G74" s="13" t="s">
        <v>131</v>
      </c>
      <c r="H74" s="16">
        <v>3701</v>
      </c>
      <c r="I74">
        <f>IF(TbRegistrosEntradas[[#This Row],[Data do Caixa Realizado]]="",0,MONTH(TbRegistrosEntradas[[#This Row],[Data do Caixa Realizado]]))</f>
        <v>3</v>
      </c>
      <c r="J74">
        <f>IF(TbRegistrosEntradas[[#This Row],[Data do Caixa Realizado]]="",0,YEAR(TbRegistrosEntradas[[#This Row],[Data do Caixa Realizado]]))</f>
        <v>2018</v>
      </c>
      <c r="K74">
        <f>IF(TbRegistrosEntradas[[#This Row],[Data da Competência]]="",0,MONTH(TbRegistrosEntradas[[#This Row],[Data da Competência]]))</f>
        <v>3</v>
      </c>
      <c r="L74">
        <f>IF(TbRegistrosEntradas[[#This Row],[Data da Competência]]="",0,YEAR(TbRegistrosEntradas[[#This Row],[Data da Competência]]))</f>
        <v>2018</v>
      </c>
      <c r="M74" s="40">
        <f>IF(TbRegistrosEntradas[[#This Row],[Data do Caixa Previsto]]="",0,MONTH(TbRegistrosEntradas[[#This Row],[Data do Caixa Previsto]]))</f>
        <v>2</v>
      </c>
      <c r="N74" s="40">
        <f>IF(TbRegistrosEntradas[[#This Row],[Data do Caixa Previsto]]="",0,YEAR(TbRegistrosEntradas[[#This Row],[Data do Caixa Previsto]]))</f>
        <v>2019</v>
      </c>
      <c r="O74" s="40" t="str">
        <f ca="1">IF(AND(TbRegistrosEntradas[[#This Row],[Data do Caixa Previsto]]&lt;TODAY(),TbRegistrosEntradas[[#This Row],[Data do Caixa Realizado]]=""),"Vencida","Não vencida")</f>
        <v>Não vencida</v>
      </c>
      <c r="P74" s="40" t="str">
        <f>IF(TbRegistrosEntradas[[#This Row],[Data da Competência]]=TbRegistrosEntradas[[#This Row],[Data do Caixa Previsto]],"Vista","Prazo")</f>
        <v>Prazo</v>
      </c>
      <c r="Q7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5" spans="2:17" x14ac:dyDescent="0.25">
      <c r="B75" s="15">
        <v>43202</v>
      </c>
      <c r="C75" s="15">
        <v>43162</v>
      </c>
      <c r="D75" s="15">
        <v>43513</v>
      </c>
      <c r="E75" t="s">
        <v>23</v>
      </c>
      <c r="F75" t="s">
        <v>34</v>
      </c>
      <c r="G75" s="13" t="s">
        <v>132</v>
      </c>
      <c r="H75" s="16">
        <v>1977</v>
      </c>
      <c r="I75">
        <f>IF(TbRegistrosEntradas[[#This Row],[Data do Caixa Realizado]]="",0,MONTH(TbRegistrosEntradas[[#This Row],[Data do Caixa Realizado]]))</f>
        <v>4</v>
      </c>
      <c r="J75">
        <f>IF(TbRegistrosEntradas[[#This Row],[Data do Caixa Realizado]]="",0,YEAR(TbRegistrosEntradas[[#This Row],[Data do Caixa Realizado]]))</f>
        <v>2018</v>
      </c>
      <c r="K75">
        <f>IF(TbRegistrosEntradas[[#This Row],[Data da Competência]]="",0,MONTH(TbRegistrosEntradas[[#This Row],[Data da Competência]]))</f>
        <v>3</v>
      </c>
      <c r="L75">
        <f>IF(TbRegistrosEntradas[[#This Row],[Data da Competência]]="",0,YEAR(TbRegistrosEntradas[[#This Row],[Data da Competência]]))</f>
        <v>2018</v>
      </c>
      <c r="M75" s="40">
        <f>IF(TbRegistrosEntradas[[#This Row],[Data do Caixa Previsto]]="",0,MONTH(TbRegistrosEntradas[[#This Row],[Data do Caixa Previsto]]))</f>
        <v>2</v>
      </c>
      <c r="N75" s="40">
        <f>IF(TbRegistrosEntradas[[#This Row],[Data do Caixa Previsto]]="",0,YEAR(TbRegistrosEntradas[[#This Row],[Data do Caixa Previsto]]))</f>
        <v>2019</v>
      </c>
      <c r="O75" s="40" t="str">
        <f ca="1">IF(AND(TbRegistrosEntradas[[#This Row],[Data do Caixa Previsto]]&lt;TODAY(),TbRegistrosEntradas[[#This Row],[Data do Caixa Realizado]]=""),"Vencida","Não vencida")</f>
        <v>Não vencida</v>
      </c>
      <c r="P75" s="40" t="str">
        <f>IF(TbRegistrosEntradas[[#This Row],[Data da Competência]]=TbRegistrosEntradas[[#This Row],[Data do Caixa Previsto]],"Vista","Prazo")</f>
        <v>Prazo</v>
      </c>
      <c r="Q7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6" spans="2:17" x14ac:dyDescent="0.25">
      <c r="B76" s="15">
        <v>43277</v>
      </c>
      <c r="C76" s="15">
        <v>43163</v>
      </c>
      <c r="D76" s="15">
        <v>43534</v>
      </c>
      <c r="E76" t="s">
        <v>23</v>
      </c>
      <c r="F76" t="s">
        <v>32</v>
      </c>
      <c r="G76" s="13" t="s">
        <v>133</v>
      </c>
      <c r="H76" s="16">
        <v>1217</v>
      </c>
      <c r="I76">
        <f>IF(TbRegistrosEntradas[[#This Row],[Data do Caixa Realizado]]="",0,MONTH(TbRegistrosEntradas[[#This Row],[Data do Caixa Realizado]]))</f>
        <v>6</v>
      </c>
      <c r="J76">
        <f>IF(TbRegistrosEntradas[[#This Row],[Data do Caixa Realizado]]="",0,YEAR(TbRegistrosEntradas[[#This Row],[Data do Caixa Realizado]]))</f>
        <v>2018</v>
      </c>
      <c r="K76">
        <f>IF(TbRegistrosEntradas[[#This Row],[Data da Competência]]="",0,MONTH(TbRegistrosEntradas[[#This Row],[Data da Competência]]))</f>
        <v>3</v>
      </c>
      <c r="L76">
        <f>IF(TbRegistrosEntradas[[#This Row],[Data da Competência]]="",0,YEAR(TbRegistrosEntradas[[#This Row],[Data da Competência]]))</f>
        <v>2018</v>
      </c>
      <c r="M76" s="40">
        <f>IF(TbRegistrosEntradas[[#This Row],[Data do Caixa Previsto]]="",0,MONTH(TbRegistrosEntradas[[#This Row],[Data do Caixa Previsto]]))</f>
        <v>3</v>
      </c>
      <c r="N76" s="40">
        <f>IF(TbRegistrosEntradas[[#This Row],[Data do Caixa Previsto]]="",0,YEAR(TbRegistrosEntradas[[#This Row],[Data do Caixa Previsto]]))</f>
        <v>2019</v>
      </c>
      <c r="O76" s="40" t="str">
        <f ca="1">IF(AND(TbRegistrosEntradas[[#This Row],[Data do Caixa Previsto]]&lt;TODAY(),TbRegistrosEntradas[[#This Row],[Data do Caixa Realizado]]=""),"Vencida","Não vencida")</f>
        <v>Não vencida</v>
      </c>
      <c r="P76" s="40" t="str">
        <f>IF(TbRegistrosEntradas[[#This Row],[Data da Competência]]=TbRegistrosEntradas[[#This Row],[Data do Caixa Previsto]],"Vista","Prazo")</f>
        <v>Prazo</v>
      </c>
      <c r="Q7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7" spans="2:17" x14ac:dyDescent="0.25">
      <c r="B77" s="15">
        <v>43283</v>
      </c>
      <c r="C77" s="15">
        <v>43166</v>
      </c>
      <c r="D77" s="15">
        <v>43512</v>
      </c>
      <c r="E77" t="s">
        <v>23</v>
      </c>
      <c r="F77" t="s">
        <v>30</v>
      </c>
      <c r="G77" s="13" t="s">
        <v>134</v>
      </c>
      <c r="H77" s="16">
        <v>1660</v>
      </c>
      <c r="I77">
        <f>IF(TbRegistrosEntradas[[#This Row],[Data do Caixa Realizado]]="",0,MONTH(TbRegistrosEntradas[[#This Row],[Data do Caixa Realizado]]))</f>
        <v>7</v>
      </c>
      <c r="J77">
        <f>IF(TbRegistrosEntradas[[#This Row],[Data do Caixa Realizado]]="",0,YEAR(TbRegistrosEntradas[[#This Row],[Data do Caixa Realizado]]))</f>
        <v>2018</v>
      </c>
      <c r="K77">
        <f>IF(TbRegistrosEntradas[[#This Row],[Data da Competência]]="",0,MONTH(TbRegistrosEntradas[[#This Row],[Data da Competência]]))</f>
        <v>3</v>
      </c>
      <c r="L77">
        <f>IF(TbRegistrosEntradas[[#This Row],[Data da Competência]]="",0,YEAR(TbRegistrosEntradas[[#This Row],[Data da Competência]]))</f>
        <v>2018</v>
      </c>
      <c r="M77" s="40">
        <f>IF(TbRegistrosEntradas[[#This Row],[Data do Caixa Previsto]]="",0,MONTH(TbRegistrosEntradas[[#This Row],[Data do Caixa Previsto]]))</f>
        <v>2</v>
      </c>
      <c r="N77" s="40">
        <f>IF(TbRegistrosEntradas[[#This Row],[Data do Caixa Previsto]]="",0,YEAR(TbRegistrosEntradas[[#This Row],[Data do Caixa Previsto]]))</f>
        <v>2019</v>
      </c>
      <c r="O77" s="40" t="str">
        <f ca="1">IF(AND(TbRegistrosEntradas[[#This Row],[Data do Caixa Previsto]]&lt;TODAY(),TbRegistrosEntradas[[#This Row],[Data do Caixa Realizado]]=""),"Vencida","Não vencida")</f>
        <v>Não vencida</v>
      </c>
      <c r="P77" s="40" t="str">
        <f>IF(TbRegistrosEntradas[[#This Row],[Data da Competência]]=TbRegistrosEntradas[[#This Row],[Data do Caixa Previsto]],"Vista","Prazo")</f>
        <v>Prazo</v>
      </c>
      <c r="Q7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8" spans="2:17" x14ac:dyDescent="0.25">
      <c r="B78" s="15">
        <v>43184</v>
      </c>
      <c r="C78" s="15">
        <v>43169</v>
      </c>
      <c r="D78" s="15">
        <v>43532</v>
      </c>
      <c r="E78" t="s">
        <v>23</v>
      </c>
      <c r="F78" t="s">
        <v>30</v>
      </c>
      <c r="G78" s="13" t="s">
        <v>135</v>
      </c>
      <c r="H78" s="16">
        <v>837</v>
      </c>
      <c r="I78">
        <f>IF(TbRegistrosEntradas[[#This Row],[Data do Caixa Realizado]]="",0,MONTH(TbRegistrosEntradas[[#This Row],[Data do Caixa Realizado]]))</f>
        <v>3</v>
      </c>
      <c r="J78">
        <f>IF(TbRegistrosEntradas[[#This Row],[Data do Caixa Realizado]]="",0,YEAR(TbRegistrosEntradas[[#This Row],[Data do Caixa Realizado]]))</f>
        <v>2018</v>
      </c>
      <c r="K78">
        <f>IF(TbRegistrosEntradas[[#This Row],[Data da Competência]]="",0,MONTH(TbRegistrosEntradas[[#This Row],[Data da Competência]]))</f>
        <v>3</v>
      </c>
      <c r="L78">
        <f>IF(TbRegistrosEntradas[[#This Row],[Data da Competência]]="",0,YEAR(TbRegistrosEntradas[[#This Row],[Data da Competência]]))</f>
        <v>2018</v>
      </c>
      <c r="M78" s="40">
        <f>IF(TbRegistrosEntradas[[#This Row],[Data do Caixa Previsto]]="",0,MONTH(TbRegistrosEntradas[[#This Row],[Data do Caixa Previsto]]))</f>
        <v>3</v>
      </c>
      <c r="N78" s="40">
        <f>IF(TbRegistrosEntradas[[#This Row],[Data do Caixa Previsto]]="",0,YEAR(TbRegistrosEntradas[[#This Row],[Data do Caixa Previsto]]))</f>
        <v>2019</v>
      </c>
      <c r="O78" s="40" t="str">
        <f ca="1">IF(AND(TbRegistrosEntradas[[#This Row],[Data do Caixa Previsto]]&lt;TODAY(),TbRegistrosEntradas[[#This Row],[Data do Caixa Realizado]]=""),"Vencida","Não vencida")</f>
        <v>Não vencida</v>
      </c>
      <c r="P78" s="40" t="str">
        <f>IF(TbRegistrosEntradas[[#This Row],[Data da Competência]]=TbRegistrosEntradas[[#This Row],[Data do Caixa Previsto]],"Vista","Prazo")</f>
        <v>Prazo</v>
      </c>
      <c r="Q7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79" spans="2:17" x14ac:dyDescent="0.25">
      <c r="B79" s="15">
        <v>43200</v>
      </c>
      <c r="C79" s="15">
        <v>43171</v>
      </c>
      <c r="D79" s="15">
        <v>43540</v>
      </c>
      <c r="E79" t="s">
        <v>23</v>
      </c>
      <c r="F79" t="s">
        <v>33</v>
      </c>
      <c r="G79" s="13" t="s">
        <v>136</v>
      </c>
      <c r="H79" s="16">
        <v>1838</v>
      </c>
      <c r="I79">
        <f>IF(TbRegistrosEntradas[[#This Row],[Data do Caixa Realizado]]="",0,MONTH(TbRegistrosEntradas[[#This Row],[Data do Caixa Realizado]]))</f>
        <v>4</v>
      </c>
      <c r="J79">
        <f>IF(TbRegistrosEntradas[[#This Row],[Data do Caixa Realizado]]="",0,YEAR(TbRegistrosEntradas[[#This Row],[Data do Caixa Realizado]]))</f>
        <v>2018</v>
      </c>
      <c r="K79">
        <f>IF(TbRegistrosEntradas[[#This Row],[Data da Competência]]="",0,MONTH(TbRegistrosEntradas[[#This Row],[Data da Competência]]))</f>
        <v>3</v>
      </c>
      <c r="L79">
        <f>IF(TbRegistrosEntradas[[#This Row],[Data da Competência]]="",0,YEAR(TbRegistrosEntradas[[#This Row],[Data da Competência]]))</f>
        <v>2018</v>
      </c>
      <c r="M79" s="40">
        <f>IF(TbRegistrosEntradas[[#This Row],[Data do Caixa Previsto]]="",0,MONTH(TbRegistrosEntradas[[#This Row],[Data do Caixa Previsto]]))</f>
        <v>3</v>
      </c>
      <c r="N79" s="40">
        <f>IF(TbRegistrosEntradas[[#This Row],[Data do Caixa Previsto]]="",0,YEAR(TbRegistrosEntradas[[#This Row],[Data do Caixa Previsto]]))</f>
        <v>2019</v>
      </c>
      <c r="O79" s="40" t="str">
        <f ca="1">IF(AND(TbRegistrosEntradas[[#This Row],[Data do Caixa Previsto]]&lt;TODAY(),TbRegistrosEntradas[[#This Row],[Data do Caixa Realizado]]=""),"Vencida","Não vencida")</f>
        <v>Não vencida</v>
      </c>
      <c r="P79" s="40" t="str">
        <f>IF(TbRegistrosEntradas[[#This Row],[Data da Competência]]=TbRegistrosEntradas[[#This Row],[Data do Caixa Previsto]],"Vista","Prazo")</f>
        <v>Prazo</v>
      </c>
      <c r="Q7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0" spans="2:17" x14ac:dyDescent="0.25">
      <c r="B80" s="15">
        <v>43207</v>
      </c>
      <c r="C80" s="15">
        <v>43176</v>
      </c>
      <c r="D80" s="15">
        <v>43541</v>
      </c>
      <c r="E80" t="s">
        <v>23</v>
      </c>
      <c r="F80" t="s">
        <v>34</v>
      </c>
      <c r="G80" s="13" t="s">
        <v>137</v>
      </c>
      <c r="H80" s="16">
        <v>4471</v>
      </c>
      <c r="I80">
        <f>IF(TbRegistrosEntradas[[#This Row],[Data do Caixa Realizado]]="",0,MONTH(TbRegistrosEntradas[[#This Row],[Data do Caixa Realizado]]))</f>
        <v>4</v>
      </c>
      <c r="J80">
        <f>IF(TbRegistrosEntradas[[#This Row],[Data do Caixa Realizado]]="",0,YEAR(TbRegistrosEntradas[[#This Row],[Data do Caixa Realizado]]))</f>
        <v>2018</v>
      </c>
      <c r="K80">
        <f>IF(TbRegistrosEntradas[[#This Row],[Data da Competência]]="",0,MONTH(TbRegistrosEntradas[[#This Row],[Data da Competência]]))</f>
        <v>3</v>
      </c>
      <c r="L80">
        <f>IF(TbRegistrosEntradas[[#This Row],[Data da Competência]]="",0,YEAR(TbRegistrosEntradas[[#This Row],[Data da Competência]]))</f>
        <v>2018</v>
      </c>
      <c r="M80" s="40">
        <f>IF(TbRegistrosEntradas[[#This Row],[Data do Caixa Previsto]]="",0,MONTH(TbRegistrosEntradas[[#This Row],[Data do Caixa Previsto]]))</f>
        <v>3</v>
      </c>
      <c r="N80" s="40">
        <f>IF(TbRegistrosEntradas[[#This Row],[Data do Caixa Previsto]]="",0,YEAR(TbRegistrosEntradas[[#This Row],[Data do Caixa Previsto]]))</f>
        <v>2019</v>
      </c>
      <c r="O80" s="40" t="str">
        <f ca="1">IF(AND(TbRegistrosEntradas[[#This Row],[Data do Caixa Previsto]]&lt;TODAY(),TbRegistrosEntradas[[#This Row],[Data do Caixa Realizado]]=""),"Vencida","Não vencida")</f>
        <v>Não vencida</v>
      </c>
      <c r="P80" s="40" t="str">
        <f>IF(TbRegistrosEntradas[[#This Row],[Data da Competência]]=TbRegistrosEntradas[[#This Row],[Data do Caixa Previsto]],"Vista","Prazo")</f>
        <v>Prazo</v>
      </c>
      <c r="Q8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1" spans="2:17" x14ac:dyDescent="0.25">
      <c r="B81" s="15">
        <v>43234</v>
      </c>
      <c r="C81" s="15">
        <v>43177</v>
      </c>
      <c r="D81" s="15">
        <v>43554</v>
      </c>
      <c r="E81" t="s">
        <v>23</v>
      </c>
      <c r="F81" t="s">
        <v>33</v>
      </c>
      <c r="G81" s="13" t="s">
        <v>138</v>
      </c>
      <c r="H81" s="16">
        <v>3540</v>
      </c>
      <c r="I81">
        <f>IF(TbRegistrosEntradas[[#This Row],[Data do Caixa Realizado]]="",0,MONTH(TbRegistrosEntradas[[#This Row],[Data do Caixa Realizado]]))</f>
        <v>5</v>
      </c>
      <c r="J81">
        <f>IF(TbRegistrosEntradas[[#This Row],[Data do Caixa Realizado]]="",0,YEAR(TbRegistrosEntradas[[#This Row],[Data do Caixa Realizado]]))</f>
        <v>2018</v>
      </c>
      <c r="K81">
        <f>IF(TbRegistrosEntradas[[#This Row],[Data da Competência]]="",0,MONTH(TbRegistrosEntradas[[#This Row],[Data da Competência]]))</f>
        <v>3</v>
      </c>
      <c r="L81">
        <f>IF(TbRegistrosEntradas[[#This Row],[Data da Competência]]="",0,YEAR(TbRegistrosEntradas[[#This Row],[Data da Competência]]))</f>
        <v>2018</v>
      </c>
      <c r="M81" s="40">
        <f>IF(TbRegistrosEntradas[[#This Row],[Data do Caixa Previsto]]="",0,MONTH(TbRegistrosEntradas[[#This Row],[Data do Caixa Previsto]]))</f>
        <v>3</v>
      </c>
      <c r="N81" s="40">
        <f>IF(TbRegistrosEntradas[[#This Row],[Data do Caixa Previsto]]="",0,YEAR(TbRegistrosEntradas[[#This Row],[Data do Caixa Previsto]]))</f>
        <v>2019</v>
      </c>
      <c r="O81" s="40" t="str">
        <f ca="1">IF(AND(TbRegistrosEntradas[[#This Row],[Data do Caixa Previsto]]&lt;TODAY(),TbRegistrosEntradas[[#This Row],[Data do Caixa Realizado]]=""),"Vencida","Não vencida")</f>
        <v>Não vencida</v>
      </c>
      <c r="P81" s="40" t="str">
        <f>IF(TbRegistrosEntradas[[#This Row],[Data da Competência]]=TbRegistrosEntradas[[#This Row],[Data do Caixa Previsto]],"Vista","Prazo")</f>
        <v>Prazo</v>
      </c>
      <c r="Q8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2" spans="2:17" x14ac:dyDescent="0.25">
      <c r="B82" s="15">
        <v>43220</v>
      </c>
      <c r="C82" s="15">
        <v>43180</v>
      </c>
      <c r="D82" s="15">
        <v>43512</v>
      </c>
      <c r="E82" t="s">
        <v>23</v>
      </c>
      <c r="F82" t="s">
        <v>33</v>
      </c>
      <c r="G82" s="13" t="s">
        <v>139</v>
      </c>
      <c r="H82" s="16">
        <v>4606</v>
      </c>
      <c r="I82">
        <f>IF(TbRegistrosEntradas[[#This Row],[Data do Caixa Realizado]]="",0,MONTH(TbRegistrosEntradas[[#This Row],[Data do Caixa Realizado]]))</f>
        <v>4</v>
      </c>
      <c r="J82">
        <f>IF(TbRegistrosEntradas[[#This Row],[Data do Caixa Realizado]]="",0,YEAR(TbRegistrosEntradas[[#This Row],[Data do Caixa Realizado]]))</f>
        <v>2018</v>
      </c>
      <c r="K82">
        <f>IF(TbRegistrosEntradas[[#This Row],[Data da Competência]]="",0,MONTH(TbRegistrosEntradas[[#This Row],[Data da Competência]]))</f>
        <v>3</v>
      </c>
      <c r="L82">
        <f>IF(TbRegistrosEntradas[[#This Row],[Data da Competência]]="",0,YEAR(TbRegistrosEntradas[[#This Row],[Data da Competência]]))</f>
        <v>2018</v>
      </c>
      <c r="M82" s="40">
        <f>IF(TbRegistrosEntradas[[#This Row],[Data do Caixa Previsto]]="",0,MONTH(TbRegistrosEntradas[[#This Row],[Data do Caixa Previsto]]))</f>
        <v>2</v>
      </c>
      <c r="N82" s="40">
        <f>IF(TbRegistrosEntradas[[#This Row],[Data do Caixa Previsto]]="",0,YEAR(TbRegistrosEntradas[[#This Row],[Data do Caixa Previsto]]))</f>
        <v>2019</v>
      </c>
      <c r="O82" s="40" t="str">
        <f ca="1">IF(AND(TbRegistrosEntradas[[#This Row],[Data do Caixa Previsto]]&lt;TODAY(),TbRegistrosEntradas[[#This Row],[Data do Caixa Realizado]]=""),"Vencida","Não vencida")</f>
        <v>Não vencida</v>
      </c>
      <c r="P82" s="40" t="str">
        <f>IF(TbRegistrosEntradas[[#This Row],[Data da Competência]]=TbRegistrosEntradas[[#This Row],[Data do Caixa Previsto]],"Vista","Prazo")</f>
        <v>Prazo</v>
      </c>
      <c r="Q8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3" spans="2:17" x14ac:dyDescent="0.25">
      <c r="B83" s="15" t="s">
        <v>69</v>
      </c>
      <c r="C83" s="15">
        <v>43182</v>
      </c>
      <c r="D83" s="15">
        <v>43570</v>
      </c>
      <c r="E83" t="s">
        <v>23</v>
      </c>
      <c r="F83" t="s">
        <v>31</v>
      </c>
      <c r="G83" s="13" t="s">
        <v>140</v>
      </c>
      <c r="H83" s="16">
        <v>2388</v>
      </c>
      <c r="I83">
        <f>IF(TbRegistrosEntradas[[#This Row],[Data do Caixa Realizado]]="",0,MONTH(TbRegistrosEntradas[[#This Row],[Data do Caixa Realizado]]))</f>
        <v>0</v>
      </c>
      <c r="J83">
        <f>IF(TbRegistrosEntradas[[#This Row],[Data do Caixa Realizado]]="",0,YEAR(TbRegistrosEntradas[[#This Row],[Data do Caixa Realizado]]))</f>
        <v>0</v>
      </c>
      <c r="K83">
        <f>IF(TbRegistrosEntradas[[#This Row],[Data da Competência]]="",0,MONTH(TbRegistrosEntradas[[#This Row],[Data da Competência]]))</f>
        <v>3</v>
      </c>
      <c r="L83">
        <f>IF(TbRegistrosEntradas[[#This Row],[Data da Competência]]="",0,YEAR(TbRegistrosEntradas[[#This Row],[Data da Competência]]))</f>
        <v>2018</v>
      </c>
      <c r="M83" s="40">
        <f>IF(TbRegistrosEntradas[[#This Row],[Data do Caixa Previsto]]="",0,MONTH(TbRegistrosEntradas[[#This Row],[Data do Caixa Previsto]]))</f>
        <v>4</v>
      </c>
      <c r="N83" s="40">
        <f>IF(TbRegistrosEntradas[[#This Row],[Data do Caixa Previsto]]="",0,YEAR(TbRegistrosEntradas[[#This Row],[Data do Caixa Previsto]]))</f>
        <v>2019</v>
      </c>
      <c r="O83" s="40" t="str">
        <f ca="1">IF(AND(TbRegistrosEntradas[[#This Row],[Data do Caixa Previsto]]&lt;TODAY(),TbRegistrosEntradas[[#This Row],[Data do Caixa Realizado]]=""),"Vencida","Não vencida")</f>
        <v>Vencida</v>
      </c>
      <c r="P83" s="40" t="str">
        <f>IF(TbRegistrosEntradas[[#This Row],[Data da Competência]]=TbRegistrosEntradas[[#This Row],[Data do Caixa Previsto]],"Vista","Prazo")</f>
        <v>Prazo</v>
      </c>
      <c r="Q8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1746</v>
      </c>
    </row>
    <row r="84" spans="2:17" x14ac:dyDescent="0.25">
      <c r="B84" s="15">
        <v>43187</v>
      </c>
      <c r="C84" s="15">
        <v>43184</v>
      </c>
      <c r="D84" s="15">
        <v>43560</v>
      </c>
      <c r="E84" t="s">
        <v>23</v>
      </c>
      <c r="F84" t="s">
        <v>30</v>
      </c>
      <c r="G84" s="13" t="s">
        <v>141</v>
      </c>
      <c r="H84" s="16">
        <v>2303</v>
      </c>
      <c r="I84">
        <f>IF(TbRegistrosEntradas[[#This Row],[Data do Caixa Realizado]]="",0,MONTH(TbRegistrosEntradas[[#This Row],[Data do Caixa Realizado]]))</f>
        <v>3</v>
      </c>
      <c r="J84">
        <f>IF(TbRegistrosEntradas[[#This Row],[Data do Caixa Realizado]]="",0,YEAR(TbRegistrosEntradas[[#This Row],[Data do Caixa Realizado]]))</f>
        <v>2018</v>
      </c>
      <c r="K84">
        <f>IF(TbRegistrosEntradas[[#This Row],[Data da Competência]]="",0,MONTH(TbRegistrosEntradas[[#This Row],[Data da Competência]]))</f>
        <v>3</v>
      </c>
      <c r="L84">
        <f>IF(TbRegistrosEntradas[[#This Row],[Data da Competência]]="",0,YEAR(TbRegistrosEntradas[[#This Row],[Data da Competência]]))</f>
        <v>2018</v>
      </c>
      <c r="M84" s="40">
        <f>IF(TbRegistrosEntradas[[#This Row],[Data do Caixa Previsto]]="",0,MONTH(TbRegistrosEntradas[[#This Row],[Data do Caixa Previsto]]))</f>
        <v>4</v>
      </c>
      <c r="N84" s="40">
        <f>IF(TbRegistrosEntradas[[#This Row],[Data do Caixa Previsto]]="",0,YEAR(TbRegistrosEntradas[[#This Row],[Data do Caixa Previsto]]))</f>
        <v>2019</v>
      </c>
      <c r="O84" s="40" t="str">
        <f ca="1">IF(AND(TbRegistrosEntradas[[#This Row],[Data do Caixa Previsto]]&lt;TODAY(),TbRegistrosEntradas[[#This Row],[Data do Caixa Realizado]]=""),"Vencida","Não vencida")</f>
        <v>Não vencida</v>
      </c>
      <c r="P84" s="40" t="str">
        <f>IF(TbRegistrosEntradas[[#This Row],[Data da Competência]]=TbRegistrosEntradas[[#This Row],[Data do Caixa Previsto]],"Vista","Prazo")</f>
        <v>Prazo</v>
      </c>
      <c r="Q8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5" spans="2:17" x14ac:dyDescent="0.25">
      <c r="B85" s="15">
        <v>43205</v>
      </c>
      <c r="C85" s="15">
        <v>43187</v>
      </c>
      <c r="D85" s="15">
        <v>43540</v>
      </c>
      <c r="E85" t="s">
        <v>23</v>
      </c>
      <c r="F85" t="s">
        <v>34</v>
      </c>
      <c r="G85" s="13" t="s">
        <v>142</v>
      </c>
      <c r="H85" s="16">
        <v>1662</v>
      </c>
      <c r="I85">
        <f>IF(TbRegistrosEntradas[[#This Row],[Data do Caixa Realizado]]="",0,MONTH(TbRegistrosEntradas[[#This Row],[Data do Caixa Realizado]]))</f>
        <v>4</v>
      </c>
      <c r="J85">
        <f>IF(TbRegistrosEntradas[[#This Row],[Data do Caixa Realizado]]="",0,YEAR(TbRegistrosEntradas[[#This Row],[Data do Caixa Realizado]]))</f>
        <v>2018</v>
      </c>
      <c r="K85">
        <f>IF(TbRegistrosEntradas[[#This Row],[Data da Competência]]="",0,MONTH(TbRegistrosEntradas[[#This Row],[Data da Competência]]))</f>
        <v>3</v>
      </c>
      <c r="L85">
        <f>IF(TbRegistrosEntradas[[#This Row],[Data da Competência]]="",0,YEAR(TbRegistrosEntradas[[#This Row],[Data da Competência]]))</f>
        <v>2018</v>
      </c>
      <c r="M85" s="40">
        <f>IF(TbRegistrosEntradas[[#This Row],[Data do Caixa Previsto]]="",0,MONTH(TbRegistrosEntradas[[#This Row],[Data do Caixa Previsto]]))</f>
        <v>3</v>
      </c>
      <c r="N85" s="40">
        <f>IF(TbRegistrosEntradas[[#This Row],[Data do Caixa Previsto]]="",0,YEAR(TbRegistrosEntradas[[#This Row],[Data do Caixa Previsto]]))</f>
        <v>2019</v>
      </c>
      <c r="O85" s="40" t="str">
        <f ca="1">IF(AND(TbRegistrosEntradas[[#This Row],[Data do Caixa Previsto]]&lt;TODAY(),TbRegistrosEntradas[[#This Row],[Data do Caixa Realizado]]=""),"Vencida","Não vencida")</f>
        <v>Não vencida</v>
      </c>
      <c r="P85" s="40" t="str">
        <f>IF(TbRegistrosEntradas[[#This Row],[Data da Competência]]=TbRegistrosEntradas[[#This Row],[Data do Caixa Previsto]],"Vista","Prazo")</f>
        <v>Prazo</v>
      </c>
      <c r="Q8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6" spans="2:17" x14ac:dyDescent="0.25">
      <c r="B86" s="15">
        <v>43228</v>
      </c>
      <c r="C86" s="15">
        <v>43189</v>
      </c>
      <c r="D86" s="15">
        <v>43548</v>
      </c>
      <c r="E86" t="s">
        <v>23</v>
      </c>
      <c r="F86" t="s">
        <v>31</v>
      </c>
      <c r="G86" s="13" t="s">
        <v>143</v>
      </c>
      <c r="H86" s="16">
        <v>3241</v>
      </c>
      <c r="I86">
        <f>IF(TbRegistrosEntradas[[#This Row],[Data do Caixa Realizado]]="",0,MONTH(TbRegistrosEntradas[[#This Row],[Data do Caixa Realizado]]))</f>
        <v>5</v>
      </c>
      <c r="J86">
        <f>IF(TbRegistrosEntradas[[#This Row],[Data do Caixa Realizado]]="",0,YEAR(TbRegistrosEntradas[[#This Row],[Data do Caixa Realizado]]))</f>
        <v>2018</v>
      </c>
      <c r="K86">
        <f>IF(TbRegistrosEntradas[[#This Row],[Data da Competência]]="",0,MONTH(TbRegistrosEntradas[[#This Row],[Data da Competência]]))</f>
        <v>3</v>
      </c>
      <c r="L86">
        <f>IF(TbRegistrosEntradas[[#This Row],[Data da Competência]]="",0,YEAR(TbRegistrosEntradas[[#This Row],[Data da Competência]]))</f>
        <v>2018</v>
      </c>
      <c r="M86" s="40">
        <f>IF(TbRegistrosEntradas[[#This Row],[Data do Caixa Previsto]]="",0,MONTH(TbRegistrosEntradas[[#This Row],[Data do Caixa Previsto]]))</f>
        <v>3</v>
      </c>
      <c r="N86" s="40">
        <f>IF(TbRegistrosEntradas[[#This Row],[Data do Caixa Previsto]]="",0,YEAR(TbRegistrosEntradas[[#This Row],[Data do Caixa Previsto]]))</f>
        <v>2019</v>
      </c>
      <c r="O86" s="40" t="str">
        <f ca="1">IF(AND(TbRegistrosEntradas[[#This Row],[Data do Caixa Previsto]]&lt;TODAY(),TbRegistrosEntradas[[#This Row],[Data do Caixa Realizado]]=""),"Vencida","Não vencida")</f>
        <v>Não vencida</v>
      </c>
      <c r="P86" s="40" t="str">
        <f>IF(TbRegistrosEntradas[[#This Row],[Data da Competência]]=TbRegistrosEntradas[[#This Row],[Data do Caixa Previsto]],"Vista","Prazo")</f>
        <v>Prazo</v>
      </c>
      <c r="Q8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7" spans="2:17" x14ac:dyDescent="0.25">
      <c r="B87" s="15">
        <v>43228</v>
      </c>
      <c r="C87" s="15">
        <v>43190</v>
      </c>
      <c r="D87" s="15">
        <v>43563</v>
      </c>
      <c r="E87" t="s">
        <v>23</v>
      </c>
      <c r="F87" t="s">
        <v>34</v>
      </c>
      <c r="G87" s="13" t="s">
        <v>144</v>
      </c>
      <c r="H87" s="16">
        <v>4017</v>
      </c>
      <c r="I87">
        <f>IF(TbRegistrosEntradas[[#This Row],[Data do Caixa Realizado]]="",0,MONTH(TbRegistrosEntradas[[#This Row],[Data do Caixa Realizado]]))</f>
        <v>5</v>
      </c>
      <c r="J87">
        <f>IF(TbRegistrosEntradas[[#This Row],[Data do Caixa Realizado]]="",0,YEAR(TbRegistrosEntradas[[#This Row],[Data do Caixa Realizado]]))</f>
        <v>2018</v>
      </c>
      <c r="K87">
        <f>IF(TbRegistrosEntradas[[#This Row],[Data da Competência]]="",0,MONTH(TbRegistrosEntradas[[#This Row],[Data da Competência]]))</f>
        <v>3</v>
      </c>
      <c r="L87">
        <f>IF(TbRegistrosEntradas[[#This Row],[Data da Competência]]="",0,YEAR(TbRegistrosEntradas[[#This Row],[Data da Competência]]))</f>
        <v>2018</v>
      </c>
      <c r="M87" s="40">
        <f>IF(TbRegistrosEntradas[[#This Row],[Data do Caixa Previsto]]="",0,MONTH(TbRegistrosEntradas[[#This Row],[Data do Caixa Previsto]]))</f>
        <v>4</v>
      </c>
      <c r="N87" s="40">
        <f>IF(TbRegistrosEntradas[[#This Row],[Data do Caixa Previsto]]="",0,YEAR(TbRegistrosEntradas[[#This Row],[Data do Caixa Previsto]]))</f>
        <v>2019</v>
      </c>
      <c r="O87" s="40" t="str">
        <f ca="1">IF(AND(TbRegistrosEntradas[[#This Row],[Data do Caixa Previsto]]&lt;TODAY(),TbRegistrosEntradas[[#This Row],[Data do Caixa Realizado]]=""),"Vencida","Não vencida")</f>
        <v>Não vencida</v>
      </c>
      <c r="P87" s="40" t="str">
        <f>IF(TbRegistrosEntradas[[#This Row],[Data da Competência]]=TbRegistrosEntradas[[#This Row],[Data do Caixa Previsto]],"Vista","Prazo")</f>
        <v>Prazo</v>
      </c>
      <c r="Q8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8" spans="2:17" x14ac:dyDescent="0.25">
      <c r="B88" s="15">
        <v>43289</v>
      </c>
      <c r="C88" s="15">
        <v>43193</v>
      </c>
      <c r="D88" s="15">
        <v>43571</v>
      </c>
      <c r="E88" t="s">
        <v>23</v>
      </c>
      <c r="F88" t="s">
        <v>33</v>
      </c>
      <c r="G88" s="13" t="s">
        <v>145</v>
      </c>
      <c r="H88" s="16">
        <v>3586</v>
      </c>
      <c r="I88">
        <f>IF(TbRegistrosEntradas[[#This Row],[Data do Caixa Realizado]]="",0,MONTH(TbRegistrosEntradas[[#This Row],[Data do Caixa Realizado]]))</f>
        <v>7</v>
      </c>
      <c r="J88">
        <f>IF(TbRegistrosEntradas[[#This Row],[Data do Caixa Realizado]]="",0,YEAR(TbRegistrosEntradas[[#This Row],[Data do Caixa Realizado]]))</f>
        <v>2018</v>
      </c>
      <c r="K88">
        <f>IF(TbRegistrosEntradas[[#This Row],[Data da Competência]]="",0,MONTH(TbRegistrosEntradas[[#This Row],[Data da Competência]]))</f>
        <v>4</v>
      </c>
      <c r="L88">
        <f>IF(TbRegistrosEntradas[[#This Row],[Data da Competência]]="",0,YEAR(TbRegistrosEntradas[[#This Row],[Data da Competência]]))</f>
        <v>2018</v>
      </c>
      <c r="M88" s="40">
        <f>IF(TbRegistrosEntradas[[#This Row],[Data do Caixa Previsto]]="",0,MONTH(TbRegistrosEntradas[[#This Row],[Data do Caixa Previsto]]))</f>
        <v>4</v>
      </c>
      <c r="N88" s="40">
        <f>IF(TbRegistrosEntradas[[#This Row],[Data do Caixa Previsto]]="",0,YEAR(TbRegistrosEntradas[[#This Row],[Data do Caixa Previsto]]))</f>
        <v>2019</v>
      </c>
      <c r="O88" s="40" t="str">
        <f ca="1">IF(AND(TbRegistrosEntradas[[#This Row],[Data do Caixa Previsto]]&lt;TODAY(),TbRegistrosEntradas[[#This Row],[Data do Caixa Realizado]]=""),"Vencida","Não vencida")</f>
        <v>Não vencida</v>
      </c>
      <c r="P88" s="40" t="str">
        <f>IF(TbRegistrosEntradas[[#This Row],[Data da Competência]]=TbRegistrosEntradas[[#This Row],[Data do Caixa Previsto]],"Vista","Prazo")</f>
        <v>Prazo</v>
      </c>
      <c r="Q8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89" spans="2:17" x14ac:dyDescent="0.25">
      <c r="B89" s="15">
        <v>43221</v>
      </c>
      <c r="C89" s="15">
        <v>43196</v>
      </c>
      <c r="D89" s="15">
        <v>43568</v>
      </c>
      <c r="E89" t="s">
        <v>23</v>
      </c>
      <c r="F89" t="s">
        <v>31</v>
      </c>
      <c r="G89" s="13" t="s">
        <v>146</v>
      </c>
      <c r="H89" s="16">
        <v>4467</v>
      </c>
      <c r="I89">
        <f>IF(TbRegistrosEntradas[[#This Row],[Data do Caixa Realizado]]="",0,MONTH(TbRegistrosEntradas[[#This Row],[Data do Caixa Realizado]]))</f>
        <v>5</v>
      </c>
      <c r="J89">
        <f>IF(TbRegistrosEntradas[[#This Row],[Data do Caixa Realizado]]="",0,YEAR(TbRegistrosEntradas[[#This Row],[Data do Caixa Realizado]]))</f>
        <v>2018</v>
      </c>
      <c r="K89">
        <f>IF(TbRegistrosEntradas[[#This Row],[Data da Competência]]="",0,MONTH(TbRegistrosEntradas[[#This Row],[Data da Competência]]))</f>
        <v>4</v>
      </c>
      <c r="L89">
        <f>IF(TbRegistrosEntradas[[#This Row],[Data da Competência]]="",0,YEAR(TbRegistrosEntradas[[#This Row],[Data da Competência]]))</f>
        <v>2018</v>
      </c>
      <c r="M89" s="40">
        <f>IF(TbRegistrosEntradas[[#This Row],[Data do Caixa Previsto]]="",0,MONTH(TbRegistrosEntradas[[#This Row],[Data do Caixa Previsto]]))</f>
        <v>4</v>
      </c>
      <c r="N89" s="40">
        <f>IF(TbRegistrosEntradas[[#This Row],[Data do Caixa Previsto]]="",0,YEAR(TbRegistrosEntradas[[#This Row],[Data do Caixa Previsto]]))</f>
        <v>2019</v>
      </c>
      <c r="O89" s="40" t="str">
        <f ca="1">IF(AND(TbRegistrosEntradas[[#This Row],[Data do Caixa Previsto]]&lt;TODAY(),TbRegistrosEntradas[[#This Row],[Data do Caixa Realizado]]=""),"Vencida","Não vencida")</f>
        <v>Não vencida</v>
      </c>
      <c r="P89" s="40" t="str">
        <f>IF(TbRegistrosEntradas[[#This Row],[Data da Competência]]=TbRegistrosEntradas[[#This Row],[Data do Caixa Previsto]],"Vista","Prazo")</f>
        <v>Prazo</v>
      </c>
      <c r="Q8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0" spans="2:17" x14ac:dyDescent="0.25">
      <c r="B90" s="15">
        <v>43251</v>
      </c>
      <c r="C90" s="15">
        <v>43199</v>
      </c>
      <c r="D90" s="15">
        <v>43563</v>
      </c>
      <c r="E90" t="s">
        <v>23</v>
      </c>
      <c r="F90" t="s">
        <v>33</v>
      </c>
      <c r="G90" s="13" t="s">
        <v>147</v>
      </c>
      <c r="H90" s="16">
        <v>4262</v>
      </c>
      <c r="I90">
        <f>IF(TbRegistrosEntradas[[#This Row],[Data do Caixa Realizado]]="",0,MONTH(TbRegistrosEntradas[[#This Row],[Data do Caixa Realizado]]))</f>
        <v>5</v>
      </c>
      <c r="J90">
        <f>IF(TbRegistrosEntradas[[#This Row],[Data do Caixa Realizado]]="",0,YEAR(TbRegistrosEntradas[[#This Row],[Data do Caixa Realizado]]))</f>
        <v>2018</v>
      </c>
      <c r="K90">
        <f>IF(TbRegistrosEntradas[[#This Row],[Data da Competência]]="",0,MONTH(TbRegistrosEntradas[[#This Row],[Data da Competência]]))</f>
        <v>4</v>
      </c>
      <c r="L90">
        <f>IF(TbRegistrosEntradas[[#This Row],[Data da Competência]]="",0,YEAR(TbRegistrosEntradas[[#This Row],[Data da Competência]]))</f>
        <v>2018</v>
      </c>
      <c r="M90" s="40">
        <f>IF(TbRegistrosEntradas[[#This Row],[Data do Caixa Previsto]]="",0,MONTH(TbRegistrosEntradas[[#This Row],[Data do Caixa Previsto]]))</f>
        <v>4</v>
      </c>
      <c r="N90" s="40">
        <f>IF(TbRegistrosEntradas[[#This Row],[Data do Caixa Previsto]]="",0,YEAR(TbRegistrosEntradas[[#This Row],[Data do Caixa Previsto]]))</f>
        <v>2019</v>
      </c>
      <c r="O90" s="40" t="str">
        <f ca="1">IF(AND(TbRegistrosEntradas[[#This Row],[Data do Caixa Previsto]]&lt;TODAY(),TbRegistrosEntradas[[#This Row],[Data do Caixa Realizado]]=""),"Vencida","Não vencida")</f>
        <v>Não vencida</v>
      </c>
      <c r="P90" s="40" t="str">
        <f>IF(TbRegistrosEntradas[[#This Row],[Data da Competência]]=TbRegistrosEntradas[[#This Row],[Data do Caixa Previsto]],"Vista","Prazo")</f>
        <v>Prazo</v>
      </c>
      <c r="Q9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1" spans="2:17" x14ac:dyDescent="0.25">
      <c r="B91" s="15">
        <v>43264</v>
      </c>
      <c r="C91" s="15">
        <v>43201</v>
      </c>
      <c r="D91" s="15">
        <v>43578</v>
      </c>
      <c r="E91" t="s">
        <v>23</v>
      </c>
      <c r="F91" t="s">
        <v>33</v>
      </c>
      <c r="G91" s="13" t="s">
        <v>148</v>
      </c>
      <c r="H91" s="16">
        <v>2593</v>
      </c>
      <c r="I91">
        <f>IF(TbRegistrosEntradas[[#This Row],[Data do Caixa Realizado]]="",0,MONTH(TbRegistrosEntradas[[#This Row],[Data do Caixa Realizado]]))</f>
        <v>6</v>
      </c>
      <c r="J91">
        <f>IF(TbRegistrosEntradas[[#This Row],[Data do Caixa Realizado]]="",0,YEAR(TbRegistrosEntradas[[#This Row],[Data do Caixa Realizado]]))</f>
        <v>2018</v>
      </c>
      <c r="K91">
        <f>IF(TbRegistrosEntradas[[#This Row],[Data da Competência]]="",0,MONTH(TbRegistrosEntradas[[#This Row],[Data da Competência]]))</f>
        <v>4</v>
      </c>
      <c r="L91">
        <f>IF(TbRegistrosEntradas[[#This Row],[Data da Competência]]="",0,YEAR(TbRegistrosEntradas[[#This Row],[Data da Competência]]))</f>
        <v>2018</v>
      </c>
      <c r="M91" s="40">
        <f>IF(TbRegistrosEntradas[[#This Row],[Data do Caixa Previsto]]="",0,MONTH(TbRegistrosEntradas[[#This Row],[Data do Caixa Previsto]]))</f>
        <v>4</v>
      </c>
      <c r="N91" s="40">
        <f>IF(TbRegistrosEntradas[[#This Row],[Data do Caixa Previsto]]="",0,YEAR(TbRegistrosEntradas[[#This Row],[Data do Caixa Previsto]]))</f>
        <v>2019</v>
      </c>
      <c r="O91" s="40" t="str">
        <f ca="1">IF(AND(TbRegistrosEntradas[[#This Row],[Data do Caixa Previsto]]&lt;TODAY(),TbRegistrosEntradas[[#This Row],[Data do Caixa Realizado]]=""),"Vencida","Não vencida")</f>
        <v>Não vencida</v>
      </c>
      <c r="P91" s="40" t="str">
        <f>IF(TbRegistrosEntradas[[#This Row],[Data da Competência]]=TbRegistrosEntradas[[#This Row],[Data do Caixa Previsto]],"Vista","Prazo")</f>
        <v>Prazo</v>
      </c>
      <c r="Q9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2" spans="2:17" x14ac:dyDescent="0.25">
      <c r="B92" s="15">
        <v>43224</v>
      </c>
      <c r="C92" s="15">
        <v>43204</v>
      </c>
      <c r="D92" s="15">
        <v>43555</v>
      </c>
      <c r="E92" t="s">
        <v>23</v>
      </c>
      <c r="F92" t="s">
        <v>33</v>
      </c>
      <c r="G92" s="13" t="s">
        <v>149</v>
      </c>
      <c r="H92" s="16">
        <v>1885</v>
      </c>
      <c r="I92">
        <f>IF(TbRegistrosEntradas[[#This Row],[Data do Caixa Realizado]]="",0,MONTH(TbRegistrosEntradas[[#This Row],[Data do Caixa Realizado]]))</f>
        <v>5</v>
      </c>
      <c r="J92">
        <f>IF(TbRegistrosEntradas[[#This Row],[Data do Caixa Realizado]]="",0,YEAR(TbRegistrosEntradas[[#This Row],[Data do Caixa Realizado]]))</f>
        <v>2018</v>
      </c>
      <c r="K92">
        <f>IF(TbRegistrosEntradas[[#This Row],[Data da Competência]]="",0,MONTH(TbRegistrosEntradas[[#This Row],[Data da Competência]]))</f>
        <v>4</v>
      </c>
      <c r="L92">
        <f>IF(TbRegistrosEntradas[[#This Row],[Data da Competência]]="",0,YEAR(TbRegistrosEntradas[[#This Row],[Data da Competência]]))</f>
        <v>2018</v>
      </c>
      <c r="M92" s="40">
        <f>IF(TbRegistrosEntradas[[#This Row],[Data do Caixa Previsto]]="",0,MONTH(TbRegistrosEntradas[[#This Row],[Data do Caixa Previsto]]))</f>
        <v>3</v>
      </c>
      <c r="N92" s="40">
        <f>IF(TbRegistrosEntradas[[#This Row],[Data do Caixa Previsto]]="",0,YEAR(TbRegistrosEntradas[[#This Row],[Data do Caixa Previsto]]))</f>
        <v>2019</v>
      </c>
      <c r="O92" s="40" t="str">
        <f ca="1">IF(AND(TbRegistrosEntradas[[#This Row],[Data do Caixa Previsto]]&lt;TODAY(),TbRegistrosEntradas[[#This Row],[Data do Caixa Realizado]]=""),"Vencida","Não vencida")</f>
        <v>Não vencida</v>
      </c>
      <c r="P92" s="40" t="str">
        <f>IF(TbRegistrosEntradas[[#This Row],[Data da Competência]]=TbRegistrosEntradas[[#This Row],[Data do Caixa Previsto]],"Vista","Prazo")</f>
        <v>Prazo</v>
      </c>
      <c r="Q9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3" spans="2:17" x14ac:dyDescent="0.25">
      <c r="B93" s="15" t="s">
        <v>69</v>
      </c>
      <c r="C93" s="15">
        <v>43209</v>
      </c>
      <c r="D93" s="15">
        <v>43559</v>
      </c>
      <c r="E93" t="s">
        <v>23</v>
      </c>
      <c r="F93" t="s">
        <v>33</v>
      </c>
      <c r="G93" s="13" t="s">
        <v>150</v>
      </c>
      <c r="H93" s="16">
        <v>2224</v>
      </c>
      <c r="I93">
        <f>IF(TbRegistrosEntradas[[#This Row],[Data do Caixa Realizado]]="",0,MONTH(TbRegistrosEntradas[[#This Row],[Data do Caixa Realizado]]))</f>
        <v>0</v>
      </c>
      <c r="J93">
        <f>IF(TbRegistrosEntradas[[#This Row],[Data do Caixa Realizado]]="",0,YEAR(TbRegistrosEntradas[[#This Row],[Data do Caixa Realizado]]))</f>
        <v>0</v>
      </c>
      <c r="K93">
        <f>IF(TbRegistrosEntradas[[#This Row],[Data da Competência]]="",0,MONTH(TbRegistrosEntradas[[#This Row],[Data da Competência]]))</f>
        <v>4</v>
      </c>
      <c r="L93">
        <f>IF(TbRegistrosEntradas[[#This Row],[Data da Competência]]="",0,YEAR(TbRegistrosEntradas[[#This Row],[Data da Competência]]))</f>
        <v>2018</v>
      </c>
      <c r="M93" s="40">
        <f>IF(TbRegistrosEntradas[[#This Row],[Data do Caixa Previsto]]="",0,MONTH(TbRegistrosEntradas[[#This Row],[Data do Caixa Previsto]]))</f>
        <v>4</v>
      </c>
      <c r="N93" s="40">
        <f>IF(TbRegistrosEntradas[[#This Row],[Data do Caixa Previsto]]="",0,YEAR(TbRegistrosEntradas[[#This Row],[Data do Caixa Previsto]]))</f>
        <v>2019</v>
      </c>
      <c r="O93" s="40" t="str">
        <f ca="1">IF(AND(TbRegistrosEntradas[[#This Row],[Data do Caixa Previsto]]&lt;TODAY(),TbRegistrosEntradas[[#This Row],[Data do Caixa Realizado]]=""),"Vencida","Não vencida")</f>
        <v>Vencida</v>
      </c>
      <c r="P93" s="40" t="str">
        <f>IF(TbRegistrosEntradas[[#This Row],[Data da Competência]]=TbRegistrosEntradas[[#This Row],[Data do Caixa Previsto]],"Vista","Prazo")</f>
        <v>Prazo</v>
      </c>
      <c r="Q9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1757</v>
      </c>
    </row>
    <row r="94" spans="2:17" x14ac:dyDescent="0.25">
      <c r="B94" s="15">
        <v>43302</v>
      </c>
      <c r="C94" s="15">
        <v>43213</v>
      </c>
      <c r="D94" s="15">
        <v>43586</v>
      </c>
      <c r="E94" t="s">
        <v>23</v>
      </c>
      <c r="F94" t="s">
        <v>33</v>
      </c>
      <c r="G94" s="13" t="s">
        <v>151</v>
      </c>
      <c r="H94" s="16">
        <v>3223</v>
      </c>
      <c r="I94">
        <f>IF(TbRegistrosEntradas[[#This Row],[Data do Caixa Realizado]]="",0,MONTH(TbRegistrosEntradas[[#This Row],[Data do Caixa Realizado]]))</f>
        <v>7</v>
      </c>
      <c r="J94">
        <f>IF(TbRegistrosEntradas[[#This Row],[Data do Caixa Realizado]]="",0,YEAR(TbRegistrosEntradas[[#This Row],[Data do Caixa Realizado]]))</f>
        <v>2018</v>
      </c>
      <c r="K94">
        <f>IF(TbRegistrosEntradas[[#This Row],[Data da Competência]]="",0,MONTH(TbRegistrosEntradas[[#This Row],[Data da Competência]]))</f>
        <v>4</v>
      </c>
      <c r="L94">
        <f>IF(TbRegistrosEntradas[[#This Row],[Data da Competência]]="",0,YEAR(TbRegistrosEntradas[[#This Row],[Data da Competência]]))</f>
        <v>2018</v>
      </c>
      <c r="M94" s="40">
        <f>IF(TbRegistrosEntradas[[#This Row],[Data do Caixa Previsto]]="",0,MONTH(TbRegistrosEntradas[[#This Row],[Data do Caixa Previsto]]))</f>
        <v>5</v>
      </c>
      <c r="N94" s="40">
        <f>IF(TbRegistrosEntradas[[#This Row],[Data do Caixa Previsto]]="",0,YEAR(TbRegistrosEntradas[[#This Row],[Data do Caixa Previsto]]))</f>
        <v>2019</v>
      </c>
      <c r="O94" s="40" t="str">
        <f ca="1">IF(AND(TbRegistrosEntradas[[#This Row],[Data do Caixa Previsto]]&lt;TODAY(),TbRegistrosEntradas[[#This Row],[Data do Caixa Realizado]]=""),"Vencida","Não vencida")</f>
        <v>Não vencida</v>
      </c>
      <c r="P94" s="40" t="str">
        <f>IF(TbRegistrosEntradas[[#This Row],[Data da Competência]]=TbRegistrosEntradas[[#This Row],[Data do Caixa Previsto]],"Vista","Prazo")</f>
        <v>Prazo</v>
      </c>
      <c r="Q9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5" spans="2:17" x14ac:dyDescent="0.25">
      <c r="B95" s="15">
        <v>43299</v>
      </c>
      <c r="C95" s="15">
        <v>43216</v>
      </c>
      <c r="D95" s="15">
        <v>43586</v>
      </c>
      <c r="E95" t="s">
        <v>23</v>
      </c>
      <c r="F95" t="s">
        <v>32</v>
      </c>
      <c r="G95" s="13" t="s">
        <v>152</v>
      </c>
      <c r="H95" s="16">
        <v>3446</v>
      </c>
      <c r="I95">
        <f>IF(TbRegistrosEntradas[[#This Row],[Data do Caixa Realizado]]="",0,MONTH(TbRegistrosEntradas[[#This Row],[Data do Caixa Realizado]]))</f>
        <v>7</v>
      </c>
      <c r="J95">
        <f>IF(TbRegistrosEntradas[[#This Row],[Data do Caixa Realizado]]="",0,YEAR(TbRegistrosEntradas[[#This Row],[Data do Caixa Realizado]]))</f>
        <v>2018</v>
      </c>
      <c r="K95">
        <f>IF(TbRegistrosEntradas[[#This Row],[Data da Competência]]="",0,MONTH(TbRegistrosEntradas[[#This Row],[Data da Competência]]))</f>
        <v>4</v>
      </c>
      <c r="L95">
        <f>IF(TbRegistrosEntradas[[#This Row],[Data da Competência]]="",0,YEAR(TbRegistrosEntradas[[#This Row],[Data da Competência]]))</f>
        <v>2018</v>
      </c>
      <c r="M95" s="40">
        <f>IF(TbRegistrosEntradas[[#This Row],[Data do Caixa Previsto]]="",0,MONTH(TbRegistrosEntradas[[#This Row],[Data do Caixa Previsto]]))</f>
        <v>5</v>
      </c>
      <c r="N95" s="40">
        <f>IF(TbRegistrosEntradas[[#This Row],[Data do Caixa Previsto]]="",0,YEAR(TbRegistrosEntradas[[#This Row],[Data do Caixa Previsto]]))</f>
        <v>2019</v>
      </c>
      <c r="O95" s="40" t="str">
        <f ca="1">IF(AND(TbRegistrosEntradas[[#This Row],[Data do Caixa Previsto]]&lt;TODAY(),TbRegistrosEntradas[[#This Row],[Data do Caixa Realizado]]=""),"Vencida","Não vencida")</f>
        <v>Não vencida</v>
      </c>
      <c r="P95" s="40" t="str">
        <f>IF(TbRegistrosEntradas[[#This Row],[Data da Competência]]=TbRegistrosEntradas[[#This Row],[Data do Caixa Previsto]],"Vista","Prazo")</f>
        <v>Prazo</v>
      </c>
      <c r="Q9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6" spans="2:17" x14ac:dyDescent="0.25">
      <c r="B96" s="15">
        <v>43265</v>
      </c>
      <c r="C96" s="15">
        <v>43220</v>
      </c>
      <c r="D96" s="15">
        <v>43579</v>
      </c>
      <c r="E96" t="s">
        <v>23</v>
      </c>
      <c r="F96" t="s">
        <v>33</v>
      </c>
      <c r="G96" s="13" t="s">
        <v>153</v>
      </c>
      <c r="H96" s="16">
        <v>4540</v>
      </c>
      <c r="I96">
        <f>IF(TbRegistrosEntradas[[#This Row],[Data do Caixa Realizado]]="",0,MONTH(TbRegistrosEntradas[[#This Row],[Data do Caixa Realizado]]))</f>
        <v>6</v>
      </c>
      <c r="J96">
        <f>IF(TbRegistrosEntradas[[#This Row],[Data do Caixa Realizado]]="",0,YEAR(TbRegistrosEntradas[[#This Row],[Data do Caixa Realizado]]))</f>
        <v>2018</v>
      </c>
      <c r="K96">
        <f>IF(TbRegistrosEntradas[[#This Row],[Data da Competência]]="",0,MONTH(TbRegistrosEntradas[[#This Row],[Data da Competência]]))</f>
        <v>4</v>
      </c>
      <c r="L96">
        <f>IF(TbRegistrosEntradas[[#This Row],[Data da Competência]]="",0,YEAR(TbRegistrosEntradas[[#This Row],[Data da Competência]]))</f>
        <v>2018</v>
      </c>
      <c r="M96" s="40">
        <f>IF(TbRegistrosEntradas[[#This Row],[Data do Caixa Previsto]]="",0,MONTH(TbRegistrosEntradas[[#This Row],[Data do Caixa Previsto]]))</f>
        <v>4</v>
      </c>
      <c r="N96" s="40">
        <f>IF(TbRegistrosEntradas[[#This Row],[Data do Caixa Previsto]]="",0,YEAR(TbRegistrosEntradas[[#This Row],[Data do Caixa Previsto]]))</f>
        <v>2019</v>
      </c>
      <c r="O96" s="40" t="str">
        <f ca="1">IF(AND(TbRegistrosEntradas[[#This Row],[Data do Caixa Previsto]]&lt;TODAY(),TbRegistrosEntradas[[#This Row],[Data do Caixa Realizado]]=""),"Vencida","Não vencida")</f>
        <v>Não vencida</v>
      </c>
      <c r="P96" s="40" t="str">
        <f>IF(TbRegistrosEntradas[[#This Row],[Data da Competência]]=TbRegistrosEntradas[[#This Row],[Data do Caixa Previsto]],"Vista","Prazo")</f>
        <v>Prazo</v>
      </c>
      <c r="Q9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7" spans="2:17" x14ac:dyDescent="0.25">
      <c r="B97" s="15">
        <v>43330</v>
      </c>
      <c r="C97" s="15">
        <v>43228</v>
      </c>
      <c r="D97" s="15">
        <v>43616</v>
      </c>
      <c r="E97" t="s">
        <v>23</v>
      </c>
      <c r="F97" t="s">
        <v>34</v>
      </c>
      <c r="G97" s="13" t="s">
        <v>154</v>
      </c>
      <c r="H97" s="16">
        <v>3862</v>
      </c>
      <c r="I97">
        <f>IF(TbRegistrosEntradas[[#This Row],[Data do Caixa Realizado]]="",0,MONTH(TbRegistrosEntradas[[#This Row],[Data do Caixa Realizado]]))</f>
        <v>8</v>
      </c>
      <c r="J97">
        <f>IF(TbRegistrosEntradas[[#This Row],[Data do Caixa Realizado]]="",0,YEAR(TbRegistrosEntradas[[#This Row],[Data do Caixa Realizado]]))</f>
        <v>2018</v>
      </c>
      <c r="K97">
        <f>IF(TbRegistrosEntradas[[#This Row],[Data da Competência]]="",0,MONTH(TbRegistrosEntradas[[#This Row],[Data da Competência]]))</f>
        <v>5</v>
      </c>
      <c r="L97">
        <f>IF(TbRegistrosEntradas[[#This Row],[Data da Competência]]="",0,YEAR(TbRegistrosEntradas[[#This Row],[Data da Competência]]))</f>
        <v>2018</v>
      </c>
      <c r="M97" s="40">
        <f>IF(TbRegistrosEntradas[[#This Row],[Data do Caixa Previsto]]="",0,MONTH(TbRegistrosEntradas[[#This Row],[Data do Caixa Previsto]]))</f>
        <v>5</v>
      </c>
      <c r="N97" s="40">
        <f>IF(TbRegistrosEntradas[[#This Row],[Data do Caixa Previsto]]="",0,YEAR(TbRegistrosEntradas[[#This Row],[Data do Caixa Previsto]]))</f>
        <v>2019</v>
      </c>
      <c r="O97" s="40" t="str">
        <f ca="1">IF(AND(TbRegistrosEntradas[[#This Row],[Data do Caixa Previsto]]&lt;TODAY(),TbRegistrosEntradas[[#This Row],[Data do Caixa Realizado]]=""),"Vencida","Não vencida")</f>
        <v>Não vencida</v>
      </c>
      <c r="P97" s="40" t="str">
        <f>IF(TbRegistrosEntradas[[#This Row],[Data da Competência]]=TbRegistrosEntradas[[#This Row],[Data do Caixa Previsto]],"Vista","Prazo")</f>
        <v>Prazo</v>
      </c>
      <c r="Q9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8" spans="2:17" x14ac:dyDescent="0.25">
      <c r="B98" s="15">
        <v>43279</v>
      </c>
      <c r="C98" s="15">
        <v>43231</v>
      </c>
      <c r="D98" s="15">
        <v>43586</v>
      </c>
      <c r="E98" t="s">
        <v>23</v>
      </c>
      <c r="F98" t="s">
        <v>32</v>
      </c>
      <c r="G98" s="13" t="s">
        <v>155</v>
      </c>
      <c r="H98" s="16">
        <v>611</v>
      </c>
      <c r="I98">
        <f>IF(TbRegistrosEntradas[[#This Row],[Data do Caixa Realizado]]="",0,MONTH(TbRegistrosEntradas[[#This Row],[Data do Caixa Realizado]]))</f>
        <v>6</v>
      </c>
      <c r="J98">
        <f>IF(TbRegistrosEntradas[[#This Row],[Data do Caixa Realizado]]="",0,YEAR(TbRegistrosEntradas[[#This Row],[Data do Caixa Realizado]]))</f>
        <v>2018</v>
      </c>
      <c r="K98">
        <f>IF(TbRegistrosEntradas[[#This Row],[Data da Competência]]="",0,MONTH(TbRegistrosEntradas[[#This Row],[Data da Competência]]))</f>
        <v>5</v>
      </c>
      <c r="L98">
        <f>IF(TbRegistrosEntradas[[#This Row],[Data da Competência]]="",0,YEAR(TbRegistrosEntradas[[#This Row],[Data da Competência]]))</f>
        <v>2018</v>
      </c>
      <c r="M98" s="40">
        <f>IF(TbRegistrosEntradas[[#This Row],[Data do Caixa Previsto]]="",0,MONTH(TbRegistrosEntradas[[#This Row],[Data do Caixa Previsto]]))</f>
        <v>5</v>
      </c>
      <c r="N98" s="40">
        <f>IF(TbRegistrosEntradas[[#This Row],[Data do Caixa Previsto]]="",0,YEAR(TbRegistrosEntradas[[#This Row],[Data do Caixa Previsto]]))</f>
        <v>2019</v>
      </c>
      <c r="O98" s="40" t="str">
        <f ca="1">IF(AND(TbRegistrosEntradas[[#This Row],[Data do Caixa Previsto]]&lt;TODAY(),TbRegistrosEntradas[[#This Row],[Data do Caixa Realizado]]=""),"Vencida","Não vencida")</f>
        <v>Não vencida</v>
      </c>
      <c r="P98" s="40" t="str">
        <f>IF(TbRegistrosEntradas[[#This Row],[Data da Competência]]=TbRegistrosEntradas[[#This Row],[Data do Caixa Previsto]],"Vista","Prazo")</f>
        <v>Prazo</v>
      </c>
      <c r="Q9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99" spans="2:17" x14ac:dyDescent="0.25">
      <c r="B99" s="15">
        <v>43285</v>
      </c>
      <c r="C99" s="15">
        <v>43233</v>
      </c>
      <c r="D99" s="15">
        <v>43609</v>
      </c>
      <c r="E99" t="s">
        <v>23</v>
      </c>
      <c r="F99" t="s">
        <v>30</v>
      </c>
      <c r="G99" s="13" t="s">
        <v>156</v>
      </c>
      <c r="H99" s="16">
        <v>1486</v>
      </c>
      <c r="I99">
        <f>IF(TbRegistrosEntradas[[#This Row],[Data do Caixa Realizado]]="",0,MONTH(TbRegistrosEntradas[[#This Row],[Data do Caixa Realizado]]))</f>
        <v>7</v>
      </c>
      <c r="J99">
        <f>IF(TbRegistrosEntradas[[#This Row],[Data do Caixa Realizado]]="",0,YEAR(TbRegistrosEntradas[[#This Row],[Data do Caixa Realizado]]))</f>
        <v>2018</v>
      </c>
      <c r="K99">
        <f>IF(TbRegistrosEntradas[[#This Row],[Data da Competência]]="",0,MONTH(TbRegistrosEntradas[[#This Row],[Data da Competência]]))</f>
        <v>5</v>
      </c>
      <c r="L99">
        <f>IF(TbRegistrosEntradas[[#This Row],[Data da Competência]]="",0,YEAR(TbRegistrosEntradas[[#This Row],[Data da Competência]]))</f>
        <v>2018</v>
      </c>
      <c r="M99" s="40">
        <f>IF(TbRegistrosEntradas[[#This Row],[Data do Caixa Previsto]]="",0,MONTH(TbRegistrosEntradas[[#This Row],[Data do Caixa Previsto]]))</f>
        <v>5</v>
      </c>
      <c r="N99" s="40">
        <f>IF(TbRegistrosEntradas[[#This Row],[Data do Caixa Previsto]]="",0,YEAR(TbRegistrosEntradas[[#This Row],[Data do Caixa Previsto]]))</f>
        <v>2019</v>
      </c>
      <c r="O99" s="40" t="str">
        <f ca="1">IF(AND(TbRegistrosEntradas[[#This Row],[Data do Caixa Previsto]]&lt;TODAY(),TbRegistrosEntradas[[#This Row],[Data do Caixa Realizado]]=""),"Vencida","Não vencida")</f>
        <v>Não vencida</v>
      </c>
      <c r="P99" s="40" t="str">
        <f>IF(TbRegistrosEntradas[[#This Row],[Data da Competência]]=TbRegistrosEntradas[[#This Row],[Data do Caixa Previsto]],"Vista","Prazo")</f>
        <v>Prazo</v>
      </c>
      <c r="Q9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0" spans="2:17" x14ac:dyDescent="0.25">
      <c r="B100" s="15">
        <v>43252</v>
      </c>
      <c r="C100" s="15">
        <v>43241</v>
      </c>
      <c r="D100" s="15">
        <v>43615</v>
      </c>
      <c r="E100" t="s">
        <v>23</v>
      </c>
      <c r="F100" t="s">
        <v>33</v>
      </c>
      <c r="G100" s="13" t="s">
        <v>157</v>
      </c>
      <c r="H100" s="16">
        <v>4850</v>
      </c>
      <c r="I100">
        <f>IF(TbRegistrosEntradas[[#This Row],[Data do Caixa Realizado]]="",0,MONTH(TbRegistrosEntradas[[#This Row],[Data do Caixa Realizado]]))</f>
        <v>6</v>
      </c>
      <c r="J100">
        <f>IF(TbRegistrosEntradas[[#This Row],[Data do Caixa Realizado]]="",0,YEAR(TbRegistrosEntradas[[#This Row],[Data do Caixa Realizado]]))</f>
        <v>2018</v>
      </c>
      <c r="K100">
        <f>IF(TbRegistrosEntradas[[#This Row],[Data da Competência]]="",0,MONTH(TbRegistrosEntradas[[#This Row],[Data da Competência]]))</f>
        <v>5</v>
      </c>
      <c r="L100">
        <f>IF(TbRegistrosEntradas[[#This Row],[Data da Competência]]="",0,YEAR(TbRegistrosEntradas[[#This Row],[Data da Competência]]))</f>
        <v>2018</v>
      </c>
      <c r="M100" s="40">
        <f>IF(TbRegistrosEntradas[[#This Row],[Data do Caixa Previsto]]="",0,MONTH(TbRegistrosEntradas[[#This Row],[Data do Caixa Previsto]]))</f>
        <v>5</v>
      </c>
      <c r="N100" s="40">
        <f>IF(TbRegistrosEntradas[[#This Row],[Data do Caixa Previsto]]="",0,YEAR(TbRegistrosEntradas[[#This Row],[Data do Caixa Previsto]]))</f>
        <v>2019</v>
      </c>
      <c r="O100" s="40" t="str">
        <f ca="1">IF(AND(TbRegistrosEntradas[[#This Row],[Data do Caixa Previsto]]&lt;TODAY(),TbRegistrosEntradas[[#This Row],[Data do Caixa Realizado]]=""),"Vencida","Não vencida")</f>
        <v>Não vencida</v>
      </c>
      <c r="P100" s="40" t="str">
        <f>IF(TbRegistrosEntradas[[#This Row],[Data da Competência]]=TbRegistrosEntradas[[#This Row],[Data do Caixa Previsto]],"Vista","Prazo")</f>
        <v>Prazo</v>
      </c>
      <c r="Q10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1" spans="2:17" x14ac:dyDescent="0.25">
      <c r="B101" s="15" t="s">
        <v>69</v>
      </c>
      <c r="C101" s="15">
        <v>43244</v>
      </c>
      <c r="D101" s="15">
        <v>43570</v>
      </c>
      <c r="E101" t="s">
        <v>23</v>
      </c>
      <c r="F101" t="s">
        <v>30</v>
      </c>
      <c r="G101" s="13" t="s">
        <v>96</v>
      </c>
      <c r="H101" s="16">
        <v>3878</v>
      </c>
      <c r="I101">
        <f>IF(TbRegistrosEntradas[[#This Row],[Data do Caixa Realizado]]="",0,MONTH(TbRegistrosEntradas[[#This Row],[Data do Caixa Realizado]]))</f>
        <v>0</v>
      </c>
      <c r="J101">
        <f>IF(TbRegistrosEntradas[[#This Row],[Data do Caixa Realizado]]="",0,YEAR(TbRegistrosEntradas[[#This Row],[Data do Caixa Realizado]]))</f>
        <v>0</v>
      </c>
      <c r="K101">
        <f>IF(TbRegistrosEntradas[[#This Row],[Data da Competência]]="",0,MONTH(TbRegistrosEntradas[[#This Row],[Data da Competência]]))</f>
        <v>5</v>
      </c>
      <c r="L101">
        <f>IF(TbRegistrosEntradas[[#This Row],[Data da Competência]]="",0,YEAR(TbRegistrosEntradas[[#This Row],[Data da Competência]]))</f>
        <v>2018</v>
      </c>
      <c r="M101" s="40">
        <f>IF(TbRegistrosEntradas[[#This Row],[Data do Caixa Previsto]]="",0,MONTH(TbRegistrosEntradas[[#This Row],[Data do Caixa Previsto]]))</f>
        <v>4</v>
      </c>
      <c r="N101" s="40">
        <f>IF(TbRegistrosEntradas[[#This Row],[Data do Caixa Previsto]]="",0,YEAR(TbRegistrosEntradas[[#This Row],[Data do Caixa Previsto]]))</f>
        <v>2019</v>
      </c>
      <c r="O101" s="40" t="str">
        <f ca="1">IF(AND(TbRegistrosEntradas[[#This Row],[Data do Caixa Previsto]]&lt;TODAY(),TbRegistrosEntradas[[#This Row],[Data do Caixa Realizado]]=""),"Vencida","Não vencida")</f>
        <v>Vencida</v>
      </c>
      <c r="P101" s="40" t="str">
        <f>IF(TbRegistrosEntradas[[#This Row],[Data da Competência]]=TbRegistrosEntradas[[#This Row],[Data do Caixa Previsto]],"Vista","Prazo")</f>
        <v>Prazo</v>
      </c>
      <c r="Q10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1746</v>
      </c>
    </row>
    <row r="102" spans="2:17" x14ac:dyDescent="0.25">
      <c r="B102" s="15">
        <v>43275</v>
      </c>
      <c r="C102" s="15">
        <v>43249</v>
      </c>
      <c r="D102" s="15">
        <v>43579</v>
      </c>
      <c r="E102" t="s">
        <v>23</v>
      </c>
      <c r="F102" t="s">
        <v>30</v>
      </c>
      <c r="G102" s="13" t="s">
        <v>158</v>
      </c>
      <c r="H102" s="16">
        <v>976</v>
      </c>
      <c r="I102">
        <f>IF(TbRegistrosEntradas[[#This Row],[Data do Caixa Realizado]]="",0,MONTH(TbRegistrosEntradas[[#This Row],[Data do Caixa Realizado]]))</f>
        <v>6</v>
      </c>
      <c r="J102">
        <f>IF(TbRegistrosEntradas[[#This Row],[Data do Caixa Realizado]]="",0,YEAR(TbRegistrosEntradas[[#This Row],[Data do Caixa Realizado]]))</f>
        <v>2018</v>
      </c>
      <c r="K102">
        <f>IF(TbRegistrosEntradas[[#This Row],[Data da Competência]]="",0,MONTH(TbRegistrosEntradas[[#This Row],[Data da Competência]]))</f>
        <v>5</v>
      </c>
      <c r="L102">
        <f>IF(TbRegistrosEntradas[[#This Row],[Data da Competência]]="",0,YEAR(TbRegistrosEntradas[[#This Row],[Data da Competência]]))</f>
        <v>2018</v>
      </c>
      <c r="M102" s="40">
        <f>IF(TbRegistrosEntradas[[#This Row],[Data do Caixa Previsto]]="",0,MONTH(TbRegistrosEntradas[[#This Row],[Data do Caixa Previsto]]))</f>
        <v>4</v>
      </c>
      <c r="N102" s="40">
        <f>IF(TbRegistrosEntradas[[#This Row],[Data do Caixa Previsto]]="",0,YEAR(TbRegistrosEntradas[[#This Row],[Data do Caixa Previsto]]))</f>
        <v>2019</v>
      </c>
      <c r="O102" s="40" t="str">
        <f ca="1">IF(AND(TbRegistrosEntradas[[#This Row],[Data do Caixa Previsto]]&lt;TODAY(),TbRegistrosEntradas[[#This Row],[Data do Caixa Realizado]]=""),"Vencida","Não vencida")</f>
        <v>Não vencida</v>
      </c>
      <c r="P102" s="40" t="str">
        <f>IF(TbRegistrosEntradas[[#This Row],[Data da Competência]]=TbRegistrosEntradas[[#This Row],[Data do Caixa Previsto]],"Vista","Prazo")</f>
        <v>Prazo</v>
      </c>
      <c r="Q10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3" spans="2:17" x14ac:dyDescent="0.25">
      <c r="B103" s="15">
        <v>43265</v>
      </c>
      <c r="C103" s="15">
        <v>43250</v>
      </c>
      <c r="D103" s="15">
        <v>43598</v>
      </c>
      <c r="E103" t="s">
        <v>23</v>
      </c>
      <c r="F103" t="s">
        <v>34</v>
      </c>
      <c r="G103" s="13" t="s">
        <v>159</v>
      </c>
      <c r="H103" s="16">
        <v>3346</v>
      </c>
      <c r="I103">
        <f>IF(TbRegistrosEntradas[[#This Row],[Data do Caixa Realizado]]="",0,MONTH(TbRegistrosEntradas[[#This Row],[Data do Caixa Realizado]]))</f>
        <v>6</v>
      </c>
      <c r="J103">
        <f>IF(TbRegistrosEntradas[[#This Row],[Data do Caixa Realizado]]="",0,YEAR(TbRegistrosEntradas[[#This Row],[Data do Caixa Realizado]]))</f>
        <v>2018</v>
      </c>
      <c r="K103">
        <f>IF(TbRegistrosEntradas[[#This Row],[Data da Competência]]="",0,MONTH(TbRegistrosEntradas[[#This Row],[Data da Competência]]))</f>
        <v>5</v>
      </c>
      <c r="L103">
        <f>IF(TbRegistrosEntradas[[#This Row],[Data da Competência]]="",0,YEAR(TbRegistrosEntradas[[#This Row],[Data da Competência]]))</f>
        <v>2018</v>
      </c>
      <c r="M103" s="40">
        <f>IF(TbRegistrosEntradas[[#This Row],[Data do Caixa Previsto]]="",0,MONTH(TbRegistrosEntradas[[#This Row],[Data do Caixa Previsto]]))</f>
        <v>5</v>
      </c>
      <c r="N103" s="40">
        <f>IF(TbRegistrosEntradas[[#This Row],[Data do Caixa Previsto]]="",0,YEAR(TbRegistrosEntradas[[#This Row],[Data do Caixa Previsto]]))</f>
        <v>2019</v>
      </c>
      <c r="O103" s="40" t="str">
        <f ca="1">IF(AND(TbRegistrosEntradas[[#This Row],[Data do Caixa Previsto]]&lt;TODAY(),TbRegistrosEntradas[[#This Row],[Data do Caixa Realizado]]=""),"Vencida","Não vencida")</f>
        <v>Não vencida</v>
      </c>
      <c r="P103" s="40" t="str">
        <f>IF(TbRegistrosEntradas[[#This Row],[Data da Competência]]=TbRegistrosEntradas[[#This Row],[Data do Caixa Previsto]],"Vista","Prazo")</f>
        <v>Prazo</v>
      </c>
      <c r="Q10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4" spans="2:17" x14ac:dyDescent="0.25">
      <c r="B104" s="15">
        <v>43313</v>
      </c>
      <c r="C104" s="15">
        <v>43254</v>
      </c>
      <c r="D104" s="15">
        <v>43625</v>
      </c>
      <c r="E104" t="s">
        <v>23</v>
      </c>
      <c r="F104" t="s">
        <v>32</v>
      </c>
      <c r="G104" s="13" t="s">
        <v>160</v>
      </c>
      <c r="H104" s="16">
        <v>443</v>
      </c>
      <c r="I104">
        <f>IF(TbRegistrosEntradas[[#This Row],[Data do Caixa Realizado]]="",0,MONTH(TbRegistrosEntradas[[#This Row],[Data do Caixa Realizado]]))</f>
        <v>8</v>
      </c>
      <c r="J104">
        <f>IF(TbRegistrosEntradas[[#This Row],[Data do Caixa Realizado]]="",0,YEAR(TbRegistrosEntradas[[#This Row],[Data do Caixa Realizado]]))</f>
        <v>2018</v>
      </c>
      <c r="K104">
        <f>IF(TbRegistrosEntradas[[#This Row],[Data da Competência]]="",0,MONTH(TbRegistrosEntradas[[#This Row],[Data da Competência]]))</f>
        <v>6</v>
      </c>
      <c r="L104">
        <f>IF(TbRegistrosEntradas[[#This Row],[Data da Competência]]="",0,YEAR(TbRegistrosEntradas[[#This Row],[Data da Competência]]))</f>
        <v>2018</v>
      </c>
      <c r="M104" s="40">
        <f>IF(TbRegistrosEntradas[[#This Row],[Data do Caixa Previsto]]="",0,MONTH(TbRegistrosEntradas[[#This Row],[Data do Caixa Previsto]]))</f>
        <v>6</v>
      </c>
      <c r="N104" s="40">
        <f>IF(TbRegistrosEntradas[[#This Row],[Data do Caixa Previsto]]="",0,YEAR(TbRegistrosEntradas[[#This Row],[Data do Caixa Previsto]]))</f>
        <v>2019</v>
      </c>
      <c r="O104" s="40" t="str">
        <f ca="1">IF(AND(TbRegistrosEntradas[[#This Row],[Data do Caixa Previsto]]&lt;TODAY(),TbRegistrosEntradas[[#This Row],[Data do Caixa Realizado]]=""),"Vencida","Não vencida")</f>
        <v>Não vencida</v>
      </c>
      <c r="P104" s="40" t="str">
        <f>IF(TbRegistrosEntradas[[#This Row],[Data da Competência]]=TbRegistrosEntradas[[#This Row],[Data do Caixa Previsto]],"Vista","Prazo")</f>
        <v>Prazo</v>
      </c>
      <c r="Q10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5" spans="2:17" x14ac:dyDescent="0.25">
      <c r="B105" s="15">
        <v>43309</v>
      </c>
      <c r="C105" s="15">
        <v>43255</v>
      </c>
      <c r="D105" s="15">
        <v>43595</v>
      </c>
      <c r="E105" t="s">
        <v>23</v>
      </c>
      <c r="F105" t="s">
        <v>32</v>
      </c>
      <c r="G105" s="13" t="s">
        <v>161</v>
      </c>
      <c r="H105" s="16">
        <v>2781</v>
      </c>
      <c r="I105">
        <f>IF(TbRegistrosEntradas[[#This Row],[Data do Caixa Realizado]]="",0,MONTH(TbRegistrosEntradas[[#This Row],[Data do Caixa Realizado]]))</f>
        <v>7</v>
      </c>
      <c r="J105">
        <f>IF(TbRegistrosEntradas[[#This Row],[Data do Caixa Realizado]]="",0,YEAR(TbRegistrosEntradas[[#This Row],[Data do Caixa Realizado]]))</f>
        <v>2018</v>
      </c>
      <c r="K105">
        <f>IF(TbRegistrosEntradas[[#This Row],[Data da Competência]]="",0,MONTH(TbRegistrosEntradas[[#This Row],[Data da Competência]]))</f>
        <v>6</v>
      </c>
      <c r="L105">
        <f>IF(TbRegistrosEntradas[[#This Row],[Data da Competência]]="",0,YEAR(TbRegistrosEntradas[[#This Row],[Data da Competência]]))</f>
        <v>2018</v>
      </c>
      <c r="M105" s="40">
        <f>IF(TbRegistrosEntradas[[#This Row],[Data do Caixa Previsto]]="",0,MONTH(TbRegistrosEntradas[[#This Row],[Data do Caixa Previsto]]))</f>
        <v>5</v>
      </c>
      <c r="N105" s="40">
        <f>IF(TbRegistrosEntradas[[#This Row],[Data do Caixa Previsto]]="",0,YEAR(TbRegistrosEntradas[[#This Row],[Data do Caixa Previsto]]))</f>
        <v>2019</v>
      </c>
      <c r="O105" s="40" t="str">
        <f ca="1">IF(AND(TbRegistrosEntradas[[#This Row],[Data do Caixa Previsto]]&lt;TODAY(),TbRegistrosEntradas[[#This Row],[Data do Caixa Realizado]]=""),"Vencida","Não vencida")</f>
        <v>Não vencida</v>
      </c>
      <c r="P105" s="40" t="str">
        <f>IF(TbRegistrosEntradas[[#This Row],[Data da Competência]]=TbRegistrosEntradas[[#This Row],[Data do Caixa Previsto]],"Vista","Prazo")</f>
        <v>Prazo</v>
      </c>
      <c r="Q10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6" spans="2:17" x14ac:dyDescent="0.25">
      <c r="B106" s="15">
        <v>43267</v>
      </c>
      <c r="C106" s="15">
        <v>43256</v>
      </c>
      <c r="D106" s="15">
        <v>43594</v>
      </c>
      <c r="E106" t="s">
        <v>23</v>
      </c>
      <c r="F106" t="s">
        <v>30</v>
      </c>
      <c r="G106" s="13" t="s">
        <v>162</v>
      </c>
      <c r="H106" s="16">
        <v>1875</v>
      </c>
      <c r="I106">
        <f>IF(TbRegistrosEntradas[[#This Row],[Data do Caixa Realizado]]="",0,MONTH(TbRegistrosEntradas[[#This Row],[Data do Caixa Realizado]]))</f>
        <v>6</v>
      </c>
      <c r="J106">
        <f>IF(TbRegistrosEntradas[[#This Row],[Data do Caixa Realizado]]="",0,YEAR(TbRegistrosEntradas[[#This Row],[Data do Caixa Realizado]]))</f>
        <v>2018</v>
      </c>
      <c r="K106">
        <f>IF(TbRegistrosEntradas[[#This Row],[Data da Competência]]="",0,MONTH(TbRegistrosEntradas[[#This Row],[Data da Competência]]))</f>
        <v>6</v>
      </c>
      <c r="L106">
        <f>IF(TbRegistrosEntradas[[#This Row],[Data da Competência]]="",0,YEAR(TbRegistrosEntradas[[#This Row],[Data da Competência]]))</f>
        <v>2018</v>
      </c>
      <c r="M106" s="40">
        <f>IF(TbRegistrosEntradas[[#This Row],[Data do Caixa Previsto]]="",0,MONTH(TbRegistrosEntradas[[#This Row],[Data do Caixa Previsto]]))</f>
        <v>5</v>
      </c>
      <c r="N106" s="40">
        <f>IF(TbRegistrosEntradas[[#This Row],[Data do Caixa Previsto]]="",0,YEAR(TbRegistrosEntradas[[#This Row],[Data do Caixa Previsto]]))</f>
        <v>2019</v>
      </c>
      <c r="O106" s="40" t="str">
        <f ca="1">IF(AND(TbRegistrosEntradas[[#This Row],[Data do Caixa Previsto]]&lt;TODAY(),TbRegistrosEntradas[[#This Row],[Data do Caixa Realizado]]=""),"Vencida","Não vencida")</f>
        <v>Não vencida</v>
      </c>
      <c r="P106" s="40" t="str">
        <f>IF(TbRegistrosEntradas[[#This Row],[Data da Competência]]=TbRegistrosEntradas[[#This Row],[Data do Caixa Previsto]],"Vista","Prazo")</f>
        <v>Prazo</v>
      </c>
      <c r="Q10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7" spans="2:17" x14ac:dyDescent="0.25">
      <c r="B107" s="15">
        <v>43295</v>
      </c>
      <c r="C107" s="15">
        <v>43259</v>
      </c>
      <c r="D107" s="15">
        <v>43604</v>
      </c>
      <c r="E107" t="s">
        <v>23</v>
      </c>
      <c r="F107" t="s">
        <v>33</v>
      </c>
      <c r="G107" s="13" t="s">
        <v>163</v>
      </c>
      <c r="H107" s="16">
        <v>3134</v>
      </c>
      <c r="I107">
        <f>IF(TbRegistrosEntradas[[#This Row],[Data do Caixa Realizado]]="",0,MONTH(TbRegistrosEntradas[[#This Row],[Data do Caixa Realizado]]))</f>
        <v>7</v>
      </c>
      <c r="J107">
        <f>IF(TbRegistrosEntradas[[#This Row],[Data do Caixa Realizado]]="",0,YEAR(TbRegistrosEntradas[[#This Row],[Data do Caixa Realizado]]))</f>
        <v>2018</v>
      </c>
      <c r="K107">
        <f>IF(TbRegistrosEntradas[[#This Row],[Data da Competência]]="",0,MONTH(TbRegistrosEntradas[[#This Row],[Data da Competência]]))</f>
        <v>6</v>
      </c>
      <c r="L107">
        <f>IF(TbRegistrosEntradas[[#This Row],[Data da Competência]]="",0,YEAR(TbRegistrosEntradas[[#This Row],[Data da Competência]]))</f>
        <v>2018</v>
      </c>
      <c r="M107" s="40">
        <f>IF(TbRegistrosEntradas[[#This Row],[Data do Caixa Previsto]]="",0,MONTH(TbRegistrosEntradas[[#This Row],[Data do Caixa Previsto]]))</f>
        <v>5</v>
      </c>
      <c r="N107" s="40">
        <f>IF(TbRegistrosEntradas[[#This Row],[Data do Caixa Previsto]]="",0,YEAR(TbRegistrosEntradas[[#This Row],[Data do Caixa Previsto]]))</f>
        <v>2019</v>
      </c>
      <c r="O107" s="40" t="str">
        <f ca="1">IF(AND(TbRegistrosEntradas[[#This Row],[Data do Caixa Previsto]]&lt;TODAY(),TbRegistrosEntradas[[#This Row],[Data do Caixa Realizado]]=""),"Vencida","Não vencida")</f>
        <v>Não vencida</v>
      </c>
      <c r="P107" s="40" t="str">
        <f>IF(TbRegistrosEntradas[[#This Row],[Data da Competência]]=TbRegistrosEntradas[[#This Row],[Data do Caixa Previsto]],"Vista","Prazo")</f>
        <v>Prazo</v>
      </c>
      <c r="Q10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8" spans="2:17" x14ac:dyDescent="0.25">
      <c r="B108" s="15">
        <v>43276</v>
      </c>
      <c r="C108" s="15">
        <v>43261</v>
      </c>
      <c r="D108" s="15">
        <v>43626</v>
      </c>
      <c r="E108" t="s">
        <v>23</v>
      </c>
      <c r="F108" t="s">
        <v>31</v>
      </c>
      <c r="G108" s="13" t="s">
        <v>164</v>
      </c>
      <c r="H108" s="16">
        <v>2114</v>
      </c>
      <c r="I108">
        <f>IF(TbRegistrosEntradas[[#This Row],[Data do Caixa Realizado]]="",0,MONTH(TbRegistrosEntradas[[#This Row],[Data do Caixa Realizado]]))</f>
        <v>6</v>
      </c>
      <c r="J108">
        <f>IF(TbRegistrosEntradas[[#This Row],[Data do Caixa Realizado]]="",0,YEAR(TbRegistrosEntradas[[#This Row],[Data do Caixa Realizado]]))</f>
        <v>2018</v>
      </c>
      <c r="K108">
        <f>IF(TbRegistrosEntradas[[#This Row],[Data da Competência]]="",0,MONTH(TbRegistrosEntradas[[#This Row],[Data da Competência]]))</f>
        <v>6</v>
      </c>
      <c r="L108">
        <f>IF(TbRegistrosEntradas[[#This Row],[Data da Competência]]="",0,YEAR(TbRegistrosEntradas[[#This Row],[Data da Competência]]))</f>
        <v>2018</v>
      </c>
      <c r="M108" s="40">
        <f>IF(TbRegistrosEntradas[[#This Row],[Data do Caixa Previsto]]="",0,MONTH(TbRegistrosEntradas[[#This Row],[Data do Caixa Previsto]]))</f>
        <v>6</v>
      </c>
      <c r="N108" s="40">
        <f>IF(TbRegistrosEntradas[[#This Row],[Data do Caixa Previsto]]="",0,YEAR(TbRegistrosEntradas[[#This Row],[Data do Caixa Previsto]]))</f>
        <v>2019</v>
      </c>
      <c r="O108" s="40" t="str">
        <f ca="1">IF(AND(TbRegistrosEntradas[[#This Row],[Data do Caixa Previsto]]&lt;TODAY(),TbRegistrosEntradas[[#This Row],[Data do Caixa Realizado]]=""),"Vencida","Não vencida")</f>
        <v>Não vencida</v>
      </c>
      <c r="P108" s="40" t="str">
        <f>IF(TbRegistrosEntradas[[#This Row],[Data da Competência]]=TbRegistrosEntradas[[#This Row],[Data do Caixa Previsto]],"Vista","Prazo")</f>
        <v>Prazo</v>
      </c>
      <c r="Q10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09" spans="2:17" x14ac:dyDescent="0.25">
      <c r="B109" s="15">
        <v>43320</v>
      </c>
      <c r="C109" s="15">
        <v>43264</v>
      </c>
      <c r="D109" s="15">
        <v>43609</v>
      </c>
      <c r="E109" t="s">
        <v>23</v>
      </c>
      <c r="F109" t="s">
        <v>30</v>
      </c>
      <c r="G109" s="13" t="s">
        <v>165</v>
      </c>
      <c r="H109" s="16">
        <v>4961</v>
      </c>
      <c r="I109">
        <f>IF(TbRegistrosEntradas[[#This Row],[Data do Caixa Realizado]]="",0,MONTH(TbRegistrosEntradas[[#This Row],[Data do Caixa Realizado]]))</f>
        <v>8</v>
      </c>
      <c r="J109">
        <f>IF(TbRegistrosEntradas[[#This Row],[Data do Caixa Realizado]]="",0,YEAR(TbRegistrosEntradas[[#This Row],[Data do Caixa Realizado]]))</f>
        <v>2018</v>
      </c>
      <c r="K109">
        <f>IF(TbRegistrosEntradas[[#This Row],[Data da Competência]]="",0,MONTH(TbRegistrosEntradas[[#This Row],[Data da Competência]]))</f>
        <v>6</v>
      </c>
      <c r="L109">
        <f>IF(TbRegistrosEntradas[[#This Row],[Data da Competência]]="",0,YEAR(TbRegistrosEntradas[[#This Row],[Data da Competência]]))</f>
        <v>2018</v>
      </c>
      <c r="M109" s="40">
        <f>IF(TbRegistrosEntradas[[#This Row],[Data do Caixa Previsto]]="",0,MONTH(TbRegistrosEntradas[[#This Row],[Data do Caixa Previsto]]))</f>
        <v>5</v>
      </c>
      <c r="N109" s="40">
        <f>IF(TbRegistrosEntradas[[#This Row],[Data do Caixa Previsto]]="",0,YEAR(TbRegistrosEntradas[[#This Row],[Data do Caixa Previsto]]))</f>
        <v>2019</v>
      </c>
      <c r="O109" s="40" t="str">
        <f ca="1">IF(AND(TbRegistrosEntradas[[#This Row],[Data do Caixa Previsto]]&lt;TODAY(),TbRegistrosEntradas[[#This Row],[Data do Caixa Realizado]]=""),"Vencida","Não vencida")</f>
        <v>Não vencida</v>
      </c>
      <c r="P109" s="40" t="str">
        <f>IF(TbRegistrosEntradas[[#This Row],[Data da Competência]]=TbRegistrosEntradas[[#This Row],[Data do Caixa Previsto]],"Vista","Prazo")</f>
        <v>Prazo</v>
      </c>
      <c r="Q10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0" spans="2:17" x14ac:dyDescent="0.25">
      <c r="B110" s="15">
        <v>43303</v>
      </c>
      <c r="C110" s="15">
        <v>43265</v>
      </c>
      <c r="D110" s="15">
        <v>43603</v>
      </c>
      <c r="E110" t="s">
        <v>23</v>
      </c>
      <c r="F110" t="s">
        <v>33</v>
      </c>
      <c r="G110" s="13" t="s">
        <v>166</v>
      </c>
      <c r="H110" s="16">
        <v>909</v>
      </c>
      <c r="I110">
        <f>IF(TbRegistrosEntradas[[#This Row],[Data do Caixa Realizado]]="",0,MONTH(TbRegistrosEntradas[[#This Row],[Data do Caixa Realizado]]))</f>
        <v>7</v>
      </c>
      <c r="J110">
        <f>IF(TbRegistrosEntradas[[#This Row],[Data do Caixa Realizado]]="",0,YEAR(TbRegistrosEntradas[[#This Row],[Data do Caixa Realizado]]))</f>
        <v>2018</v>
      </c>
      <c r="K110">
        <f>IF(TbRegistrosEntradas[[#This Row],[Data da Competência]]="",0,MONTH(TbRegistrosEntradas[[#This Row],[Data da Competência]]))</f>
        <v>6</v>
      </c>
      <c r="L110">
        <f>IF(TbRegistrosEntradas[[#This Row],[Data da Competência]]="",0,YEAR(TbRegistrosEntradas[[#This Row],[Data da Competência]]))</f>
        <v>2018</v>
      </c>
      <c r="M110" s="40">
        <f>IF(TbRegistrosEntradas[[#This Row],[Data do Caixa Previsto]]="",0,MONTH(TbRegistrosEntradas[[#This Row],[Data do Caixa Previsto]]))</f>
        <v>5</v>
      </c>
      <c r="N110" s="40">
        <f>IF(TbRegistrosEntradas[[#This Row],[Data do Caixa Previsto]]="",0,YEAR(TbRegistrosEntradas[[#This Row],[Data do Caixa Previsto]]))</f>
        <v>2019</v>
      </c>
      <c r="O110" s="40" t="str">
        <f ca="1">IF(AND(TbRegistrosEntradas[[#This Row],[Data do Caixa Previsto]]&lt;TODAY(),TbRegistrosEntradas[[#This Row],[Data do Caixa Realizado]]=""),"Vencida","Não vencida")</f>
        <v>Não vencida</v>
      </c>
      <c r="P110" s="40" t="str">
        <f>IF(TbRegistrosEntradas[[#This Row],[Data da Competência]]=TbRegistrosEntradas[[#This Row],[Data do Caixa Previsto]],"Vista","Prazo")</f>
        <v>Prazo</v>
      </c>
      <c r="Q11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1" spans="2:17" x14ac:dyDescent="0.25">
      <c r="B111" s="15">
        <v>43293</v>
      </c>
      <c r="C111" s="15">
        <v>43266</v>
      </c>
      <c r="D111" s="15">
        <v>43605</v>
      </c>
      <c r="E111" t="s">
        <v>23</v>
      </c>
      <c r="F111" t="s">
        <v>33</v>
      </c>
      <c r="G111" s="13" t="s">
        <v>167</v>
      </c>
      <c r="H111" s="16">
        <v>2197</v>
      </c>
      <c r="I111">
        <f>IF(TbRegistrosEntradas[[#This Row],[Data do Caixa Realizado]]="",0,MONTH(TbRegistrosEntradas[[#This Row],[Data do Caixa Realizado]]))</f>
        <v>7</v>
      </c>
      <c r="J111">
        <f>IF(TbRegistrosEntradas[[#This Row],[Data do Caixa Realizado]]="",0,YEAR(TbRegistrosEntradas[[#This Row],[Data do Caixa Realizado]]))</f>
        <v>2018</v>
      </c>
      <c r="K111">
        <f>IF(TbRegistrosEntradas[[#This Row],[Data da Competência]]="",0,MONTH(TbRegistrosEntradas[[#This Row],[Data da Competência]]))</f>
        <v>6</v>
      </c>
      <c r="L111">
        <f>IF(TbRegistrosEntradas[[#This Row],[Data da Competência]]="",0,YEAR(TbRegistrosEntradas[[#This Row],[Data da Competência]]))</f>
        <v>2018</v>
      </c>
      <c r="M111" s="40">
        <f>IF(TbRegistrosEntradas[[#This Row],[Data do Caixa Previsto]]="",0,MONTH(TbRegistrosEntradas[[#This Row],[Data do Caixa Previsto]]))</f>
        <v>5</v>
      </c>
      <c r="N111" s="40">
        <f>IF(TbRegistrosEntradas[[#This Row],[Data do Caixa Previsto]]="",0,YEAR(TbRegistrosEntradas[[#This Row],[Data do Caixa Previsto]]))</f>
        <v>2019</v>
      </c>
      <c r="O111" s="40" t="str">
        <f ca="1">IF(AND(TbRegistrosEntradas[[#This Row],[Data do Caixa Previsto]]&lt;TODAY(),TbRegistrosEntradas[[#This Row],[Data do Caixa Realizado]]=""),"Vencida","Não vencida")</f>
        <v>Não vencida</v>
      </c>
      <c r="P111" s="40" t="str">
        <f>IF(TbRegistrosEntradas[[#This Row],[Data da Competência]]=TbRegistrosEntradas[[#This Row],[Data do Caixa Previsto]],"Vista","Prazo")</f>
        <v>Prazo</v>
      </c>
      <c r="Q11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2" spans="2:17" x14ac:dyDescent="0.25">
      <c r="B112" s="15">
        <v>43347</v>
      </c>
      <c r="C112" s="15">
        <v>43268</v>
      </c>
      <c r="D112" s="15">
        <v>43631</v>
      </c>
      <c r="E112" t="s">
        <v>23</v>
      </c>
      <c r="F112" t="s">
        <v>34</v>
      </c>
      <c r="G112" s="13" t="s">
        <v>168</v>
      </c>
      <c r="H112" s="16">
        <v>3045</v>
      </c>
      <c r="I112">
        <f>IF(TbRegistrosEntradas[[#This Row],[Data do Caixa Realizado]]="",0,MONTH(TbRegistrosEntradas[[#This Row],[Data do Caixa Realizado]]))</f>
        <v>9</v>
      </c>
      <c r="J112">
        <f>IF(TbRegistrosEntradas[[#This Row],[Data do Caixa Realizado]]="",0,YEAR(TbRegistrosEntradas[[#This Row],[Data do Caixa Realizado]]))</f>
        <v>2018</v>
      </c>
      <c r="K112">
        <f>IF(TbRegistrosEntradas[[#This Row],[Data da Competência]]="",0,MONTH(TbRegistrosEntradas[[#This Row],[Data da Competência]]))</f>
        <v>6</v>
      </c>
      <c r="L112">
        <f>IF(TbRegistrosEntradas[[#This Row],[Data da Competência]]="",0,YEAR(TbRegistrosEntradas[[#This Row],[Data da Competência]]))</f>
        <v>2018</v>
      </c>
      <c r="M112" s="40">
        <f>IF(TbRegistrosEntradas[[#This Row],[Data do Caixa Previsto]]="",0,MONTH(TbRegistrosEntradas[[#This Row],[Data do Caixa Previsto]]))</f>
        <v>6</v>
      </c>
      <c r="N112" s="40">
        <f>IF(TbRegistrosEntradas[[#This Row],[Data do Caixa Previsto]]="",0,YEAR(TbRegistrosEntradas[[#This Row],[Data do Caixa Previsto]]))</f>
        <v>2019</v>
      </c>
      <c r="O112" s="40" t="str">
        <f ca="1">IF(AND(TbRegistrosEntradas[[#This Row],[Data do Caixa Previsto]]&lt;TODAY(),TbRegistrosEntradas[[#This Row],[Data do Caixa Realizado]]=""),"Vencida","Não vencida")</f>
        <v>Não vencida</v>
      </c>
      <c r="P112" s="40" t="str">
        <f>IF(TbRegistrosEntradas[[#This Row],[Data da Competência]]=TbRegistrosEntradas[[#This Row],[Data do Caixa Previsto]],"Vista","Prazo")</f>
        <v>Prazo</v>
      </c>
      <c r="Q11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3" spans="2:17" x14ac:dyDescent="0.25">
      <c r="B113" s="15">
        <v>43328</v>
      </c>
      <c r="C113" s="15">
        <v>43272</v>
      </c>
      <c r="D113" s="15">
        <v>43635</v>
      </c>
      <c r="E113" t="s">
        <v>23</v>
      </c>
      <c r="F113" t="s">
        <v>34</v>
      </c>
      <c r="G113" s="13" t="s">
        <v>169</v>
      </c>
      <c r="H113" s="16">
        <v>460</v>
      </c>
      <c r="I113">
        <f>IF(TbRegistrosEntradas[[#This Row],[Data do Caixa Realizado]]="",0,MONTH(TbRegistrosEntradas[[#This Row],[Data do Caixa Realizado]]))</f>
        <v>8</v>
      </c>
      <c r="J113">
        <f>IF(TbRegistrosEntradas[[#This Row],[Data do Caixa Realizado]]="",0,YEAR(TbRegistrosEntradas[[#This Row],[Data do Caixa Realizado]]))</f>
        <v>2018</v>
      </c>
      <c r="K113">
        <f>IF(TbRegistrosEntradas[[#This Row],[Data da Competência]]="",0,MONTH(TbRegistrosEntradas[[#This Row],[Data da Competência]]))</f>
        <v>6</v>
      </c>
      <c r="L113">
        <f>IF(TbRegistrosEntradas[[#This Row],[Data da Competência]]="",0,YEAR(TbRegistrosEntradas[[#This Row],[Data da Competência]]))</f>
        <v>2018</v>
      </c>
      <c r="M113" s="40">
        <f>IF(TbRegistrosEntradas[[#This Row],[Data do Caixa Previsto]]="",0,MONTH(TbRegistrosEntradas[[#This Row],[Data do Caixa Previsto]]))</f>
        <v>6</v>
      </c>
      <c r="N113" s="40">
        <f>IF(TbRegistrosEntradas[[#This Row],[Data do Caixa Previsto]]="",0,YEAR(TbRegistrosEntradas[[#This Row],[Data do Caixa Previsto]]))</f>
        <v>2019</v>
      </c>
      <c r="O113" s="40" t="str">
        <f ca="1">IF(AND(TbRegistrosEntradas[[#This Row],[Data do Caixa Previsto]]&lt;TODAY(),TbRegistrosEntradas[[#This Row],[Data do Caixa Realizado]]=""),"Vencida","Não vencida")</f>
        <v>Não vencida</v>
      </c>
      <c r="P113" s="40" t="str">
        <f>IF(TbRegistrosEntradas[[#This Row],[Data da Competência]]=TbRegistrosEntradas[[#This Row],[Data do Caixa Previsto]],"Vista","Prazo")</f>
        <v>Prazo</v>
      </c>
      <c r="Q11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4" spans="2:17" x14ac:dyDescent="0.25">
      <c r="B114" s="15" t="s">
        <v>69</v>
      </c>
      <c r="C114" s="15">
        <v>43275</v>
      </c>
      <c r="D114" s="15">
        <v>43630</v>
      </c>
      <c r="E114" t="s">
        <v>23</v>
      </c>
      <c r="F114" t="s">
        <v>34</v>
      </c>
      <c r="G114" s="13" t="s">
        <v>170</v>
      </c>
      <c r="H114" s="16">
        <v>770</v>
      </c>
      <c r="I114">
        <f>IF(TbRegistrosEntradas[[#This Row],[Data do Caixa Realizado]]="",0,MONTH(TbRegistrosEntradas[[#This Row],[Data do Caixa Realizado]]))</f>
        <v>0</v>
      </c>
      <c r="J114">
        <f>IF(TbRegistrosEntradas[[#This Row],[Data do Caixa Realizado]]="",0,YEAR(TbRegistrosEntradas[[#This Row],[Data do Caixa Realizado]]))</f>
        <v>0</v>
      </c>
      <c r="K114">
        <f>IF(TbRegistrosEntradas[[#This Row],[Data da Competência]]="",0,MONTH(TbRegistrosEntradas[[#This Row],[Data da Competência]]))</f>
        <v>6</v>
      </c>
      <c r="L114">
        <f>IF(TbRegistrosEntradas[[#This Row],[Data da Competência]]="",0,YEAR(TbRegistrosEntradas[[#This Row],[Data da Competência]]))</f>
        <v>2018</v>
      </c>
      <c r="M114" s="40">
        <f>IF(TbRegistrosEntradas[[#This Row],[Data do Caixa Previsto]]="",0,MONTH(TbRegistrosEntradas[[#This Row],[Data do Caixa Previsto]]))</f>
        <v>6</v>
      </c>
      <c r="N114" s="40">
        <f>IF(TbRegistrosEntradas[[#This Row],[Data do Caixa Previsto]]="",0,YEAR(TbRegistrosEntradas[[#This Row],[Data do Caixa Previsto]]))</f>
        <v>2019</v>
      </c>
      <c r="O114" s="40" t="str">
        <f ca="1">IF(AND(TbRegistrosEntradas[[#This Row],[Data do Caixa Previsto]]&lt;TODAY(),TbRegistrosEntradas[[#This Row],[Data do Caixa Realizado]]=""),"Vencida","Não vencida")</f>
        <v>Vencida</v>
      </c>
      <c r="P114" s="40" t="str">
        <f>IF(TbRegistrosEntradas[[#This Row],[Data da Competência]]=TbRegistrosEntradas[[#This Row],[Data do Caixa Previsto]],"Vista","Prazo")</f>
        <v>Prazo</v>
      </c>
      <c r="Q11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1686</v>
      </c>
    </row>
    <row r="115" spans="2:17" x14ac:dyDescent="0.25">
      <c r="B115" s="15">
        <v>43321</v>
      </c>
      <c r="C115" s="15">
        <v>43276</v>
      </c>
      <c r="D115" s="15">
        <v>43611</v>
      </c>
      <c r="E115" t="s">
        <v>23</v>
      </c>
      <c r="F115" t="s">
        <v>33</v>
      </c>
      <c r="G115" s="13" t="s">
        <v>171</v>
      </c>
      <c r="H115" s="16">
        <v>3646</v>
      </c>
      <c r="I115">
        <f>IF(TbRegistrosEntradas[[#This Row],[Data do Caixa Realizado]]="",0,MONTH(TbRegistrosEntradas[[#This Row],[Data do Caixa Realizado]]))</f>
        <v>8</v>
      </c>
      <c r="J115">
        <f>IF(TbRegistrosEntradas[[#This Row],[Data do Caixa Realizado]]="",0,YEAR(TbRegistrosEntradas[[#This Row],[Data do Caixa Realizado]]))</f>
        <v>2018</v>
      </c>
      <c r="K115">
        <f>IF(TbRegistrosEntradas[[#This Row],[Data da Competência]]="",0,MONTH(TbRegistrosEntradas[[#This Row],[Data da Competência]]))</f>
        <v>6</v>
      </c>
      <c r="L115">
        <f>IF(TbRegistrosEntradas[[#This Row],[Data da Competência]]="",0,YEAR(TbRegistrosEntradas[[#This Row],[Data da Competência]]))</f>
        <v>2018</v>
      </c>
      <c r="M115" s="40">
        <f>IF(TbRegistrosEntradas[[#This Row],[Data do Caixa Previsto]]="",0,MONTH(TbRegistrosEntradas[[#This Row],[Data do Caixa Previsto]]))</f>
        <v>5</v>
      </c>
      <c r="N115" s="40">
        <f>IF(TbRegistrosEntradas[[#This Row],[Data do Caixa Previsto]]="",0,YEAR(TbRegistrosEntradas[[#This Row],[Data do Caixa Previsto]]))</f>
        <v>2019</v>
      </c>
      <c r="O115" s="40" t="str">
        <f ca="1">IF(AND(TbRegistrosEntradas[[#This Row],[Data do Caixa Previsto]]&lt;TODAY(),TbRegistrosEntradas[[#This Row],[Data do Caixa Realizado]]=""),"Vencida","Não vencida")</f>
        <v>Não vencida</v>
      </c>
      <c r="P115" s="40" t="str">
        <f>IF(TbRegistrosEntradas[[#This Row],[Data da Competência]]=TbRegistrosEntradas[[#This Row],[Data do Caixa Previsto]],"Vista","Prazo")</f>
        <v>Prazo</v>
      </c>
      <c r="Q11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6" spans="2:17" x14ac:dyDescent="0.25">
      <c r="B116" s="15">
        <v>43328</v>
      </c>
      <c r="C116" s="15">
        <v>43280</v>
      </c>
      <c r="D116" s="15">
        <v>43655</v>
      </c>
      <c r="E116" t="s">
        <v>23</v>
      </c>
      <c r="F116" t="s">
        <v>33</v>
      </c>
      <c r="G116" s="13" t="s">
        <v>172</v>
      </c>
      <c r="H116" s="16">
        <v>2376</v>
      </c>
      <c r="I116">
        <f>IF(TbRegistrosEntradas[[#This Row],[Data do Caixa Realizado]]="",0,MONTH(TbRegistrosEntradas[[#This Row],[Data do Caixa Realizado]]))</f>
        <v>8</v>
      </c>
      <c r="J116">
        <f>IF(TbRegistrosEntradas[[#This Row],[Data do Caixa Realizado]]="",0,YEAR(TbRegistrosEntradas[[#This Row],[Data do Caixa Realizado]]))</f>
        <v>2018</v>
      </c>
      <c r="K116">
        <f>IF(TbRegistrosEntradas[[#This Row],[Data da Competência]]="",0,MONTH(TbRegistrosEntradas[[#This Row],[Data da Competência]]))</f>
        <v>6</v>
      </c>
      <c r="L116">
        <f>IF(TbRegistrosEntradas[[#This Row],[Data da Competência]]="",0,YEAR(TbRegistrosEntradas[[#This Row],[Data da Competência]]))</f>
        <v>2018</v>
      </c>
      <c r="M116" s="40">
        <f>IF(TbRegistrosEntradas[[#This Row],[Data do Caixa Previsto]]="",0,MONTH(TbRegistrosEntradas[[#This Row],[Data do Caixa Previsto]]))</f>
        <v>7</v>
      </c>
      <c r="N116" s="40">
        <f>IF(TbRegistrosEntradas[[#This Row],[Data do Caixa Previsto]]="",0,YEAR(TbRegistrosEntradas[[#This Row],[Data do Caixa Previsto]]))</f>
        <v>2019</v>
      </c>
      <c r="O116" s="40" t="str">
        <f ca="1">IF(AND(TbRegistrosEntradas[[#This Row],[Data do Caixa Previsto]]&lt;TODAY(),TbRegistrosEntradas[[#This Row],[Data do Caixa Realizado]]=""),"Vencida","Não vencida")</f>
        <v>Não vencida</v>
      </c>
      <c r="P116" s="40" t="str">
        <f>IF(TbRegistrosEntradas[[#This Row],[Data da Competência]]=TbRegistrosEntradas[[#This Row],[Data do Caixa Previsto]],"Vista","Prazo")</f>
        <v>Prazo</v>
      </c>
      <c r="Q11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7" spans="2:17" x14ac:dyDescent="0.25">
      <c r="B117" s="15">
        <v>43310</v>
      </c>
      <c r="C117" s="15">
        <v>43284</v>
      </c>
      <c r="D117" s="15">
        <v>43648</v>
      </c>
      <c r="E117" t="s">
        <v>23</v>
      </c>
      <c r="F117" t="s">
        <v>33</v>
      </c>
      <c r="G117" s="13" t="s">
        <v>173</v>
      </c>
      <c r="H117" s="16">
        <v>3940</v>
      </c>
      <c r="I117">
        <f>IF(TbRegistrosEntradas[[#This Row],[Data do Caixa Realizado]]="",0,MONTH(TbRegistrosEntradas[[#This Row],[Data do Caixa Realizado]]))</f>
        <v>7</v>
      </c>
      <c r="J117">
        <f>IF(TbRegistrosEntradas[[#This Row],[Data do Caixa Realizado]]="",0,YEAR(TbRegistrosEntradas[[#This Row],[Data do Caixa Realizado]]))</f>
        <v>2018</v>
      </c>
      <c r="K117">
        <f>IF(TbRegistrosEntradas[[#This Row],[Data da Competência]]="",0,MONTH(TbRegistrosEntradas[[#This Row],[Data da Competência]]))</f>
        <v>7</v>
      </c>
      <c r="L117">
        <f>IF(TbRegistrosEntradas[[#This Row],[Data da Competência]]="",0,YEAR(TbRegistrosEntradas[[#This Row],[Data da Competência]]))</f>
        <v>2018</v>
      </c>
      <c r="M117" s="40">
        <f>IF(TbRegistrosEntradas[[#This Row],[Data do Caixa Previsto]]="",0,MONTH(TbRegistrosEntradas[[#This Row],[Data do Caixa Previsto]]))</f>
        <v>7</v>
      </c>
      <c r="N117" s="40">
        <f>IF(TbRegistrosEntradas[[#This Row],[Data do Caixa Previsto]]="",0,YEAR(TbRegistrosEntradas[[#This Row],[Data do Caixa Previsto]]))</f>
        <v>2019</v>
      </c>
      <c r="O117" s="40" t="str">
        <f ca="1">IF(AND(TbRegistrosEntradas[[#This Row],[Data do Caixa Previsto]]&lt;TODAY(),TbRegistrosEntradas[[#This Row],[Data do Caixa Realizado]]=""),"Vencida","Não vencida")</f>
        <v>Não vencida</v>
      </c>
      <c r="P117" s="40" t="str">
        <f>IF(TbRegistrosEntradas[[#This Row],[Data da Competência]]=TbRegistrosEntradas[[#This Row],[Data do Caixa Previsto]],"Vista","Prazo")</f>
        <v>Prazo</v>
      </c>
      <c r="Q11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8" spans="2:17" x14ac:dyDescent="0.25">
      <c r="B118" s="15">
        <v>43343</v>
      </c>
      <c r="C118" s="15">
        <v>43285</v>
      </c>
      <c r="D118" s="15">
        <v>43641</v>
      </c>
      <c r="E118" t="s">
        <v>23</v>
      </c>
      <c r="F118" t="s">
        <v>33</v>
      </c>
      <c r="G118" s="13" t="s">
        <v>174</v>
      </c>
      <c r="H118" s="16">
        <v>1732</v>
      </c>
      <c r="I118">
        <f>IF(TbRegistrosEntradas[[#This Row],[Data do Caixa Realizado]]="",0,MONTH(TbRegistrosEntradas[[#This Row],[Data do Caixa Realizado]]))</f>
        <v>8</v>
      </c>
      <c r="J118">
        <f>IF(TbRegistrosEntradas[[#This Row],[Data do Caixa Realizado]]="",0,YEAR(TbRegistrosEntradas[[#This Row],[Data do Caixa Realizado]]))</f>
        <v>2018</v>
      </c>
      <c r="K118">
        <f>IF(TbRegistrosEntradas[[#This Row],[Data da Competência]]="",0,MONTH(TbRegistrosEntradas[[#This Row],[Data da Competência]]))</f>
        <v>7</v>
      </c>
      <c r="L118">
        <f>IF(TbRegistrosEntradas[[#This Row],[Data da Competência]]="",0,YEAR(TbRegistrosEntradas[[#This Row],[Data da Competência]]))</f>
        <v>2018</v>
      </c>
      <c r="M118" s="40">
        <f>IF(TbRegistrosEntradas[[#This Row],[Data do Caixa Previsto]]="",0,MONTH(TbRegistrosEntradas[[#This Row],[Data do Caixa Previsto]]))</f>
        <v>6</v>
      </c>
      <c r="N118" s="40">
        <f>IF(TbRegistrosEntradas[[#This Row],[Data do Caixa Previsto]]="",0,YEAR(TbRegistrosEntradas[[#This Row],[Data do Caixa Previsto]]))</f>
        <v>2019</v>
      </c>
      <c r="O118" s="40" t="str">
        <f ca="1">IF(AND(TbRegistrosEntradas[[#This Row],[Data do Caixa Previsto]]&lt;TODAY(),TbRegistrosEntradas[[#This Row],[Data do Caixa Realizado]]=""),"Vencida","Não vencida")</f>
        <v>Não vencida</v>
      </c>
      <c r="P118" s="40" t="str">
        <f>IF(TbRegistrosEntradas[[#This Row],[Data da Competência]]=TbRegistrosEntradas[[#This Row],[Data do Caixa Previsto]],"Vista","Prazo")</f>
        <v>Prazo</v>
      </c>
      <c r="Q11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19" spans="2:17" x14ac:dyDescent="0.25">
      <c r="B119" s="15">
        <v>43316</v>
      </c>
      <c r="C119" s="15">
        <v>43286</v>
      </c>
      <c r="D119" s="15">
        <v>43632</v>
      </c>
      <c r="E119" t="s">
        <v>23</v>
      </c>
      <c r="F119" t="s">
        <v>32</v>
      </c>
      <c r="G119" s="13" t="s">
        <v>175</v>
      </c>
      <c r="H119" s="16">
        <v>1306</v>
      </c>
      <c r="I119">
        <f>IF(TbRegistrosEntradas[[#This Row],[Data do Caixa Realizado]]="",0,MONTH(TbRegistrosEntradas[[#This Row],[Data do Caixa Realizado]]))</f>
        <v>8</v>
      </c>
      <c r="J119">
        <f>IF(TbRegistrosEntradas[[#This Row],[Data do Caixa Realizado]]="",0,YEAR(TbRegistrosEntradas[[#This Row],[Data do Caixa Realizado]]))</f>
        <v>2018</v>
      </c>
      <c r="K119">
        <f>IF(TbRegistrosEntradas[[#This Row],[Data da Competência]]="",0,MONTH(TbRegistrosEntradas[[#This Row],[Data da Competência]]))</f>
        <v>7</v>
      </c>
      <c r="L119">
        <f>IF(TbRegistrosEntradas[[#This Row],[Data da Competência]]="",0,YEAR(TbRegistrosEntradas[[#This Row],[Data da Competência]]))</f>
        <v>2018</v>
      </c>
      <c r="M119" s="40">
        <f>IF(TbRegistrosEntradas[[#This Row],[Data do Caixa Previsto]]="",0,MONTH(TbRegistrosEntradas[[#This Row],[Data do Caixa Previsto]]))</f>
        <v>6</v>
      </c>
      <c r="N119" s="40">
        <f>IF(TbRegistrosEntradas[[#This Row],[Data do Caixa Previsto]]="",0,YEAR(TbRegistrosEntradas[[#This Row],[Data do Caixa Previsto]]))</f>
        <v>2019</v>
      </c>
      <c r="O119" s="40" t="str">
        <f ca="1">IF(AND(TbRegistrosEntradas[[#This Row],[Data do Caixa Previsto]]&lt;TODAY(),TbRegistrosEntradas[[#This Row],[Data do Caixa Realizado]]=""),"Vencida","Não vencida")</f>
        <v>Não vencida</v>
      </c>
      <c r="P119" s="40" t="str">
        <f>IF(TbRegistrosEntradas[[#This Row],[Data da Competência]]=TbRegistrosEntradas[[#This Row],[Data do Caixa Previsto]],"Vista","Prazo")</f>
        <v>Prazo</v>
      </c>
      <c r="Q11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0" spans="2:17" x14ac:dyDescent="0.25">
      <c r="B120" s="15">
        <v>43336</v>
      </c>
      <c r="C120" s="15">
        <v>43288</v>
      </c>
      <c r="D120" s="15">
        <v>43668</v>
      </c>
      <c r="E120" t="s">
        <v>23</v>
      </c>
      <c r="F120" t="s">
        <v>31</v>
      </c>
      <c r="G120" s="13" t="s">
        <v>176</v>
      </c>
      <c r="H120" s="16">
        <v>3954</v>
      </c>
      <c r="I120">
        <f>IF(TbRegistrosEntradas[[#This Row],[Data do Caixa Realizado]]="",0,MONTH(TbRegistrosEntradas[[#This Row],[Data do Caixa Realizado]]))</f>
        <v>8</v>
      </c>
      <c r="J120">
        <f>IF(TbRegistrosEntradas[[#This Row],[Data do Caixa Realizado]]="",0,YEAR(TbRegistrosEntradas[[#This Row],[Data do Caixa Realizado]]))</f>
        <v>2018</v>
      </c>
      <c r="K120">
        <f>IF(TbRegistrosEntradas[[#This Row],[Data da Competência]]="",0,MONTH(TbRegistrosEntradas[[#This Row],[Data da Competência]]))</f>
        <v>7</v>
      </c>
      <c r="L120">
        <f>IF(TbRegistrosEntradas[[#This Row],[Data da Competência]]="",0,YEAR(TbRegistrosEntradas[[#This Row],[Data da Competência]]))</f>
        <v>2018</v>
      </c>
      <c r="M120" s="40">
        <f>IF(TbRegistrosEntradas[[#This Row],[Data do Caixa Previsto]]="",0,MONTH(TbRegistrosEntradas[[#This Row],[Data do Caixa Previsto]]))</f>
        <v>7</v>
      </c>
      <c r="N120" s="40">
        <f>IF(TbRegistrosEntradas[[#This Row],[Data do Caixa Previsto]]="",0,YEAR(TbRegistrosEntradas[[#This Row],[Data do Caixa Previsto]]))</f>
        <v>2019</v>
      </c>
      <c r="O120" s="40" t="str">
        <f ca="1">IF(AND(TbRegistrosEntradas[[#This Row],[Data do Caixa Previsto]]&lt;TODAY(),TbRegistrosEntradas[[#This Row],[Data do Caixa Realizado]]=""),"Vencida","Não vencida")</f>
        <v>Não vencida</v>
      </c>
      <c r="P120" s="40" t="str">
        <f>IF(TbRegistrosEntradas[[#This Row],[Data da Competência]]=TbRegistrosEntradas[[#This Row],[Data do Caixa Previsto]],"Vista","Prazo")</f>
        <v>Prazo</v>
      </c>
      <c r="Q12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1" spans="2:17" x14ac:dyDescent="0.25">
      <c r="B121" s="15">
        <v>43367</v>
      </c>
      <c r="C121" s="15">
        <v>43292</v>
      </c>
      <c r="D121" s="15">
        <v>43663</v>
      </c>
      <c r="E121" t="s">
        <v>23</v>
      </c>
      <c r="F121" t="s">
        <v>34</v>
      </c>
      <c r="G121" s="13" t="s">
        <v>177</v>
      </c>
      <c r="H121" s="16">
        <v>4090</v>
      </c>
      <c r="I121">
        <f>IF(TbRegistrosEntradas[[#This Row],[Data do Caixa Realizado]]="",0,MONTH(TbRegistrosEntradas[[#This Row],[Data do Caixa Realizado]]))</f>
        <v>9</v>
      </c>
      <c r="J121">
        <f>IF(TbRegistrosEntradas[[#This Row],[Data do Caixa Realizado]]="",0,YEAR(TbRegistrosEntradas[[#This Row],[Data do Caixa Realizado]]))</f>
        <v>2018</v>
      </c>
      <c r="K121">
        <f>IF(TbRegistrosEntradas[[#This Row],[Data da Competência]]="",0,MONTH(TbRegistrosEntradas[[#This Row],[Data da Competência]]))</f>
        <v>7</v>
      </c>
      <c r="L121">
        <f>IF(TbRegistrosEntradas[[#This Row],[Data da Competência]]="",0,YEAR(TbRegistrosEntradas[[#This Row],[Data da Competência]]))</f>
        <v>2018</v>
      </c>
      <c r="M121" s="40">
        <f>IF(TbRegistrosEntradas[[#This Row],[Data do Caixa Previsto]]="",0,MONTH(TbRegistrosEntradas[[#This Row],[Data do Caixa Previsto]]))</f>
        <v>7</v>
      </c>
      <c r="N121" s="40">
        <f>IF(TbRegistrosEntradas[[#This Row],[Data do Caixa Previsto]]="",0,YEAR(TbRegistrosEntradas[[#This Row],[Data do Caixa Previsto]]))</f>
        <v>2019</v>
      </c>
      <c r="O121" s="40" t="str">
        <f ca="1">IF(AND(TbRegistrosEntradas[[#This Row],[Data do Caixa Previsto]]&lt;TODAY(),TbRegistrosEntradas[[#This Row],[Data do Caixa Realizado]]=""),"Vencida","Não vencida")</f>
        <v>Não vencida</v>
      </c>
      <c r="P121" s="40" t="str">
        <f>IF(TbRegistrosEntradas[[#This Row],[Data da Competência]]=TbRegistrosEntradas[[#This Row],[Data do Caixa Previsto]],"Vista","Prazo")</f>
        <v>Prazo</v>
      </c>
      <c r="Q12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2" spans="2:17" x14ac:dyDescent="0.25">
      <c r="B122" s="15">
        <v>43311</v>
      </c>
      <c r="C122" s="15">
        <v>43293</v>
      </c>
      <c r="D122" s="15">
        <v>43647</v>
      </c>
      <c r="E122" t="s">
        <v>23</v>
      </c>
      <c r="F122" t="s">
        <v>30</v>
      </c>
      <c r="G122" s="13" t="s">
        <v>178</v>
      </c>
      <c r="H122" s="16">
        <v>2713</v>
      </c>
      <c r="I122">
        <f>IF(TbRegistrosEntradas[[#This Row],[Data do Caixa Realizado]]="",0,MONTH(TbRegistrosEntradas[[#This Row],[Data do Caixa Realizado]]))</f>
        <v>7</v>
      </c>
      <c r="J122">
        <f>IF(TbRegistrosEntradas[[#This Row],[Data do Caixa Realizado]]="",0,YEAR(TbRegistrosEntradas[[#This Row],[Data do Caixa Realizado]]))</f>
        <v>2018</v>
      </c>
      <c r="K122">
        <f>IF(TbRegistrosEntradas[[#This Row],[Data da Competência]]="",0,MONTH(TbRegistrosEntradas[[#This Row],[Data da Competência]]))</f>
        <v>7</v>
      </c>
      <c r="L122">
        <f>IF(TbRegistrosEntradas[[#This Row],[Data da Competência]]="",0,YEAR(TbRegistrosEntradas[[#This Row],[Data da Competência]]))</f>
        <v>2018</v>
      </c>
      <c r="M122" s="40">
        <f>IF(TbRegistrosEntradas[[#This Row],[Data do Caixa Previsto]]="",0,MONTH(TbRegistrosEntradas[[#This Row],[Data do Caixa Previsto]]))</f>
        <v>7</v>
      </c>
      <c r="N122" s="40">
        <f>IF(TbRegistrosEntradas[[#This Row],[Data do Caixa Previsto]]="",0,YEAR(TbRegistrosEntradas[[#This Row],[Data do Caixa Previsto]]))</f>
        <v>2019</v>
      </c>
      <c r="O122" s="40" t="str">
        <f ca="1">IF(AND(TbRegistrosEntradas[[#This Row],[Data do Caixa Previsto]]&lt;TODAY(),TbRegistrosEntradas[[#This Row],[Data do Caixa Realizado]]=""),"Vencida","Não vencida")</f>
        <v>Não vencida</v>
      </c>
      <c r="P122" s="40" t="str">
        <f>IF(TbRegistrosEntradas[[#This Row],[Data da Competência]]=TbRegistrosEntradas[[#This Row],[Data do Caixa Previsto]],"Vista","Prazo")</f>
        <v>Prazo</v>
      </c>
      <c r="Q12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3" spans="2:17" x14ac:dyDescent="0.25">
      <c r="B123" s="15">
        <v>43302</v>
      </c>
      <c r="C123" s="15">
        <v>43297</v>
      </c>
      <c r="D123" s="15">
        <v>43687</v>
      </c>
      <c r="E123" t="s">
        <v>23</v>
      </c>
      <c r="F123" t="s">
        <v>33</v>
      </c>
      <c r="G123" s="13" t="s">
        <v>179</v>
      </c>
      <c r="H123" s="16">
        <v>3482</v>
      </c>
      <c r="I123">
        <f>IF(TbRegistrosEntradas[[#This Row],[Data do Caixa Realizado]]="",0,MONTH(TbRegistrosEntradas[[#This Row],[Data do Caixa Realizado]]))</f>
        <v>7</v>
      </c>
      <c r="J123">
        <f>IF(TbRegistrosEntradas[[#This Row],[Data do Caixa Realizado]]="",0,YEAR(TbRegistrosEntradas[[#This Row],[Data do Caixa Realizado]]))</f>
        <v>2018</v>
      </c>
      <c r="K123">
        <f>IF(TbRegistrosEntradas[[#This Row],[Data da Competência]]="",0,MONTH(TbRegistrosEntradas[[#This Row],[Data da Competência]]))</f>
        <v>7</v>
      </c>
      <c r="L123">
        <f>IF(TbRegistrosEntradas[[#This Row],[Data da Competência]]="",0,YEAR(TbRegistrosEntradas[[#This Row],[Data da Competência]]))</f>
        <v>2018</v>
      </c>
      <c r="M123" s="40">
        <f>IF(TbRegistrosEntradas[[#This Row],[Data do Caixa Previsto]]="",0,MONTH(TbRegistrosEntradas[[#This Row],[Data do Caixa Previsto]]))</f>
        <v>8</v>
      </c>
      <c r="N123" s="40">
        <f>IF(TbRegistrosEntradas[[#This Row],[Data do Caixa Previsto]]="",0,YEAR(TbRegistrosEntradas[[#This Row],[Data do Caixa Previsto]]))</f>
        <v>2019</v>
      </c>
      <c r="O123" s="40" t="str">
        <f ca="1">IF(AND(TbRegistrosEntradas[[#This Row],[Data do Caixa Previsto]]&lt;TODAY(),TbRegistrosEntradas[[#This Row],[Data do Caixa Realizado]]=""),"Vencida","Não vencida")</f>
        <v>Não vencida</v>
      </c>
      <c r="P123" s="40" t="str">
        <f>IF(TbRegistrosEntradas[[#This Row],[Data da Competência]]=TbRegistrosEntradas[[#This Row],[Data do Caixa Previsto]],"Vista","Prazo")</f>
        <v>Prazo</v>
      </c>
      <c r="Q12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4" spans="2:17" x14ac:dyDescent="0.25">
      <c r="B124" s="15">
        <v>43346</v>
      </c>
      <c r="C124" s="15">
        <v>43299</v>
      </c>
      <c r="D124" s="15">
        <v>43645</v>
      </c>
      <c r="E124" t="s">
        <v>23</v>
      </c>
      <c r="F124" t="s">
        <v>33</v>
      </c>
      <c r="G124" s="13" t="s">
        <v>180</v>
      </c>
      <c r="H124" s="16">
        <v>2071</v>
      </c>
      <c r="I124">
        <f>IF(TbRegistrosEntradas[[#This Row],[Data do Caixa Realizado]]="",0,MONTH(TbRegistrosEntradas[[#This Row],[Data do Caixa Realizado]]))</f>
        <v>9</v>
      </c>
      <c r="J124">
        <f>IF(TbRegistrosEntradas[[#This Row],[Data do Caixa Realizado]]="",0,YEAR(TbRegistrosEntradas[[#This Row],[Data do Caixa Realizado]]))</f>
        <v>2018</v>
      </c>
      <c r="K124">
        <f>IF(TbRegistrosEntradas[[#This Row],[Data da Competência]]="",0,MONTH(TbRegistrosEntradas[[#This Row],[Data da Competência]]))</f>
        <v>7</v>
      </c>
      <c r="L124">
        <f>IF(TbRegistrosEntradas[[#This Row],[Data da Competência]]="",0,YEAR(TbRegistrosEntradas[[#This Row],[Data da Competência]]))</f>
        <v>2018</v>
      </c>
      <c r="M124" s="40">
        <f>IF(TbRegistrosEntradas[[#This Row],[Data do Caixa Previsto]]="",0,MONTH(TbRegistrosEntradas[[#This Row],[Data do Caixa Previsto]]))</f>
        <v>6</v>
      </c>
      <c r="N124" s="40">
        <f>IF(TbRegistrosEntradas[[#This Row],[Data do Caixa Previsto]]="",0,YEAR(TbRegistrosEntradas[[#This Row],[Data do Caixa Previsto]]))</f>
        <v>2019</v>
      </c>
      <c r="O124" s="40" t="str">
        <f ca="1">IF(AND(TbRegistrosEntradas[[#This Row],[Data do Caixa Previsto]]&lt;TODAY(),TbRegistrosEntradas[[#This Row],[Data do Caixa Realizado]]=""),"Vencida","Não vencida")</f>
        <v>Não vencida</v>
      </c>
      <c r="P124" s="40" t="str">
        <f>IF(TbRegistrosEntradas[[#This Row],[Data da Competência]]=TbRegistrosEntradas[[#This Row],[Data do Caixa Previsto]],"Vista","Prazo")</f>
        <v>Prazo</v>
      </c>
      <c r="Q12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5" spans="2:17" x14ac:dyDescent="0.25">
      <c r="B125" s="15">
        <v>43333</v>
      </c>
      <c r="C125" s="15">
        <v>43304</v>
      </c>
      <c r="D125" s="15">
        <v>43662</v>
      </c>
      <c r="E125" t="s">
        <v>23</v>
      </c>
      <c r="F125" t="s">
        <v>34</v>
      </c>
      <c r="G125" s="13" t="s">
        <v>181</v>
      </c>
      <c r="H125" s="16">
        <v>4258</v>
      </c>
      <c r="I125">
        <f>IF(TbRegistrosEntradas[[#This Row],[Data do Caixa Realizado]]="",0,MONTH(TbRegistrosEntradas[[#This Row],[Data do Caixa Realizado]]))</f>
        <v>8</v>
      </c>
      <c r="J125">
        <f>IF(TbRegistrosEntradas[[#This Row],[Data do Caixa Realizado]]="",0,YEAR(TbRegistrosEntradas[[#This Row],[Data do Caixa Realizado]]))</f>
        <v>2018</v>
      </c>
      <c r="K125">
        <f>IF(TbRegistrosEntradas[[#This Row],[Data da Competência]]="",0,MONTH(TbRegistrosEntradas[[#This Row],[Data da Competência]]))</f>
        <v>7</v>
      </c>
      <c r="L125">
        <f>IF(TbRegistrosEntradas[[#This Row],[Data da Competência]]="",0,YEAR(TbRegistrosEntradas[[#This Row],[Data da Competência]]))</f>
        <v>2018</v>
      </c>
      <c r="M125" s="40">
        <f>IF(TbRegistrosEntradas[[#This Row],[Data do Caixa Previsto]]="",0,MONTH(TbRegistrosEntradas[[#This Row],[Data do Caixa Previsto]]))</f>
        <v>7</v>
      </c>
      <c r="N125" s="40">
        <f>IF(TbRegistrosEntradas[[#This Row],[Data do Caixa Previsto]]="",0,YEAR(TbRegistrosEntradas[[#This Row],[Data do Caixa Previsto]]))</f>
        <v>2019</v>
      </c>
      <c r="O125" s="40" t="str">
        <f ca="1">IF(AND(TbRegistrosEntradas[[#This Row],[Data do Caixa Previsto]]&lt;TODAY(),TbRegistrosEntradas[[#This Row],[Data do Caixa Realizado]]=""),"Vencida","Não vencida")</f>
        <v>Não vencida</v>
      </c>
      <c r="P125" s="40" t="str">
        <f>IF(TbRegistrosEntradas[[#This Row],[Data da Competência]]=TbRegistrosEntradas[[#This Row],[Data do Caixa Previsto]],"Vista","Prazo")</f>
        <v>Prazo</v>
      </c>
      <c r="Q12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26" spans="2:17" x14ac:dyDescent="0.25">
      <c r="B126" s="15">
        <v>43428</v>
      </c>
      <c r="C126" s="15">
        <v>43306</v>
      </c>
      <c r="D126" s="15">
        <v>43306</v>
      </c>
      <c r="E126" t="s">
        <v>23</v>
      </c>
      <c r="F126" t="s">
        <v>31</v>
      </c>
      <c r="G126" s="13" t="s">
        <v>182</v>
      </c>
      <c r="H126" s="16">
        <v>4383</v>
      </c>
      <c r="I126">
        <f>IF(TbRegistrosEntradas[[#This Row],[Data do Caixa Realizado]]="",0,MONTH(TbRegistrosEntradas[[#This Row],[Data do Caixa Realizado]]))</f>
        <v>11</v>
      </c>
      <c r="J126">
        <f>IF(TbRegistrosEntradas[[#This Row],[Data do Caixa Realizado]]="",0,YEAR(TbRegistrosEntradas[[#This Row],[Data do Caixa Realizado]]))</f>
        <v>2018</v>
      </c>
      <c r="K126">
        <f>IF(TbRegistrosEntradas[[#This Row],[Data da Competência]]="",0,MONTH(TbRegistrosEntradas[[#This Row],[Data da Competência]]))</f>
        <v>7</v>
      </c>
      <c r="L126">
        <f>IF(TbRegistrosEntradas[[#This Row],[Data da Competência]]="",0,YEAR(TbRegistrosEntradas[[#This Row],[Data da Competência]]))</f>
        <v>2018</v>
      </c>
      <c r="M126" s="40">
        <f>IF(TbRegistrosEntradas[[#This Row],[Data do Caixa Previsto]]="",0,MONTH(TbRegistrosEntradas[[#This Row],[Data do Caixa Previsto]]))</f>
        <v>7</v>
      </c>
      <c r="N126" s="40">
        <f>IF(TbRegistrosEntradas[[#This Row],[Data do Caixa Previsto]]="",0,YEAR(TbRegistrosEntradas[[#This Row],[Data do Caixa Previsto]]))</f>
        <v>2018</v>
      </c>
      <c r="O126" s="40" t="str">
        <f ca="1">IF(AND(TbRegistrosEntradas[[#This Row],[Data do Caixa Previsto]]&lt;TODAY(),TbRegistrosEntradas[[#This Row],[Data do Caixa Realizado]]=""),"Vencida","Não vencida")</f>
        <v>Não vencida</v>
      </c>
      <c r="P126" s="40" t="str">
        <f>IF(TbRegistrosEntradas[[#This Row],[Data da Competência]]=TbRegistrosEntradas[[#This Row],[Data do Caixa Previsto]],"Vista","Prazo")</f>
        <v>Vista</v>
      </c>
      <c r="Q12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122</v>
      </c>
    </row>
    <row r="127" spans="2:17" x14ac:dyDescent="0.25">
      <c r="B127" s="15">
        <v>43352</v>
      </c>
      <c r="C127" s="15">
        <v>43310</v>
      </c>
      <c r="D127" s="15">
        <v>43310</v>
      </c>
      <c r="E127" t="s">
        <v>23</v>
      </c>
      <c r="F127" t="s">
        <v>33</v>
      </c>
      <c r="G127" s="13" t="s">
        <v>183</v>
      </c>
      <c r="H127" s="16">
        <v>1369</v>
      </c>
      <c r="I127">
        <f>IF(TbRegistrosEntradas[[#This Row],[Data do Caixa Realizado]]="",0,MONTH(TbRegistrosEntradas[[#This Row],[Data do Caixa Realizado]]))</f>
        <v>9</v>
      </c>
      <c r="J127">
        <f>IF(TbRegistrosEntradas[[#This Row],[Data do Caixa Realizado]]="",0,YEAR(TbRegistrosEntradas[[#This Row],[Data do Caixa Realizado]]))</f>
        <v>2018</v>
      </c>
      <c r="K127">
        <f>IF(TbRegistrosEntradas[[#This Row],[Data da Competência]]="",0,MONTH(TbRegistrosEntradas[[#This Row],[Data da Competência]]))</f>
        <v>7</v>
      </c>
      <c r="L127">
        <f>IF(TbRegistrosEntradas[[#This Row],[Data da Competência]]="",0,YEAR(TbRegistrosEntradas[[#This Row],[Data da Competência]]))</f>
        <v>2018</v>
      </c>
      <c r="M127" s="40">
        <f>IF(TbRegistrosEntradas[[#This Row],[Data do Caixa Previsto]]="",0,MONTH(TbRegistrosEntradas[[#This Row],[Data do Caixa Previsto]]))</f>
        <v>7</v>
      </c>
      <c r="N127" s="40">
        <f>IF(TbRegistrosEntradas[[#This Row],[Data do Caixa Previsto]]="",0,YEAR(TbRegistrosEntradas[[#This Row],[Data do Caixa Previsto]]))</f>
        <v>2018</v>
      </c>
      <c r="O127" s="40" t="str">
        <f ca="1">IF(AND(TbRegistrosEntradas[[#This Row],[Data do Caixa Previsto]]&lt;TODAY(),TbRegistrosEntradas[[#This Row],[Data do Caixa Realizado]]=""),"Vencida","Não vencida")</f>
        <v>Não vencida</v>
      </c>
      <c r="P127" s="40" t="str">
        <f>IF(TbRegistrosEntradas[[#This Row],[Data da Competência]]=TbRegistrosEntradas[[#This Row],[Data do Caixa Previsto]],"Vista","Prazo")</f>
        <v>Vista</v>
      </c>
      <c r="Q12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42</v>
      </c>
    </row>
    <row r="128" spans="2:17" x14ac:dyDescent="0.25">
      <c r="B128" s="15">
        <v>43357</v>
      </c>
      <c r="C128" s="15">
        <v>43315</v>
      </c>
      <c r="D128" s="15">
        <v>43315</v>
      </c>
      <c r="E128" t="s">
        <v>23</v>
      </c>
      <c r="F128" t="s">
        <v>33</v>
      </c>
      <c r="G128" s="13" t="s">
        <v>184</v>
      </c>
      <c r="H128" s="16">
        <v>331</v>
      </c>
      <c r="I128">
        <f>IF(TbRegistrosEntradas[[#This Row],[Data do Caixa Realizado]]="",0,MONTH(TbRegistrosEntradas[[#This Row],[Data do Caixa Realizado]]))</f>
        <v>9</v>
      </c>
      <c r="J128">
        <f>IF(TbRegistrosEntradas[[#This Row],[Data do Caixa Realizado]]="",0,YEAR(TbRegistrosEntradas[[#This Row],[Data do Caixa Realizado]]))</f>
        <v>2018</v>
      </c>
      <c r="K128">
        <f>IF(TbRegistrosEntradas[[#This Row],[Data da Competência]]="",0,MONTH(TbRegistrosEntradas[[#This Row],[Data da Competência]]))</f>
        <v>8</v>
      </c>
      <c r="L128">
        <f>IF(TbRegistrosEntradas[[#This Row],[Data da Competência]]="",0,YEAR(TbRegistrosEntradas[[#This Row],[Data da Competência]]))</f>
        <v>2018</v>
      </c>
      <c r="M128" s="40">
        <f>IF(TbRegistrosEntradas[[#This Row],[Data do Caixa Previsto]]="",0,MONTH(TbRegistrosEntradas[[#This Row],[Data do Caixa Previsto]]))</f>
        <v>8</v>
      </c>
      <c r="N128" s="40">
        <f>IF(TbRegistrosEntradas[[#This Row],[Data do Caixa Previsto]]="",0,YEAR(TbRegistrosEntradas[[#This Row],[Data do Caixa Previsto]]))</f>
        <v>2018</v>
      </c>
      <c r="O128" s="40" t="str">
        <f ca="1">IF(AND(TbRegistrosEntradas[[#This Row],[Data do Caixa Previsto]]&lt;TODAY(),TbRegistrosEntradas[[#This Row],[Data do Caixa Realizado]]=""),"Vencida","Não vencida")</f>
        <v>Não vencida</v>
      </c>
      <c r="P128" s="40" t="str">
        <f>IF(TbRegistrosEntradas[[#This Row],[Data da Competência]]=TbRegistrosEntradas[[#This Row],[Data do Caixa Previsto]],"Vista","Prazo")</f>
        <v>Vista</v>
      </c>
      <c r="Q12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42</v>
      </c>
    </row>
    <row r="129" spans="2:17" x14ac:dyDescent="0.25">
      <c r="B129" s="15">
        <v>43321</v>
      </c>
      <c r="C129" s="15">
        <v>43318</v>
      </c>
      <c r="D129" s="15">
        <v>43318</v>
      </c>
      <c r="E129" t="s">
        <v>23</v>
      </c>
      <c r="F129" t="s">
        <v>33</v>
      </c>
      <c r="G129" s="13" t="s">
        <v>185</v>
      </c>
      <c r="H129" s="16">
        <v>3031</v>
      </c>
      <c r="I129">
        <f>IF(TbRegistrosEntradas[[#This Row],[Data do Caixa Realizado]]="",0,MONTH(TbRegistrosEntradas[[#This Row],[Data do Caixa Realizado]]))</f>
        <v>8</v>
      </c>
      <c r="J129">
        <f>IF(TbRegistrosEntradas[[#This Row],[Data do Caixa Realizado]]="",0,YEAR(TbRegistrosEntradas[[#This Row],[Data do Caixa Realizado]]))</f>
        <v>2018</v>
      </c>
      <c r="K129">
        <f>IF(TbRegistrosEntradas[[#This Row],[Data da Competência]]="",0,MONTH(TbRegistrosEntradas[[#This Row],[Data da Competência]]))</f>
        <v>8</v>
      </c>
      <c r="L129">
        <f>IF(TbRegistrosEntradas[[#This Row],[Data da Competência]]="",0,YEAR(TbRegistrosEntradas[[#This Row],[Data da Competência]]))</f>
        <v>2018</v>
      </c>
      <c r="M129" s="40">
        <f>IF(TbRegistrosEntradas[[#This Row],[Data do Caixa Previsto]]="",0,MONTH(TbRegistrosEntradas[[#This Row],[Data do Caixa Previsto]]))</f>
        <v>8</v>
      </c>
      <c r="N129" s="40">
        <f>IF(TbRegistrosEntradas[[#This Row],[Data do Caixa Previsto]]="",0,YEAR(TbRegistrosEntradas[[#This Row],[Data do Caixa Previsto]]))</f>
        <v>2018</v>
      </c>
      <c r="O129" s="40" t="str">
        <f ca="1">IF(AND(TbRegistrosEntradas[[#This Row],[Data do Caixa Previsto]]&lt;TODAY(),TbRegistrosEntradas[[#This Row],[Data do Caixa Realizado]]=""),"Vencida","Não vencida")</f>
        <v>Não vencida</v>
      </c>
      <c r="P129" s="40" t="str">
        <f>IF(TbRegistrosEntradas[[#This Row],[Data da Competência]]=TbRegistrosEntradas[[#This Row],[Data do Caixa Previsto]],"Vista","Prazo")</f>
        <v>Vista</v>
      </c>
      <c r="Q12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</v>
      </c>
    </row>
    <row r="130" spans="2:17" x14ac:dyDescent="0.25">
      <c r="B130" s="15">
        <v>43341</v>
      </c>
      <c r="C130" s="15">
        <v>43321</v>
      </c>
      <c r="D130" s="15">
        <v>43321</v>
      </c>
      <c r="E130" t="s">
        <v>23</v>
      </c>
      <c r="F130" t="s">
        <v>31</v>
      </c>
      <c r="G130" s="13" t="s">
        <v>186</v>
      </c>
      <c r="H130" s="16">
        <v>1200</v>
      </c>
      <c r="I130">
        <f>IF(TbRegistrosEntradas[[#This Row],[Data do Caixa Realizado]]="",0,MONTH(TbRegistrosEntradas[[#This Row],[Data do Caixa Realizado]]))</f>
        <v>8</v>
      </c>
      <c r="J130">
        <f>IF(TbRegistrosEntradas[[#This Row],[Data do Caixa Realizado]]="",0,YEAR(TbRegistrosEntradas[[#This Row],[Data do Caixa Realizado]]))</f>
        <v>2018</v>
      </c>
      <c r="K130">
        <f>IF(TbRegistrosEntradas[[#This Row],[Data da Competência]]="",0,MONTH(TbRegistrosEntradas[[#This Row],[Data da Competência]]))</f>
        <v>8</v>
      </c>
      <c r="L130">
        <f>IF(TbRegistrosEntradas[[#This Row],[Data da Competência]]="",0,YEAR(TbRegistrosEntradas[[#This Row],[Data da Competência]]))</f>
        <v>2018</v>
      </c>
      <c r="M130" s="40">
        <f>IF(TbRegistrosEntradas[[#This Row],[Data do Caixa Previsto]]="",0,MONTH(TbRegistrosEntradas[[#This Row],[Data do Caixa Previsto]]))</f>
        <v>8</v>
      </c>
      <c r="N130" s="40">
        <f>IF(TbRegistrosEntradas[[#This Row],[Data do Caixa Previsto]]="",0,YEAR(TbRegistrosEntradas[[#This Row],[Data do Caixa Previsto]]))</f>
        <v>2018</v>
      </c>
      <c r="O130" s="40" t="str">
        <f ca="1">IF(AND(TbRegistrosEntradas[[#This Row],[Data do Caixa Previsto]]&lt;TODAY(),TbRegistrosEntradas[[#This Row],[Data do Caixa Realizado]]=""),"Vencida","Não vencida")</f>
        <v>Não vencida</v>
      </c>
      <c r="P130" s="40" t="str">
        <f>IF(TbRegistrosEntradas[[#This Row],[Data da Competência]]=TbRegistrosEntradas[[#This Row],[Data do Caixa Previsto]],"Vista","Prazo")</f>
        <v>Vista</v>
      </c>
      <c r="Q13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20</v>
      </c>
    </row>
    <row r="131" spans="2:17" x14ac:dyDescent="0.25">
      <c r="B131" s="15">
        <v>43343</v>
      </c>
      <c r="C131" s="15">
        <v>43323</v>
      </c>
      <c r="D131" s="15">
        <v>43323</v>
      </c>
      <c r="E131" t="s">
        <v>23</v>
      </c>
      <c r="F131" t="s">
        <v>31</v>
      </c>
      <c r="G131" s="13" t="s">
        <v>187</v>
      </c>
      <c r="H131" s="16">
        <v>405</v>
      </c>
      <c r="I131">
        <f>IF(TbRegistrosEntradas[[#This Row],[Data do Caixa Realizado]]="",0,MONTH(TbRegistrosEntradas[[#This Row],[Data do Caixa Realizado]]))</f>
        <v>8</v>
      </c>
      <c r="J131">
        <f>IF(TbRegistrosEntradas[[#This Row],[Data do Caixa Realizado]]="",0,YEAR(TbRegistrosEntradas[[#This Row],[Data do Caixa Realizado]]))</f>
        <v>2018</v>
      </c>
      <c r="K131">
        <f>IF(TbRegistrosEntradas[[#This Row],[Data da Competência]]="",0,MONTH(TbRegistrosEntradas[[#This Row],[Data da Competência]]))</f>
        <v>8</v>
      </c>
      <c r="L131">
        <f>IF(TbRegistrosEntradas[[#This Row],[Data da Competência]]="",0,YEAR(TbRegistrosEntradas[[#This Row],[Data da Competência]]))</f>
        <v>2018</v>
      </c>
      <c r="M131" s="40">
        <f>IF(TbRegistrosEntradas[[#This Row],[Data do Caixa Previsto]]="",0,MONTH(TbRegistrosEntradas[[#This Row],[Data do Caixa Previsto]]))</f>
        <v>8</v>
      </c>
      <c r="N131" s="40">
        <f>IF(TbRegistrosEntradas[[#This Row],[Data do Caixa Previsto]]="",0,YEAR(TbRegistrosEntradas[[#This Row],[Data do Caixa Previsto]]))</f>
        <v>2018</v>
      </c>
      <c r="O131" s="40" t="str">
        <f ca="1">IF(AND(TbRegistrosEntradas[[#This Row],[Data do Caixa Previsto]]&lt;TODAY(),TbRegistrosEntradas[[#This Row],[Data do Caixa Realizado]]=""),"Vencida","Não vencida")</f>
        <v>Não vencida</v>
      </c>
      <c r="P131" s="40" t="str">
        <f>IF(TbRegistrosEntradas[[#This Row],[Data da Competência]]=TbRegistrosEntradas[[#This Row],[Data do Caixa Previsto]],"Vista","Prazo")</f>
        <v>Vista</v>
      </c>
      <c r="Q13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20</v>
      </c>
    </row>
    <row r="132" spans="2:17" x14ac:dyDescent="0.25">
      <c r="B132" s="15">
        <v>43360</v>
      </c>
      <c r="C132" s="15">
        <v>43326</v>
      </c>
      <c r="D132" s="15">
        <v>43326</v>
      </c>
      <c r="E132" t="s">
        <v>23</v>
      </c>
      <c r="F132" t="s">
        <v>30</v>
      </c>
      <c r="G132" s="13" t="s">
        <v>153</v>
      </c>
      <c r="H132" s="16">
        <v>3080</v>
      </c>
      <c r="I132">
        <f>IF(TbRegistrosEntradas[[#This Row],[Data do Caixa Realizado]]="",0,MONTH(TbRegistrosEntradas[[#This Row],[Data do Caixa Realizado]]))</f>
        <v>9</v>
      </c>
      <c r="J132">
        <f>IF(TbRegistrosEntradas[[#This Row],[Data do Caixa Realizado]]="",0,YEAR(TbRegistrosEntradas[[#This Row],[Data do Caixa Realizado]]))</f>
        <v>2018</v>
      </c>
      <c r="K132">
        <f>IF(TbRegistrosEntradas[[#This Row],[Data da Competência]]="",0,MONTH(TbRegistrosEntradas[[#This Row],[Data da Competência]]))</f>
        <v>8</v>
      </c>
      <c r="L132">
        <f>IF(TbRegistrosEntradas[[#This Row],[Data da Competência]]="",0,YEAR(TbRegistrosEntradas[[#This Row],[Data da Competência]]))</f>
        <v>2018</v>
      </c>
      <c r="M132" s="40">
        <f>IF(TbRegistrosEntradas[[#This Row],[Data do Caixa Previsto]]="",0,MONTH(TbRegistrosEntradas[[#This Row],[Data do Caixa Previsto]]))</f>
        <v>8</v>
      </c>
      <c r="N132" s="40">
        <f>IF(TbRegistrosEntradas[[#This Row],[Data do Caixa Previsto]]="",0,YEAR(TbRegistrosEntradas[[#This Row],[Data do Caixa Previsto]]))</f>
        <v>2018</v>
      </c>
      <c r="O132" s="40" t="str">
        <f ca="1">IF(AND(TbRegistrosEntradas[[#This Row],[Data do Caixa Previsto]]&lt;TODAY(),TbRegistrosEntradas[[#This Row],[Data do Caixa Realizado]]=""),"Vencida","Não vencida")</f>
        <v>Não vencida</v>
      </c>
      <c r="P132" s="40" t="str">
        <f>IF(TbRegistrosEntradas[[#This Row],[Data da Competência]]=TbRegistrosEntradas[[#This Row],[Data do Caixa Previsto]],"Vista","Prazo")</f>
        <v>Vista</v>
      </c>
      <c r="Q13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34</v>
      </c>
    </row>
    <row r="133" spans="2:17" x14ac:dyDescent="0.25">
      <c r="B133" s="15">
        <v>43329</v>
      </c>
      <c r="C133" s="15">
        <v>43329</v>
      </c>
      <c r="D133" s="15">
        <v>43329</v>
      </c>
      <c r="E133" t="s">
        <v>23</v>
      </c>
      <c r="F133" t="s">
        <v>33</v>
      </c>
      <c r="G133" s="13" t="s">
        <v>188</v>
      </c>
      <c r="H133" s="16">
        <v>2137</v>
      </c>
      <c r="I133">
        <f>IF(TbRegistrosEntradas[[#This Row],[Data do Caixa Realizado]]="",0,MONTH(TbRegistrosEntradas[[#This Row],[Data do Caixa Realizado]]))</f>
        <v>8</v>
      </c>
      <c r="J133">
        <f>IF(TbRegistrosEntradas[[#This Row],[Data do Caixa Realizado]]="",0,YEAR(TbRegistrosEntradas[[#This Row],[Data do Caixa Realizado]]))</f>
        <v>2018</v>
      </c>
      <c r="K133">
        <f>IF(TbRegistrosEntradas[[#This Row],[Data da Competência]]="",0,MONTH(TbRegistrosEntradas[[#This Row],[Data da Competência]]))</f>
        <v>8</v>
      </c>
      <c r="L133">
        <f>IF(TbRegistrosEntradas[[#This Row],[Data da Competência]]="",0,YEAR(TbRegistrosEntradas[[#This Row],[Data da Competência]]))</f>
        <v>2018</v>
      </c>
      <c r="M133" s="40">
        <f>IF(TbRegistrosEntradas[[#This Row],[Data do Caixa Previsto]]="",0,MONTH(TbRegistrosEntradas[[#This Row],[Data do Caixa Previsto]]))</f>
        <v>8</v>
      </c>
      <c r="N133" s="40">
        <f>IF(TbRegistrosEntradas[[#This Row],[Data do Caixa Previsto]]="",0,YEAR(TbRegistrosEntradas[[#This Row],[Data do Caixa Previsto]]))</f>
        <v>2018</v>
      </c>
      <c r="O133" s="40" t="str">
        <f ca="1">IF(AND(TbRegistrosEntradas[[#This Row],[Data do Caixa Previsto]]&lt;TODAY(),TbRegistrosEntradas[[#This Row],[Data do Caixa Realizado]]=""),"Vencida","Não vencida")</f>
        <v>Não vencida</v>
      </c>
      <c r="P133" s="40" t="str">
        <f>IF(TbRegistrosEntradas[[#This Row],[Data da Competência]]=TbRegistrosEntradas[[#This Row],[Data do Caixa Previsto]],"Vista","Prazo")</f>
        <v>Vista</v>
      </c>
      <c r="Q13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34" spans="2:17" x14ac:dyDescent="0.25">
      <c r="B134" s="15">
        <v>43388</v>
      </c>
      <c r="C134" s="15">
        <v>43336</v>
      </c>
      <c r="D134" s="15">
        <v>43336</v>
      </c>
      <c r="E134" t="s">
        <v>23</v>
      </c>
      <c r="F134" t="s">
        <v>34</v>
      </c>
      <c r="G134" s="13" t="s">
        <v>189</v>
      </c>
      <c r="H134" s="16">
        <v>4287</v>
      </c>
      <c r="I134">
        <f>IF(TbRegistrosEntradas[[#This Row],[Data do Caixa Realizado]]="",0,MONTH(TbRegistrosEntradas[[#This Row],[Data do Caixa Realizado]]))</f>
        <v>10</v>
      </c>
      <c r="J134">
        <f>IF(TbRegistrosEntradas[[#This Row],[Data do Caixa Realizado]]="",0,YEAR(TbRegistrosEntradas[[#This Row],[Data do Caixa Realizado]]))</f>
        <v>2018</v>
      </c>
      <c r="K134">
        <f>IF(TbRegistrosEntradas[[#This Row],[Data da Competência]]="",0,MONTH(TbRegistrosEntradas[[#This Row],[Data da Competência]]))</f>
        <v>8</v>
      </c>
      <c r="L134">
        <f>IF(TbRegistrosEntradas[[#This Row],[Data da Competência]]="",0,YEAR(TbRegistrosEntradas[[#This Row],[Data da Competência]]))</f>
        <v>2018</v>
      </c>
      <c r="M134" s="40">
        <f>IF(TbRegistrosEntradas[[#This Row],[Data do Caixa Previsto]]="",0,MONTH(TbRegistrosEntradas[[#This Row],[Data do Caixa Previsto]]))</f>
        <v>8</v>
      </c>
      <c r="N134" s="40">
        <f>IF(TbRegistrosEntradas[[#This Row],[Data do Caixa Previsto]]="",0,YEAR(TbRegistrosEntradas[[#This Row],[Data do Caixa Previsto]]))</f>
        <v>2018</v>
      </c>
      <c r="O134" s="40" t="str">
        <f ca="1">IF(AND(TbRegistrosEntradas[[#This Row],[Data do Caixa Previsto]]&lt;TODAY(),TbRegistrosEntradas[[#This Row],[Data do Caixa Realizado]]=""),"Vencida","Não vencida")</f>
        <v>Não vencida</v>
      </c>
      <c r="P134" s="40" t="str">
        <f>IF(TbRegistrosEntradas[[#This Row],[Data da Competência]]=TbRegistrosEntradas[[#This Row],[Data do Caixa Previsto]],"Vista","Prazo")</f>
        <v>Vista</v>
      </c>
      <c r="Q13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52</v>
      </c>
    </row>
    <row r="135" spans="2:17" x14ac:dyDescent="0.25">
      <c r="B135" s="15">
        <v>43395</v>
      </c>
      <c r="C135" s="15">
        <v>43338</v>
      </c>
      <c r="D135" s="15">
        <v>43338</v>
      </c>
      <c r="E135" t="s">
        <v>23</v>
      </c>
      <c r="F135" t="s">
        <v>34</v>
      </c>
      <c r="G135" s="13" t="s">
        <v>190</v>
      </c>
      <c r="H135" s="16">
        <v>4857</v>
      </c>
      <c r="I135">
        <f>IF(TbRegistrosEntradas[[#This Row],[Data do Caixa Realizado]]="",0,MONTH(TbRegistrosEntradas[[#This Row],[Data do Caixa Realizado]]))</f>
        <v>10</v>
      </c>
      <c r="J135">
        <f>IF(TbRegistrosEntradas[[#This Row],[Data do Caixa Realizado]]="",0,YEAR(TbRegistrosEntradas[[#This Row],[Data do Caixa Realizado]]))</f>
        <v>2018</v>
      </c>
      <c r="K135">
        <f>IF(TbRegistrosEntradas[[#This Row],[Data da Competência]]="",0,MONTH(TbRegistrosEntradas[[#This Row],[Data da Competência]]))</f>
        <v>8</v>
      </c>
      <c r="L135">
        <f>IF(TbRegistrosEntradas[[#This Row],[Data da Competência]]="",0,YEAR(TbRegistrosEntradas[[#This Row],[Data da Competência]]))</f>
        <v>2018</v>
      </c>
      <c r="M135" s="40">
        <f>IF(TbRegistrosEntradas[[#This Row],[Data do Caixa Previsto]]="",0,MONTH(TbRegistrosEntradas[[#This Row],[Data do Caixa Previsto]]))</f>
        <v>8</v>
      </c>
      <c r="N135" s="40">
        <f>IF(TbRegistrosEntradas[[#This Row],[Data do Caixa Previsto]]="",0,YEAR(TbRegistrosEntradas[[#This Row],[Data do Caixa Previsto]]))</f>
        <v>2018</v>
      </c>
      <c r="O135" s="40" t="str">
        <f ca="1">IF(AND(TbRegistrosEntradas[[#This Row],[Data do Caixa Previsto]]&lt;TODAY(),TbRegistrosEntradas[[#This Row],[Data do Caixa Realizado]]=""),"Vencida","Não vencida")</f>
        <v>Não vencida</v>
      </c>
      <c r="P135" s="40" t="str">
        <f>IF(TbRegistrosEntradas[[#This Row],[Data da Competência]]=TbRegistrosEntradas[[#This Row],[Data do Caixa Previsto]],"Vista","Prazo")</f>
        <v>Vista</v>
      </c>
      <c r="Q13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57</v>
      </c>
    </row>
    <row r="136" spans="2:17" x14ac:dyDescent="0.25">
      <c r="B136" s="15">
        <v>43393</v>
      </c>
      <c r="C136" s="15">
        <v>43342</v>
      </c>
      <c r="D136" s="15">
        <v>43342</v>
      </c>
      <c r="E136" t="s">
        <v>23</v>
      </c>
      <c r="F136" t="s">
        <v>33</v>
      </c>
      <c r="G136" s="13" t="s">
        <v>191</v>
      </c>
      <c r="H136" s="16">
        <v>507</v>
      </c>
      <c r="I136">
        <f>IF(TbRegistrosEntradas[[#This Row],[Data do Caixa Realizado]]="",0,MONTH(TbRegistrosEntradas[[#This Row],[Data do Caixa Realizado]]))</f>
        <v>10</v>
      </c>
      <c r="J136">
        <f>IF(TbRegistrosEntradas[[#This Row],[Data do Caixa Realizado]]="",0,YEAR(TbRegistrosEntradas[[#This Row],[Data do Caixa Realizado]]))</f>
        <v>2018</v>
      </c>
      <c r="K136">
        <f>IF(TbRegistrosEntradas[[#This Row],[Data da Competência]]="",0,MONTH(TbRegistrosEntradas[[#This Row],[Data da Competência]]))</f>
        <v>8</v>
      </c>
      <c r="L136">
        <f>IF(TbRegistrosEntradas[[#This Row],[Data da Competência]]="",0,YEAR(TbRegistrosEntradas[[#This Row],[Data da Competência]]))</f>
        <v>2018</v>
      </c>
      <c r="M136" s="40">
        <f>IF(TbRegistrosEntradas[[#This Row],[Data do Caixa Previsto]]="",0,MONTH(TbRegistrosEntradas[[#This Row],[Data do Caixa Previsto]]))</f>
        <v>8</v>
      </c>
      <c r="N136" s="40">
        <f>IF(TbRegistrosEntradas[[#This Row],[Data do Caixa Previsto]]="",0,YEAR(TbRegistrosEntradas[[#This Row],[Data do Caixa Previsto]]))</f>
        <v>2018</v>
      </c>
      <c r="O136" s="40" t="str">
        <f ca="1">IF(AND(TbRegistrosEntradas[[#This Row],[Data do Caixa Previsto]]&lt;TODAY(),TbRegistrosEntradas[[#This Row],[Data do Caixa Realizado]]=""),"Vencida","Não vencida")</f>
        <v>Não vencida</v>
      </c>
      <c r="P136" s="40" t="str">
        <f>IF(TbRegistrosEntradas[[#This Row],[Data da Competência]]=TbRegistrosEntradas[[#This Row],[Data do Caixa Previsto]],"Vista","Prazo")</f>
        <v>Vista</v>
      </c>
      <c r="Q13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51</v>
      </c>
    </row>
    <row r="137" spans="2:17" x14ac:dyDescent="0.25">
      <c r="B137" s="15">
        <v>43354</v>
      </c>
      <c r="C137" s="15">
        <v>43343</v>
      </c>
      <c r="D137" s="15">
        <v>43354.387651420941</v>
      </c>
      <c r="E137" t="s">
        <v>23</v>
      </c>
      <c r="F137" t="s">
        <v>31</v>
      </c>
      <c r="G137" s="13" t="s">
        <v>192</v>
      </c>
      <c r="H137" s="16">
        <v>2467</v>
      </c>
      <c r="I137">
        <f>IF(TbRegistrosEntradas[[#This Row],[Data do Caixa Realizado]]="",0,MONTH(TbRegistrosEntradas[[#This Row],[Data do Caixa Realizado]]))</f>
        <v>9</v>
      </c>
      <c r="J137">
        <f>IF(TbRegistrosEntradas[[#This Row],[Data do Caixa Realizado]]="",0,YEAR(TbRegistrosEntradas[[#This Row],[Data do Caixa Realizado]]))</f>
        <v>2018</v>
      </c>
      <c r="K137">
        <f>IF(TbRegistrosEntradas[[#This Row],[Data da Competência]]="",0,MONTH(TbRegistrosEntradas[[#This Row],[Data da Competência]]))</f>
        <v>8</v>
      </c>
      <c r="L137">
        <f>IF(TbRegistrosEntradas[[#This Row],[Data da Competência]]="",0,YEAR(TbRegistrosEntradas[[#This Row],[Data da Competência]]))</f>
        <v>2018</v>
      </c>
      <c r="M137" s="40">
        <f>IF(TbRegistrosEntradas[[#This Row],[Data do Caixa Previsto]]="",0,MONTH(TbRegistrosEntradas[[#This Row],[Data do Caixa Previsto]]))</f>
        <v>9</v>
      </c>
      <c r="N137" s="40">
        <f>IF(TbRegistrosEntradas[[#This Row],[Data do Caixa Previsto]]="",0,YEAR(TbRegistrosEntradas[[#This Row],[Data do Caixa Previsto]]))</f>
        <v>2018</v>
      </c>
      <c r="O137" s="40" t="str">
        <f ca="1">IF(AND(TbRegistrosEntradas[[#This Row],[Data do Caixa Previsto]]&lt;TODAY(),TbRegistrosEntradas[[#This Row],[Data do Caixa Realizado]]=""),"Vencida","Não vencida")</f>
        <v>Não vencida</v>
      </c>
      <c r="P137" s="40" t="str">
        <f>IF(TbRegistrosEntradas[[#This Row],[Data da Competência]]=TbRegistrosEntradas[[#This Row],[Data do Caixa Previsto]],"Vista","Prazo")</f>
        <v>Prazo</v>
      </c>
      <c r="Q13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38" spans="2:17" x14ac:dyDescent="0.25">
      <c r="B138" s="15" t="s">
        <v>69</v>
      </c>
      <c r="C138" s="15">
        <v>43344</v>
      </c>
      <c r="D138" s="15">
        <v>43370.663792328756</v>
      </c>
      <c r="E138" t="s">
        <v>23</v>
      </c>
      <c r="F138" t="s">
        <v>33</v>
      </c>
      <c r="G138" s="13" t="s">
        <v>193</v>
      </c>
      <c r="H138" s="16">
        <v>4253</v>
      </c>
      <c r="I138">
        <f>IF(TbRegistrosEntradas[[#This Row],[Data do Caixa Realizado]]="",0,MONTH(TbRegistrosEntradas[[#This Row],[Data do Caixa Realizado]]))</f>
        <v>0</v>
      </c>
      <c r="J138">
        <f>IF(TbRegistrosEntradas[[#This Row],[Data do Caixa Realizado]]="",0,YEAR(TbRegistrosEntradas[[#This Row],[Data do Caixa Realizado]]))</f>
        <v>0</v>
      </c>
      <c r="K138">
        <f>IF(TbRegistrosEntradas[[#This Row],[Data da Competência]]="",0,MONTH(TbRegistrosEntradas[[#This Row],[Data da Competência]]))</f>
        <v>9</v>
      </c>
      <c r="L138">
        <f>IF(TbRegistrosEntradas[[#This Row],[Data da Competência]]="",0,YEAR(TbRegistrosEntradas[[#This Row],[Data da Competência]]))</f>
        <v>2018</v>
      </c>
      <c r="M138" s="40">
        <f>IF(TbRegistrosEntradas[[#This Row],[Data do Caixa Previsto]]="",0,MONTH(TbRegistrosEntradas[[#This Row],[Data do Caixa Previsto]]))</f>
        <v>9</v>
      </c>
      <c r="N138" s="40">
        <f>IF(TbRegistrosEntradas[[#This Row],[Data do Caixa Previsto]]="",0,YEAR(TbRegistrosEntradas[[#This Row],[Data do Caixa Previsto]]))</f>
        <v>2018</v>
      </c>
      <c r="O138" s="40" t="str">
        <f ca="1">IF(AND(TbRegistrosEntradas[[#This Row],[Data do Caixa Previsto]]&lt;TODAY(),TbRegistrosEntradas[[#This Row],[Data do Caixa Realizado]]=""),"Vencida","Não vencida")</f>
        <v>Vencida</v>
      </c>
      <c r="P138" s="40" t="str">
        <f>IF(TbRegistrosEntradas[[#This Row],[Data da Competência]]=TbRegistrosEntradas[[#This Row],[Data do Caixa Previsto]],"Vista","Prazo")</f>
        <v>Prazo</v>
      </c>
      <c r="Q13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1945.3362076712438</v>
      </c>
    </row>
    <row r="139" spans="2:17" x14ac:dyDescent="0.25">
      <c r="B139" s="15">
        <v>43357</v>
      </c>
      <c r="C139" s="15">
        <v>43350</v>
      </c>
      <c r="D139" s="15">
        <v>43357.782262904322</v>
      </c>
      <c r="E139" t="s">
        <v>23</v>
      </c>
      <c r="F139" t="s">
        <v>34</v>
      </c>
      <c r="G139" s="13" t="s">
        <v>194</v>
      </c>
      <c r="H139" s="16">
        <v>2391</v>
      </c>
      <c r="I139">
        <f>IF(TbRegistrosEntradas[[#This Row],[Data do Caixa Realizado]]="",0,MONTH(TbRegistrosEntradas[[#This Row],[Data do Caixa Realizado]]))</f>
        <v>9</v>
      </c>
      <c r="J139">
        <f>IF(TbRegistrosEntradas[[#This Row],[Data do Caixa Realizado]]="",0,YEAR(TbRegistrosEntradas[[#This Row],[Data do Caixa Realizado]]))</f>
        <v>2018</v>
      </c>
      <c r="K139">
        <f>IF(TbRegistrosEntradas[[#This Row],[Data da Competência]]="",0,MONTH(TbRegistrosEntradas[[#This Row],[Data da Competência]]))</f>
        <v>9</v>
      </c>
      <c r="L139">
        <f>IF(TbRegistrosEntradas[[#This Row],[Data da Competência]]="",0,YEAR(TbRegistrosEntradas[[#This Row],[Data da Competência]]))</f>
        <v>2018</v>
      </c>
      <c r="M139" s="40">
        <f>IF(TbRegistrosEntradas[[#This Row],[Data do Caixa Previsto]]="",0,MONTH(TbRegistrosEntradas[[#This Row],[Data do Caixa Previsto]]))</f>
        <v>9</v>
      </c>
      <c r="N139" s="40">
        <f>IF(TbRegistrosEntradas[[#This Row],[Data do Caixa Previsto]]="",0,YEAR(TbRegistrosEntradas[[#This Row],[Data do Caixa Previsto]]))</f>
        <v>2018</v>
      </c>
      <c r="O139" s="40" t="str">
        <f ca="1">IF(AND(TbRegistrosEntradas[[#This Row],[Data do Caixa Previsto]]&lt;TODAY(),TbRegistrosEntradas[[#This Row],[Data do Caixa Realizado]]=""),"Vencida","Não vencida")</f>
        <v>Não vencida</v>
      </c>
      <c r="P139" s="40" t="str">
        <f>IF(TbRegistrosEntradas[[#This Row],[Data da Competência]]=TbRegistrosEntradas[[#This Row],[Data do Caixa Previsto]],"Vista","Prazo")</f>
        <v>Prazo</v>
      </c>
      <c r="Q13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40" spans="2:17" x14ac:dyDescent="0.25">
      <c r="B140" s="15">
        <v>43370</v>
      </c>
      <c r="C140" s="15">
        <v>43352</v>
      </c>
      <c r="D140" s="15">
        <v>43365.799147030826</v>
      </c>
      <c r="E140" t="s">
        <v>23</v>
      </c>
      <c r="F140" t="s">
        <v>33</v>
      </c>
      <c r="G140" s="13" t="s">
        <v>195</v>
      </c>
      <c r="H140" s="16">
        <v>3669</v>
      </c>
      <c r="I140">
        <f>IF(TbRegistrosEntradas[[#This Row],[Data do Caixa Realizado]]="",0,MONTH(TbRegistrosEntradas[[#This Row],[Data do Caixa Realizado]]))</f>
        <v>9</v>
      </c>
      <c r="J140">
        <f>IF(TbRegistrosEntradas[[#This Row],[Data do Caixa Realizado]]="",0,YEAR(TbRegistrosEntradas[[#This Row],[Data do Caixa Realizado]]))</f>
        <v>2018</v>
      </c>
      <c r="K140">
        <f>IF(TbRegistrosEntradas[[#This Row],[Data da Competência]]="",0,MONTH(TbRegistrosEntradas[[#This Row],[Data da Competência]]))</f>
        <v>9</v>
      </c>
      <c r="L140">
        <f>IF(TbRegistrosEntradas[[#This Row],[Data da Competência]]="",0,YEAR(TbRegistrosEntradas[[#This Row],[Data da Competência]]))</f>
        <v>2018</v>
      </c>
      <c r="M140" s="40">
        <f>IF(TbRegistrosEntradas[[#This Row],[Data do Caixa Previsto]]="",0,MONTH(TbRegistrosEntradas[[#This Row],[Data do Caixa Previsto]]))</f>
        <v>9</v>
      </c>
      <c r="N140" s="40">
        <f>IF(TbRegistrosEntradas[[#This Row],[Data do Caixa Previsto]]="",0,YEAR(TbRegistrosEntradas[[#This Row],[Data do Caixa Previsto]]))</f>
        <v>2018</v>
      </c>
      <c r="O140" s="40" t="str">
        <f ca="1">IF(AND(TbRegistrosEntradas[[#This Row],[Data do Caixa Previsto]]&lt;TODAY(),TbRegistrosEntradas[[#This Row],[Data do Caixa Realizado]]=""),"Vencida","Não vencida")</f>
        <v>Não vencida</v>
      </c>
      <c r="P140" s="40" t="str">
        <f>IF(TbRegistrosEntradas[[#This Row],[Data da Competência]]=TbRegistrosEntradas[[#This Row],[Data do Caixa Previsto]],"Vista","Prazo")</f>
        <v>Prazo</v>
      </c>
      <c r="Q14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4.2008529691738659</v>
      </c>
    </row>
    <row r="141" spans="2:17" x14ac:dyDescent="0.25">
      <c r="B141" s="15">
        <v>43452</v>
      </c>
      <c r="C141" s="15">
        <v>43355</v>
      </c>
      <c r="D141" s="15">
        <v>43383.231108677093</v>
      </c>
      <c r="E141" t="s">
        <v>23</v>
      </c>
      <c r="F141" t="s">
        <v>33</v>
      </c>
      <c r="G141" s="13" t="s">
        <v>196</v>
      </c>
      <c r="H141" s="16">
        <v>1207</v>
      </c>
      <c r="I141">
        <f>IF(TbRegistrosEntradas[[#This Row],[Data do Caixa Realizado]]="",0,MONTH(TbRegistrosEntradas[[#This Row],[Data do Caixa Realizado]]))</f>
        <v>12</v>
      </c>
      <c r="J141">
        <f>IF(TbRegistrosEntradas[[#This Row],[Data do Caixa Realizado]]="",0,YEAR(TbRegistrosEntradas[[#This Row],[Data do Caixa Realizado]]))</f>
        <v>2018</v>
      </c>
      <c r="K141">
        <f>IF(TbRegistrosEntradas[[#This Row],[Data da Competência]]="",0,MONTH(TbRegistrosEntradas[[#This Row],[Data da Competência]]))</f>
        <v>9</v>
      </c>
      <c r="L141">
        <f>IF(TbRegistrosEntradas[[#This Row],[Data da Competência]]="",0,YEAR(TbRegistrosEntradas[[#This Row],[Data da Competência]]))</f>
        <v>2018</v>
      </c>
      <c r="M141" s="40">
        <f>IF(TbRegistrosEntradas[[#This Row],[Data do Caixa Previsto]]="",0,MONTH(TbRegistrosEntradas[[#This Row],[Data do Caixa Previsto]]))</f>
        <v>10</v>
      </c>
      <c r="N141" s="40">
        <f>IF(TbRegistrosEntradas[[#This Row],[Data do Caixa Previsto]]="",0,YEAR(TbRegistrosEntradas[[#This Row],[Data do Caixa Previsto]]))</f>
        <v>2018</v>
      </c>
      <c r="O141" s="40" t="str">
        <f ca="1">IF(AND(TbRegistrosEntradas[[#This Row],[Data do Caixa Previsto]]&lt;TODAY(),TbRegistrosEntradas[[#This Row],[Data do Caixa Realizado]]=""),"Vencida","Não vencida")</f>
        <v>Não vencida</v>
      </c>
      <c r="P141" s="40" t="str">
        <f>IF(TbRegistrosEntradas[[#This Row],[Data da Competência]]=TbRegistrosEntradas[[#This Row],[Data do Caixa Previsto]],"Vista","Prazo")</f>
        <v>Prazo</v>
      </c>
      <c r="Q14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68.768891322906711</v>
      </c>
    </row>
    <row r="142" spans="2:17" x14ac:dyDescent="0.25">
      <c r="B142" s="15">
        <v>43412</v>
      </c>
      <c r="C142" s="15">
        <v>43361</v>
      </c>
      <c r="D142" s="15">
        <v>43412.045933493078</v>
      </c>
      <c r="E142" t="s">
        <v>23</v>
      </c>
      <c r="F142" t="s">
        <v>31</v>
      </c>
      <c r="G142" s="13" t="s">
        <v>197</v>
      </c>
      <c r="H142" s="16">
        <v>2539</v>
      </c>
      <c r="I142">
        <f>IF(TbRegistrosEntradas[[#This Row],[Data do Caixa Realizado]]="",0,MONTH(TbRegistrosEntradas[[#This Row],[Data do Caixa Realizado]]))</f>
        <v>11</v>
      </c>
      <c r="J142">
        <f>IF(TbRegistrosEntradas[[#This Row],[Data do Caixa Realizado]]="",0,YEAR(TbRegistrosEntradas[[#This Row],[Data do Caixa Realizado]]))</f>
        <v>2018</v>
      </c>
      <c r="K142">
        <f>IF(TbRegistrosEntradas[[#This Row],[Data da Competência]]="",0,MONTH(TbRegistrosEntradas[[#This Row],[Data da Competência]]))</f>
        <v>9</v>
      </c>
      <c r="L142">
        <f>IF(TbRegistrosEntradas[[#This Row],[Data da Competência]]="",0,YEAR(TbRegistrosEntradas[[#This Row],[Data da Competência]]))</f>
        <v>2018</v>
      </c>
      <c r="M142" s="40">
        <f>IF(TbRegistrosEntradas[[#This Row],[Data do Caixa Previsto]]="",0,MONTH(TbRegistrosEntradas[[#This Row],[Data do Caixa Previsto]]))</f>
        <v>11</v>
      </c>
      <c r="N142" s="40">
        <f>IF(TbRegistrosEntradas[[#This Row],[Data do Caixa Previsto]]="",0,YEAR(TbRegistrosEntradas[[#This Row],[Data do Caixa Previsto]]))</f>
        <v>2018</v>
      </c>
      <c r="O142" s="40" t="str">
        <f ca="1">IF(AND(TbRegistrosEntradas[[#This Row],[Data do Caixa Previsto]]&lt;TODAY(),TbRegistrosEntradas[[#This Row],[Data do Caixa Realizado]]=""),"Vencida","Não vencida")</f>
        <v>Não vencida</v>
      </c>
      <c r="P142" s="40" t="str">
        <f>IF(TbRegistrosEntradas[[#This Row],[Data da Competência]]=TbRegistrosEntradas[[#This Row],[Data do Caixa Previsto]],"Vista","Prazo")</f>
        <v>Prazo</v>
      </c>
      <c r="Q14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43" spans="2:17" x14ac:dyDescent="0.25">
      <c r="B143" s="15">
        <v>43374</v>
      </c>
      <c r="C143" s="15">
        <v>43363</v>
      </c>
      <c r="D143" s="15">
        <v>43374.505096957248</v>
      </c>
      <c r="E143" t="s">
        <v>23</v>
      </c>
      <c r="F143" t="s">
        <v>32</v>
      </c>
      <c r="G143" s="13" t="s">
        <v>198</v>
      </c>
      <c r="H143" s="16">
        <v>2895</v>
      </c>
      <c r="I143">
        <f>IF(TbRegistrosEntradas[[#This Row],[Data do Caixa Realizado]]="",0,MONTH(TbRegistrosEntradas[[#This Row],[Data do Caixa Realizado]]))</f>
        <v>10</v>
      </c>
      <c r="J143">
        <f>IF(TbRegistrosEntradas[[#This Row],[Data do Caixa Realizado]]="",0,YEAR(TbRegistrosEntradas[[#This Row],[Data do Caixa Realizado]]))</f>
        <v>2018</v>
      </c>
      <c r="K143">
        <f>IF(TbRegistrosEntradas[[#This Row],[Data da Competência]]="",0,MONTH(TbRegistrosEntradas[[#This Row],[Data da Competência]]))</f>
        <v>9</v>
      </c>
      <c r="L143">
        <f>IF(TbRegistrosEntradas[[#This Row],[Data da Competência]]="",0,YEAR(TbRegistrosEntradas[[#This Row],[Data da Competência]]))</f>
        <v>2018</v>
      </c>
      <c r="M143" s="40">
        <f>IF(TbRegistrosEntradas[[#This Row],[Data do Caixa Previsto]]="",0,MONTH(TbRegistrosEntradas[[#This Row],[Data do Caixa Previsto]]))</f>
        <v>10</v>
      </c>
      <c r="N143" s="40">
        <f>IF(TbRegistrosEntradas[[#This Row],[Data do Caixa Previsto]]="",0,YEAR(TbRegistrosEntradas[[#This Row],[Data do Caixa Previsto]]))</f>
        <v>2018</v>
      </c>
      <c r="O143" s="40" t="str">
        <f ca="1">IF(AND(TbRegistrosEntradas[[#This Row],[Data do Caixa Previsto]]&lt;TODAY(),TbRegistrosEntradas[[#This Row],[Data do Caixa Realizado]]=""),"Vencida","Não vencida")</f>
        <v>Não vencida</v>
      </c>
      <c r="P143" s="40" t="str">
        <f>IF(TbRegistrosEntradas[[#This Row],[Data da Competência]]=TbRegistrosEntradas[[#This Row],[Data do Caixa Previsto]],"Vista","Prazo")</f>
        <v>Prazo</v>
      </c>
      <c r="Q14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44" spans="2:17" x14ac:dyDescent="0.25">
      <c r="B144" s="15">
        <v>43388</v>
      </c>
      <c r="C144" s="15">
        <v>43364</v>
      </c>
      <c r="D144" s="15">
        <v>43377.195562585111</v>
      </c>
      <c r="E144" t="s">
        <v>23</v>
      </c>
      <c r="F144" t="s">
        <v>33</v>
      </c>
      <c r="G144" s="13" t="s">
        <v>199</v>
      </c>
      <c r="H144" s="16">
        <v>2106</v>
      </c>
      <c r="I144">
        <f>IF(TbRegistrosEntradas[[#This Row],[Data do Caixa Realizado]]="",0,MONTH(TbRegistrosEntradas[[#This Row],[Data do Caixa Realizado]]))</f>
        <v>10</v>
      </c>
      <c r="J144">
        <f>IF(TbRegistrosEntradas[[#This Row],[Data do Caixa Realizado]]="",0,YEAR(TbRegistrosEntradas[[#This Row],[Data do Caixa Realizado]]))</f>
        <v>2018</v>
      </c>
      <c r="K144">
        <f>IF(TbRegistrosEntradas[[#This Row],[Data da Competência]]="",0,MONTH(TbRegistrosEntradas[[#This Row],[Data da Competência]]))</f>
        <v>9</v>
      </c>
      <c r="L144">
        <f>IF(TbRegistrosEntradas[[#This Row],[Data da Competência]]="",0,YEAR(TbRegistrosEntradas[[#This Row],[Data da Competência]]))</f>
        <v>2018</v>
      </c>
      <c r="M144" s="40">
        <f>IF(TbRegistrosEntradas[[#This Row],[Data do Caixa Previsto]]="",0,MONTH(TbRegistrosEntradas[[#This Row],[Data do Caixa Previsto]]))</f>
        <v>10</v>
      </c>
      <c r="N144" s="40">
        <f>IF(TbRegistrosEntradas[[#This Row],[Data do Caixa Previsto]]="",0,YEAR(TbRegistrosEntradas[[#This Row],[Data do Caixa Previsto]]))</f>
        <v>2018</v>
      </c>
      <c r="O144" s="40" t="str">
        <f ca="1">IF(AND(TbRegistrosEntradas[[#This Row],[Data do Caixa Previsto]]&lt;TODAY(),TbRegistrosEntradas[[#This Row],[Data do Caixa Realizado]]=""),"Vencida","Não vencida")</f>
        <v>Não vencida</v>
      </c>
      <c r="P144" s="40" t="str">
        <f>IF(TbRegistrosEntradas[[#This Row],[Data da Competência]]=TbRegistrosEntradas[[#This Row],[Data do Caixa Previsto]],"Vista","Prazo")</f>
        <v>Prazo</v>
      </c>
      <c r="Q14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10.804437414888525</v>
      </c>
    </row>
    <row r="145" spans="2:17" x14ac:dyDescent="0.25">
      <c r="B145" s="15">
        <v>43405</v>
      </c>
      <c r="C145" s="15">
        <v>43366</v>
      </c>
      <c r="D145" s="15">
        <v>43405.698265794999</v>
      </c>
      <c r="E145" t="s">
        <v>23</v>
      </c>
      <c r="F145" t="s">
        <v>32</v>
      </c>
      <c r="G145" s="13" t="s">
        <v>200</v>
      </c>
      <c r="H145" s="16">
        <v>3742</v>
      </c>
      <c r="I145">
        <f>IF(TbRegistrosEntradas[[#This Row],[Data do Caixa Realizado]]="",0,MONTH(TbRegistrosEntradas[[#This Row],[Data do Caixa Realizado]]))</f>
        <v>11</v>
      </c>
      <c r="J145">
        <f>IF(TbRegistrosEntradas[[#This Row],[Data do Caixa Realizado]]="",0,YEAR(TbRegistrosEntradas[[#This Row],[Data do Caixa Realizado]]))</f>
        <v>2018</v>
      </c>
      <c r="K145">
        <f>IF(TbRegistrosEntradas[[#This Row],[Data da Competência]]="",0,MONTH(TbRegistrosEntradas[[#This Row],[Data da Competência]]))</f>
        <v>9</v>
      </c>
      <c r="L145">
        <f>IF(TbRegistrosEntradas[[#This Row],[Data da Competência]]="",0,YEAR(TbRegistrosEntradas[[#This Row],[Data da Competência]]))</f>
        <v>2018</v>
      </c>
      <c r="M145" s="40">
        <f>IF(TbRegistrosEntradas[[#This Row],[Data do Caixa Previsto]]="",0,MONTH(TbRegistrosEntradas[[#This Row],[Data do Caixa Previsto]]))</f>
        <v>11</v>
      </c>
      <c r="N145" s="40">
        <f>IF(TbRegistrosEntradas[[#This Row],[Data do Caixa Previsto]]="",0,YEAR(TbRegistrosEntradas[[#This Row],[Data do Caixa Previsto]]))</f>
        <v>2018</v>
      </c>
      <c r="O145" s="40" t="str">
        <f ca="1">IF(AND(TbRegistrosEntradas[[#This Row],[Data do Caixa Previsto]]&lt;TODAY(),TbRegistrosEntradas[[#This Row],[Data do Caixa Realizado]]=""),"Vencida","Não vencida")</f>
        <v>Não vencida</v>
      </c>
      <c r="P145" s="40" t="str">
        <f>IF(TbRegistrosEntradas[[#This Row],[Data da Competência]]=TbRegistrosEntradas[[#This Row],[Data do Caixa Previsto]],"Vista","Prazo")</f>
        <v>Prazo</v>
      </c>
      <c r="Q14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46" spans="2:17" x14ac:dyDescent="0.25">
      <c r="B146" s="15">
        <v>43395</v>
      </c>
      <c r="C146" s="15">
        <v>43369</v>
      </c>
      <c r="D146" s="15">
        <v>43395.635115246572</v>
      </c>
      <c r="E146" t="s">
        <v>23</v>
      </c>
      <c r="F146" t="s">
        <v>31</v>
      </c>
      <c r="G146" s="13" t="s">
        <v>201</v>
      </c>
      <c r="H146" s="16">
        <v>3222</v>
      </c>
      <c r="I146">
        <f>IF(TbRegistrosEntradas[[#This Row],[Data do Caixa Realizado]]="",0,MONTH(TbRegistrosEntradas[[#This Row],[Data do Caixa Realizado]]))</f>
        <v>10</v>
      </c>
      <c r="J146">
        <f>IF(TbRegistrosEntradas[[#This Row],[Data do Caixa Realizado]]="",0,YEAR(TbRegistrosEntradas[[#This Row],[Data do Caixa Realizado]]))</f>
        <v>2018</v>
      </c>
      <c r="K146">
        <f>IF(TbRegistrosEntradas[[#This Row],[Data da Competência]]="",0,MONTH(TbRegistrosEntradas[[#This Row],[Data da Competência]]))</f>
        <v>9</v>
      </c>
      <c r="L146">
        <f>IF(TbRegistrosEntradas[[#This Row],[Data da Competência]]="",0,YEAR(TbRegistrosEntradas[[#This Row],[Data da Competência]]))</f>
        <v>2018</v>
      </c>
      <c r="M146" s="40">
        <f>IF(TbRegistrosEntradas[[#This Row],[Data do Caixa Previsto]]="",0,MONTH(TbRegistrosEntradas[[#This Row],[Data do Caixa Previsto]]))</f>
        <v>10</v>
      </c>
      <c r="N146" s="40">
        <f>IF(TbRegistrosEntradas[[#This Row],[Data do Caixa Previsto]]="",0,YEAR(TbRegistrosEntradas[[#This Row],[Data do Caixa Previsto]]))</f>
        <v>2018</v>
      </c>
      <c r="O146" s="40" t="str">
        <f ca="1">IF(AND(TbRegistrosEntradas[[#This Row],[Data do Caixa Previsto]]&lt;TODAY(),TbRegistrosEntradas[[#This Row],[Data do Caixa Realizado]]=""),"Vencida","Não vencida")</f>
        <v>Não vencida</v>
      </c>
      <c r="P146" s="40" t="str">
        <f>IF(TbRegistrosEntradas[[#This Row],[Data da Competência]]=TbRegistrosEntradas[[#This Row],[Data do Caixa Previsto]],"Vista","Prazo")</f>
        <v>Prazo</v>
      </c>
      <c r="Q14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47" spans="2:17" x14ac:dyDescent="0.25">
      <c r="B147" s="15">
        <v>43392</v>
      </c>
      <c r="C147" s="15">
        <v>43374</v>
      </c>
      <c r="D147" s="15">
        <v>43392.294011107704</v>
      </c>
      <c r="E147" t="s">
        <v>23</v>
      </c>
      <c r="F147" t="s">
        <v>33</v>
      </c>
      <c r="G147" s="13" t="s">
        <v>202</v>
      </c>
      <c r="H147" s="16">
        <v>673</v>
      </c>
      <c r="I147">
        <f>IF(TbRegistrosEntradas[[#This Row],[Data do Caixa Realizado]]="",0,MONTH(TbRegistrosEntradas[[#This Row],[Data do Caixa Realizado]]))</f>
        <v>10</v>
      </c>
      <c r="J147">
        <f>IF(TbRegistrosEntradas[[#This Row],[Data do Caixa Realizado]]="",0,YEAR(TbRegistrosEntradas[[#This Row],[Data do Caixa Realizado]]))</f>
        <v>2018</v>
      </c>
      <c r="K147">
        <f>IF(TbRegistrosEntradas[[#This Row],[Data da Competência]]="",0,MONTH(TbRegistrosEntradas[[#This Row],[Data da Competência]]))</f>
        <v>10</v>
      </c>
      <c r="L147">
        <f>IF(TbRegistrosEntradas[[#This Row],[Data da Competência]]="",0,YEAR(TbRegistrosEntradas[[#This Row],[Data da Competência]]))</f>
        <v>2018</v>
      </c>
      <c r="M147" s="40">
        <f>IF(TbRegistrosEntradas[[#This Row],[Data do Caixa Previsto]]="",0,MONTH(TbRegistrosEntradas[[#This Row],[Data do Caixa Previsto]]))</f>
        <v>10</v>
      </c>
      <c r="N147" s="40">
        <f>IF(TbRegistrosEntradas[[#This Row],[Data do Caixa Previsto]]="",0,YEAR(TbRegistrosEntradas[[#This Row],[Data do Caixa Previsto]]))</f>
        <v>2018</v>
      </c>
      <c r="O147" s="40" t="str">
        <f ca="1">IF(AND(TbRegistrosEntradas[[#This Row],[Data do Caixa Previsto]]&lt;TODAY(),TbRegistrosEntradas[[#This Row],[Data do Caixa Realizado]]=""),"Vencida","Não vencida")</f>
        <v>Não vencida</v>
      </c>
      <c r="P147" s="40" t="str">
        <f>IF(TbRegistrosEntradas[[#This Row],[Data da Competência]]=TbRegistrosEntradas[[#This Row],[Data do Caixa Previsto]],"Vista","Prazo")</f>
        <v>Prazo</v>
      </c>
      <c r="Q14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48" spans="2:17" x14ac:dyDescent="0.25">
      <c r="B148" s="15" t="s">
        <v>69</v>
      </c>
      <c r="C148" s="15">
        <v>43378</v>
      </c>
      <c r="D148" s="15">
        <v>43399.816257310325</v>
      </c>
      <c r="E148" t="s">
        <v>23</v>
      </c>
      <c r="F148" t="s">
        <v>30</v>
      </c>
      <c r="G148" s="13" t="s">
        <v>203</v>
      </c>
      <c r="H148" s="16">
        <v>4922</v>
      </c>
      <c r="I148">
        <f>IF(TbRegistrosEntradas[[#This Row],[Data do Caixa Realizado]]="",0,MONTH(TbRegistrosEntradas[[#This Row],[Data do Caixa Realizado]]))</f>
        <v>0</v>
      </c>
      <c r="J148">
        <f>IF(TbRegistrosEntradas[[#This Row],[Data do Caixa Realizado]]="",0,YEAR(TbRegistrosEntradas[[#This Row],[Data do Caixa Realizado]]))</f>
        <v>0</v>
      </c>
      <c r="K148">
        <f>IF(TbRegistrosEntradas[[#This Row],[Data da Competência]]="",0,MONTH(TbRegistrosEntradas[[#This Row],[Data da Competência]]))</f>
        <v>10</v>
      </c>
      <c r="L148">
        <f>IF(TbRegistrosEntradas[[#This Row],[Data da Competência]]="",0,YEAR(TbRegistrosEntradas[[#This Row],[Data da Competência]]))</f>
        <v>2018</v>
      </c>
      <c r="M148" s="40">
        <f>IF(TbRegistrosEntradas[[#This Row],[Data do Caixa Previsto]]="",0,MONTH(TbRegistrosEntradas[[#This Row],[Data do Caixa Previsto]]))</f>
        <v>10</v>
      </c>
      <c r="N148" s="40">
        <f>IF(TbRegistrosEntradas[[#This Row],[Data do Caixa Previsto]]="",0,YEAR(TbRegistrosEntradas[[#This Row],[Data do Caixa Previsto]]))</f>
        <v>2018</v>
      </c>
      <c r="O148" s="40" t="str">
        <f ca="1">IF(AND(TbRegistrosEntradas[[#This Row],[Data do Caixa Previsto]]&lt;TODAY(),TbRegistrosEntradas[[#This Row],[Data do Caixa Realizado]]=""),"Vencida","Não vencida")</f>
        <v>Vencida</v>
      </c>
      <c r="P148" s="40" t="str">
        <f>IF(TbRegistrosEntradas[[#This Row],[Data da Competência]]=TbRegistrosEntradas[[#This Row],[Data do Caixa Previsto]],"Vista","Prazo")</f>
        <v>Prazo</v>
      </c>
      <c r="Q14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1916.1837426896745</v>
      </c>
    </row>
    <row r="149" spans="2:17" x14ac:dyDescent="0.25">
      <c r="B149" s="15">
        <v>43491</v>
      </c>
      <c r="C149" s="15">
        <v>43382</v>
      </c>
      <c r="D149" s="15">
        <v>43432.893680650159</v>
      </c>
      <c r="E149" t="s">
        <v>23</v>
      </c>
      <c r="F149" t="s">
        <v>34</v>
      </c>
      <c r="G149" s="13" t="s">
        <v>204</v>
      </c>
      <c r="H149" s="16">
        <v>1688</v>
      </c>
      <c r="I149">
        <f>IF(TbRegistrosEntradas[[#This Row],[Data do Caixa Realizado]]="",0,MONTH(TbRegistrosEntradas[[#This Row],[Data do Caixa Realizado]]))</f>
        <v>1</v>
      </c>
      <c r="J149">
        <f>IF(TbRegistrosEntradas[[#This Row],[Data do Caixa Realizado]]="",0,YEAR(TbRegistrosEntradas[[#This Row],[Data do Caixa Realizado]]))</f>
        <v>2019</v>
      </c>
      <c r="K149">
        <f>IF(TbRegistrosEntradas[[#This Row],[Data da Competência]]="",0,MONTH(TbRegistrosEntradas[[#This Row],[Data da Competência]]))</f>
        <v>10</v>
      </c>
      <c r="L149">
        <f>IF(TbRegistrosEntradas[[#This Row],[Data da Competência]]="",0,YEAR(TbRegistrosEntradas[[#This Row],[Data da Competência]]))</f>
        <v>2018</v>
      </c>
      <c r="M149" s="40">
        <f>IF(TbRegistrosEntradas[[#This Row],[Data do Caixa Previsto]]="",0,MONTH(TbRegistrosEntradas[[#This Row],[Data do Caixa Previsto]]))</f>
        <v>11</v>
      </c>
      <c r="N149" s="40">
        <f>IF(TbRegistrosEntradas[[#This Row],[Data do Caixa Previsto]]="",0,YEAR(TbRegistrosEntradas[[#This Row],[Data do Caixa Previsto]]))</f>
        <v>2018</v>
      </c>
      <c r="O149" s="40" t="str">
        <f ca="1">IF(AND(TbRegistrosEntradas[[#This Row],[Data do Caixa Previsto]]&lt;TODAY(),TbRegistrosEntradas[[#This Row],[Data do Caixa Realizado]]=""),"Vencida","Não vencida")</f>
        <v>Não vencida</v>
      </c>
      <c r="P149" s="40" t="str">
        <f>IF(TbRegistrosEntradas[[#This Row],[Data da Competência]]=TbRegistrosEntradas[[#This Row],[Data do Caixa Previsto]],"Vista","Prazo")</f>
        <v>Prazo</v>
      </c>
      <c r="Q14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58.106319349841215</v>
      </c>
    </row>
    <row r="150" spans="2:17" x14ac:dyDescent="0.25">
      <c r="B150" s="15">
        <v>43442</v>
      </c>
      <c r="C150" s="15">
        <v>43382</v>
      </c>
      <c r="D150" s="15">
        <v>43423.510226289633</v>
      </c>
      <c r="E150" t="s">
        <v>23</v>
      </c>
      <c r="F150" t="s">
        <v>34</v>
      </c>
      <c r="G150" s="13" t="s">
        <v>205</v>
      </c>
      <c r="H150" s="16">
        <v>979</v>
      </c>
      <c r="I150">
        <f>IF(TbRegistrosEntradas[[#This Row],[Data do Caixa Realizado]]="",0,MONTH(TbRegistrosEntradas[[#This Row],[Data do Caixa Realizado]]))</f>
        <v>12</v>
      </c>
      <c r="J150">
        <f>IF(TbRegistrosEntradas[[#This Row],[Data do Caixa Realizado]]="",0,YEAR(TbRegistrosEntradas[[#This Row],[Data do Caixa Realizado]]))</f>
        <v>2018</v>
      </c>
      <c r="K150">
        <f>IF(TbRegistrosEntradas[[#This Row],[Data da Competência]]="",0,MONTH(TbRegistrosEntradas[[#This Row],[Data da Competência]]))</f>
        <v>10</v>
      </c>
      <c r="L150">
        <f>IF(TbRegistrosEntradas[[#This Row],[Data da Competência]]="",0,YEAR(TbRegistrosEntradas[[#This Row],[Data da Competência]]))</f>
        <v>2018</v>
      </c>
      <c r="M150" s="40">
        <f>IF(TbRegistrosEntradas[[#This Row],[Data do Caixa Previsto]]="",0,MONTH(TbRegistrosEntradas[[#This Row],[Data do Caixa Previsto]]))</f>
        <v>11</v>
      </c>
      <c r="N150" s="40">
        <f>IF(TbRegistrosEntradas[[#This Row],[Data do Caixa Previsto]]="",0,YEAR(TbRegistrosEntradas[[#This Row],[Data do Caixa Previsto]]))</f>
        <v>2018</v>
      </c>
      <c r="O150" s="40" t="str">
        <f ca="1">IF(AND(TbRegistrosEntradas[[#This Row],[Data do Caixa Previsto]]&lt;TODAY(),TbRegistrosEntradas[[#This Row],[Data do Caixa Realizado]]=""),"Vencida","Não vencida")</f>
        <v>Não vencida</v>
      </c>
      <c r="P150" s="40" t="str">
        <f>IF(TbRegistrosEntradas[[#This Row],[Data da Competência]]=TbRegistrosEntradas[[#This Row],[Data do Caixa Previsto]],"Vista","Prazo")</f>
        <v>Prazo</v>
      </c>
      <c r="Q15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18.489773710367444</v>
      </c>
    </row>
    <row r="151" spans="2:17" x14ac:dyDescent="0.25">
      <c r="B151" s="15">
        <v>43400</v>
      </c>
      <c r="C151" s="15">
        <v>43387</v>
      </c>
      <c r="D151" s="15">
        <v>43400.871146361249</v>
      </c>
      <c r="E151" t="s">
        <v>23</v>
      </c>
      <c r="F151" t="s">
        <v>33</v>
      </c>
      <c r="G151" s="13" t="s">
        <v>206</v>
      </c>
      <c r="H151" s="16">
        <v>3744</v>
      </c>
      <c r="I151">
        <f>IF(TbRegistrosEntradas[[#This Row],[Data do Caixa Realizado]]="",0,MONTH(TbRegistrosEntradas[[#This Row],[Data do Caixa Realizado]]))</f>
        <v>10</v>
      </c>
      <c r="J151">
        <f>IF(TbRegistrosEntradas[[#This Row],[Data do Caixa Realizado]]="",0,YEAR(TbRegistrosEntradas[[#This Row],[Data do Caixa Realizado]]))</f>
        <v>2018</v>
      </c>
      <c r="K151">
        <f>IF(TbRegistrosEntradas[[#This Row],[Data da Competência]]="",0,MONTH(TbRegistrosEntradas[[#This Row],[Data da Competência]]))</f>
        <v>10</v>
      </c>
      <c r="L151">
        <f>IF(TbRegistrosEntradas[[#This Row],[Data da Competência]]="",0,YEAR(TbRegistrosEntradas[[#This Row],[Data da Competência]]))</f>
        <v>2018</v>
      </c>
      <c r="M151" s="40">
        <f>IF(TbRegistrosEntradas[[#This Row],[Data do Caixa Previsto]]="",0,MONTH(TbRegistrosEntradas[[#This Row],[Data do Caixa Previsto]]))</f>
        <v>10</v>
      </c>
      <c r="N151" s="40">
        <f>IF(TbRegistrosEntradas[[#This Row],[Data do Caixa Previsto]]="",0,YEAR(TbRegistrosEntradas[[#This Row],[Data do Caixa Previsto]]))</f>
        <v>2018</v>
      </c>
      <c r="O151" s="40" t="str">
        <f ca="1">IF(AND(TbRegistrosEntradas[[#This Row],[Data do Caixa Previsto]]&lt;TODAY(),TbRegistrosEntradas[[#This Row],[Data do Caixa Realizado]]=""),"Vencida","Não vencida")</f>
        <v>Não vencida</v>
      </c>
      <c r="P151" s="40" t="str">
        <f>IF(TbRegistrosEntradas[[#This Row],[Data da Competência]]=TbRegistrosEntradas[[#This Row],[Data do Caixa Previsto]],"Vista","Prazo")</f>
        <v>Prazo</v>
      </c>
      <c r="Q15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2" spans="2:17" x14ac:dyDescent="0.25">
      <c r="B152" s="15">
        <v>43438</v>
      </c>
      <c r="C152" s="15">
        <v>43389</v>
      </c>
      <c r="D152" s="15">
        <v>43438.136766228803</v>
      </c>
      <c r="E152" t="s">
        <v>23</v>
      </c>
      <c r="F152" t="s">
        <v>34</v>
      </c>
      <c r="G152" s="13" t="s">
        <v>207</v>
      </c>
      <c r="H152" s="16">
        <v>4061</v>
      </c>
      <c r="I152">
        <f>IF(TbRegistrosEntradas[[#This Row],[Data do Caixa Realizado]]="",0,MONTH(TbRegistrosEntradas[[#This Row],[Data do Caixa Realizado]]))</f>
        <v>12</v>
      </c>
      <c r="J152">
        <f>IF(TbRegistrosEntradas[[#This Row],[Data do Caixa Realizado]]="",0,YEAR(TbRegistrosEntradas[[#This Row],[Data do Caixa Realizado]]))</f>
        <v>2018</v>
      </c>
      <c r="K152">
        <f>IF(TbRegistrosEntradas[[#This Row],[Data da Competência]]="",0,MONTH(TbRegistrosEntradas[[#This Row],[Data da Competência]]))</f>
        <v>10</v>
      </c>
      <c r="L152">
        <f>IF(TbRegistrosEntradas[[#This Row],[Data da Competência]]="",0,YEAR(TbRegistrosEntradas[[#This Row],[Data da Competência]]))</f>
        <v>2018</v>
      </c>
      <c r="M152" s="40">
        <f>IF(TbRegistrosEntradas[[#This Row],[Data do Caixa Previsto]]="",0,MONTH(TbRegistrosEntradas[[#This Row],[Data do Caixa Previsto]]))</f>
        <v>12</v>
      </c>
      <c r="N152" s="40">
        <f>IF(TbRegistrosEntradas[[#This Row],[Data do Caixa Previsto]]="",0,YEAR(TbRegistrosEntradas[[#This Row],[Data do Caixa Previsto]]))</f>
        <v>2018</v>
      </c>
      <c r="O152" s="40" t="str">
        <f ca="1">IF(AND(TbRegistrosEntradas[[#This Row],[Data do Caixa Previsto]]&lt;TODAY(),TbRegistrosEntradas[[#This Row],[Data do Caixa Realizado]]=""),"Vencida","Não vencida")</f>
        <v>Não vencida</v>
      </c>
      <c r="P152" s="40" t="str">
        <f>IF(TbRegistrosEntradas[[#This Row],[Data da Competência]]=TbRegistrosEntradas[[#This Row],[Data do Caixa Previsto]],"Vista","Prazo")</f>
        <v>Prazo</v>
      </c>
      <c r="Q15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3" spans="2:17" x14ac:dyDescent="0.25">
      <c r="B153" s="15">
        <v>43493</v>
      </c>
      <c r="C153" s="15">
        <v>43394</v>
      </c>
      <c r="D153" s="15">
        <v>43435.81232629544</v>
      </c>
      <c r="E153" t="s">
        <v>23</v>
      </c>
      <c r="F153" t="s">
        <v>31</v>
      </c>
      <c r="G153" s="13" t="s">
        <v>208</v>
      </c>
      <c r="H153" s="16">
        <v>4404</v>
      </c>
      <c r="I153">
        <f>IF(TbRegistrosEntradas[[#This Row],[Data do Caixa Realizado]]="",0,MONTH(TbRegistrosEntradas[[#This Row],[Data do Caixa Realizado]]))</f>
        <v>1</v>
      </c>
      <c r="J153">
        <f>IF(TbRegistrosEntradas[[#This Row],[Data do Caixa Realizado]]="",0,YEAR(TbRegistrosEntradas[[#This Row],[Data do Caixa Realizado]]))</f>
        <v>2019</v>
      </c>
      <c r="K153">
        <f>IF(TbRegistrosEntradas[[#This Row],[Data da Competência]]="",0,MONTH(TbRegistrosEntradas[[#This Row],[Data da Competência]]))</f>
        <v>10</v>
      </c>
      <c r="L153">
        <f>IF(TbRegistrosEntradas[[#This Row],[Data da Competência]]="",0,YEAR(TbRegistrosEntradas[[#This Row],[Data da Competência]]))</f>
        <v>2018</v>
      </c>
      <c r="M153" s="40">
        <f>IF(TbRegistrosEntradas[[#This Row],[Data do Caixa Previsto]]="",0,MONTH(TbRegistrosEntradas[[#This Row],[Data do Caixa Previsto]]))</f>
        <v>12</v>
      </c>
      <c r="N153" s="40">
        <f>IF(TbRegistrosEntradas[[#This Row],[Data do Caixa Previsto]]="",0,YEAR(TbRegistrosEntradas[[#This Row],[Data do Caixa Previsto]]))</f>
        <v>2018</v>
      </c>
      <c r="O153" s="40" t="str">
        <f ca="1">IF(AND(TbRegistrosEntradas[[#This Row],[Data do Caixa Previsto]]&lt;TODAY(),TbRegistrosEntradas[[#This Row],[Data do Caixa Realizado]]=""),"Vencida","Não vencida")</f>
        <v>Não vencida</v>
      </c>
      <c r="P153" s="40" t="str">
        <f>IF(TbRegistrosEntradas[[#This Row],[Data da Competência]]=TbRegistrosEntradas[[#This Row],[Data do Caixa Previsto]],"Vista","Prazo")</f>
        <v>Prazo</v>
      </c>
      <c r="Q15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57.187673704560439</v>
      </c>
    </row>
    <row r="154" spans="2:17" x14ac:dyDescent="0.25">
      <c r="B154" s="15">
        <v>43419</v>
      </c>
      <c r="C154" s="15">
        <v>43398</v>
      </c>
      <c r="D154" s="15">
        <v>43419.609240604143</v>
      </c>
      <c r="E154" t="s">
        <v>23</v>
      </c>
      <c r="F154" t="s">
        <v>33</v>
      </c>
      <c r="G154" s="13" t="s">
        <v>209</v>
      </c>
      <c r="H154" s="16">
        <v>2429</v>
      </c>
      <c r="I154">
        <f>IF(TbRegistrosEntradas[[#This Row],[Data do Caixa Realizado]]="",0,MONTH(TbRegistrosEntradas[[#This Row],[Data do Caixa Realizado]]))</f>
        <v>11</v>
      </c>
      <c r="J154">
        <f>IF(TbRegistrosEntradas[[#This Row],[Data do Caixa Realizado]]="",0,YEAR(TbRegistrosEntradas[[#This Row],[Data do Caixa Realizado]]))</f>
        <v>2018</v>
      </c>
      <c r="K154">
        <f>IF(TbRegistrosEntradas[[#This Row],[Data da Competência]]="",0,MONTH(TbRegistrosEntradas[[#This Row],[Data da Competência]]))</f>
        <v>10</v>
      </c>
      <c r="L154">
        <f>IF(TbRegistrosEntradas[[#This Row],[Data da Competência]]="",0,YEAR(TbRegistrosEntradas[[#This Row],[Data da Competência]]))</f>
        <v>2018</v>
      </c>
      <c r="M154" s="40">
        <f>IF(TbRegistrosEntradas[[#This Row],[Data do Caixa Previsto]]="",0,MONTH(TbRegistrosEntradas[[#This Row],[Data do Caixa Previsto]]))</f>
        <v>11</v>
      </c>
      <c r="N154" s="40">
        <f>IF(TbRegistrosEntradas[[#This Row],[Data do Caixa Previsto]]="",0,YEAR(TbRegistrosEntradas[[#This Row],[Data do Caixa Previsto]]))</f>
        <v>2018</v>
      </c>
      <c r="O154" s="40" t="str">
        <f ca="1">IF(AND(TbRegistrosEntradas[[#This Row],[Data do Caixa Previsto]]&lt;TODAY(),TbRegistrosEntradas[[#This Row],[Data do Caixa Realizado]]=""),"Vencida","Não vencida")</f>
        <v>Não vencida</v>
      </c>
      <c r="P154" s="40" t="str">
        <f>IF(TbRegistrosEntradas[[#This Row],[Data da Competência]]=TbRegistrosEntradas[[#This Row],[Data do Caixa Previsto]],"Vista","Prazo")</f>
        <v>Prazo</v>
      </c>
      <c r="Q15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5" spans="2:17" x14ac:dyDescent="0.25">
      <c r="B155" s="15">
        <v>43457</v>
      </c>
      <c r="C155" s="15">
        <v>43398</v>
      </c>
      <c r="D155" s="15">
        <v>43457.427069040656</v>
      </c>
      <c r="E155" t="s">
        <v>23</v>
      </c>
      <c r="F155" t="s">
        <v>31</v>
      </c>
      <c r="G155" s="13" t="s">
        <v>210</v>
      </c>
      <c r="H155" s="16">
        <v>2713</v>
      </c>
      <c r="I155">
        <f>IF(TbRegistrosEntradas[[#This Row],[Data do Caixa Realizado]]="",0,MONTH(TbRegistrosEntradas[[#This Row],[Data do Caixa Realizado]]))</f>
        <v>12</v>
      </c>
      <c r="J155">
        <f>IF(TbRegistrosEntradas[[#This Row],[Data do Caixa Realizado]]="",0,YEAR(TbRegistrosEntradas[[#This Row],[Data do Caixa Realizado]]))</f>
        <v>2018</v>
      </c>
      <c r="K155">
        <f>IF(TbRegistrosEntradas[[#This Row],[Data da Competência]]="",0,MONTH(TbRegistrosEntradas[[#This Row],[Data da Competência]]))</f>
        <v>10</v>
      </c>
      <c r="L155">
        <f>IF(TbRegistrosEntradas[[#This Row],[Data da Competência]]="",0,YEAR(TbRegistrosEntradas[[#This Row],[Data da Competência]]))</f>
        <v>2018</v>
      </c>
      <c r="M155" s="40">
        <f>IF(TbRegistrosEntradas[[#This Row],[Data do Caixa Previsto]]="",0,MONTH(TbRegistrosEntradas[[#This Row],[Data do Caixa Previsto]]))</f>
        <v>12</v>
      </c>
      <c r="N155" s="40">
        <f>IF(TbRegistrosEntradas[[#This Row],[Data do Caixa Previsto]]="",0,YEAR(TbRegistrosEntradas[[#This Row],[Data do Caixa Previsto]]))</f>
        <v>2018</v>
      </c>
      <c r="O155" s="40" t="str">
        <f ca="1">IF(AND(TbRegistrosEntradas[[#This Row],[Data do Caixa Previsto]]&lt;TODAY(),TbRegistrosEntradas[[#This Row],[Data do Caixa Realizado]]=""),"Vencida","Não vencida")</f>
        <v>Não vencida</v>
      </c>
      <c r="P155" s="40" t="str">
        <f>IF(TbRegistrosEntradas[[#This Row],[Data da Competência]]=TbRegistrosEntradas[[#This Row],[Data do Caixa Previsto]],"Vista","Prazo")</f>
        <v>Prazo</v>
      </c>
      <c r="Q15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6" spans="2:17" x14ac:dyDescent="0.25">
      <c r="B156" s="15">
        <v>43416</v>
      </c>
      <c r="C156" s="15">
        <v>43403</v>
      </c>
      <c r="D156" s="15">
        <v>43416.791420716982</v>
      </c>
      <c r="E156" t="s">
        <v>23</v>
      </c>
      <c r="F156" t="s">
        <v>33</v>
      </c>
      <c r="G156" s="13" t="s">
        <v>211</v>
      </c>
      <c r="H156" s="16">
        <v>3787</v>
      </c>
      <c r="I156">
        <f>IF(TbRegistrosEntradas[[#This Row],[Data do Caixa Realizado]]="",0,MONTH(TbRegistrosEntradas[[#This Row],[Data do Caixa Realizado]]))</f>
        <v>11</v>
      </c>
      <c r="J156">
        <f>IF(TbRegistrosEntradas[[#This Row],[Data do Caixa Realizado]]="",0,YEAR(TbRegistrosEntradas[[#This Row],[Data do Caixa Realizado]]))</f>
        <v>2018</v>
      </c>
      <c r="K156">
        <f>IF(TbRegistrosEntradas[[#This Row],[Data da Competência]]="",0,MONTH(TbRegistrosEntradas[[#This Row],[Data da Competência]]))</f>
        <v>10</v>
      </c>
      <c r="L156">
        <f>IF(TbRegistrosEntradas[[#This Row],[Data da Competência]]="",0,YEAR(TbRegistrosEntradas[[#This Row],[Data da Competência]]))</f>
        <v>2018</v>
      </c>
      <c r="M156" s="40">
        <f>IF(TbRegistrosEntradas[[#This Row],[Data do Caixa Previsto]]="",0,MONTH(TbRegistrosEntradas[[#This Row],[Data do Caixa Previsto]]))</f>
        <v>11</v>
      </c>
      <c r="N156" s="40">
        <f>IF(TbRegistrosEntradas[[#This Row],[Data do Caixa Previsto]]="",0,YEAR(TbRegistrosEntradas[[#This Row],[Data do Caixa Previsto]]))</f>
        <v>2018</v>
      </c>
      <c r="O156" s="40" t="str">
        <f ca="1">IF(AND(TbRegistrosEntradas[[#This Row],[Data do Caixa Previsto]]&lt;TODAY(),TbRegistrosEntradas[[#This Row],[Data do Caixa Realizado]]=""),"Vencida","Não vencida")</f>
        <v>Não vencida</v>
      </c>
      <c r="P156" s="40" t="str">
        <f>IF(TbRegistrosEntradas[[#This Row],[Data da Competência]]=TbRegistrosEntradas[[#This Row],[Data do Caixa Previsto]],"Vista","Prazo")</f>
        <v>Prazo</v>
      </c>
      <c r="Q15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7" spans="2:17" x14ac:dyDescent="0.25">
      <c r="B157" s="15">
        <v>43503</v>
      </c>
      <c r="C157" s="15">
        <v>43408</v>
      </c>
      <c r="D157" s="15">
        <v>43442.90009272196</v>
      </c>
      <c r="E157" t="s">
        <v>23</v>
      </c>
      <c r="F157" t="s">
        <v>32</v>
      </c>
      <c r="G157" s="13" t="s">
        <v>212</v>
      </c>
      <c r="H157" s="16">
        <v>1820</v>
      </c>
      <c r="I157">
        <f>IF(TbRegistrosEntradas[[#This Row],[Data do Caixa Realizado]]="",0,MONTH(TbRegistrosEntradas[[#This Row],[Data do Caixa Realizado]]))</f>
        <v>2</v>
      </c>
      <c r="J157">
        <f>IF(TbRegistrosEntradas[[#This Row],[Data do Caixa Realizado]]="",0,YEAR(TbRegistrosEntradas[[#This Row],[Data do Caixa Realizado]]))</f>
        <v>2019</v>
      </c>
      <c r="K157">
        <f>IF(TbRegistrosEntradas[[#This Row],[Data da Competência]]="",0,MONTH(TbRegistrosEntradas[[#This Row],[Data da Competência]]))</f>
        <v>11</v>
      </c>
      <c r="L157">
        <f>IF(TbRegistrosEntradas[[#This Row],[Data da Competência]]="",0,YEAR(TbRegistrosEntradas[[#This Row],[Data da Competência]]))</f>
        <v>2018</v>
      </c>
      <c r="M157" s="40">
        <f>IF(TbRegistrosEntradas[[#This Row],[Data do Caixa Previsto]]="",0,MONTH(TbRegistrosEntradas[[#This Row],[Data do Caixa Previsto]]))</f>
        <v>12</v>
      </c>
      <c r="N157" s="40">
        <f>IF(TbRegistrosEntradas[[#This Row],[Data do Caixa Previsto]]="",0,YEAR(TbRegistrosEntradas[[#This Row],[Data do Caixa Previsto]]))</f>
        <v>2018</v>
      </c>
      <c r="O157" s="40" t="str">
        <f ca="1">IF(AND(TbRegistrosEntradas[[#This Row],[Data do Caixa Previsto]]&lt;TODAY(),TbRegistrosEntradas[[#This Row],[Data do Caixa Realizado]]=""),"Vencida","Não vencida")</f>
        <v>Não vencida</v>
      </c>
      <c r="P157" s="40" t="str">
        <f>IF(TbRegistrosEntradas[[#This Row],[Data da Competência]]=TbRegistrosEntradas[[#This Row],[Data do Caixa Previsto]],"Vista","Prazo")</f>
        <v>Prazo</v>
      </c>
      <c r="Q15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60.099907278039609</v>
      </c>
    </row>
    <row r="158" spans="2:17" x14ac:dyDescent="0.25">
      <c r="B158" s="15">
        <v>43431</v>
      </c>
      <c r="C158" s="15">
        <v>43412</v>
      </c>
      <c r="D158" s="15">
        <v>43431.589825007759</v>
      </c>
      <c r="E158" t="s">
        <v>23</v>
      </c>
      <c r="F158" t="s">
        <v>33</v>
      </c>
      <c r="G158" s="13" t="s">
        <v>213</v>
      </c>
      <c r="H158" s="16">
        <v>4135</v>
      </c>
      <c r="I158">
        <f>IF(TbRegistrosEntradas[[#This Row],[Data do Caixa Realizado]]="",0,MONTH(TbRegistrosEntradas[[#This Row],[Data do Caixa Realizado]]))</f>
        <v>11</v>
      </c>
      <c r="J158">
        <f>IF(TbRegistrosEntradas[[#This Row],[Data do Caixa Realizado]]="",0,YEAR(TbRegistrosEntradas[[#This Row],[Data do Caixa Realizado]]))</f>
        <v>2018</v>
      </c>
      <c r="K158">
        <f>IF(TbRegistrosEntradas[[#This Row],[Data da Competência]]="",0,MONTH(TbRegistrosEntradas[[#This Row],[Data da Competência]]))</f>
        <v>11</v>
      </c>
      <c r="L158">
        <f>IF(TbRegistrosEntradas[[#This Row],[Data da Competência]]="",0,YEAR(TbRegistrosEntradas[[#This Row],[Data da Competência]]))</f>
        <v>2018</v>
      </c>
      <c r="M158" s="40">
        <f>IF(TbRegistrosEntradas[[#This Row],[Data do Caixa Previsto]]="",0,MONTH(TbRegistrosEntradas[[#This Row],[Data do Caixa Previsto]]))</f>
        <v>11</v>
      </c>
      <c r="N158" s="40">
        <f>IF(TbRegistrosEntradas[[#This Row],[Data do Caixa Previsto]]="",0,YEAR(TbRegistrosEntradas[[#This Row],[Data do Caixa Previsto]]))</f>
        <v>2018</v>
      </c>
      <c r="O158" s="40" t="str">
        <f ca="1">IF(AND(TbRegistrosEntradas[[#This Row],[Data do Caixa Previsto]]&lt;TODAY(),TbRegistrosEntradas[[#This Row],[Data do Caixa Realizado]]=""),"Vencida","Não vencida")</f>
        <v>Não vencida</v>
      </c>
      <c r="P158" s="40" t="str">
        <f>IF(TbRegistrosEntradas[[#This Row],[Data da Competência]]=TbRegistrosEntradas[[#This Row],[Data do Caixa Previsto]],"Vista","Prazo")</f>
        <v>Prazo</v>
      </c>
      <c r="Q15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59" spans="2:17" x14ac:dyDescent="0.25">
      <c r="B159" s="15">
        <v>43467</v>
      </c>
      <c r="C159" s="15">
        <v>43415</v>
      </c>
      <c r="D159" s="15">
        <v>43421.091967250024</v>
      </c>
      <c r="E159" t="s">
        <v>23</v>
      </c>
      <c r="F159" t="s">
        <v>33</v>
      </c>
      <c r="G159" s="13" t="s">
        <v>214</v>
      </c>
      <c r="H159" s="16">
        <v>3902</v>
      </c>
      <c r="I159">
        <f>IF(TbRegistrosEntradas[[#This Row],[Data do Caixa Realizado]]="",0,MONTH(TbRegistrosEntradas[[#This Row],[Data do Caixa Realizado]]))</f>
        <v>1</v>
      </c>
      <c r="J159">
        <f>IF(TbRegistrosEntradas[[#This Row],[Data do Caixa Realizado]]="",0,YEAR(TbRegistrosEntradas[[#This Row],[Data do Caixa Realizado]]))</f>
        <v>2019</v>
      </c>
      <c r="K159">
        <f>IF(TbRegistrosEntradas[[#This Row],[Data da Competência]]="",0,MONTH(TbRegistrosEntradas[[#This Row],[Data da Competência]]))</f>
        <v>11</v>
      </c>
      <c r="L159">
        <f>IF(TbRegistrosEntradas[[#This Row],[Data da Competência]]="",0,YEAR(TbRegistrosEntradas[[#This Row],[Data da Competência]]))</f>
        <v>2018</v>
      </c>
      <c r="M159" s="40">
        <f>IF(TbRegistrosEntradas[[#This Row],[Data do Caixa Previsto]]="",0,MONTH(TbRegistrosEntradas[[#This Row],[Data do Caixa Previsto]]))</f>
        <v>11</v>
      </c>
      <c r="N159" s="40">
        <f>IF(TbRegistrosEntradas[[#This Row],[Data do Caixa Previsto]]="",0,YEAR(TbRegistrosEntradas[[#This Row],[Data do Caixa Previsto]]))</f>
        <v>2018</v>
      </c>
      <c r="O159" s="40" t="str">
        <f ca="1">IF(AND(TbRegistrosEntradas[[#This Row],[Data do Caixa Previsto]]&lt;TODAY(),TbRegistrosEntradas[[#This Row],[Data do Caixa Realizado]]=""),"Vencida","Não vencida")</f>
        <v>Não vencida</v>
      </c>
      <c r="P159" s="40" t="str">
        <f>IF(TbRegistrosEntradas[[#This Row],[Data da Competência]]=TbRegistrosEntradas[[#This Row],[Data do Caixa Previsto]],"Vista","Prazo")</f>
        <v>Prazo</v>
      </c>
      <c r="Q15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45.908032749975973</v>
      </c>
    </row>
    <row r="160" spans="2:17" x14ac:dyDescent="0.25">
      <c r="B160" s="15">
        <v>43523</v>
      </c>
      <c r="C160" s="15">
        <v>43418</v>
      </c>
      <c r="D160" s="15">
        <v>43441.738773120276</v>
      </c>
      <c r="E160" t="s">
        <v>23</v>
      </c>
      <c r="F160" t="s">
        <v>33</v>
      </c>
      <c r="G160" s="13" t="s">
        <v>215</v>
      </c>
      <c r="H160" s="16">
        <v>4319</v>
      </c>
      <c r="I160">
        <f>IF(TbRegistrosEntradas[[#This Row],[Data do Caixa Realizado]]="",0,MONTH(TbRegistrosEntradas[[#This Row],[Data do Caixa Realizado]]))</f>
        <v>2</v>
      </c>
      <c r="J160">
        <f>IF(TbRegistrosEntradas[[#This Row],[Data do Caixa Realizado]]="",0,YEAR(TbRegistrosEntradas[[#This Row],[Data do Caixa Realizado]]))</f>
        <v>2019</v>
      </c>
      <c r="K160">
        <f>IF(TbRegistrosEntradas[[#This Row],[Data da Competência]]="",0,MONTH(TbRegistrosEntradas[[#This Row],[Data da Competência]]))</f>
        <v>11</v>
      </c>
      <c r="L160">
        <f>IF(TbRegistrosEntradas[[#This Row],[Data da Competência]]="",0,YEAR(TbRegistrosEntradas[[#This Row],[Data da Competência]]))</f>
        <v>2018</v>
      </c>
      <c r="M160" s="40">
        <f>IF(TbRegistrosEntradas[[#This Row],[Data do Caixa Previsto]]="",0,MONTH(TbRegistrosEntradas[[#This Row],[Data do Caixa Previsto]]))</f>
        <v>12</v>
      </c>
      <c r="N160" s="40">
        <f>IF(TbRegistrosEntradas[[#This Row],[Data do Caixa Previsto]]="",0,YEAR(TbRegistrosEntradas[[#This Row],[Data do Caixa Previsto]]))</f>
        <v>2018</v>
      </c>
      <c r="O160" s="40" t="str">
        <f ca="1">IF(AND(TbRegistrosEntradas[[#This Row],[Data do Caixa Previsto]]&lt;TODAY(),TbRegistrosEntradas[[#This Row],[Data do Caixa Realizado]]=""),"Vencida","Não vencida")</f>
        <v>Não vencida</v>
      </c>
      <c r="P160" s="40" t="str">
        <f>IF(TbRegistrosEntradas[[#This Row],[Data da Competência]]=TbRegistrosEntradas[[#This Row],[Data do Caixa Previsto]],"Vista","Prazo")</f>
        <v>Prazo</v>
      </c>
      <c r="Q16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81.261226879723836</v>
      </c>
    </row>
    <row r="161" spans="2:17" x14ac:dyDescent="0.25">
      <c r="B161" s="15">
        <v>43464</v>
      </c>
      <c r="C161" s="15">
        <v>43421</v>
      </c>
      <c r="D161" s="15">
        <v>43464.748499618698</v>
      </c>
      <c r="E161" t="s">
        <v>23</v>
      </c>
      <c r="F161" t="s">
        <v>31</v>
      </c>
      <c r="G161" s="13" t="s">
        <v>216</v>
      </c>
      <c r="H161" s="16">
        <v>3068</v>
      </c>
      <c r="I161">
        <f>IF(TbRegistrosEntradas[[#This Row],[Data do Caixa Realizado]]="",0,MONTH(TbRegistrosEntradas[[#This Row],[Data do Caixa Realizado]]))</f>
        <v>12</v>
      </c>
      <c r="J161">
        <f>IF(TbRegistrosEntradas[[#This Row],[Data do Caixa Realizado]]="",0,YEAR(TbRegistrosEntradas[[#This Row],[Data do Caixa Realizado]]))</f>
        <v>2018</v>
      </c>
      <c r="K161">
        <f>IF(TbRegistrosEntradas[[#This Row],[Data da Competência]]="",0,MONTH(TbRegistrosEntradas[[#This Row],[Data da Competência]]))</f>
        <v>11</v>
      </c>
      <c r="L161">
        <f>IF(TbRegistrosEntradas[[#This Row],[Data da Competência]]="",0,YEAR(TbRegistrosEntradas[[#This Row],[Data da Competência]]))</f>
        <v>2018</v>
      </c>
      <c r="M161" s="40">
        <f>IF(TbRegistrosEntradas[[#This Row],[Data do Caixa Previsto]]="",0,MONTH(TbRegistrosEntradas[[#This Row],[Data do Caixa Previsto]]))</f>
        <v>12</v>
      </c>
      <c r="N161" s="40">
        <f>IF(TbRegistrosEntradas[[#This Row],[Data do Caixa Previsto]]="",0,YEAR(TbRegistrosEntradas[[#This Row],[Data do Caixa Previsto]]))</f>
        <v>2018</v>
      </c>
      <c r="O161" s="40" t="str">
        <f ca="1">IF(AND(TbRegistrosEntradas[[#This Row],[Data do Caixa Previsto]]&lt;TODAY(),TbRegistrosEntradas[[#This Row],[Data do Caixa Realizado]]=""),"Vencida","Não vencida")</f>
        <v>Não vencida</v>
      </c>
      <c r="P161" s="40" t="str">
        <f>IF(TbRegistrosEntradas[[#This Row],[Data da Competência]]=TbRegistrosEntradas[[#This Row],[Data do Caixa Previsto]],"Vista","Prazo")</f>
        <v>Prazo</v>
      </c>
      <c r="Q16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62" spans="2:17" x14ac:dyDescent="0.25">
      <c r="B162" s="15">
        <v>43455</v>
      </c>
      <c r="C162" s="15">
        <v>43425</v>
      </c>
      <c r="D162" s="15">
        <v>43455.375597423525</v>
      </c>
      <c r="E162" t="s">
        <v>23</v>
      </c>
      <c r="F162" t="s">
        <v>33</v>
      </c>
      <c r="G162" s="13" t="s">
        <v>217</v>
      </c>
      <c r="H162" s="16">
        <v>1880</v>
      </c>
      <c r="I162">
        <f>IF(TbRegistrosEntradas[[#This Row],[Data do Caixa Realizado]]="",0,MONTH(TbRegistrosEntradas[[#This Row],[Data do Caixa Realizado]]))</f>
        <v>12</v>
      </c>
      <c r="J162">
        <f>IF(TbRegistrosEntradas[[#This Row],[Data do Caixa Realizado]]="",0,YEAR(TbRegistrosEntradas[[#This Row],[Data do Caixa Realizado]]))</f>
        <v>2018</v>
      </c>
      <c r="K162">
        <f>IF(TbRegistrosEntradas[[#This Row],[Data da Competência]]="",0,MONTH(TbRegistrosEntradas[[#This Row],[Data da Competência]]))</f>
        <v>11</v>
      </c>
      <c r="L162">
        <f>IF(TbRegistrosEntradas[[#This Row],[Data da Competência]]="",0,YEAR(TbRegistrosEntradas[[#This Row],[Data da Competência]]))</f>
        <v>2018</v>
      </c>
      <c r="M162" s="40">
        <f>IF(TbRegistrosEntradas[[#This Row],[Data do Caixa Previsto]]="",0,MONTH(TbRegistrosEntradas[[#This Row],[Data do Caixa Previsto]]))</f>
        <v>12</v>
      </c>
      <c r="N162" s="40">
        <f>IF(TbRegistrosEntradas[[#This Row],[Data do Caixa Previsto]]="",0,YEAR(TbRegistrosEntradas[[#This Row],[Data do Caixa Previsto]]))</f>
        <v>2018</v>
      </c>
      <c r="O162" s="40" t="str">
        <f ca="1">IF(AND(TbRegistrosEntradas[[#This Row],[Data do Caixa Previsto]]&lt;TODAY(),TbRegistrosEntradas[[#This Row],[Data do Caixa Realizado]]=""),"Vencida","Não vencida")</f>
        <v>Não vencida</v>
      </c>
      <c r="P162" s="40" t="str">
        <f>IF(TbRegistrosEntradas[[#This Row],[Data da Competência]]=TbRegistrosEntradas[[#This Row],[Data do Caixa Previsto]],"Vista","Prazo")</f>
        <v>Prazo</v>
      </c>
      <c r="Q16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63" spans="2:17" x14ac:dyDescent="0.25">
      <c r="B163" s="15" t="s">
        <v>69</v>
      </c>
      <c r="C163" s="15">
        <v>43427</v>
      </c>
      <c r="D163" s="15">
        <v>43465.063381850647</v>
      </c>
      <c r="E163" t="s">
        <v>23</v>
      </c>
      <c r="F163" t="s">
        <v>33</v>
      </c>
      <c r="G163" s="13" t="s">
        <v>218</v>
      </c>
      <c r="H163" s="16">
        <v>1414</v>
      </c>
      <c r="I163">
        <f>IF(TbRegistrosEntradas[[#This Row],[Data do Caixa Realizado]]="",0,MONTH(TbRegistrosEntradas[[#This Row],[Data do Caixa Realizado]]))</f>
        <v>0</v>
      </c>
      <c r="J163">
        <f>IF(TbRegistrosEntradas[[#This Row],[Data do Caixa Realizado]]="",0,YEAR(TbRegistrosEntradas[[#This Row],[Data do Caixa Realizado]]))</f>
        <v>0</v>
      </c>
      <c r="K163">
        <f>IF(TbRegistrosEntradas[[#This Row],[Data da Competência]]="",0,MONTH(TbRegistrosEntradas[[#This Row],[Data da Competência]]))</f>
        <v>11</v>
      </c>
      <c r="L163">
        <f>IF(TbRegistrosEntradas[[#This Row],[Data da Competência]]="",0,YEAR(TbRegistrosEntradas[[#This Row],[Data da Competência]]))</f>
        <v>2018</v>
      </c>
      <c r="M163" s="40">
        <f>IF(TbRegistrosEntradas[[#This Row],[Data do Caixa Previsto]]="",0,MONTH(TbRegistrosEntradas[[#This Row],[Data do Caixa Previsto]]))</f>
        <v>12</v>
      </c>
      <c r="N163" s="40">
        <f>IF(TbRegistrosEntradas[[#This Row],[Data do Caixa Previsto]]="",0,YEAR(TbRegistrosEntradas[[#This Row],[Data do Caixa Previsto]]))</f>
        <v>2018</v>
      </c>
      <c r="O163" s="40" t="str">
        <f ca="1">IF(AND(TbRegistrosEntradas[[#This Row],[Data do Caixa Previsto]]&lt;TODAY(),TbRegistrosEntradas[[#This Row],[Data do Caixa Realizado]]=""),"Vencida","Não vencida")</f>
        <v>Vencida</v>
      </c>
      <c r="P163" s="40" t="str">
        <f>IF(TbRegistrosEntradas[[#This Row],[Data da Competência]]=TbRegistrosEntradas[[#This Row],[Data do Caixa Previsto]],"Vista","Prazo")</f>
        <v>Prazo</v>
      </c>
      <c r="Q16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1850.9366181493533</v>
      </c>
    </row>
    <row r="164" spans="2:17" x14ac:dyDescent="0.25">
      <c r="B164" s="15" t="s">
        <v>69</v>
      </c>
      <c r="C164" s="15">
        <v>43430</v>
      </c>
      <c r="D164" s="15">
        <v>43447.889924144794</v>
      </c>
      <c r="E164" t="s">
        <v>23</v>
      </c>
      <c r="F164" t="s">
        <v>30</v>
      </c>
      <c r="G164" s="13" t="s">
        <v>219</v>
      </c>
      <c r="H164" s="16">
        <v>919</v>
      </c>
      <c r="I164">
        <f>IF(TbRegistrosEntradas[[#This Row],[Data do Caixa Realizado]]="",0,MONTH(TbRegistrosEntradas[[#This Row],[Data do Caixa Realizado]]))</f>
        <v>0</v>
      </c>
      <c r="J164">
        <f>IF(TbRegistrosEntradas[[#This Row],[Data do Caixa Realizado]]="",0,YEAR(TbRegistrosEntradas[[#This Row],[Data do Caixa Realizado]]))</f>
        <v>0</v>
      </c>
      <c r="K164">
        <f>IF(TbRegistrosEntradas[[#This Row],[Data da Competência]]="",0,MONTH(TbRegistrosEntradas[[#This Row],[Data da Competência]]))</f>
        <v>11</v>
      </c>
      <c r="L164">
        <f>IF(TbRegistrosEntradas[[#This Row],[Data da Competência]]="",0,YEAR(TbRegistrosEntradas[[#This Row],[Data da Competência]]))</f>
        <v>2018</v>
      </c>
      <c r="M164" s="40">
        <f>IF(TbRegistrosEntradas[[#This Row],[Data do Caixa Previsto]]="",0,MONTH(TbRegistrosEntradas[[#This Row],[Data do Caixa Previsto]]))</f>
        <v>12</v>
      </c>
      <c r="N164" s="40">
        <f>IF(TbRegistrosEntradas[[#This Row],[Data do Caixa Previsto]]="",0,YEAR(TbRegistrosEntradas[[#This Row],[Data do Caixa Previsto]]))</f>
        <v>2018</v>
      </c>
      <c r="O164" s="40" t="str">
        <f ca="1">IF(AND(TbRegistrosEntradas[[#This Row],[Data do Caixa Previsto]]&lt;TODAY(),TbRegistrosEntradas[[#This Row],[Data do Caixa Realizado]]=""),"Vencida","Não vencida")</f>
        <v>Vencida</v>
      </c>
      <c r="P164" s="40" t="str">
        <f>IF(TbRegistrosEntradas[[#This Row],[Data da Competência]]=TbRegistrosEntradas[[#This Row],[Data do Caixa Previsto]],"Vista","Prazo")</f>
        <v>Prazo</v>
      </c>
      <c r="Q16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1868.1100758552057</v>
      </c>
    </row>
    <row r="165" spans="2:17" x14ac:dyDescent="0.25">
      <c r="B165" s="15">
        <v>43477</v>
      </c>
      <c r="C165" s="15">
        <v>43431</v>
      </c>
      <c r="D165" s="15">
        <v>43477.965813489587</v>
      </c>
      <c r="E165" t="s">
        <v>23</v>
      </c>
      <c r="F165" t="s">
        <v>33</v>
      </c>
      <c r="G165" s="13" t="s">
        <v>220</v>
      </c>
      <c r="H165" s="16">
        <v>4801</v>
      </c>
      <c r="I165">
        <f>IF(TbRegistrosEntradas[[#This Row],[Data do Caixa Realizado]]="",0,MONTH(TbRegistrosEntradas[[#This Row],[Data do Caixa Realizado]]))</f>
        <v>1</v>
      </c>
      <c r="J165">
        <f>IF(TbRegistrosEntradas[[#This Row],[Data do Caixa Realizado]]="",0,YEAR(TbRegistrosEntradas[[#This Row],[Data do Caixa Realizado]]))</f>
        <v>2019</v>
      </c>
      <c r="K165">
        <f>IF(TbRegistrosEntradas[[#This Row],[Data da Competência]]="",0,MONTH(TbRegistrosEntradas[[#This Row],[Data da Competência]]))</f>
        <v>11</v>
      </c>
      <c r="L165">
        <f>IF(TbRegistrosEntradas[[#This Row],[Data da Competência]]="",0,YEAR(TbRegistrosEntradas[[#This Row],[Data da Competência]]))</f>
        <v>2018</v>
      </c>
      <c r="M165" s="40">
        <f>IF(TbRegistrosEntradas[[#This Row],[Data do Caixa Previsto]]="",0,MONTH(TbRegistrosEntradas[[#This Row],[Data do Caixa Previsto]]))</f>
        <v>1</v>
      </c>
      <c r="N165" s="40">
        <f>IF(TbRegistrosEntradas[[#This Row],[Data do Caixa Previsto]]="",0,YEAR(TbRegistrosEntradas[[#This Row],[Data do Caixa Previsto]]))</f>
        <v>2019</v>
      </c>
      <c r="O165" s="40" t="str">
        <f ca="1">IF(AND(TbRegistrosEntradas[[#This Row],[Data do Caixa Previsto]]&lt;TODAY(),TbRegistrosEntradas[[#This Row],[Data do Caixa Realizado]]=""),"Vencida","Não vencida")</f>
        <v>Não vencida</v>
      </c>
      <c r="P165" s="40" t="str">
        <f>IF(TbRegistrosEntradas[[#This Row],[Data da Competência]]=TbRegistrosEntradas[[#This Row],[Data do Caixa Previsto]],"Vista","Prazo")</f>
        <v>Prazo</v>
      </c>
      <c r="Q16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66" spans="2:17" x14ac:dyDescent="0.25">
      <c r="B166" s="15" t="s">
        <v>69</v>
      </c>
      <c r="C166" s="15">
        <v>43434</v>
      </c>
      <c r="D166" s="15">
        <v>43455.267564406917</v>
      </c>
      <c r="E166" t="s">
        <v>23</v>
      </c>
      <c r="F166" t="s">
        <v>34</v>
      </c>
      <c r="G166" s="13" t="s">
        <v>221</v>
      </c>
      <c r="H166" s="16">
        <v>4639</v>
      </c>
      <c r="I166">
        <f>IF(TbRegistrosEntradas[[#This Row],[Data do Caixa Realizado]]="",0,MONTH(TbRegistrosEntradas[[#This Row],[Data do Caixa Realizado]]))</f>
        <v>0</v>
      </c>
      <c r="J166">
        <f>IF(TbRegistrosEntradas[[#This Row],[Data do Caixa Realizado]]="",0,YEAR(TbRegistrosEntradas[[#This Row],[Data do Caixa Realizado]]))</f>
        <v>0</v>
      </c>
      <c r="K166">
        <f>IF(TbRegistrosEntradas[[#This Row],[Data da Competência]]="",0,MONTH(TbRegistrosEntradas[[#This Row],[Data da Competência]]))</f>
        <v>11</v>
      </c>
      <c r="L166">
        <f>IF(TbRegistrosEntradas[[#This Row],[Data da Competência]]="",0,YEAR(TbRegistrosEntradas[[#This Row],[Data da Competência]]))</f>
        <v>2018</v>
      </c>
      <c r="M166" s="40">
        <f>IF(TbRegistrosEntradas[[#This Row],[Data do Caixa Previsto]]="",0,MONTH(TbRegistrosEntradas[[#This Row],[Data do Caixa Previsto]]))</f>
        <v>12</v>
      </c>
      <c r="N166" s="40">
        <f>IF(TbRegistrosEntradas[[#This Row],[Data do Caixa Previsto]]="",0,YEAR(TbRegistrosEntradas[[#This Row],[Data do Caixa Previsto]]))</f>
        <v>2018</v>
      </c>
      <c r="O166" s="40" t="str">
        <f ca="1">IF(AND(TbRegistrosEntradas[[#This Row],[Data do Caixa Previsto]]&lt;TODAY(),TbRegistrosEntradas[[#This Row],[Data do Caixa Realizado]]=""),"Vencida","Não vencida")</f>
        <v>Vencida</v>
      </c>
      <c r="P166" s="40" t="str">
        <f>IF(TbRegistrosEntradas[[#This Row],[Data da Competência]]=TbRegistrosEntradas[[#This Row],[Data do Caixa Previsto]],"Vista","Prazo")</f>
        <v>Prazo</v>
      </c>
      <c r="Q16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1860.7324355930832</v>
      </c>
    </row>
    <row r="167" spans="2:17" x14ac:dyDescent="0.25">
      <c r="B167" s="15">
        <v>43544</v>
      </c>
      <c r="C167" s="15">
        <v>43440</v>
      </c>
      <c r="D167" s="15">
        <v>43487.390614414791</v>
      </c>
      <c r="E167" t="s">
        <v>23</v>
      </c>
      <c r="F167" t="s">
        <v>33</v>
      </c>
      <c r="G167" s="13" t="s">
        <v>222</v>
      </c>
      <c r="H167" s="16">
        <v>1209</v>
      </c>
      <c r="I167">
        <f>IF(TbRegistrosEntradas[[#This Row],[Data do Caixa Realizado]]="",0,MONTH(TbRegistrosEntradas[[#This Row],[Data do Caixa Realizado]]))</f>
        <v>3</v>
      </c>
      <c r="J167">
        <f>IF(TbRegistrosEntradas[[#This Row],[Data do Caixa Realizado]]="",0,YEAR(TbRegistrosEntradas[[#This Row],[Data do Caixa Realizado]]))</f>
        <v>2019</v>
      </c>
      <c r="K167">
        <f>IF(TbRegistrosEntradas[[#This Row],[Data da Competência]]="",0,MONTH(TbRegistrosEntradas[[#This Row],[Data da Competência]]))</f>
        <v>12</v>
      </c>
      <c r="L167">
        <f>IF(TbRegistrosEntradas[[#This Row],[Data da Competência]]="",0,YEAR(TbRegistrosEntradas[[#This Row],[Data da Competência]]))</f>
        <v>2018</v>
      </c>
      <c r="M167" s="40">
        <f>IF(TbRegistrosEntradas[[#This Row],[Data do Caixa Previsto]]="",0,MONTH(TbRegistrosEntradas[[#This Row],[Data do Caixa Previsto]]))</f>
        <v>1</v>
      </c>
      <c r="N167" s="40">
        <f>IF(TbRegistrosEntradas[[#This Row],[Data do Caixa Previsto]]="",0,YEAR(TbRegistrosEntradas[[#This Row],[Data do Caixa Previsto]]))</f>
        <v>2019</v>
      </c>
      <c r="O167" s="40" t="str">
        <f ca="1">IF(AND(TbRegistrosEntradas[[#This Row],[Data do Caixa Previsto]]&lt;TODAY(),TbRegistrosEntradas[[#This Row],[Data do Caixa Realizado]]=""),"Vencida","Não vencida")</f>
        <v>Não vencida</v>
      </c>
      <c r="P167" s="40" t="str">
        <f>IF(TbRegistrosEntradas[[#This Row],[Data da Competência]]=TbRegistrosEntradas[[#This Row],[Data do Caixa Previsto]],"Vista","Prazo")</f>
        <v>Prazo</v>
      </c>
      <c r="Q16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56.609385585208656</v>
      </c>
    </row>
    <row r="168" spans="2:17" x14ac:dyDescent="0.25">
      <c r="B168" s="15" t="s">
        <v>69</v>
      </c>
      <c r="C168" s="15">
        <v>43444</v>
      </c>
      <c r="D168" s="15">
        <v>43477.170204498791</v>
      </c>
      <c r="E168" t="s">
        <v>23</v>
      </c>
      <c r="F168" t="s">
        <v>34</v>
      </c>
      <c r="G168" s="13" t="s">
        <v>223</v>
      </c>
      <c r="H168" s="16">
        <v>483</v>
      </c>
      <c r="I168">
        <f>IF(TbRegistrosEntradas[[#This Row],[Data do Caixa Realizado]]="",0,MONTH(TbRegistrosEntradas[[#This Row],[Data do Caixa Realizado]]))</f>
        <v>0</v>
      </c>
      <c r="J168">
        <f>IF(TbRegistrosEntradas[[#This Row],[Data do Caixa Realizado]]="",0,YEAR(TbRegistrosEntradas[[#This Row],[Data do Caixa Realizado]]))</f>
        <v>0</v>
      </c>
      <c r="K168">
        <f>IF(TbRegistrosEntradas[[#This Row],[Data da Competência]]="",0,MONTH(TbRegistrosEntradas[[#This Row],[Data da Competência]]))</f>
        <v>12</v>
      </c>
      <c r="L168">
        <f>IF(TbRegistrosEntradas[[#This Row],[Data da Competência]]="",0,YEAR(TbRegistrosEntradas[[#This Row],[Data da Competência]]))</f>
        <v>2018</v>
      </c>
      <c r="M168" s="40">
        <f>IF(TbRegistrosEntradas[[#This Row],[Data do Caixa Previsto]]="",0,MONTH(TbRegistrosEntradas[[#This Row],[Data do Caixa Previsto]]))</f>
        <v>1</v>
      </c>
      <c r="N168" s="40">
        <f>IF(TbRegistrosEntradas[[#This Row],[Data do Caixa Previsto]]="",0,YEAR(TbRegistrosEntradas[[#This Row],[Data do Caixa Previsto]]))</f>
        <v>2019</v>
      </c>
      <c r="O168" s="40" t="str">
        <f ca="1">IF(AND(TbRegistrosEntradas[[#This Row],[Data do Caixa Previsto]]&lt;TODAY(),TbRegistrosEntradas[[#This Row],[Data do Caixa Realizado]]=""),"Vencida","Não vencida")</f>
        <v>Vencida</v>
      </c>
      <c r="P168" s="40" t="str">
        <f>IF(TbRegistrosEntradas[[#This Row],[Data da Competência]]=TbRegistrosEntradas[[#This Row],[Data do Caixa Previsto]],"Vista","Prazo")</f>
        <v>Prazo</v>
      </c>
      <c r="Q16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1838.8297955012094</v>
      </c>
    </row>
    <row r="169" spans="2:17" x14ac:dyDescent="0.25">
      <c r="B169" s="15">
        <v>43469</v>
      </c>
      <c r="C169" s="15">
        <v>43451</v>
      </c>
      <c r="D169" s="15">
        <v>43469.404646888193</v>
      </c>
      <c r="E169" t="s">
        <v>23</v>
      </c>
      <c r="F169" t="s">
        <v>33</v>
      </c>
      <c r="G169" s="13" t="s">
        <v>224</v>
      </c>
      <c r="H169" s="16">
        <v>373</v>
      </c>
      <c r="I169">
        <f>IF(TbRegistrosEntradas[[#This Row],[Data do Caixa Realizado]]="",0,MONTH(TbRegistrosEntradas[[#This Row],[Data do Caixa Realizado]]))</f>
        <v>1</v>
      </c>
      <c r="J169">
        <f>IF(TbRegistrosEntradas[[#This Row],[Data do Caixa Realizado]]="",0,YEAR(TbRegistrosEntradas[[#This Row],[Data do Caixa Realizado]]))</f>
        <v>2019</v>
      </c>
      <c r="K169">
        <f>IF(TbRegistrosEntradas[[#This Row],[Data da Competência]]="",0,MONTH(TbRegistrosEntradas[[#This Row],[Data da Competência]]))</f>
        <v>12</v>
      </c>
      <c r="L169">
        <f>IF(TbRegistrosEntradas[[#This Row],[Data da Competência]]="",0,YEAR(TbRegistrosEntradas[[#This Row],[Data da Competência]]))</f>
        <v>2018</v>
      </c>
      <c r="M169" s="40">
        <f>IF(TbRegistrosEntradas[[#This Row],[Data do Caixa Previsto]]="",0,MONTH(TbRegistrosEntradas[[#This Row],[Data do Caixa Previsto]]))</f>
        <v>1</v>
      </c>
      <c r="N169" s="40">
        <f>IF(TbRegistrosEntradas[[#This Row],[Data do Caixa Previsto]]="",0,YEAR(TbRegistrosEntradas[[#This Row],[Data do Caixa Previsto]]))</f>
        <v>2019</v>
      </c>
      <c r="O169" s="40" t="str">
        <f ca="1">IF(AND(TbRegistrosEntradas[[#This Row],[Data do Caixa Previsto]]&lt;TODAY(),TbRegistrosEntradas[[#This Row],[Data do Caixa Realizado]]=""),"Vencida","Não vencida")</f>
        <v>Não vencida</v>
      </c>
      <c r="P169" s="40" t="str">
        <f>IF(TbRegistrosEntradas[[#This Row],[Data da Competência]]=TbRegistrosEntradas[[#This Row],[Data do Caixa Previsto]],"Vista","Prazo")</f>
        <v>Prazo</v>
      </c>
      <c r="Q16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0" spans="2:17" x14ac:dyDescent="0.25">
      <c r="B170" s="15">
        <v>43459</v>
      </c>
      <c r="C170" s="15">
        <v>43454</v>
      </c>
      <c r="D170" s="15">
        <v>43459.694209767709</v>
      </c>
      <c r="E170" t="s">
        <v>23</v>
      </c>
      <c r="F170" t="s">
        <v>31</v>
      </c>
      <c r="G170" s="13" t="s">
        <v>225</v>
      </c>
      <c r="H170" s="16">
        <v>2088</v>
      </c>
      <c r="I170">
        <f>IF(TbRegistrosEntradas[[#This Row],[Data do Caixa Realizado]]="",0,MONTH(TbRegistrosEntradas[[#This Row],[Data do Caixa Realizado]]))</f>
        <v>12</v>
      </c>
      <c r="J170">
        <f>IF(TbRegistrosEntradas[[#This Row],[Data do Caixa Realizado]]="",0,YEAR(TbRegistrosEntradas[[#This Row],[Data do Caixa Realizado]]))</f>
        <v>2018</v>
      </c>
      <c r="K170">
        <f>IF(TbRegistrosEntradas[[#This Row],[Data da Competência]]="",0,MONTH(TbRegistrosEntradas[[#This Row],[Data da Competência]]))</f>
        <v>12</v>
      </c>
      <c r="L170">
        <f>IF(TbRegistrosEntradas[[#This Row],[Data da Competência]]="",0,YEAR(TbRegistrosEntradas[[#This Row],[Data da Competência]]))</f>
        <v>2018</v>
      </c>
      <c r="M170" s="40">
        <f>IF(TbRegistrosEntradas[[#This Row],[Data do Caixa Previsto]]="",0,MONTH(TbRegistrosEntradas[[#This Row],[Data do Caixa Previsto]]))</f>
        <v>12</v>
      </c>
      <c r="N170" s="40">
        <f>IF(TbRegistrosEntradas[[#This Row],[Data do Caixa Previsto]]="",0,YEAR(TbRegistrosEntradas[[#This Row],[Data do Caixa Previsto]]))</f>
        <v>2018</v>
      </c>
      <c r="O170" s="40" t="str">
        <f ca="1">IF(AND(TbRegistrosEntradas[[#This Row],[Data do Caixa Previsto]]&lt;TODAY(),TbRegistrosEntradas[[#This Row],[Data do Caixa Realizado]]=""),"Vencida","Não vencida")</f>
        <v>Não vencida</v>
      </c>
      <c r="P170" s="40" t="str">
        <f>IF(TbRegistrosEntradas[[#This Row],[Data da Competência]]=TbRegistrosEntradas[[#This Row],[Data do Caixa Previsto]],"Vista","Prazo")</f>
        <v>Prazo</v>
      </c>
      <c r="Q17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1" spans="2:17" x14ac:dyDescent="0.25">
      <c r="B171" s="15">
        <v>43497</v>
      </c>
      <c r="C171" s="15">
        <v>43455</v>
      </c>
      <c r="D171" s="15">
        <v>43497.817197182514</v>
      </c>
      <c r="E171" t="s">
        <v>23</v>
      </c>
      <c r="F171" t="s">
        <v>34</v>
      </c>
      <c r="G171" s="13" t="s">
        <v>226</v>
      </c>
      <c r="H171" s="16">
        <v>1168</v>
      </c>
      <c r="I171">
        <f>IF(TbRegistrosEntradas[[#This Row],[Data do Caixa Realizado]]="",0,MONTH(TbRegistrosEntradas[[#This Row],[Data do Caixa Realizado]]))</f>
        <v>2</v>
      </c>
      <c r="J171">
        <f>IF(TbRegistrosEntradas[[#This Row],[Data do Caixa Realizado]]="",0,YEAR(TbRegistrosEntradas[[#This Row],[Data do Caixa Realizado]]))</f>
        <v>2019</v>
      </c>
      <c r="K171">
        <f>IF(TbRegistrosEntradas[[#This Row],[Data da Competência]]="",0,MONTH(TbRegistrosEntradas[[#This Row],[Data da Competência]]))</f>
        <v>12</v>
      </c>
      <c r="L171">
        <f>IF(TbRegistrosEntradas[[#This Row],[Data da Competência]]="",0,YEAR(TbRegistrosEntradas[[#This Row],[Data da Competência]]))</f>
        <v>2018</v>
      </c>
      <c r="M171" s="40">
        <f>IF(TbRegistrosEntradas[[#This Row],[Data do Caixa Previsto]]="",0,MONTH(TbRegistrosEntradas[[#This Row],[Data do Caixa Previsto]]))</f>
        <v>2</v>
      </c>
      <c r="N171" s="40">
        <f>IF(TbRegistrosEntradas[[#This Row],[Data do Caixa Previsto]]="",0,YEAR(TbRegistrosEntradas[[#This Row],[Data do Caixa Previsto]]))</f>
        <v>2019</v>
      </c>
      <c r="O171" s="40" t="str">
        <f ca="1">IF(AND(TbRegistrosEntradas[[#This Row],[Data do Caixa Previsto]]&lt;TODAY(),TbRegistrosEntradas[[#This Row],[Data do Caixa Realizado]]=""),"Vencida","Não vencida")</f>
        <v>Não vencida</v>
      </c>
      <c r="P171" s="40" t="str">
        <f>IF(TbRegistrosEntradas[[#This Row],[Data da Competência]]=TbRegistrosEntradas[[#This Row],[Data do Caixa Previsto]],"Vista","Prazo")</f>
        <v>Prazo</v>
      </c>
      <c r="Q17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2" spans="2:17" x14ac:dyDescent="0.25">
      <c r="B172" s="15">
        <v>43550</v>
      </c>
      <c r="C172" s="15">
        <v>43457</v>
      </c>
      <c r="D172" s="15">
        <v>43493.892299226922</v>
      </c>
      <c r="E172" t="s">
        <v>23</v>
      </c>
      <c r="F172" t="s">
        <v>34</v>
      </c>
      <c r="G172" s="13" t="s">
        <v>227</v>
      </c>
      <c r="H172" s="16">
        <v>4429</v>
      </c>
      <c r="I172">
        <f>IF(TbRegistrosEntradas[[#This Row],[Data do Caixa Realizado]]="",0,MONTH(TbRegistrosEntradas[[#This Row],[Data do Caixa Realizado]]))</f>
        <v>3</v>
      </c>
      <c r="J172">
        <f>IF(TbRegistrosEntradas[[#This Row],[Data do Caixa Realizado]]="",0,YEAR(TbRegistrosEntradas[[#This Row],[Data do Caixa Realizado]]))</f>
        <v>2019</v>
      </c>
      <c r="K172">
        <f>IF(TbRegistrosEntradas[[#This Row],[Data da Competência]]="",0,MONTH(TbRegistrosEntradas[[#This Row],[Data da Competência]]))</f>
        <v>12</v>
      </c>
      <c r="L172">
        <f>IF(TbRegistrosEntradas[[#This Row],[Data da Competência]]="",0,YEAR(TbRegistrosEntradas[[#This Row],[Data da Competência]]))</f>
        <v>2018</v>
      </c>
      <c r="M172" s="40">
        <f>IF(TbRegistrosEntradas[[#This Row],[Data do Caixa Previsto]]="",0,MONTH(TbRegistrosEntradas[[#This Row],[Data do Caixa Previsto]]))</f>
        <v>1</v>
      </c>
      <c r="N172" s="40">
        <f>IF(TbRegistrosEntradas[[#This Row],[Data do Caixa Previsto]]="",0,YEAR(TbRegistrosEntradas[[#This Row],[Data do Caixa Previsto]]))</f>
        <v>2019</v>
      </c>
      <c r="O172" s="40" t="str">
        <f ca="1">IF(AND(TbRegistrosEntradas[[#This Row],[Data do Caixa Previsto]]&lt;TODAY(),TbRegistrosEntradas[[#This Row],[Data do Caixa Realizado]]=""),"Vencida","Não vencida")</f>
        <v>Não vencida</v>
      </c>
      <c r="P172" s="40" t="str">
        <f>IF(TbRegistrosEntradas[[#This Row],[Data da Competência]]=TbRegistrosEntradas[[#This Row],[Data do Caixa Previsto]],"Vista","Prazo")</f>
        <v>Prazo</v>
      </c>
      <c r="Q17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56.10770077307825</v>
      </c>
    </row>
    <row r="173" spans="2:17" x14ac:dyDescent="0.25">
      <c r="B173" s="15">
        <v>43519</v>
      </c>
      <c r="C173" s="15">
        <v>43462</v>
      </c>
      <c r="D173" s="15">
        <v>43519.692753371986</v>
      </c>
      <c r="E173" t="s">
        <v>23</v>
      </c>
      <c r="F173" t="s">
        <v>33</v>
      </c>
      <c r="G173" s="13" t="s">
        <v>228</v>
      </c>
      <c r="H173" s="16">
        <v>4955</v>
      </c>
      <c r="I173">
        <f>IF(TbRegistrosEntradas[[#This Row],[Data do Caixa Realizado]]="",0,MONTH(TbRegistrosEntradas[[#This Row],[Data do Caixa Realizado]]))</f>
        <v>2</v>
      </c>
      <c r="J173">
        <f>IF(TbRegistrosEntradas[[#This Row],[Data do Caixa Realizado]]="",0,YEAR(TbRegistrosEntradas[[#This Row],[Data do Caixa Realizado]]))</f>
        <v>2019</v>
      </c>
      <c r="K173">
        <f>IF(TbRegistrosEntradas[[#This Row],[Data da Competência]]="",0,MONTH(TbRegistrosEntradas[[#This Row],[Data da Competência]]))</f>
        <v>12</v>
      </c>
      <c r="L173">
        <f>IF(TbRegistrosEntradas[[#This Row],[Data da Competência]]="",0,YEAR(TbRegistrosEntradas[[#This Row],[Data da Competência]]))</f>
        <v>2018</v>
      </c>
      <c r="M173" s="40">
        <f>IF(TbRegistrosEntradas[[#This Row],[Data do Caixa Previsto]]="",0,MONTH(TbRegistrosEntradas[[#This Row],[Data do Caixa Previsto]]))</f>
        <v>2</v>
      </c>
      <c r="N173" s="40">
        <f>IF(TbRegistrosEntradas[[#This Row],[Data do Caixa Previsto]]="",0,YEAR(TbRegistrosEntradas[[#This Row],[Data do Caixa Previsto]]))</f>
        <v>2019</v>
      </c>
      <c r="O173" s="40" t="str">
        <f ca="1">IF(AND(TbRegistrosEntradas[[#This Row],[Data do Caixa Previsto]]&lt;TODAY(),TbRegistrosEntradas[[#This Row],[Data do Caixa Realizado]]=""),"Vencida","Não vencida")</f>
        <v>Não vencida</v>
      </c>
      <c r="P173" s="40" t="str">
        <f>IF(TbRegistrosEntradas[[#This Row],[Data da Competência]]=TbRegistrosEntradas[[#This Row],[Data do Caixa Previsto]],"Vista","Prazo")</f>
        <v>Prazo</v>
      </c>
      <c r="Q17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4" spans="2:17" x14ac:dyDescent="0.25">
      <c r="B174" s="15">
        <v>43484</v>
      </c>
      <c r="C174" s="15">
        <v>43465</v>
      </c>
      <c r="D174" s="15">
        <v>43483.090606344922</v>
      </c>
      <c r="E174" t="s">
        <v>23</v>
      </c>
      <c r="F174" t="s">
        <v>33</v>
      </c>
      <c r="G174" s="13" t="s">
        <v>229</v>
      </c>
      <c r="H174" s="16">
        <v>3201</v>
      </c>
      <c r="I174">
        <f>IF(TbRegistrosEntradas[[#This Row],[Data do Caixa Realizado]]="",0,MONTH(TbRegistrosEntradas[[#This Row],[Data do Caixa Realizado]]))</f>
        <v>1</v>
      </c>
      <c r="J174">
        <f>IF(TbRegistrosEntradas[[#This Row],[Data do Caixa Realizado]]="",0,YEAR(TbRegistrosEntradas[[#This Row],[Data do Caixa Realizado]]))</f>
        <v>2019</v>
      </c>
      <c r="K174">
        <f>IF(TbRegistrosEntradas[[#This Row],[Data da Competência]]="",0,MONTH(TbRegistrosEntradas[[#This Row],[Data da Competência]]))</f>
        <v>12</v>
      </c>
      <c r="L174">
        <f>IF(TbRegistrosEntradas[[#This Row],[Data da Competência]]="",0,YEAR(TbRegistrosEntradas[[#This Row],[Data da Competência]]))</f>
        <v>2018</v>
      </c>
      <c r="M174" s="40">
        <f>IF(TbRegistrosEntradas[[#This Row],[Data do Caixa Previsto]]="",0,MONTH(TbRegistrosEntradas[[#This Row],[Data do Caixa Previsto]]))</f>
        <v>1</v>
      </c>
      <c r="N174" s="40">
        <f>IF(TbRegistrosEntradas[[#This Row],[Data do Caixa Previsto]]="",0,YEAR(TbRegistrosEntradas[[#This Row],[Data do Caixa Previsto]]))</f>
        <v>2019</v>
      </c>
      <c r="O174" s="40" t="str">
        <f ca="1">IF(AND(TbRegistrosEntradas[[#This Row],[Data do Caixa Previsto]]&lt;TODAY(),TbRegistrosEntradas[[#This Row],[Data do Caixa Realizado]]=""),"Vencida","Não vencida")</f>
        <v>Não vencida</v>
      </c>
      <c r="P174" s="40" t="str">
        <f>IF(TbRegistrosEntradas[[#This Row],[Data da Competência]]=TbRegistrosEntradas[[#This Row],[Data do Caixa Previsto]],"Vista","Prazo")</f>
        <v>Prazo</v>
      </c>
      <c r="Q17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0.90939365507801995</v>
      </c>
    </row>
    <row r="175" spans="2:17" x14ac:dyDescent="0.25">
      <c r="B175" s="15">
        <v>43511</v>
      </c>
      <c r="C175" s="15">
        <v>43469</v>
      </c>
      <c r="D175" s="15">
        <v>43511.69240968494</v>
      </c>
      <c r="E175" t="s">
        <v>23</v>
      </c>
      <c r="F175" t="s">
        <v>32</v>
      </c>
      <c r="G175" s="13" t="s">
        <v>230</v>
      </c>
      <c r="H175" s="16">
        <v>3007</v>
      </c>
      <c r="I175">
        <f>IF(TbRegistrosEntradas[[#This Row],[Data do Caixa Realizado]]="",0,MONTH(TbRegistrosEntradas[[#This Row],[Data do Caixa Realizado]]))</f>
        <v>2</v>
      </c>
      <c r="J175">
        <f>IF(TbRegistrosEntradas[[#This Row],[Data do Caixa Realizado]]="",0,YEAR(TbRegistrosEntradas[[#This Row],[Data do Caixa Realizado]]))</f>
        <v>2019</v>
      </c>
      <c r="K175">
        <f>IF(TbRegistrosEntradas[[#This Row],[Data da Competência]]="",0,MONTH(TbRegistrosEntradas[[#This Row],[Data da Competência]]))</f>
        <v>1</v>
      </c>
      <c r="L175">
        <f>IF(TbRegistrosEntradas[[#This Row],[Data da Competência]]="",0,YEAR(TbRegistrosEntradas[[#This Row],[Data da Competência]]))</f>
        <v>2019</v>
      </c>
      <c r="M175" s="40">
        <f>IF(TbRegistrosEntradas[[#This Row],[Data do Caixa Previsto]]="",0,MONTH(TbRegistrosEntradas[[#This Row],[Data do Caixa Previsto]]))</f>
        <v>2</v>
      </c>
      <c r="N175" s="40">
        <f>IF(TbRegistrosEntradas[[#This Row],[Data do Caixa Previsto]]="",0,YEAR(TbRegistrosEntradas[[#This Row],[Data do Caixa Previsto]]))</f>
        <v>2019</v>
      </c>
      <c r="O175" s="40" t="str">
        <f ca="1">IF(AND(TbRegistrosEntradas[[#This Row],[Data do Caixa Previsto]]&lt;TODAY(),TbRegistrosEntradas[[#This Row],[Data do Caixa Realizado]]=""),"Vencida","Não vencida")</f>
        <v>Não vencida</v>
      </c>
      <c r="P175" s="40" t="str">
        <f>IF(TbRegistrosEntradas[[#This Row],[Data da Competência]]=TbRegistrosEntradas[[#This Row],[Data do Caixa Previsto]],"Vista","Prazo")</f>
        <v>Prazo</v>
      </c>
      <c r="Q17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6" spans="2:17" x14ac:dyDescent="0.25">
      <c r="B176" s="15">
        <v>43511</v>
      </c>
      <c r="C176" s="15">
        <v>43473</v>
      </c>
      <c r="D176" s="15">
        <v>43511.114471984198</v>
      </c>
      <c r="E176" t="s">
        <v>23</v>
      </c>
      <c r="F176" t="s">
        <v>34</v>
      </c>
      <c r="G176" s="13" t="s">
        <v>231</v>
      </c>
      <c r="H176" s="16">
        <v>900</v>
      </c>
      <c r="I176">
        <f>IF(TbRegistrosEntradas[[#This Row],[Data do Caixa Realizado]]="",0,MONTH(TbRegistrosEntradas[[#This Row],[Data do Caixa Realizado]]))</f>
        <v>2</v>
      </c>
      <c r="J176">
        <f>IF(TbRegistrosEntradas[[#This Row],[Data do Caixa Realizado]]="",0,YEAR(TbRegistrosEntradas[[#This Row],[Data do Caixa Realizado]]))</f>
        <v>2019</v>
      </c>
      <c r="K176">
        <f>IF(TbRegistrosEntradas[[#This Row],[Data da Competência]]="",0,MONTH(TbRegistrosEntradas[[#This Row],[Data da Competência]]))</f>
        <v>1</v>
      </c>
      <c r="L176">
        <f>IF(TbRegistrosEntradas[[#This Row],[Data da Competência]]="",0,YEAR(TbRegistrosEntradas[[#This Row],[Data da Competência]]))</f>
        <v>2019</v>
      </c>
      <c r="M176" s="40">
        <f>IF(TbRegistrosEntradas[[#This Row],[Data do Caixa Previsto]]="",0,MONTH(TbRegistrosEntradas[[#This Row],[Data do Caixa Previsto]]))</f>
        <v>2</v>
      </c>
      <c r="N176" s="40">
        <f>IF(TbRegistrosEntradas[[#This Row],[Data do Caixa Previsto]]="",0,YEAR(TbRegistrosEntradas[[#This Row],[Data do Caixa Previsto]]))</f>
        <v>2019</v>
      </c>
      <c r="O176" s="40" t="str">
        <f ca="1">IF(AND(TbRegistrosEntradas[[#This Row],[Data do Caixa Previsto]]&lt;TODAY(),TbRegistrosEntradas[[#This Row],[Data do Caixa Realizado]]=""),"Vencida","Não vencida")</f>
        <v>Não vencida</v>
      </c>
      <c r="P176" s="40" t="str">
        <f>IF(TbRegistrosEntradas[[#This Row],[Data da Competência]]=TbRegistrosEntradas[[#This Row],[Data do Caixa Previsto]],"Vista","Prazo")</f>
        <v>Prazo</v>
      </c>
      <c r="Q17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7" spans="2:17" x14ac:dyDescent="0.25">
      <c r="B177" s="15">
        <v>43509</v>
      </c>
      <c r="C177" s="15">
        <v>43478</v>
      </c>
      <c r="D177" s="15">
        <v>43509.221158562403</v>
      </c>
      <c r="E177" t="s">
        <v>23</v>
      </c>
      <c r="F177" t="s">
        <v>33</v>
      </c>
      <c r="G177" s="13" t="s">
        <v>232</v>
      </c>
      <c r="H177" s="16">
        <v>2970</v>
      </c>
      <c r="I177">
        <f>IF(TbRegistrosEntradas[[#This Row],[Data do Caixa Realizado]]="",0,MONTH(TbRegistrosEntradas[[#This Row],[Data do Caixa Realizado]]))</f>
        <v>2</v>
      </c>
      <c r="J177">
        <f>IF(TbRegistrosEntradas[[#This Row],[Data do Caixa Realizado]]="",0,YEAR(TbRegistrosEntradas[[#This Row],[Data do Caixa Realizado]]))</f>
        <v>2019</v>
      </c>
      <c r="K177">
        <f>IF(TbRegistrosEntradas[[#This Row],[Data da Competência]]="",0,MONTH(TbRegistrosEntradas[[#This Row],[Data da Competência]]))</f>
        <v>1</v>
      </c>
      <c r="L177">
        <f>IF(TbRegistrosEntradas[[#This Row],[Data da Competência]]="",0,YEAR(TbRegistrosEntradas[[#This Row],[Data da Competência]]))</f>
        <v>2019</v>
      </c>
      <c r="M177" s="40">
        <f>IF(TbRegistrosEntradas[[#This Row],[Data do Caixa Previsto]]="",0,MONTH(TbRegistrosEntradas[[#This Row],[Data do Caixa Previsto]]))</f>
        <v>2</v>
      </c>
      <c r="N177" s="40">
        <f>IF(TbRegistrosEntradas[[#This Row],[Data do Caixa Previsto]]="",0,YEAR(TbRegistrosEntradas[[#This Row],[Data do Caixa Previsto]]))</f>
        <v>2019</v>
      </c>
      <c r="O177" s="40" t="str">
        <f ca="1">IF(AND(TbRegistrosEntradas[[#This Row],[Data do Caixa Previsto]]&lt;TODAY(),TbRegistrosEntradas[[#This Row],[Data do Caixa Realizado]]=""),"Vencida","Não vencida")</f>
        <v>Não vencida</v>
      </c>
      <c r="P177" s="40" t="str">
        <f>IF(TbRegistrosEntradas[[#This Row],[Data da Competência]]=TbRegistrosEntradas[[#This Row],[Data do Caixa Previsto]],"Vista","Prazo")</f>
        <v>Prazo</v>
      </c>
      <c r="Q17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78" spans="2:17" x14ac:dyDescent="0.25">
      <c r="B178" s="15">
        <v>43601</v>
      </c>
      <c r="C178" s="15">
        <v>43482</v>
      </c>
      <c r="D178" s="15">
        <v>43538.543475375038</v>
      </c>
      <c r="E178" t="s">
        <v>23</v>
      </c>
      <c r="F178" t="s">
        <v>30</v>
      </c>
      <c r="G178" s="13" t="s">
        <v>233</v>
      </c>
      <c r="H178" s="16">
        <v>4993</v>
      </c>
      <c r="I178">
        <f>IF(TbRegistrosEntradas[[#This Row],[Data do Caixa Realizado]]="",0,MONTH(TbRegistrosEntradas[[#This Row],[Data do Caixa Realizado]]))</f>
        <v>5</v>
      </c>
      <c r="J178">
        <f>IF(TbRegistrosEntradas[[#This Row],[Data do Caixa Realizado]]="",0,YEAR(TbRegistrosEntradas[[#This Row],[Data do Caixa Realizado]]))</f>
        <v>2019</v>
      </c>
      <c r="K178">
        <f>IF(TbRegistrosEntradas[[#This Row],[Data da Competência]]="",0,MONTH(TbRegistrosEntradas[[#This Row],[Data da Competência]]))</f>
        <v>1</v>
      </c>
      <c r="L178">
        <f>IF(TbRegistrosEntradas[[#This Row],[Data da Competência]]="",0,YEAR(TbRegistrosEntradas[[#This Row],[Data da Competência]]))</f>
        <v>2019</v>
      </c>
      <c r="M178" s="40">
        <f>IF(TbRegistrosEntradas[[#This Row],[Data do Caixa Previsto]]="",0,MONTH(TbRegistrosEntradas[[#This Row],[Data do Caixa Previsto]]))</f>
        <v>3</v>
      </c>
      <c r="N178" s="40">
        <f>IF(TbRegistrosEntradas[[#This Row],[Data do Caixa Previsto]]="",0,YEAR(TbRegistrosEntradas[[#This Row],[Data do Caixa Previsto]]))</f>
        <v>2019</v>
      </c>
      <c r="O178" s="40" t="str">
        <f ca="1">IF(AND(TbRegistrosEntradas[[#This Row],[Data do Caixa Previsto]]&lt;TODAY(),TbRegistrosEntradas[[#This Row],[Data do Caixa Realizado]]=""),"Vencida","Não vencida")</f>
        <v>Não vencida</v>
      </c>
      <c r="P178" s="40" t="str">
        <f>IF(TbRegistrosEntradas[[#This Row],[Data da Competência]]=TbRegistrosEntradas[[#This Row],[Data do Caixa Previsto]],"Vista","Prazo")</f>
        <v>Prazo</v>
      </c>
      <c r="Q17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62.456524624962185</v>
      </c>
    </row>
    <row r="179" spans="2:17" x14ac:dyDescent="0.25">
      <c r="B179" s="15">
        <v>43485</v>
      </c>
      <c r="C179" s="15">
        <v>43485</v>
      </c>
      <c r="D179" s="15">
        <v>43485.955494346097</v>
      </c>
      <c r="E179" t="s">
        <v>23</v>
      </c>
      <c r="F179" t="s">
        <v>34</v>
      </c>
      <c r="G179" s="13" t="s">
        <v>234</v>
      </c>
      <c r="H179" s="16">
        <v>1664</v>
      </c>
      <c r="I179">
        <f>IF(TbRegistrosEntradas[[#This Row],[Data do Caixa Realizado]]="",0,MONTH(TbRegistrosEntradas[[#This Row],[Data do Caixa Realizado]]))</f>
        <v>1</v>
      </c>
      <c r="J179">
        <f>IF(TbRegistrosEntradas[[#This Row],[Data do Caixa Realizado]]="",0,YEAR(TbRegistrosEntradas[[#This Row],[Data do Caixa Realizado]]))</f>
        <v>2019</v>
      </c>
      <c r="K179">
        <f>IF(TbRegistrosEntradas[[#This Row],[Data da Competência]]="",0,MONTH(TbRegistrosEntradas[[#This Row],[Data da Competência]]))</f>
        <v>1</v>
      </c>
      <c r="L179">
        <f>IF(TbRegistrosEntradas[[#This Row],[Data da Competência]]="",0,YEAR(TbRegistrosEntradas[[#This Row],[Data da Competência]]))</f>
        <v>2019</v>
      </c>
      <c r="M179" s="40">
        <f>IF(TbRegistrosEntradas[[#This Row],[Data do Caixa Previsto]]="",0,MONTH(TbRegistrosEntradas[[#This Row],[Data do Caixa Previsto]]))</f>
        <v>1</v>
      </c>
      <c r="N179" s="40">
        <f>IF(TbRegistrosEntradas[[#This Row],[Data do Caixa Previsto]]="",0,YEAR(TbRegistrosEntradas[[#This Row],[Data do Caixa Previsto]]))</f>
        <v>2019</v>
      </c>
      <c r="O179" s="40" t="str">
        <f ca="1">IF(AND(TbRegistrosEntradas[[#This Row],[Data do Caixa Previsto]]&lt;TODAY(),TbRegistrosEntradas[[#This Row],[Data do Caixa Realizado]]=""),"Vencida","Não vencida")</f>
        <v>Não vencida</v>
      </c>
      <c r="P179" s="40" t="str">
        <f>IF(TbRegistrosEntradas[[#This Row],[Data da Competência]]=TbRegistrosEntradas[[#This Row],[Data do Caixa Previsto]],"Vista","Prazo")</f>
        <v>Prazo</v>
      </c>
      <c r="Q17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0" spans="2:17" x14ac:dyDescent="0.25">
      <c r="B180" s="15">
        <v>43522</v>
      </c>
      <c r="C180" s="15">
        <v>43486</v>
      </c>
      <c r="D180" s="15">
        <v>43522.615238592094</v>
      </c>
      <c r="E180" t="s">
        <v>23</v>
      </c>
      <c r="F180" t="s">
        <v>33</v>
      </c>
      <c r="G180" s="13" t="s">
        <v>235</v>
      </c>
      <c r="H180" s="16">
        <v>1815</v>
      </c>
      <c r="I180">
        <f>IF(TbRegistrosEntradas[[#This Row],[Data do Caixa Realizado]]="",0,MONTH(TbRegistrosEntradas[[#This Row],[Data do Caixa Realizado]]))</f>
        <v>2</v>
      </c>
      <c r="J180">
        <f>IF(TbRegistrosEntradas[[#This Row],[Data do Caixa Realizado]]="",0,YEAR(TbRegistrosEntradas[[#This Row],[Data do Caixa Realizado]]))</f>
        <v>2019</v>
      </c>
      <c r="K180">
        <f>IF(TbRegistrosEntradas[[#This Row],[Data da Competência]]="",0,MONTH(TbRegistrosEntradas[[#This Row],[Data da Competência]]))</f>
        <v>1</v>
      </c>
      <c r="L180">
        <f>IF(TbRegistrosEntradas[[#This Row],[Data da Competência]]="",0,YEAR(TbRegistrosEntradas[[#This Row],[Data da Competência]]))</f>
        <v>2019</v>
      </c>
      <c r="M180" s="40">
        <f>IF(TbRegistrosEntradas[[#This Row],[Data do Caixa Previsto]]="",0,MONTH(TbRegistrosEntradas[[#This Row],[Data do Caixa Previsto]]))</f>
        <v>2</v>
      </c>
      <c r="N180" s="40">
        <f>IF(TbRegistrosEntradas[[#This Row],[Data do Caixa Previsto]]="",0,YEAR(TbRegistrosEntradas[[#This Row],[Data do Caixa Previsto]]))</f>
        <v>2019</v>
      </c>
      <c r="O180" s="40" t="str">
        <f ca="1">IF(AND(TbRegistrosEntradas[[#This Row],[Data do Caixa Previsto]]&lt;TODAY(),TbRegistrosEntradas[[#This Row],[Data do Caixa Realizado]]=""),"Vencida","Não vencida")</f>
        <v>Não vencida</v>
      </c>
      <c r="P180" s="40" t="str">
        <f>IF(TbRegistrosEntradas[[#This Row],[Data da Competência]]=TbRegistrosEntradas[[#This Row],[Data do Caixa Previsto]],"Vista","Prazo")</f>
        <v>Prazo</v>
      </c>
      <c r="Q18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1" spans="2:17" x14ac:dyDescent="0.25">
      <c r="B181" s="15">
        <v>43505</v>
      </c>
      <c r="C181" s="15">
        <v>43488</v>
      </c>
      <c r="D181" s="15">
        <v>43505.043861470636</v>
      </c>
      <c r="E181" t="s">
        <v>23</v>
      </c>
      <c r="F181" t="s">
        <v>32</v>
      </c>
      <c r="G181" s="13" t="s">
        <v>236</v>
      </c>
      <c r="H181" s="16">
        <v>3752</v>
      </c>
      <c r="I181">
        <f>IF(TbRegistrosEntradas[[#This Row],[Data do Caixa Realizado]]="",0,MONTH(TbRegistrosEntradas[[#This Row],[Data do Caixa Realizado]]))</f>
        <v>2</v>
      </c>
      <c r="J181">
        <f>IF(TbRegistrosEntradas[[#This Row],[Data do Caixa Realizado]]="",0,YEAR(TbRegistrosEntradas[[#This Row],[Data do Caixa Realizado]]))</f>
        <v>2019</v>
      </c>
      <c r="K181">
        <f>IF(TbRegistrosEntradas[[#This Row],[Data da Competência]]="",0,MONTH(TbRegistrosEntradas[[#This Row],[Data da Competência]]))</f>
        <v>1</v>
      </c>
      <c r="L181">
        <f>IF(TbRegistrosEntradas[[#This Row],[Data da Competência]]="",0,YEAR(TbRegistrosEntradas[[#This Row],[Data da Competência]]))</f>
        <v>2019</v>
      </c>
      <c r="M181" s="40">
        <f>IF(TbRegistrosEntradas[[#This Row],[Data do Caixa Previsto]]="",0,MONTH(TbRegistrosEntradas[[#This Row],[Data do Caixa Previsto]]))</f>
        <v>2</v>
      </c>
      <c r="N181" s="40">
        <f>IF(TbRegistrosEntradas[[#This Row],[Data do Caixa Previsto]]="",0,YEAR(TbRegistrosEntradas[[#This Row],[Data do Caixa Previsto]]))</f>
        <v>2019</v>
      </c>
      <c r="O181" s="40" t="str">
        <f ca="1">IF(AND(TbRegistrosEntradas[[#This Row],[Data do Caixa Previsto]]&lt;TODAY(),TbRegistrosEntradas[[#This Row],[Data do Caixa Realizado]]=""),"Vencida","Não vencida")</f>
        <v>Não vencida</v>
      </c>
      <c r="P181" s="40" t="str">
        <f>IF(TbRegistrosEntradas[[#This Row],[Data da Competência]]=TbRegistrosEntradas[[#This Row],[Data do Caixa Previsto]],"Vista","Prazo")</f>
        <v>Prazo</v>
      </c>
      <c r="Q18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2" spans="2:17" x14ac:dyDescent="0.25">
      <c r="B182" s="15">
        <v>43513</v>
      </c>
      <c r="C182" s="15">
        <v>43492</v>
      </c>
      <c r="D182" s="15">
        <v>43513.423178401492</v>
      </c>
      <c r="E182" t="s">
        <v>23</v>
      </c>
      <c r="F182" t="s">
        <v>33</v>
      </c>
      <c r="G182" s="13" t="s">
        <v>237</v>
      </c>
      <c r="H182" s="16">
        <v>177</v>
      </c>
      <c r="I182">
        <f>IF(TbRegistrosEntradas[[#This Row],[Data do Caixa Realizado]]="",0,MONTH(TbRegistrosEntradas[[#This Row],[Data do Caixa Realizado]]))</f>
        <v>2</v>
      </c>
      <c r="J182">
        <f>IF(TbRegistrosEntradas[[#This Row],[Data do Caixa Realizado]]="",0,YEAR(TbRegistrosEntradas[[#This Row],[Data do Caixa Realizado]]))</f>
        <v>2019</v>
      </c>
      <c r="K182">
        <f>IF(TbRegistrosEntradas[[#This Row],[Data da Competência]]="",0,MONTH(TbRegistrosEntradas[[#This Row],[Data da Competência]]))</f>
        <v>1</v>
      </c>
      <c r="L182">
        <f>IF(TbRegistrosEntradas[[#This Row],[Data da Competência]]="",0,YEAR(TbRegistrosEntradas[[#This Row],[Data da Competência]]))</f>
        <v>2019</v>
      </c>
      <c r="M182" s="40">
        <f>IF(TbRegistrosEntradas[[#This Row],[Data do Caixa Previsto]]="",0,MONTH(TbRegistrosEntradas[[#This Row],[Data do Caixa Previsto]]))</f>
        <v>2</v>
      </c>
      <c r="N182" s="40">
        <f>IF(TbRegistrosEntradas[[#This Row],[Data do Caixa Previsto]]="",0,YEAR(TbRegistrosEntradas[[#This Row],[Data do Caixa Previsto]]))</f>
        <v>2019</v>
      </c>
      <c r="O182" s="40" t="str">
        <f ca="1">IF(AND(TbRegistrosEntradas[[#This Row],[Data do Caixa Previsto]]&lt;TODAY(),TbRegistrosEntradas[[#This Row],[Data do Caixa Realizado]]=""),"Vencida","Não vencida")</f>
        <v>Não vencida</v>
      </c>
      <c r="P182" s="40" t="str">
        <f>IF(TbRegistrosEntradas[[#This Row],[Data da Competência]]=TbRegistrosEntradas[[#This Row],[Data do Caixa Previsto]],"Vista","Prazo")</f>
        <v>Prazo</v>
      </c>
      <c r="Q18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3" spans="2:17" x14ac:dyDescent="0.25">
      <c r="B183" s="15">
        <v>43513</v>
      </c>
      <c r="C183" s="15">
        <v>43494</v>
      </c>
      <c r="D183" s="15">
        <v>43513.404065853094</v>
      </c>
      <c r="E183" t="s">
        <v>23</v>
      </c>
      <c r="F183" t="s">
        <v>33</v>
      </c>
      <c r="G183" s="13" t="s">
        <v>238</v>
      </c>
      <c r="H183" s="16">
        <v>3619</v>
      </c>
      <c r="I183">
        <f>IF(TbRegistrosEntradas[[#This Row],[Data do Caixa Realizado]]="",0,MONTH(TbRegistrosEntradas[[#This Row],[Data do Caixa Realizado]]))</f>
        <v>2</v>
      </c>
      <c r="J183">
        <f>IF(TbRegistrosEntradas[[#This Row],[Data do Caixa Realizado]]="",0,YEAR(TbRegistrosEntradas[[#This Row],[Data do Caixa Realizado]]))</f>
        <v>2019</v>
      </c>
      <c r="K183">
        <f>IF(TbRegistrosEntradas[[#This Row],[Data da Competência]]="",0,MONTH(TbRegistrosEntradas[[#This Row],[Data da Competência]]))</f>
        <v>1</v>
      </c>
      <c r="L183">
        <f>IF(TbRegistrosEntradas[[#This Row],[Data da Competência]]="",0,YEAR(TbRegistrosEntradas[[#This Row],[Data da Competência]]))</f>
        <v>2019</v>
      </c>
      <c r="M183" s="40">
        <f>IF(TbRegistrosEntradas[[#This Row],[Data do Caixa Previsto]]="",0,MONTH(TbRegistrosEntradas[[#This Row],[Data do Caixa Previsto]]))</f>
        <v>2</v>
      </c>
      <c r="N183" s="40">
        <f>IF(TbRegistrosEntradas[[#This Row],[Data do Caixa Previsto]]="",0,YEAR(TbRegistrosEntradas[[#This Row],[Data do Caixa Previsto]]))</f>
        <v>2019</v>
      </c>
      <c r="O183" s="40" t="str">
        <f ca="1">IF(AND(TbRegistrosEntradas[[#This Row],[Data do Caixa Previsto]]&lt;TODAY(),TbRegistrosEntradas[[#This Row],[Data do Caixa Realizado]]=""),"Vencida","Não vencida")</f>
        <v>Não vencida</v>
      </c>
      <c r="P183" s="40" t="str">
        <f>IF(TbRegistrosEntradas[[#This Row],[Data da Competência]]=TbRegistrosEntradas[[#This Row],[Data do Caixa Previsto]],"Vista","Prazo")</f>
        <v>Prazo</v>
      </c>
      <c r="Q18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4" spans="2:17" x14ac:dyDescent="0.25">
      <c r="B184" s="15">
        <v>43534</v>
      </c>
      <c r="C184" s="15">
        <v>43498</v>
      </c>
      <c r="D184" s="15">
        <v>43534.989762344601</v>
      </c>
      <c r="E184" t="s">
        <v>23</v>
      </c>
      <c r="F184" t="s">
        <v>32</v>
      </c>
      <c r="G184" s="13" t="s">
        <v>239</v>
      </c>
      <c r="H184" s="16">
        <v>4030</v>
      </c>
      <c r="I184">
        <f>IF(TbRegistrosEntradas[[#This Row],[Data do Caixa Realizado]]="",0,MONTH(TbRegistrosEntradas[[#This Row],[Data do Caixa Realizado]]))</f>
        <v>3</v>
      </c>
      <c r="J184">
        <f>IF(TbRegistrosEntradas[[#This Row],[Data do Caixa Realizado]]="",0,YEAR(TbRegistrosEntradas[[#This Row],[Data do Caixa Realizado]]))</f>
        <v>2019</v>
      </c>
      <c r="K184">
        <f>IF(TbRegistrosEntradas[[#This Row],[Data da Competência]]="",0,MONTH(TbRegistrosEntradas[[#This Row],[Data da Competência]]))</f>
        <v>2</v>
      </c>
      <c r="L184">
        <f>IF(TbRegistrosEntradas[[#This Row],[Data da Competência]]="",0,YEAR(TbRegistrosEntradas[[#This Row],[Data da Competência]]))</f>
        <v>2019</v>
      </c>
      <c r="M184" s="40">
        <f>IF(TbRegistrosEntradas[[#This Row],[Data do Caixa Previsto]]="",0,MONTH(TbRegistrosEntradas[[#This Row],[Data do Caixa Previsto]]))</f>
        <v>3</v>
      </c>
      <c r="N184" s="40">
        <f>IF(TbRegistrosEntradas[[#This Row],[Data do Caixa Previsto]]="",0,YEAR(TbRegistrosEntradas[[#This Row],[Data do Caixa Previsto]]))</f>
        <v>2019</v>
      </c>
      <c r="O184" s="40" t="str">
        <f ca="1">IF(AND(TbRegistrosEntradas[[#This Row],[Data do Caixa Previsto]]&lt;TODAY(),TbRegistrosEntradas[[#This Row],[Data do Caixa Realizado]]=""),"Vencida","Não vencida")</f>
        <v>Não vencida</v>
      </c>
      <c r="P184" s="40" t="str">
        <f>IF(TbRegistrosEntradas[[#This Row],[Data da Competência]]=TbRegistrosEntradas[[#This Row],[Data do Caixa Previsto]],"Vista","Prazo")</f>
        <v>Prazo</v>
      </c>
      <c r="Q18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5" spans="2:17" x14ac:dyDescent="0.25">
      <c r="B185" s="15">
        <v>43512</v>
      </c>
      <c r="C185" s="15">
        <v>43501</v>
      </c>
      <c r="D185" s="15">
        <v>43512.886043755854</v>
      </c>
      <c r="E185" t="s">
        <v>23</v>
      </c>
      <c r="F185" t="s">
        <v>32</v>
      </c>
      <c r="G185" s="13" t="s">
        <v>240</v>
      </c>
      <c r="H185" s="16">
        <v>4157</v>
      </c>
      <c r="I185">
        <f>IF(TbRegistrosEntradas[[#This Row],[Data do Caixa Realizado]]="",0,MONTH(TbRegistrosEntradas[[#This Row],[Data do Caixa Realizado]]))</f>
        <v>2</v>
      </c>
      <c r="J185">
        <f>IF(TbRegistrosEntradas[[#This Row],[Data do Caixa Realizado]]="",0,YEAR(TbRegistrosEntradas[[#This Row],[Data do Caixa Realizado]]))</f>
        <v>2019</v>
      </c>
      <c r="K185">
        <f>IF(TbRegistrosEntradas[[#This Row],[Data da Competência]]="",0,MONTH(TbRegistrosEntradas[[#This Row],[Data da Competência]]))</f>
        <v>2</v>
      </c>
      <c r="L185">
        <f>IF(TbRegistrosEntradas[[#This Row],[Data da Competência]]="",0,YEAR(TbRegistrosEntradas[[#This Row],[Data da Competência]]))</f>
        <v>2019</v>
      </c>
      <c r="M185" s="40">
        <f>IF(TbRegistrosEntradas[[#This Row],[Data do Caixa Previsto]]="",0,MONTH(TbRegistrosEntradas[[#This Row],[Data do Caixa Previsto]]))</f>
        <v>2</v>
      </c>
      <c r="N185" s="40">
        <f>IF(TbRegistrosEntradas[[#This Row],[Data do Caixa Previsto]]="",0,YEAR(TbRegistrosEntradas[[#This Row],[Data do Caixa Previsto]]))</f>
        <v>2019</v>
      </c>
      <c r="O185" s="40" t="str">
        <f ca="1">IF(AND(TbRegistrosEntradas[[#This Row],[Data do Caixa Previsto]]&lt;TODAY(),TbRegistrosEntradas[[#This Row],[Data do Caixa Realizado]]=""),"Vencida","Não vencida")</f>
        <v>Não vencida</v>
      </c>
      <c r="P185" s="40" t="str">
        <f>IF(TbRegistrosEntradas[[#This Row],[Data da Competência]]=TbRegistrosEntradas[[#This Row],[Data do Caixa Previsto]],"Vista","Prazo")</f>
        <v>Prazo</v>
      </c>
      <c r="Q18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6" spans="2:17" x14ac:dyDescent="0.25">
      <c r="B186" s="15">
        <v>43532</v>
      </c>
      <c r="C186" s="15">
        <v>43502</v>
      </c>
      <c r="D186" s="15">
        <v>43532.824988934779</v>
      </c>
      <c r="E186" t="s">
        <v>23</v>
      </c>
      <c r="F186" t="s">
        <v>31</v>
      </c>
      <c r="G186" s="13" t="s">
        <v>241</v>
      </c>
      <c r="H186" s="16">
        <v>1417</v>
      </c>
      <c r="I186">
        <f>IF(TbRegistrosEntradas[[#This Row],[Data do Caixa Realizado]]="",0,MONTH(TbRegistrosEntradas[[#This Row],[Data do Caixa Realizado]]))</f>
        <v>3</v>
      </c>
      <c r="J186">
        <f>IF(TbRegistrosEntradas[[#This Row],[Data do Caixa Realizado]]="",0,YEAR(TbRegistrosEntradas[[#This Row],[Data do Caixa Realizado]]))</f>
        <v>2019</v>
      </c>
      <c r="K186">
        <f>IF(TbRegistrosEntradas[[#This Row],[Data da Competência]]="",0,MONTH(TbRegistrosEntradas[[#This Row],[Data da Competência]]))</f>
        <v>2</v>
      </c>
      <c r="L186">
        <f>IF(TbRegistrosEntradas[[#This Row],[Data da Competência]]="",0,YEAR(TbRegistrosEntradas[[#This Row],[Data da Competência]]))</f>
        <v>2019</v>
      </c>
      <c r="M186" s="40">
        <f>IF(TbRegistrosEntradas[[#This Row],[Data do Caixa Previsto]]="",0,MONTH(TbRegistrosEntradas[[#This Row],[Data do Caixa Previsto]]))</f>
        <v>3</v>
      </c>
      <c r="N186" s="40">
        <f>IF(TbRegistrosEntradas[[#This Row],[Data do Caixa Previsto]]="",0,YEAR(TbRegistrosEntradas[[#This Row],[Data do Caixa Previsto]]))</f>
        <v>2019</v>
      </c>
      <c r="O186" s="40" t="str">
        <f ca="1">IF(AND(TbRegistrosEntradas[[#This Row],[Data do Caixa Previsto]]&lt;TODAY(),TbRegistrosEntradas[[#This Row],[Data do Caixa Realizado]]=""),"Vencida","Não vencida")</f>
        <v>Não vencida</v>
      </c>
      <c r="P186" s="40" t="str">
        <f>IF(TbRegistrosEntradas[[#This Row],[Data da Competência]]=TbRegistrosEntradas[[#This Row],[Data do Caixa Previsto]],"Vista","Prazo")</f>
        <v>Prazo</v>
      </c>
      <c r="Q18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7" spans="2:17" x14ac:dyDescent="0.25">
      <c r="B187" s="15">
        <v>43540</v>
      </c>
      <c r="C187" s="15">
        <v>43505</v>
      </c>
      <c r="D187" s="15">
        <v>43540.311131757786</v>
      </c>
      <c r="E187" t="s">
        <v>23</v>
      </c>
      <c r="F187" t="s">
        <v>34</v>
      </c>
      <c r="G187" s="13" t="s">
        <v>242</v>
      </c>
      <c r="H187" s="16">
        <v>1117</v>
      </c>
      <c r="I187">
        <f>IF(TbRegistrosEntradas[[#This Row],[Data do Caixa Realizado]]="",0,MONTH(TbRegistrosEntradas[[#This Row],[Data do Caixa Realizado]]))</f>
        <v>3</v>
      </c>
      <c r="J187">
        <f>IF(TbRegistrosEntradas[[#This Row],[Data do Caixa Realizado]]="",0,YEAR(TbRegistrosEntradas[[#This Row],[Data do Caixa Realizado]]))</f>
        <v>2019</v>
      </c>
      <c r="K187">
        <f>IF(TbRegistrosEntradas[[#This Row],[Data da Competência]]="",0,MONTH(TbRegistrosEntradas[[#This Row],[Data da Competência]]))</f>
        <v>2</v>
      </c>
      <c r="L187">
        <f>IF(TbRegistrosEntradas[[#This Row],[Data da Competência]]="",0,YEAR(TbRegistrosEntradas[[#This Row],[Data da Competência]]))</f>
        <v>2019</v>
      </c>
      <c r="M187" s="40">
        <f>IF(TbRegistrosEntradas[[#This Row],[Data do Caixa Previsto]]="",0,MONTH(TbRegistrosEntradas[[#This Row],[Data do Caixa Previsto]]))</f>
        <v>3</v>
      </c>
      <c r="N187" s="40">
        <f>IF(TbRegistrosEntradas[[#This Row],[Data do Caixa Previsto]]="",0,YEAR(TbRegistrosEntradas[[#This Row],[Data do Caixa Previsto]]))</f>
        <v>2019</v>
      </c>
      <c r="O187" s="40" t="str">
        <f ca="1">IF(AND(TbRegistrosEntradas[[#This Row],[Data do Caixa Previsto]]&lt;TODAY(),TbRegistrosEntradas[[#This Row],[Data do Caixa Realizado]]=""),"Vencida","Não vencida")</f>
        <v>Não vencida</v>
      </c>
      <c r="P187" s="40" t="str">
        <f>IF(TbRegistrosEntradas[[#This Row],[Data da Competência]]=TbRegistrosEntradas[[#This Row],[Data do Caixa Previsto]],"Vista","Prazo")</f>
        <v>Prazo</v>
      </c>
      <c r="Q18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8" spans="2:17" x14ac:dyDescent="0.25">
      <c r="B188" s="15">
        <v>43541</v>
      </c>
      <c r="C188" s="15">
        <v>43506</v>
      </c>
      <c r="D188" s="15">
        <v>43541.652544038297</v>
      </c>
      <c r="E188" t="s">
        <v>23</v>
      </c>
      <c r="F188" t="s">
        <v>30</v>
      </c>
      <c r="G188" s="13" t="s">
        <v>243</v>
      </c>
      <c r="H188" s="16">
        <v>4461</v>
      </c>
      <c r="I188">
        <f>IF(TbRegistrosEntradas[[#This Row],[Data do Caixa Realizado]]="",0,MONTH(TbRegistrosEntradas[[#This Row],[Data do Caixa Realizado]]))</f>
        <v>3</v>
      </c>
      <c r="J188">
        <f>IF(TbRegistrosEntradas[[#This Row],[Data do Caixa Realizado]]="",0,YEAR(TbRegistrosEntradas[[#This Row],[Data do Caixa Realizado]]))</f>
        <v>2019</v>
      </c>
      <c r="K188">
        <f>IF(TbRegistrosEntradas[[#This Row],[Data da Competência]]="",0,MONTH(TbRegistrosEntradas[[#This Row],[Data da Competência]]))</f>
        <v>2</v>
      </c>
      <c r="L188">
        <f>IF(TbRegistrosEntradas[[#This Row],[Data da Competência]]="",0,YEAR(TbRegistrosEntradas[[#This Row],[Data da Competência]]))</f>
        <v>2019</v>
      </c>
      <c r="M188" s="40">
        <f>IF(TbRegistrosEntradas[[#This Row],[Data do Caixa Previsto]]="",0,MONTH(TbRegistrosEntradas[[#This Row],[Data do Caixa Previsto]]))</f>
        <v>3</v>
      </c>
      <c r="N188" s="40">
        <f>IF(TbRegistrosEntradas[[#This Row],[Data do Caixa Previsto]]="",0,YEAR(TbRegistrosEntradas[[#This Row],[Data do Caixa Previsto]]))</f>
        <v>2019</v>
      </c>
      <c r="O188" s="40" t="str">
        <f ca="1">IF(AND(TbRegistrosEntradas[[#This Row],[Data do Caixa Previsto]]&lt;TODAY(),TbRegistrosEntradas[[#This Row],[Data do Caixa Realizado]]=""),"Vencida","Não vencida")</f>
        <v>Não vencida</v>
      </c>
      <c r="P188" s="40" t="str">
        <f>IF(TbRegistrosEntradas[[#This Row],[Data da Competência]]=TbRegistrosEntradas[[#This Row],[Data do Caixa Previsto]],"Vista","Prazo")</f>
        <v>Prazo</v>
      </c>
      <c r="Q18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89" spans="2:17" x14ac:dyDescent="0.25">
      <c r="B189" s="15">
        <v>43560</v>
      </c>
      <c r="C189" s="15">
        <v>43508</v>
      </c>
      <c r="D189" s="15">
        <v>43554.09538121894</v>
      </c>
      <c r="E189" t="s">
        <v>23</v>
      </c>
      <c r="F189" t="s">
        <v>33</v>
      </c>
      <c r="G189" s="13" t="s">
        <v>244</v>
      </c>
      <c r="H189" s="16">
        <v>3732</v>
      </c>
      <c r="I189">
        <f>IF(TbRegistrosEntradas[[#This Row],[Data do Caixa Realizado]]="",0,MONTH(TbRegistrosEntradas[[#This Row],[Data do Caixa Realizado]]))</f>
        <v>4</v>
      </c>
      <c r="J189">
        <f>IF(TbRegistrosEntradas[[#This Row],[Data do Caixa Realizado]]="",0,YEAR(TbRegistrosEntradas[[#This Row],[Data do Caixa Realizado]]))</f>
        <v>2019</v>
      </c>
      <c r="K189">
        <f>IF(TbRegistrosEntradas[[#This Row],[Data da Competência]]="",0,MONTH(TbRegistrosEntradas[[#This Row],[Data da Competência]]))</f>
        <v>2</v>
      </c>
      <c r="L189">
        <f>IF(TbRegistrosEntradas[[#This Row],[Data da Competência]]="",0,YEAR(TbRegistrosEntradas[[#This Row],[Data da Competência]]))</f>
        <v>2019</v>
      </c>
      <c r="M189" s="40">
        <f>IF(TbRegistrosEntradas[[#This Row],[Data do Caixa Previsto]]="",0,MONTH(TbRegistrosEntradas[[#This Row],[Data do Caixa Previsto]]))</f>
        <v>3</v>
      </c>
      <c r="N189" s="40">
        <f>IF(TbRegistrosEntradas[[#This Row],[Data do Caixa Previsto]]="",0,YEAR(TbRegistrosEntradas[[#This Row],[Data do Caixa Previsto]]))</f>
        <v>2019</v>
      </c>
      <c r="O189" s="40" t="str">
        <f ca="1">IF(AND(TbRegistrosEntradas[[#This Row],[Data do Caixa Previsto]]&lt;TODAY(),TbRegistrosEntradas[[#This Row],[Data do Caixa Realizado]]=""),"Vencida","Não vencida")</f>
        <v>Não vencida</v>
      </c>
      <c r="P189" s="40" t="str">
        <f>IF(TbRegistrosEntradas[[#This Row],[Data da Competência]]=TbRegistrosEntradas[[#This Row],[Data do Caixa Previsto]],"Vista","Prazo")</f>
        <v>Prazo</v>
      </c>
      <c r="Q18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5.9046187810599804</v>
      </c>
    </row>
    <row r="190" spans="2:17" x14ac:dyDescent="0.25">
      <c r="B190" s="15">
        <v>43512</v>
      </c>
      <c r="C190" s="15">
        <v>43509</v>
      </c>
      <c r="D190" s="15">
        <v>43512.426649972214</v>
      </c>
      <c r="E190" t="s">
        <v>23</v>
      </c>
      <c r="F190" t="s">
        <v>34</v>
      </c>
      <c r="G190" s="13" t="s">
        <v>245</v>
      </c>
      <c r="H190" s="16">
        <v>2024</v>
      </c>
      <c r="I190">
        <f>IF(TbRegistrosEntradas[[#This Row],[Data do Caixa Realizado]]="",0,MONTH(TbRegistrosEntradas[[#This Row],[Data do Caixa Realizado]]))</f>
        <v>2</v>
      </c>
      <c r="J190">
        <f>IF(TbRegistrosEntradas[[#This Row],[Data do Caixa Realizado]]="",0,YEAR(TbRegistrosEntradas[[#This Row],[Data do Caixa Realizado]]))</f>
        <v>2019</v>
      </c>
      <c r="K190">
        <f>IF(TbRegistrosEntradas[[#This Row],[Data da Competência]]="",0,MONTH(TbRegistrosEntradas[[#This Row],[Data da Competência]]))</f>
        <v>2</v>
      </c>
      <c r="L190">
        <f>IF(TbRegistrosEntradas[[#This Row],[Data da Competência]]="",0,YEAR(TbRegistrosEntradas[[#This Row],[Data da Competência]]))</f>
        <v>2019</v>
      </c>
      <c r="M190" s="40">
        <f>IF(TbRegistrosEntradas[[#This Row],[Data do Caixa Previsto]]="",0,MONTH(TbRegistrosEntradas[[#This Row],[Data do Caixa Previsto]]))</f>
        <v>2</v>
      </c>
      <c r="N190" s="40">
        <f>IF(TbRegistrosEntradas[[#This Row],[Data do Caixa Previsto]]="",0,YEAR(TbRegistrosEntradas[[#This Row],[Data do Caixa Previsto]]))</f>
        <v>2019</v>
      </c>
      <c r="O190" s="40" t="str">
        <f ca="1">IF(AND(TbRegistrosEntradas[[#This Row],[Data do Caixa Previsto]]&lt;TODAY(),TbRegistrosEntradas[[#This Row],[Data do Caixa Realizado]]=""),"Vencida","Não vencida")</f>
        <v>Não vencida</v>
      </c>
      <c r="P190" s="40" t="str">
        <f>IF(TbRegistrosEntradas[[#This Row],[Data da Competência]]=TbRegistrosEntradas[[#This Row],[Data do Caixa Previsto]],"Vista","Prazo")</f>
        <v>Prazo</v>
      </c>
      <c r="Q19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1" spans="2:17" x14ac:dyDescent="0.25">
      <c r="B191" s="15" t="s">
        <v>69</v>
      </c>
      <c r="C191" s="15">
        <v>43512</v>
      </c>
      <c r="D191" s="15">
        <v>43570.205876707638</v>
      </c>
      <c r="E191" t="s">
        <v>23</v>
      </c>
      <c r="F191" t="s">
        <v>33</v>
      </c>
      <c r="G191" s="13" t="s">
        <v>246</v>
      </c>
      <c r="H191" s="16">
        <v>928</v>
      </c>
      <c r="I191">
        <f>IF(TbRegistrosEntradas[[#This Row],[Data do Caixa Realizado]]="",0,MONTH(TbRegistrosEntradas[[#This Row],[Data do Caixa Realizado]]))</f>
        <v>0</v>
      </c>
      <c r="J191">
        <f>IF(TbRegistrosEntradas[[#This Row],[Data do Caixa Realizado]]="",0,YEAR(TbRegistrosEntradas[[#This Row],[Data do Caixa Realizado]]))</f>
        <v>0</v>
      </c>
      <c r="K191">
        <f>IF(TbRegistrosEntradas[[#This Row],[Data da Competência]]="",0,MONTH(TbRegistrosEntradas[[#This Row],[Data da Competência]]))</f>
        <v>2</v>
      </c>
      <c r="L191">
        <f>IF(TbRegistrosEntradas[[#This Row],[Data da Competência]]="",0,YEAR(TbRegistrosEntradas[[#This Row],[Data da Competência]]))</f>
        <v>2019</v>
      </c>
      <c r="M191" s="40">
        <f>IF(TbRegistrosEntradas[[#This Row],[Data do Caixa Previsto]]="",0,MONTH(TbRegistrosEntradas[[#This Row],[Data do Caixa Previsto]]))</f>
        <v>4</v>
      </c>
      <c r="N191" s="40">
        <f>IF(TbRegistrosEntradas[[#This Row],[Data do Caixa Previsto]]="",0,YEAR(TbRegistrosEntradas[[#This Row],[Data do Caixa Previsto]]))</f>
        <v>2019</v>
      </c>
      <c r="O191" s="40" t="str">
        <f ca="1">IF(AND(TbRegistrosEntradas[[#This Row],[Data do Caixa Previsto]]&lt;TODAY(),TbRegistrosEntradas[[#This Row],[Data do Caixa Realizado]]=""),"Vencida","Não vencida")</f>
        <v>Vencida</v>
      </c>
      <c r="P191" s="40" t="str">
        <f>IF(TbRegistrosEntradas[[#This Row],[Data da Competência]]=TbRegistrosEntradas[[#This Row],[Data do Caixa Previsto]],"Vista","Prazo")</f>
        <v>Prazo</v>
      </c>
      <c r="Q19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1745.7941232923622</v>
      </c>
    </row>
    <row r="192" spans="2:17" x14ac:dyDescent="0.25">
      <c r="B192" s="15">
        <v>43560</v>
      </c>
      <c r="C192" s="15">
        <v>43513</v>
      </c>
      <c r="D192" s="15">
        <v>43560.066685649028</v>
      </c>
      <c r="E192" t="s">
        <v>23</v>
      </c>
      <c r="F192" t="s">
        <v>33</v>
      </c>
      <c r="G192" s="13" t="s">
        <v>247</v>
      </c>
      <c r="H192" s="16">
        <v>3557</v>
      </c>
      <c r="I192">
        <f>IF(TbRegistrosEntradas[[#This Row],[Data do Caixa Realizado]]="",0,MONTH(TbRegistrosEntradas[[#This Row],[Data do Caixa Realizado]]))</f>
        <v>4</v>
      </c>
      <c r="J192">
        <f>IF(TbRegistrosEntradas[[#This Row],[Data do Caixa Realizado]]="",0,YEAR(TbRegistrosEntradas[[#This Row],[Data do Caixa Realizado]]))</f>
        <v>2019</v>
      </c>
      <c r="K192">
        <f>IF(TbRegistrosEntradas[[#This Row],[Data da Competência]]="",0,MONTH(TbRegistrosEntradas[[#This Row],[Data da Competência]]))</f>
        <v>2</v>
      </c>
      <c r="L192">
        <f>IF(TbRegistrosEntradas[[#This Row],[Data da Competência]]="",0,YEAR(TbRegistrosEntradas[[#This Row],[Data da Competência]]))</f>
        <v>2019</v>
      </c>
      <c r="M192" s="40">
        <f>IF(TbRegistrosEntradas[[#This Row],[Data do Caixa Previsto]]="",0,MONTH(TbRegistrosEntradas[[#This Row],[Data do Caixa Previsto]]))</f>
        <v>4</v>
      </c>
      <c r="N192" s="40">
        <f>IF(TbRegistrosEntradas[[#This Row],[Data do Caixa Previsto]]="",0,YEAR(TbRegistrosEntradas[[#This Row],[Data do Caixa Previsto]]))</f>
        <v>2019</v>
      </c>
      <c r="O192" s="40" t="str">
        <f ca="1">IF(AND(TbRegistrosEntradas[[#This Row],[Data do Caixa Previsto]]&lt;TODAY(),TbRegistrosEntradas[[#This Row],[Data do Caixa Realizado]]=""),"Vencida","Não vencida")</f>
        <v>Não vencida</v>
      </c>
      <c r="P192" s="40" t="str">
        <f>IF(TbRegistrosEntradas[[#This Row],[Data da Competência]]=TbRegistrosEntradas[[#This Row],[Data do Caixa Previsto]],"Vista","Prazo")</f>
        <v>Prazo</v>
      </c>
      <c r="Q19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3" spans="2:17" x14ac:dyDescent="0.25">
      <c r="B193" s="15">
        <v>43540</v>
      </c>
      <c r="C193" s="15">
        <v>43514</v>
      </c>
      <c r="D193" s="15">
        <v>43540.820705056554</v>
      </c>
      <c r="E193" t="s">
        <v>23</v>
      </c>
      <c r="F193" t="s">
        <v>34</v>
      </c>
      <c r="G193" s="13" t="s">
        <v>248</v>
      </c>
      <c r="H193" s="16">
        <v>741</v>
      </c>
      <c r="I193">
        <f>IF(TbRegistrosEntradas[[#This Row],[Data do Caixa Realizado]]="",0,MONTH(TbRegistrosEntradas[[#This Row],[Data do Caixa Realizado]]))</f>
        <v>3</v>
      </c>
      <c r="J193">
        <f>IF(TbRegistrosEntradas[[#This Row],[Data do Caixa Realizado]]="",0,YEAR(TbRegistrosEntradas[[#This Row],[Data do Caixa Realizado]]))</f>
        <v>2019</v>
      </c>
      <c r="K193">
        <f>IF(TbRegistrosEntradas[[#This Row],[Data da Competência]]="",0,MONTH(TbRegistrosEntradas[[#This Row],[Data da Competência]]))</f>
        <v>2</v>
      </c>
      <c r="L193">
        <f>IF(TbRegistrosEntradas[[#This Row],[Data da Competência]]="",0,YEAR(TbRegistrosEntradas[[#This Row],[Data da Competência]]))</f>
        <v>2019</v>
      </c>
      <c r="M193" s="40">
        <f>IF(TbRegistrosEntradas[[#This Row],[Data do Caixa Previsto]]="",0,MONTH(TbRegistrosEntradas[[#This Row],[Data do Caixa Previsto]]))</f>
        <v>3</v>
      </c>
      <c r="N193" s="40">
        <f>IF(TbRegistrosEntradas[[#This Row],[Data do Caixa Previsto]]="",0,YEAR(TbRegistrosEntradas[[#This Row],[Data do Caixa Previsto]]))</f>
        <v>2019</v>
      </c>
      <c r="O193" s="40" t="str">
        <f ca="1">IF(AND(TbRegistrosEntradas[[#This Row],[Data do Caixa Previsto]]&lt;TODAY(),TbRegistrosEntradas[[#This Row],[Data do Caixa Realizado]]=""),"Vencida","Não vencida")</f>
        <v>Não vencida</v>
      </c>
      <c r="P193" s="40" t="str">
        <f>IF(TbRegistrosEntradas[[#This Row],[Data da Competência]]=TbRegistrosEntradas[[#This Row],[Data do Caixa Previsto]],"Vista","Prazo")</f>
        <v>Prazo</v>
      </c>
      <c r="Q19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4" spans="2:17" x14ac:dyDescent="0.25">
      <c r="B194" s="15">
        <v>43548</v>
      </c>
      <c r="C194" s="15">
        <v>43517</v>
      </c>
      <c r="D194" s="15">
        <v>43548.222942782464</v>
      </c>
      <c r="E194" t="s">
        <v>23</v>
      </c>
      <c r="F194" t="s">
        <v>34</v>
      </c>
      <c r="G194" s="13" t="s">
        <v>249</v>
      </c>
      <c r="H194" s="16">
        <v>850</v>
      </c>
      <c r="I194">
        <f>IF(TbRegistrosEntradas[[#This Row],[Data do Caixa Realizado]]="",0,MONTH(TbRegistrosEntradas[[#This Row],[Data do Caixa Realizado]]))</f>
        <v>3</v>
      </c>
      <c r="J194">
        <f>IF(TbRegistrosEntradas[[#This Row],[Data do Caixa Realizado]]="",0,YEAR(TbRegistrosEntradas[[#This Row],[Data do Caixa Realizado]]))</f>
        <v>2019</v>
      </c>
      <c r="K194">
        <f>IF(TbRegistrosEntradas[[#This Row],[Data da Competência]]="",0,MONTH(TbRegistrosEntradas[[#This Row],[Data da Competência]]))</f>
        <v>2</v>
      </c>
      <c r="L194">
        <f>IF(TbRegistrosEntradas[[#This Row],[Data da Competência]]="",0,YEAR(TbRegistrosEntradas[[#This Row],[Data da Competência]]))</f>
        <v>2019</v>
      </c>
      <c r="M194" s="40">
        <f>IF(TbRegistrosEntradas[[#This Row],[Data do Caixa Previsto]]="",0,MONTH(TbRegistrosEntradas[[#This Row],[Data do Caixa Previsto]]))</f>
        <v>3</v>
      </c>
      <c r="N194" s="40">
        <f>IF(TbRegistrosEntradas[[#This Row],[Data do Caixa Previsto]]="",0,YEAR(TbRegistrosEntradas[[#This Row],[Data do Caixa Previsto]]))</f>
        <v>2019</v>
      </c>
      <c r="O194" s="40" t="str">
        <f ca="1">IF(AND(TbRegistrosEntradas[[#This Row],[Data do Caixa Previsto]]&lt;TODAY(),TbRegistrosEntradas[[#This Row],[Data do Caixa Realizado]]=""),"Vencida","Não vencida")</f>
        <v>Não vencida</v>
      </c>
      <c r="P194" s="40" t="str">
        <f>IF(TbRegistrosEntradas[[#This Row],[Data da Competência]]=TbRegistrosEntradas[[#This Row],[Data do Caixa Previsto]],"Vista","Prazo")</f>
        <v>Prazo</v>
      </c>
      <c r="Q19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5" spans="2:17" x14ac:dyDescent="0.25">
      <c r="B195" s="15">
        <v>43625</v>
      </c>
      <c r="C195" s="15">
        <v>43522</v>
      </c>
      <c r="D195" s="15">
        <v>43563.814201596448</v>
      </c>
      <c r="E195" t="s">
        <v>23</v>
      </c>
      <c r="F195" t="s">
        <v>33</v>
      </c>
      <c r="G195" s="13" t="s">
        <v>250</v>
      </c>
      <c r="H195" s="16">
        <v>4741</v>
      </c>
      <c r="I195">
        <f>IF(TbRegistrosEntradas[[#This Row],[Data do Caixa Realizado]]="",0,MONTH(TbRegistrosEntradas[[#This Row],[Data do Caixa Realizado]]))</f>
        <v>6</v>
      </c>
      <c r="J195">
        <f>IF(TbRegistrosEntradas[[#This Row],[Data do Caixa Realizado]]="",0,YEAR(TbRegistrosEntradas[[#This Row],[Data do Caixa Realizado]]))</f>
        <v>2019</v>
      </c>
      <c r="K195">
        <f>IF(TbRegistrosEntradas[[#This Row],[Data da Competência]]="",0,MONTH(TbRegistrosEntradas[[#This Row],[Data da Competência]]))</f>
        <v>2</v>
      </c>
      <c r="L195">
        <f>IF(TbRegistrosEntradas[[#This Row],[Data da Competência]]="",0,YEAR(TbRegistrosEntradas[[#This Row],[Data da Competência]]))</f>
        <v>2019</v>
      </c>
      <c r="M195" s="40">
        <f>IF(TbRegistrosEntradas[[#This Row],[Data do Caixa Previsto]]="",0,MONTH(TbRegistrosEntradas[[#This Row],[Data do Caixa Previsto]]))</f>
        <v>4</v>
      </c>
      <c r="N195" s="40">
        <f>IF(TbRegistrosEntradas[[#This Row],[Data do Caixa Previsto]]="",0,YEAR(TbRegistrosEntradas[[#This Row],[Data do Caixa Previsto]]))</f>
        <v>2019</v>
      </c>
      <c r="O195" s="40" t="str">
        <f ca="1">IF(AND(TbRegistrosEntradas[[#This Row],[Data do Caixa Previsto]]&lt;TODAY(),TbRegistrosEntradas[[#This Row],[Data do Caixa Realizado]]=""),"Vencida","Não vencida")</f>
        <v>Não vencida</v>
      </c>
      <c r="P195" s="40" t="str">
        <f>IF(TbRegistrosEntradas[[#This Row],[Data da Competência]]=TbRegistrosEntradas[[#This Row],[Data do Caixa Previsto]],"Vista","Prazo")</f>
        <v>Prazo</v>
      </c>
      <c r="Q19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61.185798403552326</v>
      </c>
    </row>
    <row r="196" spans="2:17" x14ac:dyDescent="0.25">
      <c r="B196" s="15">
        <v>43571</v>
      </c>
      <c r="C196" s="15">
        <v>43525</v>
      </c>
      <c r="D196" s="15">
        <v>43571.459066587013</v>
      </c>
      <c r="E196" t="s">
        <v>23</v>
      </c>
      <c r="F196" t="s">
        <v>31</v>
      </c>
      <c r="G196" s="13" t="s">
        <v>251</v>
      </c>
      <c r="H196" s="16">
        <v>471</v>
      </c>
      <c r="I196">
        <f>IF(TbRegistrosEntradas[[#This Row],[Data do Caixa Realizado]]="",0,MONTH(TbRegistrosEntradas[[#This Row],[Data do Caixa Realizado]]))</f>
        <v>4</v>
      </c>
      <c r="J196">
        <f>IF(TbRegistrosEntradas[[#This Row],[Data do Caixa Realizado]]="",0,YEAR(TbRegistrosEntradas[[#This Row],[Data do Caixa Realizado]]))</f>
        <v>2019</v>
      </c>
      <c r="K196">
        <f>IF(TbRegistrosEntradas[[#This Row],[Data da Competência]]="",0,MONTH(TbRegistrosEntradas[[#This Row],[Data da Competência]]))</f>
        <v>3</v>
      </c>
      <c r="L196">
        <f>IF(TbRegistrosEntradas[[#This Row],[Data da Competência]]="",0,YEAR(TbRegistrosEntradas[[#This Row],[Data da Competência]]))</f>
        <v>2019</v>
      </c>
      <c r="M196" s="40">
        <f>IF(TbRegistrosEntradas[[#This Row],[Data do Caixa Previsto]]="",0,MONTH(TbRegistrosEntradas[[#This Row],[Data do Caixa Previsto]]))</f>
        <v>4</v>
      </c>
      <c r="N196" s="40">
        <f>IF(TbRegistrosEntradas[[#This Row],[Data do Caixa Previsto]]="",0,YEAR(TbRegistrosEntradas[[#This Row],[Data do Caixa Previsto]]))</f>
        <v>2019</v>
      </c>
      <c r="O196" s="40" t="str">
        <f ca="1">IF(AND(TbRegistrosEntradas[[#This Row],[Data do Caixa Previsto]]&lt;TODAY(),TbRegistrosEntradas[[#This Row],[Data do Caixa Realizado]]=""),"Vencida","Não vencida")</f>
        <v>Não vencida</v>
      </c>
      <c r="P196" s="40" t="str">
        <f>IF(TbRegistrosEntradas[[#This Row],[Data da Competência]]=TbRegistrosEntradas[[#This Row],[Data do Caixa Previsto]],"Vista","Prazo")</f>
        <v>Prazo</v>
      </c>
      <c r="Q19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7" spans="2:17" x14ac:dyDescent="0.25">
      <c r="B197" s="15">
        <v>43590</v>
      </c>
      <c r="C197" s="15">
        <v>43527</v>
      </c>
      <c r="D197" s="15">
        <v>43568.716482543525</v>
      </c>
      <c r="E197" t="s">
        <v>23</v>
      </c>
      <c r="F197" t="s">
        <v>31</v>
      </c>
      <c r="G197" s="13" t="s">
        <v>252</v>
      </c>
      <c r="H197" s="16">
        <v>517</v>
      </c>
      <c r="I197">
        <f>IF(TbRegistrosEntradas[[#This Row],[Data do Caixa Realizado]]="",0,MONTH(TbRegistrosEntradas[[#This Row],[Data do Caixa Realizado]]))</f>
        <v>5</v>
      </c>
      <c r="J197">
        <f>IF(TbRegistrosEntradas[[#This Row],[Data do Caixa Realizado]]="",0,YEAR(TbRegistrosEntradas[[#This Row],[Data do Caixa Realizado]]))</f>
        <v>2019</v>
      </c>
      <c r="K197">
        <f>IF(TbRegistrosEntradas[[#This Row],[Data da Competência]]="",0,MONTH(TbRegistrosEntradas[[#This Row],[Data da Competência]]))</f>
        <v>3</v>
      </c>
      <c r="L197">
        <f>IF(TbRegistrosEntradas[[#This Row],[Data da Competência]]="",0,YEAR(TbRegistrosEntradas[[#This Row],[Data da Competência]]))</f>
        <v>2019</v>
      </c>
      <c r="M197" s="40">
        <f>IF(TbRegistrosEntradas[[#This Row],[Data do Caixa Previsto]]="",0,MONTH(TbRegistrosEntradas[[#This Row],[Data do Caixa Previsto]]))</f>
        <v>4</v>
      </c>
      <c r="N197" s="40">
        <f>IF(TbRegistrosEntradas[[#This Row],[Data do Caixa Previsto]]="",0,YEAR(TbRegistrosEntradas[[#This Row],[Data do Caixa Previsto]]))</f>
        <v>2019</v>
      </c>
      <c r="O197" s="40" t="str">
        <f ca="1">IF(AND(TbRegistrosEntradas[[#This Row],[Data do Caixa Previsto]]&lt;TODAY(),TbRegistrosEntradas[[#This Row],[Data do Caixa Realizado]]=""),"Vencida","Não vencida")</f>
        <v>Não vencida</v>
      </c>
      <c r="P197" s="40" t="str">
        <f>IF(TbRegistrosEntradas[[#This Row],[Data da Competência]]=TbRegistrosEntradas[[#This Row],[Data do Caixa Previsto]],"Vista","Prazo")</f>
        <v>Prazo</v>
      </c>
      <c r="Q19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21.283517456475238</v>
      </c>
    </row>
    <row r="198" spans="2:17" x14ac:dyDescent="0.25">
      <c r="B198" s="15">
        <v>43563</v>
      </c>
      <c r="C198" s="15">
        <v>43534</v>
      </c>
      <c r="D198" s="15">
        <v>43563.221434488092</v>
      </c>
      <c r="E198" t="s">
        <v>23</v>
      </c>
      <c r="F198" t="s">
        <v>31</v>
      </c>
      <c r="G198" s="13" t="s">
        <v>253</v>
      </c>
      <c r="H198" s="16">
        <v>3034</v>
      </c>
      <c r="I198">
        <f>IF(TbRegistrosEntradas[[#This Row],[Data do Caixa Realizado]]="",0,MONTH(TbRegistrosEntradas[[#This Row],[Data do Caixa Realizado]]))</f>
        <v>4</v>
      </c>
      <c r="J198">
        <f>IF(TbRegistrosEntradas[[#This Row],[Data do Caixa Realizado]]="",0,YEAR(TbRegistrosEntradas[[#This Row],[Data do Caixa Realizado]]))</f>
        <v>2019</v>
      </c>
      <c r="K198">
        <f>IF(TbRegistrosEntradas[[#This Row],[Data da Competência]]="",0,MONTH(TbRegistrosEntradas[[#This Row],[Data da Competência]]))</f>
        <v>3</v>
      </c>
      <c r="L198">
        <f>IF(TbRegistrosEntradas[[#This Row],[Data da Competência]]="",0,YEAR(TbRegistrosEntradas[[#This Row],[Data da Competência]]))</f>
        <v>2019</v>
      </c>
      <c r="M198" s="40">
        <f>IF(TbRegistrosEntradas[[#This Row],[Data do Caixa Previsto]]="",0,MONTH(TbRegistrosEntradas[[#This Row],[Data do Caixa Previsto]]))</f>
        <v>4</v>
      </c>
      <c r="N198" s="40">
        <f>IF(TbRegistrosEntradas[[#This Row],[Data do Caixa Previsto]]="",0,YEAR(TbRegistrosEntradas[[#This Row],[Data do Caixa Previsto]]))</f>
        <v>2019</v>
      </c>
      <c r="O198" s="40" t="str">
        <f ca="1">IF(AND(TbRegistrosEntradas[[#This Row],[Data do Caixa Previsto]]&lt;TODAY(),TbRegistrosEntradas[[#This Row],[Data do Caixa Realizado]]=""),"Vencida","Não vencida")</f>
        <v>Não vencida</v>
      </c>
      <c r="P198" s="40" t="str">
        <f>IF(TbRegistrosEntradas[[#This Row],[Data da Competência]]=TbRegistrosEntradas[[#This Row],[Data do Caixa Previsto]],"Vista","Prazo")</f>
        <v>Prazo</v>
      </c>
      <c r="Q19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199" spans="2:17" x14ac:dyDescent="0.25">
      <c r="B199" s="15">
        <v>43578</v>
      </c>
      <c r="C199" s="15">
        <v>43537</v>
      </c>
      <c r="D199" s="15">
        <v>43578.576921560554</v>
      </c>
      <c r="E199" t="s">
        <v>23</v>
      </c>
      <c r="F199" t="s">
        <v>33</v>
      </c>
      <c r="G199" s="13" t="s">
        <v>254</v>
      </c>
      <c r="H199" s="16">
        <v>3172</v>
      </c>
      <c r="I199">
        <f>IF(TbRegistrosEntradas[[#This Row],[Data do Caixa Realizado]]="",0,MONTH(TbRegistrosEntradas[[#This Row],[Data do Caixa Realizado]]))</f>
        <v>4</v>
      </c>
      <c r="J199">
        <f>IF(TbRegistrosEntradas[[#This Row],[Data do Caixa Realizado]]="",0,YEAR(TbRegistrosEntradas[[#This Row],[Data do Caixa Realizado]]))</f>
        <v>2019</v>
      </c>
      <c r="K199">
        <f>IF(TbRegistrosEntradas[[#This Row],[Data da Competência]]="",0,MONTH(TbRegistrosEntradas[[#This Row],[Data da Competência]]))</f>
        <v>3</v>
      </c>
      <c r="L199">
        <f>IF(TbRegistrosEntradas[[#This Row],[Data da Competência]]="",0,YEAR(TbRegistrosEntradas[[#This Row],[Data da Competência]]))</f>
        <v>2019</v>
      </c>
      <c r="M199" s="40">
        <f>IF(TbRegistrosEntradas[[#This Row],[Data do Caixa Previsto]]="",0,MONTH(TbRegistrosEntradas[[#This Row],[Data do Caixa Previsto]]))</f>
        <v>4</v>
      </c>
      <c r="N199" s="40">
        <f>IF(TbRegistrosEntradas[[#This Row],[Data do Caixa Previsto]]="",0,YEAR(TbRegistrosEntradas[[#This Row],[Data do Caixa Previsto]]))</f>
        <v>2019</v>
      </c>
      <c r="O199" s="40" t="str">
        <f ca="1">IF(AND(TbRegistrosEntradas[[#This Row],[Data do Caixa Previsto]]&lt;TODAY(),TbRegistrosEntradas[[#This Row],[Data do Caixa Realizado]]=""),"Vencida","Não vencida")</f>
        <v>Não vencida</v>
      </c>
      <c r="P199" s="40" t="str">
        <f>IF(TbRegistrosEntradas[[#This Row],[Data da Competência]]=TbRegistrosEntradas[[#This Row],[Data do Caixa Previsto]],"Vista","Prazo")</f>
        <v>Prazo</v>
      </c>
      <c r="Q19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00" spans="2:17" x14ac:dyDescent="0.25">
      <c r="B200" s="15">
        <v>43555</v>
      </c>
      <c r="C200" s="15">
        <v>43543</v>
      </c>
      <c r="D200" s="15">
        <v>43555.68421267363</v>
      </c>
      <c r="E200" t="s">
        <v>23</v>
      </c>
      <c r="F200" t="s">
        <v>32</v>
      </c>
      <c r="G200" s="13" t="s">
        <v>255</v>
      </c>
      <c r="H200" s="16">
        <v>2069</v>
      </c>
      <c r="I200">
        <f>IF(TbRegistrosEntradas[[#This Row],[Data do Caixa Realizado]]="",0,MONTH(TbRegistrosEntradas[[#This Row],[Data do Caixa Realizado]]))</f>
        <v>3</v>
      </c>
      <c r="J200">
        <f>IF(TbRegistrosEntradas[[#This Row],[Data do Caixa Realizado]]="",0,YEAR(TbRegistrosEntradas[[#This Row],[Data do Caixa Realizado]]))</f>
        <v>2019</v>
      </c>
      <c r="K200">
        <f>IF(TbRegistrosEntradas[[#This Row],[Data da Competência]]="",0,MONTH(TbRegistrosEntradas[[#This Row],[Data da Competência]]))</f>
        <v>3</v>
      </c>
      <c r="L200">
        <f>IF(TbRegistrosEntradas[[#This Row],[Data da Competência]]="",0,YEAR(TbRegistrosEntradas[[#This Row],[Data da Competência]]))</f>
        <v>2019</v>
      </c>
      <c r="M200" s="40">
        <f>IF(TbRegistrosEntradas[[#This Row],[Data do Caixa Previsto]]="",0,MONTH(TbRegistrosEntradas[[#This Row],[Data do Caixa Previsto]]))</f>
        <v>3</v>
      </c>
      <c r="N200" s="40">
        <f>IF(TbRegistrosEntradas[[#This Row],[Data do Caixa Previsto]]="",0,YEAR(TbRegistrosEntradas[[#This Row],[Data do Caixa Previsto]]))</f>
        <v>2019</v>
      </c>
      <c r="O200" s="40" t="str">
        <f ca="1">IF(AND(TbRegistrosEntradas[[#This Row],[Data do Caixa Previsto]]&lt;TODAY(),TbRegistrosEntradas[[#This Row],[Data do Caixa Realizado]]=""),"Vencida","Não vencida")</f>
        <v>Não vencida</v>
      </c>
      <c r="P200" s="40" t="str">
        <f>IF(TbRegistrosEntradas[[#This Row],[Data da Competência]]=TbRegistrosEntradas[[#This Row],[Data do Caixa Previsto]],"Vista","Prazo")</f>
        <v>Prazo</v>
      </c>
      <c r="Q20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01" spans="2:17" x14ac:dyDescent="0.25">
      <c r="B201" s="15">
        <v>43614</v>
      </c>
      <c r="C201" s="15">
        <v>43545</v>
      </c>
      <c r="D201" s="15">
        <v>43559.473956858106</v>
      </c>
      <c r="E201" t="s">
        <v>23</v>
      </c>
      <c r="F201" t="s">
        <v>32</v>
      </c>
      <c r="G201" s="13" t="s">
        <v>256</v>
      </c>
      <c r="H201" s="16">
        <v>3849</v>
      </c>
      <c r="I201">
        <f>IF(TbRegistrosEntradas[[#This Row],[Data do Caixa Realizado]]="",0,MONTH(TbRegistrosEntradas[[#This Row],[Data do Caixa Realizado]]))</f>
        <v>5</v>
      </c>
      <c r="J201">
        <f>IF(TbRegistrosEntradas[[#This Row],[Data do Caixa Realizado]]="",0,YEAR(TbRegistrosEntradas[[#This Row],[Data do Caixa Realizado]]))</f>
        <v>2019</v>
      </c>
      <c r="K201">
        <f>IF(TbRegistrosEntradas[[#This Row],[Data da Competência]]="",0,MONTH(TbRegistrosEntradas[[#This Row],[Data da Competência]]))</f>
        <v>3</v>
      </c>
      <c r="L201">
        <f>IF(TbRegistrosEntradas[[#This Row],[Data da Competência]]="",0,YEAR(TbRegistrosEntradas[[#This Row],[Data da Competência]]))</f>
        <v>2019</v>
      </c>
      <c r="M201" s="40">
        <f>IF(TbRegistrosEntradas[[#This Row],[Data do Caixa Previsto]]="",0,MONTH(TbRegistrosEntradas[[#This Row],[Data do Caixa Previsto]]))</f>
        <v>4</v>
      </c>
      <c r="N201" s="40">
        <f>IF(TbRegistrosEntradas[[#This Row],[Data do Caixa Previsto]]="",0,YEAR(TbRegistrosEntradas[[#This Row],[Data do Caixa Previsto]]))</f>
        <v>2019</v>
      </c>
      <c r="O201" s="40" t="str">
        <f ca="1">IF(AND(TbRegistrosEntradas[[#This Row],[Data do Caixa Previsto]]&lt;TODAY(),TbRegistrosEntradas[[#This Row],[Data do Caixa Realizado]]=""),"Vencida","Não vencida")</f>
        <v>Não vencida</v>
      </c>
      <c r="P201" s="40" t="str">
        <f>IF(TbRegistrosEntradas[[#This Row],[Data da Competência]]=TbRegistrosEntradas[[#This Row],[Data do Caixa Previsto]],"Vista","Prazo")</f>
        <v>Prazo</v>
      </c>
      <c r="Q20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54.526043141893751</v>
      </c>
    </row>
    <row r="202" spans="2:17" x14ac:dyDescent="0.25">
      <c r="B202" s="15">
        <v>43622</v>
      </c>
      <c r="C202" s="15">
        <v>43551</v>
      </c>
      <c r="D202" s="15">
        <v>43586.046958916726</v>
      </c>
      <c r="E202" t="s">
        <v>23</v>
      </c>
      <c r="F202" t="s">
        <v>34</v>
      </c>
      <c r="G202" s="13" t="s">
        <v>257</v>
      </c>
      <c r="H202" s="16">
        <v>4141</v>
      </c>
      <c r="I202">
        <f>IF(TbRegistrosEntradas[[#This Row],[Data do Caixa Realizado]]="",0,MONTH(TbRegistrosEntradas[[#This Row],[Data do Caixa Realizado]]))</f>
        <v>6</v>
      </c>
      <c r="J202">
        <f>IF(TbRegistrosEntradas[[#This Row],[Data do Caixa Realizado]]="",0,YEAR(TbRegistrosEntradas[[#This Row],[Data do Caixa Realizado]]))</f>
        <v>2019</v>
      </c>
      <c r="K202">
        <f>IF(TbRegistrosEntradas[[#This Row],[Data da Competência]]="",0,MONTH(TbRegistrosEntradas[[#This Row],[Data da Competência]]))</f>
        <v>3</v>
      </c>
      <c r="L202">
        <f>IF(TbRegistrosEntradas[[#This Row],[Data da Competência]]="",0,YEAR(TbRegistrosEntradas[[#This Row],[Data da Competência]]))</f>
        <v>2019</v>
      </c>
      <c r="M202" s="40">
        <f>IF(TbRegistrosEntradas[[#This Row],[Data do Caixa Previsto]]="",0,MONTH(TbRegistrosEntradas[[#This Row],[Data do Caixa Previsto]]))</f>
        <v>5</v>
      </c>
      <c r="N202" s="40">
        <f>IF(TbRegistrosEntradas[[#This Row],[Data do Caixa Previsto]]="",0,YEAR(TbRegistrosEntradas[[#This Row],[Data do Caixa Previsto]]))</f>
        <v>2019</v>
      </c>
      <c r="O202" s="40" t="str">
        <f ca="1">IF(AND(TbRegistrosEntradas[[#This Row],[Data do Caixa Previsto]]&lt;TODAY(),TbRegistrosEntradas[[#This Row],[Data do Caixa Realizado]]=""),"Vencida","Não vencida")</f>
        <v>Não vencida</v>
      </c>
      <c r="P202" s="40" t="str">
        <f>IF(TbRegistrosEntradas[[#This Row],[Data da Competência]]=TbRegistrosEntradas[[#This Row],[Data do Caixa Previsto]],"Vista","Prazo")</f>
        <v>Prazo</v>
      </c>
      <c r="Q20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35.953041083274002</v>
      </c>
    </row>
    <row r="203" spans="2:17" x14ac:dyDescent="0.25">
      <c r="B203" s="15" t="s">
        <v>69</v>
      </c>
      <c r="C203" s="15">
        <v>43552</v>
      </c>
      <c r="D203" s="15">
        <v>43586.891175257784</v>
      </c>
      <c r="E203" t="s">
        <v>23</v>
      </c>
      <c r="F203" t="s">
        <v>34</v>
      </c>
      <c r="G203" s="13" t="s">
        <v>258</v>
      </c>
      <c r="H203" s="16">
        <v>1348</v>
      </c>
      <c r="I203">
        <f>IF(TbRegistrosEntradas[[#This Row],[Data do Caixa Realizado]]="",0,MONTH(TbRegistrosEntradas[[#This Row],[Data do Caixa Realizado]]))</f>
        <v>0</v>
      </c>
      <c r="J203">
        <f>IF(TbRegistrosEntradas[[#This Row],[Data do Caixa Realizado]]="",0,YEAR(TbRegistrosEntradas[[#This Row],[Data do Caixa Realizado]]))</f>
        <v>0</v>
      </c>
      <c r="K203">
        <f>IF(TbRegistrosEntradas[[#This Row],[Data da Competência]]="",0,MONTH(TbRegistrosEntradas[[#This Row],[Data da Competência]]))</f>
        <v>3</v>
      </c>
      <c r="L203">
        <f>IF(TbRegistrosEntradas[[#This Row],[Data da Competência]]="",0,YEAR(TbRegistrosEntradas[[#This Row],[Data da Competência]]))</f>
        <v>2019</v>
      </c>
      <c r="M203" s="40">
        <f>IF(TbRegistrosEntradas[[#This Row],[Data do Caixa Previsto]]="",0,MONTH(TbRegistrosEntradas[[#This Row],[Data do Caixa Previsto]]))</f>
        <v>5</v>
      </c>
      <c r="N203" s="40">
        <f>IF(TbRegistrosEntradas[[#This Row],[Data do Caixa Previsto]]="",0,YEAR(TbRegistrosEntradas[[#This Row],[Data do Caixa Previsto]]))</f>
        <v>2019</v>
      </c>
      <c r="O203" s="40" t="str">
        <f ca="1">IF(AND(TbRegistrosEntradas[[#This Row],[Data do Caixa Previsto]]&lt;TODAY(),TbRegistrosEntradas[[#This Row],[Data do Caixa Realizado]]=""),"Vencida","Não vencida")</f>
        <v>Vencida</v>
      </c>
      <c r="P203" s="40" t="str">
        <f>IF(TbRegistrosEntradas[[#This Row],[Data da Competência]]=TbRegistrosEntradas[[#This Row],[Data do Caixa Previsto]],"Vista","Prazo")</f>
        <v>Prazo</v>
      </c>
      <c r="Q20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1729.1088247422158</v>
      </c>
    </row>
    <row r="204" spans="2:17" x14ac:dyDescent="0.25">
      <c r="B204" s="15">
        <v>43579</v>
      </c>
      <c r="C204" s="15">
        <v>43558</v>
      </c>
      <c r="D204" s="15">
        <v>43579.560843489548</v>
      </c>
      <c r="E204" t="s">
        <v>23</v>
      </c>
      <c r="F204" t="s">
        <v>33</v>
      </c>
      <c r="G204" s="13" t="s">
        <v>259</v>
      </c>
      <c r="H204" s="16">
        <v>1738</v>
      </c>
      <c r="I204">
        <f>IF(TbRegistrosEntradas[[#This Row],[Data do Caixa Realizado]]="",0,MONTH(TbRegistrosEntradas[[#This Row],[Data do Caixa Realizado]]))</f>
        <v>4</v>
      </c>
      <c r="J204">
        <f>IF(TbRegistrosEntradas[[#This Row],[Data do Caixa Realizado]]="",0,YEAR(TbRegistrosEntradas[[#This Row],[Data do Caixa Realizado]]))</f>
        <v>2019</v>
      </c>
      <c r="K204">
        <f>IF(TbRegistrosEntradas[[#This Row],[Data da Competência]]="",0,MONTH(TbRegistrosEntradas[[#This Row],[Data da Competência]]))</f>
        <v>4</v>
      </c>
      <c r="L204">
        <f>IF(TbRegistrosEntradas[[#This Row],[Data da Competência]]="",0,YEAR(TbRegistrosEntradas[[#This Row],[Data da Competência]]))</f>
        <v>2019</v>
      </c>
      <c r="M204" s="40">
        <f>IF(TbRegistrosEntradas[[#This Row],[Data do Caixa Previsto]]="",0,MONTH(TbRegistrosEntradas[[#This Row],[Data do Caixa Previsto]]))</f>
        <v>4</v>
      </c>
      <c r="N204" s="40">
        <f>IF(TbRegistrosEntradas[[#This Row],[Data do Caixa Previsto]]="",0,YEAR(TbRegistrosEntradas[[#This Row],[Data do Caixa Previsto]]))</f>
        <v>2019</v>
      </c>
      <c r="O204" s="40" t="str">
        <f ca="1">IF(AND(TbRegistrosEntradas[[#This Row],[Data do Caixa Previsto]]&lt;TODAY(),TbRegistrosEntradas[[#This Row],[Data do Caixa Realizado]]=""),"Vencida","Não vencida")</f>
        <v>Não vencida</v>
      </c>
      <c r="P204" s="40" t="str">
        <f>IF(TbRegistrosEntradas[[#This Row],[Data da Competência]]=TbRegistrosEntradas[[#This Row],[Data do Caixa Previsto]],"Vista","Prazo")</f>
        <v>Prazo</v>
      </c>
      <c r="Q20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05" spans="2:17" x14ac:dyDescent="0.25">
      <c r="B205" s="15">
        <v>43616</v>
      </c>
      <c r="C205" s="15">
        <v>43561</v>
      </c>
      <c r="D205" s="15">
        <v>43616.927767605004</v>
      </c>
      <c r="E205" t="s">
        <v>23</v>
      </c>
      <c r="F205" t="s">
        <v>33</v>
      </c>
      <c r="G205" s="13" t="s">
        <v>260</v>
      </c>
      <c r="H205" s="16">
        <v>732</v>
      </c>
      <c r="I205">
        <f>IF(TbRegistrosEntradas[[#This Row],[Data do Caixa Realizado]]="",0,MONTH(TbRegistrosEntradas[[#This Row],[Data do Caixa Realizado]]))</f>
        <v>5</v>
      </c>
      <c r="J205">
        <f>IF(TbRegistrosEntradas[[#This Row],[Data do Caixa Realizado]]="",0,YEAR(TbRegistrosEntradas[[#This Row],[Data do Caixa Realizado]]))</f>
        <v>2019</v>
      </c>
      <c r="K205">
        <f>IF(TbRegistrosEntradas[[#This Row],[Data da Competência]]="",0,MONTH(TbRegistrosEntradas[[#This Row],[Data da Competência]]))</f>
        <v>4</v>
      </c>
      <c r="L205">
        <f>IF(TbRegistrosEntradas[[#This Row],[Data da Competência]]="",0,YEAR(TbRegistrosEntradas[[#This Row],[Data da Competência]]))</f>
        <v>2019</v>
      </c>
      <c r="M205" s="40">
        <f>IF(TbRegistrosEntradas[[#This Row],[Data do Caixa Previsto]]="",0,MONTH(TbRegistrosEntradas[[#This Row],[Data do Caixa Previsto]]))</f>
        <v>5</v>
      </c>
      <c r="N205" s="40">
        <f>IF(TbRegistrosEntradas[[#This Row],[Data do Caixa Previsto]]="",0,YEAR(TbRegistrosEntradas[[#This Row],[Data do Caixa Previsto]]))</f>
        <v>2019</v>
      </c>
      <c r="O205" s="40" t="str">
        <f ca="1">IF(AND(TbRegistrosEntradas[[#This Row],[Data do Caixa Previsto]]&lt;TODAY(),TbRegistrosEntradas[[#This Row],[Data do Caixa Realizado]]=""),"Vencida","Não vencida")</f>
        <v>Não vencida</v>
      </c>
      <c r="P205" s="40" t="str">
        <f>IF(TbRegistrosEntradas[[#This Row],[Data da Competência]]=TbRegistrosEntradas[[#This Row],[Data do Caixa Previsto]],"Vista","Prazo")</f>
        <v>Prazo</v>
      </c>
      <c r="Q20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06" spans="2:17" x14ac:dyDescent="0.25">
      <c r="B206" s="15">
        <v>43625</v>
      </c>
      <c r="C206" s="15">
        <v>43562</v>
      </c>
      <c r="D206" s="15">
        <v>43586.693447907084</v>
      </c>
      <c r="E206" t="s">
        <v>23</v>
      </c>
      <c r="F206" t="s">
        <v>34</v>
      </c>
      <c r="G206" s="13" t="s">
        <v>261</v>
      </c>
      <c r="H206" s="16">
        <v>373</v>
      </c>
      <c r="I206">
        <f>IF(TbRegistrosEntradas[[#This Row],[Data do Caixa Realizado]]="",0,MONTH(TbRegistrosEntradas[[#This Row],[Data do Caixa Realizado]]))</f>
        <v>6</v>
      </c>
      <c r="J206">
        <f>IF(TbRegistrosEntradas[[#This Row],[Data do Caixa Realizado]]="",0,YEAR(TbRegistrosEntradas[[#This Row],[Data do Caixa Realizado]]))</f>
        <v>2019</v>
      </c>
      <c r="K206">
        <f>IF(TbRegistrosEntradas[[#This Row],[Data da Competência]]="",0,MONTH(TbRegistrosEntradas[[#This Row],[Data da Competência]]))</f>
        <v>4</v>
      </c>
      <c r="L206">
        <f>IF(TbRegistrosEntradas[[#This Row],[Data da Competência]]="",0,YEAR(TbRegistrosEntradas[[#This Row],[Data da Competência]]))</f>
        <v>2019</v>
      </c>
      <c r="M206" s="40">
        <f>IF(TbRegistrosEntradas[[#This Row],[Data do Caixa Previsto]]="",0,MONTH(TbRegistrosEntradas[[#This Row],[Data do Caixa Previsto]]))</f>
        <v>5</v>
      </c>
      <c r="N206" s="40">
        <f>IF(TbRegistrosEntradas[[#This Row],[Data do Caixa Previsto]]="",0,YEAR(TbRegistrosEntradas[[#This Row],[Data do Caixa Previsto]]))</f>
        <v>2019</v>
      </c>
      <c r="O206" s="40" t="str">
        <f ca="1">IF(AND(TbRegistrosEntradas[[#This Row],[Data do Caixa Previsto]]&lt;TODAY(),TbRegistrosEntradas[[#This Row],[Data do Caixa Realizado]]=""),"Vencida","Não vencida")</f>
        <v>Não vencida</v>
      </c>
      <c r="P206" s="40" t="str">
        <f>IF(TbRegistrosEntradas[[#This Row],[Data da Competência]]=TbRegistrosEntradas[[#This Row],[Data do Caixa Previsto]],"Vista","Prazo")</f>
        <v>Prazo</v>
      </c>
      <c r="Q20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38.306552092915808</v>
      </c>
    </row>
    <row r="207" spans="2:17" x14ac:dyDescent="0.25">
      <c r="B207" s="15">
        <v>43680</v>
      </c>
      <c r="C207" s="15">
        <v>43564</v>
      </c>
      <c r="D207" s="15">
        <v>43609.201502582175</v>
      </c>
      <c r="E207" t="s">
        <v>23</v>
      </c>
      <c r="F207" t="s">
        <v>31</v>
      </c>
      <c r="G207" s="13" t="s">
        <v>262</v>
      </c>
      <c r="H207" s="16">
        <v>609</v>
      </c>
      <c r="I207">
        <f>IF(TbRegistrosEntradas[[#This Row],[Data do Caixa Realizado]]="",0,MONTH(TbRegistrosEntradas[[#This Row],[Data do Caixa Realizado]]))</f>
        <v>8</v>
      </c>
      <c r="J207">
        <f>IF(TbRegistrosEntradas[[#This Row],[Data do Caixa Realizado]]="",0,YEAR(TbRegistrosEntradas[[#This Row],[Data do Caixa Realizado]]))</f>
        <v>2019</v>
      </c>
      <c r="K207">
        <f>IF(TbRegistrosEntradas[[#This Row],[Data da Competência]]="",0,MONTH(TbRegistrosEntradas[[#This Row],[Data da Competência]]))</f>
        <v>4</v>
      </c>
      <c r="L207">
        <f>IF(TbRegistrosEntradas[[#This Row],[Data da Competência]]="",0,YEAR(TbRegistrosEntradas[[#This Row],[Data da Competência]]))</f>
        <v>2019</v>
      </c>
      <c r="M207" s="40">
        <f>IF(TbRegistrosEntradas[[#This Row],[Data do Caixa Previsto]]="",0,MONTH(TbRegistrosEntradas[[#This Row],[Data do Caixa Previsto]]))</f>
        <v>5</v>
      </c>
      <c r="N207" s="40">
        <f>IF(TbRegistrosEntradas[[#This Row],[Data do Caixa Previsto]]="",0,YEAR(TbRegistrosEntradas[[#This Row],[Data do Caixa Previsto]]))</f>
        <v>2019</v>
      </c>
      <c r="O207" s="40" t="str">
        <f ca="1">IF(AND(TbRegistrosEntradas[[#This Row],[Data do Caixa Previsto]]&lt;TODAY(),TbRegistrosEntradas[[#This Row],[Data do Caixa Realizado]]=""),"Vencida","Não vencida")</f>
        <v>Não vencida</v>
      </c>
      <c r="P207" s="40" t="str">
        <f>IF(TbRegistrosEntradas[[#This Row],[Data da Competência]]=TbRegistrosEntradas[[#This Row],[Data do Caixa Previsto]],"Vista","Prazo")</f>
        <v>Prazo</v>
      </c>
      <c r="Q20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70.798497417825274</v>
      </c>
    </row>
    <row r="208" spans="2:17" x14ac:dyDescent="0.25">
      <c r="B208" s="15">
        <v>43615</v>
      </c>
      <c r="C208" s="15">
        <v>43567</v>
      </c>
      <c r="D208" s="15">
        <v>43615.075827004257</v>
      </c>
      <c r="E208" t="s">
        <v>23</v>
      </c>
      <c r="F208" t="s">
        <v>33</v>
      </c>
      <c r="G208" s="13" t="s">
        <v>263</v>
      </c>
      <c r="H208" s="16">
        <v>2883</v>
      </c>
      <c r="I208">
        <f>IF(TbRegistrosEntradas[[#This Row],[Data do Caixa Realizado]]="",0,MONTH(TbRegistrosEntradas[[#This Row],[Data do Caixa Realizado]]))</f>
        <v>5</v>
      </c>
      <c r="J208">
        <f>IF(TbRegistrosEntradas[[#This Row],[Data do Caixa Realizado]]="",0,YEAR(TbRegistrosEntradas[[#This Row],[Data do Caixa Realizado]]))</f>
        <v>2019</v>
      </c>
      <c r="K208">
        <f>IF(TbRegistrosEntradas[[#This Row],[Data da Competência]]="",0,MONTH(TbRegistrosEntradas[[#This Row],[Data da Competência]]))</f>
        <v>4</v>
      </c>
      <c r="L208">
        <f>IF(TbRegistrosEntradas[[#This Row],[Data da Competência]]="",0,YEAR(TbRegistrosEntradas[[#This Row],[Data da Competência]]))</f>
        <v>2019</v>
      </c>
      <c r="M208" s="40">
        <f>IF(TbRegistrosEntradas[[#This Row],[Data do Caixa Previsto]]="",0,MONTH(TbRegistrosEntradas[[#This Row],[Data do Caixa Previsto]]))</f>
        <v>5</v>
      </c>
      <c r="N208" s="40">
        <f>IF(TbRegistrosEntradas[[#This Row],[Data do Caixa Previsto]]="",0,YEAR(TbRegistrosEntradas[[#This Row],[Data do Caixa Previsto]]))</f>
        <v>2019</v>
      </c>
      <c r="O208" s="40" t="str">
        <f ca="1">IF(AND(TbRegistrosEntradas[[#This Row],[Data do Caixa Previsto]]&lt;TODAY(),TbRegistrosEntradas[[#This Row],[Data do Caixa Realizado]]=""),"Vencida","Não vencida")</f>
        <v>Não vencida</v>
      </c>
      <c r="P208" s="40" t="str">
        <f>IF(TbRegistrosEntradas[[#This Row],[Data da Competência]]=TbRegistrosEntradas[[#This Row],[Data do Caixa Previsto]],"Vista","Prazo")</f>
        <v>Prazo</v>
      </c>
      <c r="Q20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09" spans="2:17" x14ac:dyDescent="0.25">
      <c r="B209" s="15">
        <v>43570</v>
      </c>
      <c r="C209" s="15">
        <v>43569</v>
      </c>
      <c r="D209" s="15">
        <v>43570.769485626974</v>
      </c>
      <c r="E209" t="s">
        <v>23</v>
      </c>
      <c r="F209" t="s">
        <v>31</v>
      </c>
      <c r="G209" s="13" t="s">
        <v>264</v>
      </c>
      <c r="H209" s="16">
        <v>4651</v>
      </c>
      <c r="I209">
        <f>IF(TbRegistrosEntradas[[#This Row],[Data do Caixa Realizado]]="",0,MONTH(TbRegistrosEntradas[[#This Row],[Data do Caixa Realizado]]))</f>
        <v>4</v>
      </c>
      <c r="J209">
        <f>IF(TbRegistrosEntradas[[#This Row],[Data do Caixa Realizado]]="",0,YEAR(TbRegistrosEntradas[[#This Row],[Data do Caixa Realizado]]))</f>
        <v>2019</v>
      </c>
      <c r="K209">
        <f>IF(TbRegistrosEntradas[[#This Row],[Data da Competência]]="",0,MONTH(TbRegistrosEntradas[[#This Row],[Data da Competência]]))</f>
        <v>4</v>
      </c>
      <c r="L209">
        <f>IF(TbRegistrosEntradas[[#This Row],[Data da Competência]]="",0,YEAR(TbRegistrosEntradas[[#This Row],[Data da Competência]]))</f>
        <v>2019</v>
      </c>
      <c r="M209" s="40">
        <f>IF(TbRegistrosEntradas[[#This Row],[Data do Caixa Previsto]]="",0,MONTH(TbRegistrosEntradas[[#This Row],[Data do Caixa Previsto]]))</f>
        <v>4</v>
      </c>
      <c r="N209" s="40">
        <f>IF(TbRegistrosEntradas[[#This Row],[Data do Caixa Previsto]]="",0,YEAR(TbRegistrosEntradas[[#This Row],[Data do Caixa Previsto]]))</f>
        <v>2019</v>
      </c>
      <c r="O209" s="40" t="str">
        <f ca="1">IF(AND(TbRegistrosEntradas[[#This Row],[Data do Caixa Previsto]]&lt;TODAY(),TbRegistrosEntradas[[#This Row],[Data do Caixa Realizado]]=""),"Vencida","Não vencida")</f>
        <v>Não vencida</v>
      </c>
      <c r="P209" s="40" t="str">
        <f>IF(TbRegistrosEntradas[[#This Row],[Data da Competência]]=TbRegistrosEntradas[[#This Row],[Data do Caixa Previsto]],"Vista","Prazo")</f>
        <v>Prazo</v>
      </c>
      <c r="Q20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0" spans="2:17" x14ac:dyDescent="0.25">
      <c r="B210" s="15">
        <v>43579</v>
      </c>
      <c r="C210" s="15">
        <v>43573</v>
      </c>
      <c r="D210" s="15">
        <v>43579.931861207129</v>
      </c>
      <c r="E210" t="s">
        <v>23</v>
      </c>
      <c r="F210" t="s">
        <v>31</v>
      </c>
      <c r="G210" s="13" t="s">
        <v>265</v>
      </c>
      <c r="H210" s="16">
        <v>4797</v>
      </c>
      <c r="I210">
        <f>IF(TbRegistrosEntradas[[#This Row],[Data do Caixa Realizado]]="",0,MONTH(TbRegistrosEntradas[[#This Row],[Data do Caixa Realizado]]))</f>
        <v>4</v>
      </c>
      <c r="J210">
        <f>IF(TbRegistrosEntradas[[#This Row],[Data do Caixa Realizado]]="",0,YEAR(TbRegistrosEntradas[[#This Row],[Data do Caixa Realizado]]))</f>
        <v>2019</v>
      </c>
      <c r="K210">
        <f>IF(TbRegistrosEntradas[[#This Row],[Data da Competência]]="",0,MONTH(TbRegistrosEntradas[[#This Row],[Data da Competência]]))</f>
        <v>4</v>
      </c>
      <c r="L210">
        <f>IF(TbRegistrosEntradas[[#This Row],[Data da Competência]]="",0,YEAR(TbRegistrosEntradas[[#This Row],[Data da Competência]]))</f>
        <v>2019</v>
      </c>
      <c r="M210" s="40">
        <f>IF(TbRegistrosEntradas[[#This Row],[Data do Caixa Previsto]]="",0,MONTH(TbRegistrosEntradas[[#This Row],[Data do Caixa Previsto]]))</f>
        <v>4</v>
      </c>
      <c r="N210" s="40">
        <f>IF(TbRegistrosEntradas[[#This Row],[Data do Caixa Previsto]]="",0,YEAR(TbRegistrosEntradas[[#This Row],[Data do Caixa Previsto]]))</f>
        <v>2019</v>
      </c>
      <c r="O210" s="40" t="str">
        <f ca="1">IF(AND(TbRegistrosEntradas[[#This Row],[Data do Caixa Previsto]]&lt;TODAY(),TbRegistrosEntradas[[#This Row],[Data do Caixa Realizado]]=""),"Vencida","Não vencida")</f>
        <v>Não vencida</v>
      </c>
      <c r="P210" s="40" t="str">
        <f>IF(TbRegistrosEntradas[[#This Row],[Data da Competência]]=TbRegistrosEntradas[[#This Row],[Data do Caixa Previsto]],"Vista","Prazo")</f>
        <v>Prazo</v>
      </c>
      <c r="Q21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1" spans="2:17" x14ac:dyDescent="0.25">
      <c r="B211" s="15">
        <v>43598</v>
      </c>
      <c r="C211" s="15">
        <v>43575</v>
      </c>
      <c r="D211" s="15">
        <v>43598.937055888804</v>
      </c>
      <c r="E211" t="s">
        <v>23</v>
      </c>
      <c r="F211" t="s">
        <v>32</v>
      </c>
      <c r="G211" s="13" t="s">
        <v>266</v>
      </c>
      <c r="H211" s="16">
        <v>1620</v>
      </c>
      <c r="I211">
        <f>IF(TbRegistrosEntradas[[#This Row],[Data do Caixa Realizado]]="",0,MONTH(TbRegistrosEntradas[[#This Row],[Data do Caixa Realizado]]))</f>
        <v>5</v>
      </c>
      <c r="J211">
        <f>IF(TbRegistrosEntradas[[#This Row],[Data do Caixa Realizado]]="",0,YEAR(TbRegistrosEntradas[[#This Row],[Data do Caixa Realizado]]))</f>
        <v>2019</v>
      </c>
      <c r="K211">
        <f>IF(TbRegistrosEntradas[[#This Row],[Data da Competência]]="",0,MONTH(TbRegistrosEntradas[[#This Row],[Data da Competência]]))</f>
        <v>4</v>
      </c>
      <c r="L211">
        <f>IF(TbRegistrosEntradas[[#This Row],[Data da Competência]]="",0,YEAR(TbRegistrosEntradas[[#This Row],[Data da Competência]]))</f>
        <v>2019</v>
      </c>
      <c r="M211" s="40">
        <f>IF(TbRegistrosEntradas[[#This Row],[Data do Caixa Previsto]]="",0,MONTH(TbRegistrosEntradas[[#This Row],[Data do Caixa Previsto]]))</f>
        <v>5</v>
      </c>
      <c r="N211" s="40">
        <f>IF(TbRegistrosEntradas[[#This Row],[Data do Caixa Previsto]]="",0,YEAR(TbRegistrosEntradas[[#This Row],[Data do Caixa Previsto]]))</f>
        <v>2019</v>
      </c>
      <c r="O211" s="40" t="str">
        <f ca="1">IF(AND(TbRegistrosEntradas[[#This Row],[Data do Caixa Previsto]]&lt;TODAY(),TbRegistrosEntradas[[#This Row],[Data do Caixa Realizado]]=""),"Vencida","Não vencida")</f>
        <v>Não vencida</v>
      </c>
      <c r="P211" s="40" t="str">
        <f>IF(TbRegistrosEntradas[[#This Row],[Data da Competência]]=TbRegistrosEntradas[[#This Row],[Data do Caixa Previsto]],"Vista","Prazo")</f>
        <v>Prazo</v>
      </c>
      <c r="Q21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2" spans="2:17" x14ac:dyDescent="0.25">
      <c r="B212" s="15">
        <v>43625</v>
      </c>
      <c r="C212" s="15">
        <v>43582</v>
      </c>
      <c r="D212" s="15">
        <v>43625.868579479997</v>
      </c>
      <c r="E212" t="s">
        <v>23</v>
      </c>
      <c r="F212" t="s">
        <v>34</v>
      </c>
      <c r="G212" s="13" t="s">
        <v>267</v>
      </c>
      <c r="H212" s="16">
        <v>245</v>
      </c>
      <c r="I212">
        <f>IF(TbRegistrosEntradas[[#This Row],[Data do Caixa Realizado]]="",0,MONTH(TbRegistrosEntradas[[#This Row],[Data do Caixa Realizado]]))</f>
        <v>6</v>
      </c>
      <c r="J212">
        <f>IF(TbRegistrosEntradas[[#This Row],[Data do Caixa Realizado]]="",0,YEAR(TbRegistrosEntradas[[#This Row],[Data do Caixa Realizado]]))</f>
        <v>2019</v>
      </c>
      <c r="K212">
        <f>IF(TbRegistrosEntradas[[#This Row],[Data da Competência]]="",0,MONTH(TbRegistrosEntradas[[#This Row],[Data da Competência]]))</f>
        <v>4</v>
      </c>
      <c r="L212">
        <f>IF(TbRegistrosEntradas[[#This Row],[Data da Competência]]="",0,YEAR(TbRegistrosEntradas[[#This Row],[Data da Competência]]))</f>
        <v>2019</v>
      </c>
      <c r="M212" s="40">
        <f>IF(TbRegistrosEntradas[[#This Row],[Data do Caixa Previsto]]="",0,MONTH(TbRegistrosEntradas[[#This Row],[Data do Caixa Previsto]]))</f>
        <v>6</v>
      </c>
      <c r="N212" s="40">
        <f>IF(TbRegistrosEntradas[[#This Row],[Data do Caixa Previsto]]="",0,YEAR(TbRegistrosEntradas[[#This Row],[Data do Caixa Previsto]]))</f>
        <v>2019</v>
      </c>
      <c r="O212" s="40" t="str">
        <f ca="1">IF(AND(TbRegistrosEntradas[[#This Row],[Data do Caixa Previsto]]&lt;TODAY(),TbRegistrosEntradas[[#This Row],[Data do Caixa Realizado]]=""),"Vencida","Não vencida")</f>
        <v>Não vencida</v>
      </c>
      <c r="P212" s="40" t="str">
        <f>IF(TbRegistrosEntradas[[#This Row],[Data da Competência]]=TbRegistrosEntradas[[#This Row],[Data do Caixa Previsto]],"Vista","Prazo")</f>
        <v>Prazo</v>
      </c>
      <c r="Q21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3" spans="2:17" x14ac:dyDescent="0.25">
      <c r="B213" s="15">
        <v>43595</v>
      </c>
      <c r="C213" s="15">
        <v>43584</v>
      </c>
      <c r="D213" s="15">
        <v>43595.986786318994</v>
      </c>
      <c r="E213" t="s">
        <v>23</v>
      </c>
      <c r="F213" t="s">
        <v>33</v>
      </c>
      <c r="G213" s="13" t="s">
        <v>268</v>
      </c>
      <c r="H213" s="16">
        <v>2091</v>
      </c>
      <c r="I213">
        <f>IF(TbRegistrosEntradas[[#This Row],[Data do Caixa Realizado]]="",0,MONTH(TbRegistrosEntradas[[#This Row],[Data do Caixa Realizado]]))</f>
        <v>5</v>
      </c>
      <c r="J213">
        <f>IF(TbRegistrosEntradas[[#This Row],[Data do Caixa Realizado]]="",0,YEAR(TbRegistrosEntradas[[#This Row],[Data do Caixa Realizado]]))</f>
        <v>2019</v>
      </c>
      <c r="K213">
        <f>IF(TbRegistrosEntradas[[#This Row],[Data da Competência]]="",0,MONTH(TbRegistrosEntradas[[#This Row],[Data da Competência]]))</f>
        <v>4</v>
      </c>
      <c r="L213">
        <f>IF(TbRegistrosEntradas[[#This Row],[Data da Competência]]="",0,YEAR(TbRegistrosEntradas[[#This Row],[Data da Competência]]))</f>
        <v>2019</v>
      </c>
      <c r="M213" s="40">
        <f>IF(TbRegistrosEntradas[[#This Row],[Data do Caixa Previsto]]="",0,MONTH(TbRegistrosEntradas[[#This Row],[Data do Caixa Previsto]]))</f>
        <v>5</v>
      </c>
      <c r="N213" s="40">
        <f>IF(TbRegistrosEntradas[[#This Row],[Data do Caixa Previsto]]="",0,YEAR(TbRegistrosEntradas[[#This Row],[Data do Caixa Previsto]]))</f>
        <v>2019</v>
      </c>
      <c r="O213" s="40" t="str">
        <f ca="1">IF(AND(TbRegistrosEntradas[[#This Row],[Data do Caixa Previsto]]&lt;TODAY(),TbRegistrosEntradas[[#This Row],[Data do Caixa Realizado]]=""),"Vencida","Não vencida")</f>
        <v>Não vencida</v>
      </c>
      <c r="P213" s="40" t="str">
        <f>IF(TbRegistrosEntradas[[#This Row],[Data da Competência]]=TbRegistrosEntradas[[#This Row],[Data do Caixa Previsto]],"Vista","Prazo")</f>
        <v>Prazo</v>
      </c>
      <c r="Q21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4" spans="2:17" x14ac:dyDescent="0.25">
      <c r="B214" s="15">
        <v>43594</v>
      </c>
      <c r="C214" s="15">
        <v>43585</v>
      </c>
      <c r="D214" s="15">
        <v>43594.434933470475</v>
      </c>
      <c r="E214" t="s">
        <v>23</v>
      </c>
      <c r="F214" t="s">
        <v>33</v>
      </c>
      <c r="G214" s="13" t="s">
        <v>269</v>
      </c>
      <c r="H214" s="16">
        <v>3200</v>
      </c>
      <c r="I214">
        <f>IF(TbRegistrosEntradas[[#This Row],[Data do Caixa Realizado]]="",0,MONTH(TbRegistrosEntradas[[#This Row],[Data do Caixa Realizado]]))</f>
        <v>5</v>
      </c>
      <c r="J214">
        <f>IF(TbRegistrosEntradas[[#This Row],[Data do Caixa Realizado]]="",0,YEAR(TbRegistrosEntradas[[#This Row],[Data do Caixa Realizado]]))</f>
        <v>2019</v>
      </c>
      <c r="K214">
        <f>IF(TbRegistrosEntradas[[#This Row],[Data da Competência]]="",0,MONTH(TbRegistrosEntradas[[#This Row],[Data da Competência]]))</f>
        <v>4</v>
      </c>
      <c r="L214">
        <f>IF(TbRegistrosEntradas[[#This Row],[Data da Competência]]="",0,YEAR(TbRegistrosEntradas[[#This Row],[Data da Competência]]))</f>
        <v>2019</v>
      </c>
      <c r="M214" s="40">
        <f>IF(TbRegistrosEntradas[[#This Row],[Data do Caixa Previsto]]="",0,MONTH(TbRegistrosEntradas[[#This Row],[Data do Caixa Previsto]]))</f>
        <v>5</v>
      </c>
      <c r="N214" s="40">
        <f>IF(TbRegistrosEntradas[[#This Row],[Data do Caixa Previsto]]="",0,YEAR(TbRegistrosEntradas[[#This Row],[Data do Caixa Previsto]]))</f>
        <v>2019</v>
      </c>
      <c r="O214" s="40" t="str">
        <f ca="1">IF(AND(TbRegistrosEntradas[[#This Row],[Data do Caixa Previsto]]&lt;TODAY(),TbRegistrosEntradas[[#This Row],[Data do Caixa Realizado]]=""),"Vencida","Não vencida")</f>
        <v>Não vencida</v>
      </c>
      <c r="P214" s="40" t="str">
        <f>IF(TbRegistrosEntradas[[#This Row],[Data da Competência]]=TbRegistrosEntradas[[#This Row],[Data do Caixa Previsto]],"Vista","Prazo")</f>
        <v>Prazo</v>
      </c>
      <c r="Q21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5" spans="2:17" x14ac:dyDescent="0.25">
      <c r="B215" s="15">
        <v>43604</v>
      </c>
      <c r="C215" s="15">
        <v>43587</v>
      </c>
      <c r="D215" s="15">
        <v>43604.067998386839</v>
      </c>
      <c r="E215" t="s">
        <v>23</v>
      </c>
      <c r="F215" t="s">
        <v>34</v>
      </c>
      <c r="G215" s="13" t="s">
        <v>270</v>
      </c>
      <c r="H215" s="16">
        <v>583</v>
      </c>
      <c r="I215">
        <f>IF(TbRegistrosEntradas[[#This Row],[Data do Caixa Realizado]]="",0,MONTH(TbRegistrosEntradas[[#This Row],[Data do Caixa Realizado]]))</f>
        <v>5</v>
      </c>
      <c r="J215">
        <f>IF(TbRegistrosEntradas[[#This Row],[Data do Caixa Realizado]]="",0,YEAR(TbRegistrosEntradas[[#This Row],[Data do Caixa Realizado]]))</f>
        <v>2019</v>
      </c>
      <c r="K215">
        <f>IF(TbRegistrosEntradas[[#This Row],[Data da Competência]]="",0,MONTH(TbRegistrosEntradas[[#This Row],[Data da Competência]]))</f>
        <v>5</v>
      </c>
      <c r="L215">
        <f>IF(TbRegistrosEntradas[[#This Row],[Data da Competência]]="",0,YEAR(TbRegistrosEntradas[[#This Row],[Data da Competência]]))</f>
        <v>2019</v>
      </c>
      <c r="M215" s="40">
        <f>IF(TbRegistrosEntradas[[#This Row],[Data do Caixa Previsto]]="",0,MONTH(TbRegistrosEntradas[[#This Row],[Data do Caixa Previsto]]))</f>
        <v>5</v>
      </c>
      <c r="N215" s="40">
        <f>IF(TbRegistrosEntradas[[#This Row],[Data do Caixa Previsto]]="",0,YEAR(TbRegistrosEntradas[[#This Row],[Data do Caixa Previsto]]))</f>
        <v>2019</v>
      </c>
      <c r="O215" s="40" t="str">
        <f ca="1">IF(AND(TbRegistrosEntradas[[#This Row],[Data do Caixa Previsto]]&lt;TODAY(),TbRegistrosEntradas[[#This Row],[Data do Caixa Realizado]]=""),"Vencida","Não vencida")</f>
        <v>Não vencida</v>
      </c>
      <c r="P215" s="40" t="str">
        <f>IF(TbRegistrosEntradas[[#This Row],[Data da Competência]]=TbRegistrosEntradas[[#This Row],[Data do Caixa Previsto]],"Vista","Prazo")</f>
        <v>Prazo</v>
      </c>
      <c r="Q21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6" spans="2:17" x14ac:dyDescent="0.25">
      <c r="B216" s="15">
        <v>43626</v>
      </c>
      <c r="C216" s="15">
        <v>43590</v>
      </c>
      <c r="D216" s="15">
        <v>43626.576857263979</v>
      </c>
      <c r="E216" t="s">
        <v>23</v>
      </c>
      <c r="F216" t="s">
        <v>33</v>
      </c>
      <c r="G216" s="13" t="s">
        <v>271</v>
      </c>
      <c r="H216" s="16">
        <v>4505</v>
      </c>
      <c r="I216">
        <f>IF(TbRegistrosEntradas[[#This Row],[Data do Caixa Realizado]]="",0,MONTH(TbRegistrosEntradas[[#This Row],[Data do Caixa Realizado]]))</f>
        <v>6</v>
      </c>
      <c r="J216">
        <f>IF(TbRegistrosEntradas[[#This Row],[Data do Caixa Realizado]]="",0,YEAR(TbRegistrosEntradas[[#This Row],[Data do Caixa Realizado]]))</f>
        <v>2019</v>
      </c>
      <c r="K216">
        <f>IF(TbRegistrosEntradas[[#This Row],[Data da Competência]]="",0,MONTH(TbRegistrosEntradas[[#This Row],[Data da Competência]]))</f>
        <v>5</v>
      </c>
      <c r="L216">
        <f>IF(TbRegistrosEntradas[[#This Row],[Data da Competência]]="",0,YEAR(TbRegistrosEntradas[[#This Row],[Data da Competência]]))</f>
        <v>2019</v>
      </c>
      <c r="M216" s="40">
        <f>IF(TbRegistrosEntradas[[#This Row],[Data do Caixa Previsto]]="",0,MONTH(TbRegistrosEntradas[[#This Row],[Data do Caixa Previsto]]))</f>
        <v>6</v>
      </c>
      <c r="N216" s="40">
        <f>IF(TbRegistrosEntradas[[#This Row],[Data do Caixa Previsto]]="",0,YEAR(TbRegistrosEntradas[[#This Row],[Data do Caixa Previsto]]))</f>
        <v>2019</v>
      </c>
      <c r="O216" s="40" t="str">
        <f ca="1">IF(AND(TbRegistrosEntradas[[#This Row],[Data do Caixa Previsto]]&lt;TODAY(),TbRegistrosEntradas[[#This Row],[Data do Caixa Realizado]]=""),"Vencida","Não vencida")</f>
        <v>Não vencida</v>
      </c>
      <c r="P216" s="40" t="str">
        <f>IF(TbRegistrosEntradas[[#This Row],[Data da Competência]]=TbRegistrosEntradas[[#This Row],[Data do Caixa Previsto]],"Vista","Prazo")</f>
        <v>Prazo</v>
      </c>
      <c r="Q21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7" spans="2:17" x14ac:dyDescent="0.25">
      <c r="B217" s="15">
        <v>43624</v>
      </c>
      <c r="C217" s="15">
        <v>43592</v>
      </c>
      <c r="D217" s="15">
        <v>43609.115059144882</v>
      </c>
      <c r="E217" t="s">
        <v>23</v>
      </c>
      <c r="F217" t="s">
        <v>33</v>
      </c>
      <c r="G217" s="13" t="s">
        <v>272</v>
      </c>
      <c r="H217" s="16">
        <v>343</v>
      </c>
      <c r="I217">
        <f>IF(TbRegistrosEntradas[[#This Row],[Data do Caixa Realizado]]="",0,MONTH(TbRegistrosEntradas[[#This Row],[Data do Caixa Realizado]]))</f>
        <v>6</v>
      </c>
      <c r="J217">
        <f>IF(TbRegistrosEntradas[[#This Row],[Data do Caixa Realizado]]="",0,YEAR(TbRegistrosEntradas[[#This Row],[Data do Caixa Realizado]]))</f>
        <v>2019</v>
      </c>
      <c r="K217">
        <f>IF(TbRegistrosEntradas[[#This Row],[Data da Competência]]="",0,MONTH(TbRegistrosEntradas[[#This Row],[Data da Competência]]))</f>
        <v>5</v>
      </c>
      <c r="L217">
        <f>IF(TbRegistrosEntradas[[#This Row],[Data da Competência]]="",0,YEAR(TbRegistrosEntradas[[#This Row],[Data da Competência]]))</f>
        <v>2019</v>
      </c>
      <c r="M217" s="40">
        <f>IF(TbRegistrosEntradas[[#This Row],[Data do Caixa Previsto]]="",0,MONTH(TbRegistrosEntradas[[#This Row],[Data do Caixa Previsto]]))</f>
        <v>5</v>
      </c>
      <c r="N217" s="40">
        <f>IF(TbRegistrosEntradas[[#This Row],[Data do Caixa Previsto]]="",0,YEAR(TbRegistrosEntradas[[#This Row],[Data do Caixa Previsto]]))</f>
        <v>2019</v>
      </c>
      <c r="O217" s="40" t="str">
        <f ca="1">IF(AND(TbRegistrosEntradas[[#This Row],[Data do Caixa Previsto]]&lt;TODAY(),TbRegistrosEntradas[[#This Row],[Data do Caixa Realizado]]=""),"Vencida","Não vencida")</f>
        <v>Não vencida</v>
      </c>
      <c r="P217" s="40" t="str">
        <f>IF(TbRegistrosEntradas[[#This Row],[Data da Competência]]=TbRegistrosEntradas[[#This Row],[Data do Caixa Previsto]],"Vista","Prazo")</f>
        <v>Prazo</v>
      </c>
      <c r="Q21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14.884940855117748</v>
      </c>
    </row>
    <row r="218" spans="2:17" x14ac:dyDescent="0.25">
      <c r="B218" s="15">
        <v>43603</v>
      </c>
      <c r="C218" s="15">
        <v>43593</v>
      </c>
      <c r="D218" s="15">
        <v>43603.679990785502</v>
      </c>
      <c r="E218" t="s">
        <v>23</v>
      </c>
      <c r="F218" t="s">
        <v>31</v>
      </c>
      <c r="G218" s="13" t="s">
        <v>273</v>
      </c>
      <c r="H218" s="16">
        <v>4510</v>
      </c>
      <c r="I218">
        <f>IF(TbRegistrosEntradas[[#This Row],[Data do Caixa Realizado]]="",0,MONTH(TbRegistrosEntradas[[#This Row],[Data do Caixa Realizado]]))</f>
        <v>5</v>
      </c>
      <c r="J218">
        <f>IF(TbRegistrosEntradas[[#This Row],[Data do Caixa Realizado]]="",0,YEAR(TbRegistrosEntradas[[#This Row],[Data do Caixa Realizado]]))</f>
        <v>2019</v>
      </c>
      <c r="K218">
        <f>IF(TbRegistrosEntradas[[#This Row],[Data da Competência]]="",0,MONTH(TbRegistrosEntradas[[#This Row],[Data da Competência]]))</f>
        <v>5</v>
      </c>
      <c r="L218">
        <f>IF(TbRegistrosEntradas[[#This Row],[Data da Competência]]="",0,YEAR(TbRegistrosEntradas[[#This Row],[Data da Competência]]))</f>
        <v>2019</v>
      </c>
      <c r="M218" s="40">
        <f>IF(TbRegistrosEntradas[[#This Row],[Data do Caixa Previsto]]="",0,MONTH(TbRegistrosEntradas[[#This Row],[Data do Caixa Previsto]]))</f>
        <v>5</v>
      </c>
      <c r="N218" s="40">
        <f>IF(TbRegistrosEntradas[[#This Row],[Data do Caixa Previsto]]="",0,YEAR(TbRegistrosEntradas[[#This Row],[Data do Caixa Previsto]]))</f>
        <v>2019</v>
      </c>
      <c r="O218" s="40" t="str">
        <f ca="1">IF(AND(TbRegistrosEntradas[[#This Row],[Data do Caixa Previsto]]&lt;TODAY(),TbRegistrosEntradas[[#This Row],[Data do Caixa Realizado]]=""),"Vencida","Não vencida")</f>
        <v>Não vencida</v>
      </c>
      <c r="P218" s="40" t="str">
        <f>IF(TbRegistrosEntradas[[#This Row],[Data da Competência]]=TbRegistrosEntradas[[#This Row],[Data do Caixa Previsto]],"Vista","Prazo")</f>
        <v>Prazo</v>
      </c>
      <c r="Q21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19" spans="2:17" x14ac:dyDescent="0.25">
      <c r="B219" s="15" t="s">
        <v>69</v>
      </c>
      <c r="C219" s="15">
        <v>43597</v>
      </c>
      <c r="D219" s="15">
        <v>43605.396059977378</v>
      </c>
      <c r="E219" t="s">
        <v>23</v>
      </c>
      <c r="F219" t="s">
        <v>33</v>
      </c>
      <c r="G219" s="13" t="s">
        <v>274</v>
      </c>
      <c r="H219" s="16">
        <v>667</v>
      </c>
      <c r="I219">
        <f>IF(TbRegistrosEntradas[[#This Row],[Data do Caixa Realizado]]="",0,MONTH(TbRegistrosEntradas[[#This Row],[Data do Caixa Realizado]]))</f>
        <v>0</v>
      </c>
      <c r="J219">
        <f>IF(TbRegistrosEntradas[[#This Row],[Data do Caixa Realizado]]="",0,YEAR(TbRegistrosEntradas[[#This Row],[Data do Caixa Realizado]]))</f>
        <v>0</v>
      </c>
      <c r="K219">
        <f>IF(TbRegistrosEntradas[[#This Row],[Data da Competência]]="",0,MONTH(TbRegistrosEntradas[[#This Row],[Data da Competência]]))</f>
        <v>5</v>
      </c>
      <c r="L219">
        <f>IF(TbRegistrosEntradas[[#This Row],[Data da Competência]]="",0,YEAR(TbRegistrosEntradas[[#This Row],[Data da Competência]]))</f>
        <v>2019</v>
      </c>
      <c r="M219" s="40">
        <f>IF(TbRegistrosEntradas[[#This Row],[Data do Caixa Previsto]]="",0,MONTH(TbRegistrosEntradas[[#This Row],[Data do Caixa Previsto]]))</f>
        <v>5</v>
      </c>
      <c r="N219" s="40">
        <f>IF(TbRegistrosEntradas[[#This Row],[Data do Caixa Previsto]]="",0,YEAR(TbRegistrosEntradas[[#This Row],[Data do Caixa Previsto]]))</f>
        <v>2019</v>
      </c>
      <c r="O219" s="40" t="str">
        <f ca="1">IF(AND(TbRegistrosEntradas[[#This Row],[Data do Caixa Previsto]]&lt;TODAY(),TbRegistrosEntradas[[#This Row],[Data do Caixa Realizado]]=""),"Vencida","Não vencida")</f>
        <v>Vencida</v>
      </c>
      <c r="P219" s="40" t="str">
        <f>IF(TbRegistrosEntradas[[#This Row],[Data da Competência]]=TbRegistrosEntradas[[#This Row],[Data do Caixa Previsto]],"Vista","Prazo")</f>
        <v>Prazo</v>
      </c>
      <c r="Q21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1710.6039400226218</v>
      </c>
    </row>
    <row r="220" spans="2:17" x14ac:dyDescent="0.25">
      <c r="B220" s="15">
        <v>43631</v>
      </c>
      <c r="C220" s="15">
        <v>43600</v>
      </c>
      <c r="D220" s="15">
        <v>43631.169319753048</v>
      </c>
      <c r="E220" t="s">
        <v>23</v>
      </c>
      <c r="F220" t="s">
        <v>33</v>
      </c>
      <c r="G220" s="13" t="s">
        <v>275</v>
      </c>
      <c r="H220" s="16">
        <v>1006</v>
      </c>
      <c r="I220">
        <f>IF(TbRegistrosEntradas[[#This Row],[Data do Caixa Realizado]]="",0,MONTH(TbRegistrosEntradas[[#This Row],[Data do Caixa Realizado]]))</f>
        <v>6</v>
      </c>
      <c r="J220">
        <f>IF(TbRegistrosEntradas[[#This Row],[Data do Caixa Realizado]]="",0,YEAR(TbRegistrosEntradas[[#This Row],[Data do Caixa Realizado]]))</f>
        <v>2019</v>
      </c>
      <c r="K220">
        <f>IF(TbRegistrosEntradas[[#This Row],[Data da Competência]]="",0,MONTH(TbRegistrosEntradas[[#This Row],[Data da Competência]]))</f>
        <v>5</v>
      </c>
      <c r="L220">
        <f>IF(TbRegistrosEntradas[[#This Row],[Data da Competência]]="",0,YEAR(TbRegistrosEntradas[[#This Row],[Data da Competência]]))</f>
        <v>2019</v>
      </c>
      <c r="M220" s="40">
        <f>IF(TbRegistrosEntradas[[#This Row],[Data do Caixa Previsto]]="",0,MONTH(TbRegistrosEntradas[[#This Row],[Data do Caixa Previsto]]))</f>
        <v>6</v>
      </c>
      <c r="N220" s="40">
        <f>IF(TbRegistrosEntradas[[#This Row],[Data do Caixa Previsto]]="",0,YEAR(TbRegistrosEntradas[[#This Row],[Data do Caixa Previsto]]))</f>
        <v>2019</v>
      </c>
      <c r="O220" s="40" t="str">
        <f ca="1">IF(AND(TbRegistrosEntradas[[#This Row],[Data do Caixa Previsto]]&lt;TODAY(),TbRegistrosEntradas[[#This Row],[Data do Caixa Realizado]]=""),"Vencida","Não vencida")</f>
        <v>Não vencida</v>
      </c>
      <c r="P220" s="40" t="str">
        <f>IF(TbRegistrosEntradas[[#This Row],[Data da Competência]]=TbRegistrosEntradas[[#This Row],[Data do Caixa Previsto]],"Vista","Prazo")</f>
        <v>Prazo</v>
      </c>
      <c r="Q22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21" spans="2:17" x14ac:dyDescent="0.25">
      <c r="B221" s="15">
        <v>43686</v>
      </c>
      <c r="C221" s="15">
        <v>43604</v>
      </c>
      <c r="D221" s="15">
        <v>43635.878098777197</v>
      </c>
      <c r="E221" t="s">
        <v>23</v>
      </c>
      <c r="F221" t="s">
        <v>34</v>
      </c>
      <c r="G221" s="13" t="s">
        <v>276</v>
      </c>
      <c r="H221" s="16">
        <v>1071</v>
      </c>
      <c r="I221">
        <f>IF(TbRegistrosEntradas[[#This Row],[Data do Caixa Realizado]]="",0,MONTH(TbRegistrosEntradas[[#This Row],[Data do Caixa Realizado]]))</f>
        <v>8</v>
      </c>
      <c r="J221">
        <f>IF(TbRegistrosEntradas[[#This Row],[Data do Caixa Realizado]]="",0,YEAR(TbRegistrosEntradas[[#This Row],[Data do Caixa Realizado]]))</f>
        <v>2019</v>
      </c>
      <c r="K221">
        <f>IF(TbRegistrosEntradas[[#This Row],[Data da Competência]]="",0,MONTH(TbRegistrosEntradas[[#This Row],[Data da Competência]]))</f>
        <v>5</v>
      </c>
      <c r="L221">
        <f>IF(TbRegistrosEntradas[[#This Row],[Data da Competência]]="",0,YEAR(TbRegistrosEntradas[[#This Row],[Data da Competência]]))</f>
        <v>2019</v>
      </c>
      <c r="M221" s="40">
        <f>IF(TbRegistrosEntradas[[#This Row],[Data do Caixa Previsto]]="",0,MONTH(TbRegistrosEntradas[[#This Row],[Data do Caixa Previsto]]))</f>
        <v>6</v>
      </c>
      <c r="N221" s="40">
        <f>IF(TbRegistrosEntradas[[#This Row],[Data do Caixa Previsto]]="",0,YEAR(TbRegistrosEntradas[[#This Row],[Data do Caixa Previsto]]))</f>
        <v>2019</v>
      </c>
      <c r="O221" s="40" t="str">
        <f ca="1">IF(AND(TbRegistrosEntradas[[#This Row],[Data do Caixa Previsto]]&lt;TODAY(),TbRegistrosEntradas[[#This Row],[Data do Caixa Realizado]]=""),"Vencida","Não vencida")</f>
        <v>Não vencida</v>
      </c>
      <c r="P221" s="40" t="str">
        <f>IF(TbRegistrosEntradas[[#This Row],[Data da Competência]]=TbRegistrosEntradas[[#This Row],[Data do Caixa Previsto]],"Vista","Prazo")</f>
        <v>Prazo</v>
      </c>
      <c r="Q22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50.12190122280299</v>
      </c>
    </row>
    <row r="222" spans="2:17" x14ac:dyDescent="0.25">
      <c r="B222" s="15">
        <v>43630</v>
      </c>
      <c r="C222" s="15">
        <v>43609</v>
      </c>
      <c r="D222" s="15">
        <v>43630.288414733965</v>
      </c>
      <c r="E222" t="s">
        <v>23</v>
      </c>
      <c r="F222" t="s">
        <v>32</v>
      </c>
      <c r="G222" s="13" t="s">
        <v>277</v>
      </c>
      <c r="H222" s="16">
        <v>2194</v>
      </c>
      <c r="I222">
        <f>IF(TbRegistrosEntradas[[#This Row],[Data do Caixa Realizado]]="",0,MONTH(TbRegistrosEntradas[[#This Row],[Data do Caixa Realizado]]))</f>
        <v>6</v>
      </c>
      <c r="J222">
        <f>IF(TbRegistrosEntradas[[#This Row],[Data do Caixa Realizado]]="",0,YEAR(TbRegistrosEntradas[[#This Row],[Data do Caixa Realizado]]))</f>
        <v>2019</v>
      </c>
      <c r="K222">
        <f>IF(TbRegistrosEntradas[[#This Row],[Data da Competência]]="",0,MONTH(TbRegistrosEntradas[[#This Row],[Data da Competência]]))</f>
        <v>5</v>
      </c>
      <c r="L222">
        <f>IF(TbRegistrosEntradas[[#This Row],[Data da Competência]]="",0,YEAR(TbRegistrosEntradas[[#This Row],[Data da Competência]]))</f>
        <v>2019</v>
      </c>
      <c r="M222" s="40">
        <f>IF(TbRegistrosEntradas[[#This Row],[Data do Caixa Previsto]]="",0,MONTH(TbRegistrosEntradas[[#This Row],[Data do Caixa Previsto]]))</f>
        <v>6</v>
      </c>
      <c r="N222" s="40">
        <f>IF(TbRegistrosEntradas[[#This Row],[Data do Caixa Previsto]]="",0,YEAR(TbRegistrosEntradas[[#This Row],[Data do Caixa Previsto]]))</f>
        <v>2019</v>
      </c>
      <c r="O222" s="40" t="str">
        <f ca="1">IF(AND(TbRegistrosEntradas[[#This Row],[Data do Caixa Previsto]]&lt;TODAY(),TbRegistrosEntradas[[#This Row],[Data do Caixa Realizado]]=""),"Vencida","Não vencida")</f>
        <v>Não vencida</v>
      </c>
      <c r="P222" s="40" t="str">
        <f>IF(TbRegistrosEntradas[[#This Row],[Data da Competência]]=TbRegistrosEntradas[[#This Row],[Data do Caixa Previsto]],"Vista","Prazo")</f>
        <v>Prazo</v>
      </c>
      <c r="Q22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23" spans="2:17" x14ac:dyDescent="0.25">
      <c r="B223" s="15">
        <v>43611</v>
      </c>
      <c r="C223" s="15">
        <v>43611</v>
      </c>
      <c r="D223" s="15">
        <v>43611.846709635254</v>
      </c>
      <c r="E223" t="s">
        <v>23</v>
      </c>
      <c r="F223" t="s">
        <v>33</v>
      </c>
      <c r="G223" s="13" t="s">
        <v>278</v>
      </c>
      <c r="H223" s="16">
        <v>2531</v>
      </c>
      <c r="I223">
        <f>IF(TbRegistrosEntradas[[#This Row],[Data do Caixa Realizado]]="",0,MONTH(TbRegistrosEntradas[[#This Row],[Data do Caixa Realizado]]))</f>
        <v>5</v>
      </c>
      <c r="J223">
        <f>IF(TbRegistrosEntradas[[#This Row],[Data do Caixa Realizado]]="",0,YEAR(TbRegistrosEntradas[[#This Row],[Data do Caixa Realizado]]))</f>
        <v>2019</v>
      </c>
      <c r="K223">
        <f>IF(TbRegistrosEntradas[[#This Row],[Data da Competência]]="",0,MONTH(TbRegistrosEntradas[[#This Row],[Data da Competência]]))</f>
        <v>5</v>
      </c>
      <c r="L223">
        <f>IF(TbRegistrosEntradas[[#This Row],[Data da Competência]]="",0,YEAR(TbRegistrosEntradas[[#This Row],[Data da Competência]]))</f>
        <v>2019</v>
      </c>
      <c r="M223" s="40">
        <f>IF(TbRegistrosEntradas[[#This Row],[Data do Caixa Previsto]]="",0,MONTH(TbRegistrosEntradas[[#This Row],[Data do Caixa Previsto]]))</f>
        <v>5</v>
      </c>
      <c r="N223" s="40">
        <f>IF(TbRegistrosEntradas[[#This Row],[Data do Caixa Previsto]]="",0,YEAR(TbRegistrosEntradas[[#This Row],[Data do Caixa Previsto]]))</f>
        <v>2019</v>
      </c>
      <c r="O223" s="40" t="str">
        <f ca="1">IF(AND(TbRegistrosEntradas[[#This Row],[Data do Caixa Previsto]]&lt;TODAY(),TbRegistrosEntradas[[#This Row],[Data do Caixa Realizado]]=""),"Vencida","Não vencida")</f>
        <v>Não vencida</v>
      </c>
      <c r="P223" s="40" t="str">
        <f>IF(TbRegistrosEntradas[[#This Row],[Data da Competência]]=TbRegistrosEntradas[[#This Row],[Data do Caixa Previsto]],"Vista","Prazo")</f>
        <v>Prazo</v>
      </c>
      <c r="Q22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24" spans="2:17" x14ac:dyDescent="0.25">
      <c r="B224" s="15">
        <v>43708</v>
      </c>
      <c r="C224" s="15">
        <v>43614</v>
      </c>
      <c r="D224" s="15">
        <v>43655.218374780801</v>
      </c>
      <c r="E224" t="s">
        <v>23</v>
      </c>
      <c r="F224" t="s">
        <v>31</v>
      </c>
      <c r="G224" s="13" t="s">
        <v>279</v>
      </c>
      <c r="H224" s="16">
        <v>657</v>
      </c>
      <c r="I224">
        <f>IF(TbRegistrosEntradas[[#This Row],[Data do Caixa Realizado]]="",0,MONTH(TbRegistrosEntradas[[#This Row],[Data do Caixa Realizado]]))</f>
        <v>8</v>
      </c>
      <c r="J224">
        <f>IF(TbRegistrosEntradas[[#This Row],[Data do Caixa Realizado]]="",0,YEAR(TbRegistrosEntradas[[#This Row],[Data do Caixa Realizado]]))</f>
        <v>2019</v>
      </c>
      <c r="K224">
        <f>IF(TbRegistrosEntradas[[#This Row],[Data da Competência]]="",0,MONTH(TbRegistrosEntradas[[#This Row],[Data da Competência]]))</f>
        <v>5</v>
      </c>
      <c r="L224">
        <f>IF(TbRegistrosEntradas[[#This Row],[Data da Competência]]="",0,YEAR(TbRegistrosEntradas[[#This Row],[Data da Competência]]))</f>
        <v>2019</v>
      </c>
      <c r="M224" s="40">
        <f>IF(TbRegistrosEntradas[[#This Row],[Data do Caixa Previsto]]="",0,MONTH(TbRegistrosEntradas[[#This Row],[Data do Caixa Previsto]]))</f>
        <v>7</v>
      </c>
      <c r="N224" s="40">
        <f>IF(TbRegistrosEntradas[[#This Row],[Data do Caixa Previsto]]="",0,YEAR(TbRegistrosEntradas[[#This Row],[Data do Caixa Previsto]]))</f>
        <v>2019</v>
      </c>
      <c r="O224" s="40" t="str">
        <f ca="1">IF(AND(TbRegistrosEntradas[[#This Row],[Data do Caixa Previsto]]&lt;TODAY(),TbRegistrosEntradas[[#This Row],[Data do Caixa Realizado]]=""),"Vencida","Não vencida")</f>
        <v>Não vencida</v>
      </c>
      <c r="P224" s="40" t="str">
        <f>IF(TbRegistrosEntradas[[#This Row],[Data da Competência]]=TbRegistrosEntradas[[#This Row],[Data do Caixa Previsto]],"Vista","Prazo")</f>
        <v>Prazo</v>
      </c>
      <c r="Q22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52.781625219198759</v>
      </c>
    </row>
    <row r="225" spans="2:17" x14ac:dyDescent="0.25">
      <c r="B225" s="15">
        <v>43648</v>
      </c>
      <c r="C225" s="15">
        <v>43615</v>
      </c>
      <c r="D225" s="15">
        <v>43648.175451286195</v>
      </c>
      <c r="E225" t="s">
        <v>23</v>
      </c>
      <c r="F225" t="s">
        <v>30</v>
      </c>
      <c r="G225" s="13" t="s">
        <v>280</v>
      </c>
      <c r="H225" s="16">
        <v>4535</v>
      </c>
      <c r="I225">
        <f>IF(TbRegistrosEntradas[[#This Row],[Data do Caixa Realizado]]="",0,MONTH(TbRegistrosEntradas[[#This Row],[Data do Caixa Realizado]]))</f>
        <v>7</v>
      </c>
      <c r="J225">
        <f>IF(TbRegistrosEntradas[[#This Row],[Data do Caixa Realizado]]="",0,YEAR(TbRegistrosEntradas[[#This Row],[Data do Caixa Realizado]]))</f>
        <v>2019</v>
      </c>
      <c r="K225">
        <f>IF(TbRegistrosEntradas[[#This Row],[Data da Competência]]="",0,MONTH(TbRegistrosEntradas[[#This Row],[Data da Competência]]))</f>
        <v>5</v>
      </c>
      <c r="L225">
        <f>IF(TbRegistrosEntradas[[#This Row],[Data da Competência]]="",0,YEAR(TbRegistrosEntradas[[#This Row],[Data da Competência]]))</f>
        <v>2019</v>
      </c>
      <c r="M225" s="40">
        <f>IF(TbRegistrosEntradas[[#This Row],[Data do Caixa Previsto]]="",0,MONTH(TbRegistrosEntradas[[#This Row],[Data do Caixa Previsto]]))</f>
        <v>7</v>
      </c>
      <c r="N225" s="40">
        <f>IF(TbRegistrosEntradas[[#This Row],[Data do Caixa Previsto]]="",0,YEAR(TbRegistrosEntradas[[#This Row],[Data do Caixa Previsto]]))</f>
        <v>2019</v>
      </c>
      <c r="O225" s="40" t="str">
        <f ca="1">IF(AND(TbRegistrosEntradas[[#This Row],[Data do Caixa Previsto]]&lt;TODAY(),TbRegistrosEntradas[[#This Row],[Data do Caixa Realizado]]=""),"Vencida","Não vencida")</f>
        <v>Não vencida</v>
      </c>
      <c r="P225" s="40" t="str">
        <f>IF(TbRegistrosEntradas[[#This Row],[Data da Competência]]=TbRegistrosEntradas[[#This Row],[Data do Caixa Previsto]],"Vista","Prazo")</f>
        <v>Prazo</v>
      </c>
      <c r="Q225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26" spans="2:17" x14ac:dyDescent="0.25">
      <c r="B226" s="15">
        <v>43667</v>
      </c>
      <c r="C226" s="15">
        <v>43620</v>
      </c>
      <c r="D226" s="15">
        <v>43641.616865332398</v>
      </c>
      <c r="E226" t="s">
        <v>23</v>
      </c>
      <c r="F226" t="s">
        <v>33</v>
      </c>
      <c r="G226" s="13" t="s">
        <v>281</v>
      </c>
      <c r="H226" s="16">
        <v>1848</v>
      </c>
      <c r="I226">
        <f>IF(TbRegistrosEntradas[[#This Row],[Data do Caixa Realizado]]="",0,MONTH(TbRegistrosEntradas[[#This Row],[Data do Caixa Realizado]]))</f>
        <v>7</v>
      </c>
      <c r="J226">
        <f>IF(TbRegistrosEntradas[[#This Row],[Data do Caixa Realizado]]="",0,YEAR(TbRegistrosEntradas[[#This Row],[Data do Caixa Realizado]]))</f>
        <v>2019</v>
      </c>
      <c r="K226">
        <f>IF(TbRegistrosEntradas[[#This Row],[Data da Competência]]="",0,MONTH(TbRegistrosEntradas[[#This Row],[Data da Competência]]))</f>
        <v>6</v>
      </c>
      <c r="L226">
        <f>IF(TbRegistrosEntradas[[#This Row],[Data da Competência]]="",0,YEAR(TbRegistrosEntradas[[#This Row],[Data da Competência]]))</f>
        <v>2019</v>
      </c>
      <c r="M226" s="40">
        <f>IF(TbRegistrosEntradas[[#This Row],[Data do Caixa Previsto]]="",0,MONTH(TbRegistrosEntradas[[#This Row],[Data do Caixa Previsto]]))</f>
        <v>6</v>
      </c>
      <c r="N226" s="40">
        <f>IF(TbRegistrosEntradas[[#This Row],[Data do Caixa Previsto]]="",0,YEAR(TbRegistrosEntradas[[#This Row],[Data do Caixa Previsto]]))</f>
        <v>2019</v>
      </c>
      <c r="O226" s="40" t="str">
        <f ca="1">IF(AND(TbRegistrosEntradas[[#This Row],[Data do Caixa Previsto]]&lt;TODAY(),TbRegistrosEntradas[[#This Row],[Data do Caixa Realizado]]=""),"Vencida","Não vencida")</f>
        <v>Não vencida</v>
      </c>
      <c r="P226" s="40" t="str">
        <f>IF(TbRegistrosEntradas[[#This Row],[Data da Competência]]=TbRegistrosEntradas[[#This Row],[Data do Caixa Previsto]],"Vista","Prazo")</f>
        <v>Prazo</v>
      </c>
      <c r="Q226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25.383134667601553</v>
      </c>
    </row>
    <row r="227" spans="2:17" x14ac:dyDescent="0.25">
      <c r="B227" s="15">
        <v>43633</v>
      </c>
      <c r="C227" s="15">
        <v>43625</v>
      </c>
      <c r="D227" s="15">
        <v>43632.847420047961</v>
      </c>
      <c r="E227" t="s">
        <v>23</v>
      </c>
      <c r="F227" t="s">
        <v>33</v>
      </c>
      <c r="G227" s="13" t="s">
        <v>282</v>
      </c>
      <c r="H227" s="16">
        <v>191</v>
      </c>
      <c r="I227">
        <f>IF(TbRegistrosEntradas[[#This Row],[Data do Caixa Realizado]]="",0,MONTH(TbRegistrosEntradas[[#This Row],[Data do Caixa Realizado]]))</f>
        <v>6</v>
      </c>
      <c r="J227">
        <f>IF(TbRegistrosEntradas[[#This Row],[Data do Caixa Realizado]]="",0,YEAR(TbRegistrosEntradas[[#This Row],[Data do Caixa Realizado]]))</f>
        <v>2019</v>
      </c>
      <c r="K227">
        <f>IF(TbRegistrosEntradas[[#This Row],[Data da Competência]]="",0,MONTH(TbRegistrosEntradas[[#This Row],[Data da Competência]]))</f>
        <v>6</v>
      </c>
      <c r="L227">
        <f>IF(TbRegistrosEntradas[[#This Row],[Data da Competência]]="",0,YEAR(TbRegistrosEntradas[[#This Row],[Data da Competência]]))</f>
        <v>2019</v>
      </c>
      <c r="M227" s="40">
        <f>IF(TbRegistrosEntradas[[#This Row],[Data do Caixa Previsto]]="",0,MONTH(TbRegistrosEntradas[[#This Row],[Data do Caixa Previsto]]))</f>
        <v>6</v>
      </c>
      <c r="N227" s="40">
        <f>IF(TbRegistrosEntradas[[#This Row],[Data do Caixa Previsto]]="",0,YEAR(TbRegistrosEntradas[[#This Row],[Data do Caixa Previsto]]))</f>
        <v>2019</v>
      </c>
      <c r="O227" s="40" t="str">
        <f ca="1">IF(AND(TbRegistrosEntradas[[#This Row],[Data do Caixa Previsto]]&lt;TODAY(),TbRegistrosEntradas[[#This Row],[Data do Caixa Realizado]]=""),"Vencida","Não vencida")</f>
        <v>Não vencida</v>
      </c>
      <c r="P227" s="40" t="str">
        <f>IF(TbRegistrosEntradas[[#This Row],[Data da Competência]]=TbRegistrosEntradas[[#This Row],[Data do Caixa Previsto]],"Vista","Prazo")</f>
        <v>Prazo</v>
      </c>
      <c r="Q227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0.15257995203864994</v>
      </c>
    </row>
    <row r="228" spans="2:17" x14ac:dyDescent="0.25">
      <c r="B228" s="15" t="s">
        <v>69</v>
      </c>
      <c r="C228" s="15">
        <v>43629</v>
      </c>
      <c r="D228" s="15">
        <v>43668.924870501287</v>
      </c>
      <c r="E228" t="s">
        <v>23</v>
      </c>
      <c r="F228" t="s">
        <v>30</v>
      </c>
      <c r="G228" s="13" t="s">
        <v>283</v>
      </c>
      <c r="H228" s="16">
        <v>508</v>
      </c>
      <c r="I228">
        <f>IF(TbRegistrosEntradas[[#This Row],[Data do Caixa Realizado]]="",0,MONTH(TbRegistrosEntradas[[#This Row],[Data do Caixa Realizado]]))</f>
        <v>0</v>
      </c>
      <c r="J228">
        <f>IF(TbRegistrosEntradas[[#This Row],[Data do Caixa Realizado]]="",0,YEAR(TbRegistrosEntradas[[#This Row],[Data do Caixa Realizado]]))</f>
        <v>0</v>
      </c>
      <c r="K228">
        <f>IF(TbRegistrosEntradas[[#This Row],[Data da Competência]]="",0,MONTH(TbRegistrosEntradas[[#This Row],[Data da Competência]]))</f>
        <v>6</v>
      </c>
      <c r="L228">
        <f>IF(TbRegistrosEntradas[[#This Row],[Data da Competência]]="",0,YEAR(TbRegistrosEntradas[[#This Row],[Data da Competência]]))</f>
        <v>2019</v>
      </c>
      <c r="M228" s="40">
        <f>IF(TbRegistrosEntradas[[#This Row],[Data do Caixa Previsto]]="",0,MONTH(TbRegistrosEntradas[[#This Row],[Data do Caixa Previsto]]))</f>
        <v>7</v>
      </c>
      <c r="N228" s="40">
        <f>IF(TbRegistrosEntradas[[#This Row],[Data do Caixa Previsto]]="",0,YEAR(TbRegistrosEntradas[[#This Row],[Data do Caixa Previsto]]))</f>
        <v>2019</v>
      </c>
      <c r="O228" s="40" t="str">
        <f ca="1">IF(AND(TbRegistrosEntradas[[#This Row],[Data do Caixa Previsto]]&lt;TODAY(),TbRegistrosEntradas[[#This Row],[Data do Caixa Realizado]]=""),"Vencida","Não vencida")</f>
        <v>Vencida</v>
      </c>
      <c r="P228" s="40" t="str">
        <f>IF(TbRegistrosEntradas[[#This Row],[Data da Competência]]=TbRegistrosEntradas[[#This Row],[Data do Caixa Previsto]],"Vista","Prazo")</f>
        <v>Prazo</v>
      </c>
      <c r="Q228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1647.0751294987131</v>
      </c>
    </row>
    <row r="229" spans="2:17" x14ac:dyDescent="0.25">
      <c r="B229" s="15">
        <v>43663</v>
      </c>
      <c r="C229" s="15">
        <v>43631</v>
      </c>
      <c r="D229" s="15">
        <v>43663.604642253973</v>
      </c>
      <c r="E229" t="s">
        <v>23</v>
      </c>
      <c r="F229" t="s">
        <v>32</v>
      </c>
      <c r="G229" s="13" t="s">
        <v>284</v>
      </c>
      <c r="H229" s="16">
        <v>1482</v>
      </c>
      <c r="I229">
        <f>IF(TbRegistrosEntradas[[#This Row],[Data do Caixa Realizado]]="",0,MONTH(TbRegistrosEntradas[[#This Row],[Data do Caixa Realizado]]))</f>
        <v>7</v>
      </c>
      <c r="J229">
        <f>IF(TbRegistrosEntradas[[#This Row],[Data do Caixa Realizado]]="",0,YEAR(TbRegistrosEntradas[[#This Row],[Data do Caixa Realizado]]))</f>
        <v>2019</v>
      </c>
      <c r="K229">
        <f>IF(TbRegistrosEntradas[[#This Row],[Data da Competência]]="",0,MONTH(TbRegistrosEntradas[[#This Row],[Data da Competência]]))</f>
        <v>6</v>
      </c>
      <c r="L229">
        <f>IF(TbRegistrosEntradas[[#This Row],[Data da Competência]]="",0,YEAR(TbRegistrosEntradas[[#This Row],[Data da Competência]]))</f>
        <v>2019</v>
      </c>
      <c r="M229" s="40">
        <f>IF(TbRegistrosEntradas[[#This Row],[Data do Caixa Previsto]]="",0,MONTH(TbRegistrosEntradas[[#This Row],[Data do Caixa Previsto]]))</f>
        <v>7</v>
      </c>
      <c r="N229" s="40">
        <f>IF(TbRegistrosEntradas[[#This Row],[Data do Caixa Previsto]]="",0,YEAR(TbRegistrosEntradas[[#This Row],[Data do Caixa Previsto]]))</f>
        <v>2019</v>
      </c>
      <c r="O229" s="40" t="str">
        <f ca="1">IF(AND(TbRegistrosEntradas[[#This Row],[Data do Caixa Previsto]]&lt;TODAY(),TbRegistrosEntradas[[#This Row],[Data do Caixa Realizado]]=""),"Vencida","Não vencida")</f>
        <v>Não vencida</v>
      </c>
      <c r="P229" s="40" t="str">
        <f>IF(TbRegistrosEntradas[[#This Row],[Data da Competência]]=TbRegistrosEntradas[[#This Row],[Data do Caixa Previsto]],"Vista","Prazo")</f>
        <v>Prazo</v>
      </c>
      <c r="Q229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30" spans="2:17" x14ac:dyDescent="0.25">
      <c r="B230" s="15">
        <v>43647</v>
      </c>
      <c r="C230" s="15">
        <v>43632</v>
      </c>
      <c r="D230" s="15">
        <v>43647.603244851816</v>
      </c>
      <c r="E230" t="s">
        <v>23</v>
      </c>
      <c r="F230" t="s">
        <v>34</v>
      </c>
      <c r="G230" s="13" t="s">
        <v>285</v>
      </c>
      <c r="H230" s="16">
        <v>555</v>
      </c>
      <c r="I230">
        <f>IF(TbRegistrosEntradas[[#This Row],[Data do Caixa Realizado]]="",0,MONTH(TbRegistrosEntradas[[#This Row],[Data do Caixa Realizado]]))</f>
        <v>7</v>
      </c>
      <c r="J230">
        <f>IF(TbRegistrosEntradas[[#This Row],[Data do Caixa Realizado]]="",0,YEAR(TbRegistrosEntradas[[#This Row],[Data do Caixa Realizado]]))</f>
        <v>2019</v>
      </c>
      <c r="K230">
        <f>IF(TbRegistrosEntradas[[#This Row],[Data da Competência]]="",0,MONTH(TbRegistrosEntradas[[#This Row],[Data da Competência]]))</f>
        <v>6</v>
      </c>
      <c r="L230">
        <f>IF(TbRegistrosEntradas[[#This Row],[Data da Competência]]="",0,YEAR(TbRegistrosEntradas[[#This Row],[Data da Competência]]))</f>
        <v>2019</v>
      </c>
      <c r="M230" s="40">
        <f>IF(TbRegistrosEntradas[[#This Row],[Data do Caixa Previsto]]="",0,MONTH(TbRegistrosEntradas[[#This Row],[Data do Caixa Previsto]]))</f>
        <v>7</v>
      </c>
      <c r="N230" s="40">
        <f>IF(TbRegistrosEntradas[[#This Row],[Data do Caixa Previsto]]="",0,YEAR(TbRegistrosEntradas[[#This Row],[Data do Caixa Previsto]]))</f>
        <v>2019</v>
      </c>
      <c r="O230" s="40" t="str">
        <f ca="1">IF(AND(TbRegistrosEntradas[[#This Row],[Data do Caixa Previsto]]&lt;TODAY(),TbRegistrosEntradas[[#This Row],[Data do Caixa Realizado]]=""),"Vencida","Não vencida")</f>
        <v>Não vencida</v>
      </c>
      <c r="P230" s="40" t="str">
        <f>IF(TbRegistrosEntradas[[#This Row],[Data da Competência]]=TbRegistrosEntradas[[#This Row],[Data do Caixa Previsto]],"Vista","Prazo")</f>
        <v>Prazo</v>
      </c>
      <c r="Q230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31" spans="2:17" x14ac:dyDescent="0.25">
      <c r="B231" s="15">
        <v>43741</v>
      </c>
      <c r="C231" s="15">
        <v>43636</v>
      </c>
      <c r="D231" s="15">
        <v>43687.570970311433</v>
      </c>
      <c r="E231" t="s">
        <v>23</v>
      </c>
      <c r="F231" t="s">
        <v>30</v>
      </c>
      <c r="G231" s="13" t="s">
        <v>286</v>
      </c>
      <c r="H231" s="16">
        <v>1906</v>
      </c>
      <c r="I231">
        <f>IF(TbRegistrosEntradas[[#This Row],[Data do Caixa Realizado]]="",0,MONTH(TbRegistrosEntradas[[#This Row],[Data do Caixa Realizado]]))</f>
        <v>10</v>
      </c>
      <c r="J231">
        <f>IF(TbRegistrosEntradas[[#This Row],[Data do Caixa Realizado]]="",0,YEAR(TbRegistrosEntradas[[#This Row],[Data do Caixa Realizado]]))</f>
        <v>2019</v>
      </c>
      <c r="K231">
        <f>IF(TbRegistrosEntradas[[#This Row],[Data da Competência]]="",0,MONTH(TbRegistrosEntradas[[#This Row],[Data da Competência]]))</f>
        <v>6</v>
      </c>
      <c r="L231">
        <f>IF(TbRegistrosEntradas[[#This Row],[Data da Competência]]="",0,YEAR(TbRegistrosEntradas[[#This Row],[Data da Competência]]))</f>
        <v>2019</v>
      </c>
      <c r="M231" s="40">
        <f>IF(TbRegistrosEntradas[[#This Row],[Data do Caixa Previsto]]="",0,MONTH(TbRegistrosEntradas[[#This Row],[Data do Caixa Previsto]]))</f>
        <v>8</v>
      </c>
      <c r="N231" s="40">
        <f>IF(TbRegistrosEntradas[[#This Row],[Data do Caixa Previsto]]="",0,YEAR(TbRegistrosEntradas[[#This Row],[Data do Caixa Previsto]]))</f>
        <v>2019</v>
      </c>
      <c r="O231" s="40" t="str">
        <f ca="1">IF(AND(TbRegistrosEntradas[[#This Row],[Data do Caixa Previsto]]&lt;TODAY(),TbRegistrosEntradas[[#This Row],[Data do Caixa Realizado]]=""),"Vencida","Não vencida")</f>
        <v>Não vencida</v>
      </c>
      <c r="P231" s="40" t="str">
        <f>IF(TbRegistrosEntradas[[#This Row],[Data da Competência]]=TbRegistrosEntradas[[#This Row],[Data do Caixa Previsto]],"Vista","Prazo")</f>
        <v>Prazo</v>
      </c>
      <c r="Q231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53.429029688566516</v>
      </c>
    </row>
    <row r="232" spans="2:17" x14ac:dyDescent="0.25">
      <c r="B232" s="15">
        <v>43645</v>
      </c>
      <c r="C232" s="15">
        <v>43641</v>
      </c>
      <c r="D232" s="15">
        <v>43645.269692137255</v>
      </c>
      <c r="E232" t="s">
        <v>23</v>
      </c>
      <c r="F232" t="s">
        <v>30</v>
      </c>
      <c r="G232" s="13" t="s">
        <v>287</v>
      </c>
      <c r="H232" s="16">
        <v>450</v>
      </c>
      <c r="I232">
        <f>IF(TbRegistrosEntradas[[#This Row],[Data do Caixa Realizado]]="",0,MONTH(TbRegistrosEntradas[[#This Row],[Data do Caixa Realizado]]))</f>
        <v>6</v>
      </c>
      <c r="J232">
        <f>IF(TbRegistrosEntradas[[#This Row],[Data do Caixa Realizado]]="",0,YEAR(TbRegistrosEntradas[[#This Row],[Data do Caixa Realizado]]))</f>
        <v>2019</v>
      </c>
      <c r="K232">
        <f>IF(TbRegistrosEntradas[[#This Row],[Data da Competência]]="",0,MONTH(TbRegistrosEntradas[[#This Row],[Data da Competência]]))</f>
        <v>6</v>
      </c>
      <c r="L232">
        <f>IF(TbRegistrosEntradas[[#This Row],[Data da Competência]]="",0,YEAR(TbRegistrosEntradas[[#This Row],[Data da Competência]]))</f>
        <v>2019</v>
      </c>
      <c r="M232" s="40">
        <f>IF(TbRegistrosEntradas[[#This Row],[Data do Caixa Previsto]]="",0,MONTH(TbRegistrosEntradas[[#This Row],[Data do Caixa Previsto]]))</f>
        <v>6</v>
      </c>
      <c r="N232" s="40">
        <f>IF(TbRegistrosEntradas[[#This Row],[Data do Caixa Previsto]]="",0,YEAR(TbRegistrosEntradas[[#This Row],[Data do Caixa Previsto]]))</f>
        <v>2019</v>
      </c>
      <c r="O232" s="40" t="str">
        <f ca="1">IF(AND(TbRegistrosEntradas[[#This Row],[Data do Caixa Previsto]]&lt;TODAY(),TbRegistrosEntradas[[#This Row],[Data do Caixa Realizado]]=""),"Vencida","Não vencida")</f>
        <v>Não vencida</v>
      </c>
      <c r="P232" s="40" t="str">
        <f>IF(TbRegistrosEntradas[[#This Row],[Data da Competência]]=TbRegistrosEntradas[[#This Row],[Data do Caixa Previsto]],"Vista","Prazo")</f>
        <v>Prazo</v>
      </c>
      <c r="Q232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0</v>
      </c>
    </row>
    <row r="233" spans="2:17" x14ac:dyDescent="0.25">
      <c r="B233" s="15" t="s">
        <v>69</v>
      </c>
      <c r="C233" s="15">
        <v>43644</v>
      </c>
      <c r="D233" s="15">
        <v>43662.268601302756</v>
      </c>
      <c r="E233" t="s">
        <v>23</v>
      </c>
      <c r="F233" t="s">
        <v>33</v>
      </c>
      <c r="G233" s="13" t="s">
        <v>288</v>
      </c>
      <c r="H233" s="16">
        <v>1479</v>
      </c>
      <c r="I233">
        <f>IF(TbRegistrosEntradas[[#This Row],[Data do Caixa Realizado]]="",0,MONTH(TbRegistrosEntradas[[#This Row],[Data do Caixa Realizado]]))</f>
        <v>0</v>
      </c>
      <c r="J233">
        <f>IF(TbRegistrosEntradas[[#This Row],[Data do Caixa Realizado]]="",0,YEAR(TbRegistrosEntradas[[#This Row],[Data do Caixa Realizado]]))</f>
        <v>0</v>
      </c>
      <c r="K233">
        <f>IF(TbRegistrosEntradas[[#This Row],[Data da Competência]]="",0,MONTH(TbRegistrosEntradas[[#This Row],[Data da Competência]]))</f>
        <v>6</v>
      </c>
      <c r="L233">
        <f>IF(TbRegistrosEntradas[[#This Row],[Data da Competência]]="",0,YEAR(TbRegistrosEntradas[[#This Row],[Data da Competência]]))</f>
        <v>2019</v>
      </c>
      <c r="M233" s="40">
        <f>IF(TbRegistrosEntradas[[#This Row],[Data do Caixa Previsto]]="",0,MONTH(TbRegistrosEntradas[[#This Row],[Data do Caixa Previsto]]))</f>
        <v>7</v>
      </c>
      <c r="N233" s="40">
        <f>IF(TbRegistrosEntradas[[#This Row],[Data do Caixa Previsto]]="",0,YEAR(TbRegistrosEntradas[[#This Row],[Data do Caixa Previsto]]))</f>
        <v>2019</v>
      </c>
      <c r="O233" s="40" t="str">
        <f ca="1">IF(AND(TbRegistrosEntradas[[#This Row],[Data do Caixa Previsto]]&lt;TODAY(),TbRegistrosEntradas[[#This Row],[Data do Caixa Realizado]]=""),"Vencida","Não vencida")</f>
        <v>Vencida</v>
      </c>
      <c r="P233" s="40" t="str">
        <f>IF(TbRegistrosEntradas[[#This Row],[Data da Competência]]=TbRegistrosEntradas[[#This Row],[Data do Caixa Previsto]],"Vista","Prazo")</f>
        <v>Prazo</v>
      </c>
      <c r="Q233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1653.731398697244</v>
      </c>
    </row>
    <row r="234" spans="2:17" x14ac:dyDescent="0.25">
      <c r="B234" s="15">
        <v>43727</v>
      </c>
      <c r="C234" s="15">
        <v>43645</v>
      </c>
      <c r="D234" s="15">
        <v>43647.81451187309</v>
      </c>
      <c r="E234" t="s">
        <v>23</v>
      </c>
      <c r="F234" t="s">
        <v>33</v>
      </c>
      <c r="G234" s="13" t="s">
        <v>289</v>
      </c>
      <c r="H234" s="16">
        <v>3446</v>
      </c>
      <c r="I234">
        <f>IF(TbRegistrosEntradas[[#This Row],[Data do Caixa Realizado]]="",0,MONTH(TbRegistrosEntradas[[#This Row],[Data do Caixa Realizado]]))</f>
        <v>9</v>
      </c>
      <c r="J234">
        <f>IF(TbRegistrosEntradas[[#This Row],[Data do Caixa Realizado]]="",0,YEAR(TbRegistrosEntradas[[#This Row],[Data do Caixa Realizado]]))</f>
        <v>2019</v>
      </c>
      <c r="K234">
        <f>IF(TbRegistrosEntradas[[#This Row],[Data da Competência]]="",0,MONTH(TbRegistrosEntradas[[#This Row],[Data da Competência]]))</f>
        <v>6</v>
      </c>
      <c r="L234">
        <f>IF(TbRegistrosEntradas[[#This Row],[Data da Competência]]="",0,YEAR(TbRegistrosEntradas[[#This Row],[Data da Competência]]))</f>
        <v>2019</v>
      </c>
      <c r="M234" s="40">
        <f>IF(TbRegistrosEntradas[[#This Row],[Data do Caixa Previsto]]="",0,MONTH(TbRegistrosEntradas[[#This Row],[Data do Caixa Previsto]]))</f>
        <v>7</v>
      </c>
      <c r="N234" s="40">
        <f>IF(TbRegistrosEntradas[[#This Row],[Data do Caixa Previsto]]="",0,YEAR(TbRegistrosEntradas[[#This Row],[Data do Caixa Previsto]]))</f>
        <v>2019</v>
      </c>
      <c r="O234" s="40" t="str">
        <f ca="1">IF(AND(TbRegistrosEntradas[[#This Row],[Data do Caixa Previsto]]&lt;TODAY(),TbRegistrosEntradas[[#This Row],[Data do Caixa Realizado]]=""),"Vencida","Não vencida")</f>
        <v>Não vencida</v>
      </c>
      <c r="P234" s="40" t="str">
        <f>IF(TbRegistrosEntradas[[#This Row],[Data da Competência]]=TbRegistrosEntradas[[#This Row],[Data do Caixa Previsto]],"Vista","Prazo")</f>
        <v>Prazo</v>
      </c>
      <c r="Q234" s="40">
        <f ca="1">IF(TbRegistrosEntradas[[#This Row],[Data do Caixa Realizado]]&lt;&gt;"",IF(TbRegistrosEntradas[[#This Row],[Data do Caixa Realizado]]&gt;TbRegistrosEntradas[[#This Row],[Data do Caixa Previsto]],TbRegistrosEntradas[[#This Row],[Data do Caixa Realizado]]-TbRegistrosEntradas[[#This Row],[Data do Caixa Previsto]],0),IF(TODAY()&gt;TbRegistrosEntradas[[#This Row],[Data do Caixa Previsto]],TODAY()-TbRegistrosEntradas[[#This Row],[Data do Caixa Previsto]],0))</f>
        <v>79.185488126910059</v>
      </c>
    </row>
  </sheetData>
  <dataValidations count="2">
    <dataValidation type="list" showInputMessage="1" showErrorMessage="1" errorTitle="Erro" error="A conta inserida não está cadastrada, favor cadastrar ou inserir uma que já possua cadastro." promptTitle="Conta de Entrada Nível 2" prompt="Favor inserir a classificação de contas de entrada nível 2." sqref="F4:F234">
      <formula1>OFFSET(PCEntradasN2_2,MATCH(E4,PCEntradasN2_1,0)-1,0,COUNTIF(PCEntradasN2_1,E4))</formula1>
    </dataValidation>
    <dataValidation type="list" showInputMessage="1" showErrorMessage="1" errorTitle="Erro" error="A conta inserida não está cadastrada, favor cadastrar ou inserir uma que já possua cadastro." promptTitle="Conta de Entrada Nível 1" prompt="Favor inserir a classificação de contas de entrada nível 1." sqref="E4:E234">
      <formula1>PCEntradasN1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2"/>
  <sheetViews>
    <sheetView showGridLines="0" workbookViewId="0">
      <pane ySplit="3" topLeftCell="A4" activePane="bottomLeft" state="frozen"/>
      <selection pane="bottomLeft" activeCell="F25" sqref="F25"/>
    </sheetView>
  </sheetViews>
  <sheetFormatPr defaultColWidth="0" defaultRowHeight="15" x14ac:dyDescent="0.25"/>
  <cols>
    <col min="1" max="1" width="2.85546875" customWidth="1"/>
    <col min="2" max="2" width="24" customWidth="1"/>
    <col min="3" max="3" width="21.85546875" customWidth="1"/>
    <col min="4" max="4" width="22.7109375" customWidth="1"/>
    <col min="5" max="5" width="47.42578125" customWidth="1"/>
    <col min="6" max="6" width="38.5703125" customWidth="1"/>
    <col min="7" max="7" width="48.5703125" customWidth="1"/>
    <col min="8" max="8" width="18.7109375" customWidth="1"/>
    <col min="9" max="14" width="16.7109375" hidden="1" customWidth="1"/>
    <col min="15" max="15" width="15.42578125" hidden="1" customWidth="1"/>
    <col min="16" max="16384" width="9.140625" hidden="1"/>
  </cols>
  <sheetData>
    <row r="1" spans="2:15" ht="39.950000000000003" customHeight="1" x14ac:dyDescent="0.25">
      <c r="B1" s="3"/>
      <c r="C1" s="1"/>
      <c r="D1" s="1"/>
      <c r="E1" s="1"/>
      <c r="F1" s="1"/>
      <c r="G1" s="1"/>
      <c r="H1" s="2" t="s">
        <v>11</v>
      </c>
    </row>
    <row r="2" spans="2:15" ht="39.950000000000003" customHeight="1" x14ac:dyDescent="0.25">
      <c r="B2" s="5"/>
      <c r="C2" s="5"/>
      <c r="D2" s="5"/>
      <c r="E2" s="5"/>
      <c r="F2" s="5"/>
      <c r="G2" s="5"/>
      <c r="H2" s="5"/>
    </row>
    <row r="3" spans="2:15" ht="40.5" customHeight="1" x14ac:dyDescent="0.25">
      <c r="B3" s="14" t="s">
        <v>52</v>
      </c>
      <c r="C3" s="14" t="s">
        <v>53</v>
      </c>
      <c r="D3" s="14" t="s">
        <v>54</v>
      </c>
      <c r="E3" s="11" t="s">
        <v>55</v>
      </c>
      <c r="F3" s="11" t="s">
        <v>56</v>
      </c>
      <c r="G3" s="11" t="s">
        <v>57</v>
      </c>
      <c r="H3" s="11" t="s">
        <v>58</v>
      </c>
      <c r="I3" s="11" t="s">
        <v>537</v>
      </c>
      <c r="J3" s="11" t="s">
        <v>538</v>
      </c>
      <c r="K3" s="11" t="s">
        <v>539</v>
      </c>
      <c r="L3" s="11" t="s">
        <v>540</v>
      </c>
      <c r="M3" s="11" t="s">
        <v>546</v>
      </c>
      <c r="N3" s="11" t="s">
        <v>547</v>
      </c>
      <c r="O3" s="11" t="s">
        <v>607</v>
      </c>
    </row>
    <row r="4" spans="2:15" ht="20.100000000000001" customHeight="1" x14ac:dyDescent="0.25">
      <c r="B4" s="15">
        <v>43015.689099944895</v>
      </c>
      <c r="C4" s="15">
        <v>42957</v>
      </c>
      <c r="D4" s="15">
        <v>43015.689099944895</v>
      </c>
      <c r="E4" t="s">
        <v>43</v>
      </c>
      <c r="F4" t="s">
        <v>34</v>
      </c>
      <c r="G4" s="13" t="s">
        <v>290</v>
      </c>
      <c r="H4" s="16">
        <v>4021</v>
      </c>
      <c r="I4">
        <f>IF(TbRegistrosSaídas[[#This Row],[Data do Caixa Realizado]]="",0,MONTH(TbRegistrosSaídas[[#This Row],[Data do Caixa Realizado]]))</f>
        <v>10</v>
      </c>
      <c r="J4">
        <f>IF(TbRegistrosSaídas[[#This Row],[Data do Caixa Realizado]]="",0,YEAR(TbRegistrosSaídas[[#This Row],[Data do Caixa Realizado]]))</f>
        <v>2017</v>
      </c>
      <c r="K4">
        <f>IF(TbRegistrosSaídas[[#This Row],[Data da Competência]]="",0,MONTH(TbRegistrosSaídas[[#This Row],[Data da Competência]]))</f>
        <v>8</v>
      </c>
      <c r="L4">
        <f>IF(TbRegistrosSaídas[[#This Row],[Data da Competência]]="",0,YEAR(TbRegistrosSaídas[[#This Row],[Data da Competência]]))</f>
        <v>2017</v>
      </c>
      <c r="M4" s="40">
        <f>IF(TbRegistrosSaídas[[#This Row],[Data do Caixa Previsto]]="",0,MONTH(TbRegistrosSaídas[[#This Row],[Data do Caixa Previsto]]))</f>
        <v>10</v>
      </c>
      <c r="N4" s="40">
        <f>IF(TbRegistrosSaídas[[#This Row],[Data do Caixa Previsto]]="",0,YEAR(TbRegistrosSaídas[[#This Row],[Data do Caixa Previsto]]))</f>
        <v>2017</v>
      </c>
      <c r="O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" spans="2:15" ht="20.100000000000001" customHeight="1" x14ac:dyDescent="0.25">
      <c r="B5" s="15">
        <v>42995.83151981284</v>
      </c>
      <c r="C5" s="15">
        <v>42960</v>
      </c>
      <c r="D5" s="15">
        <v>42995.83151981284</v>
      </c>
      <c r="E5" t="s">
        <v>43</v>
      </c>
      <c r="F5" t="s">
        <v>44</v>
      </c>
      <c r="G5" s="13" t="s">
        <v>291</v>
      </c>
      <c r="H5" s="16">
        <v>651</v>
      </c>
      <c r="I5">
        <f>IF(TbRegistrosSaídas[[#This Row],[Data do Caixa Realizado]]="",0,MONTH(TbRegistrosSaídas[[#This Row],[Data do Caixa Realizado]]))</f>
        <v>9</v>
      </c>
      <c r="J5">
        <f>IF(TbRegistrosSaídas[[#This Row],[Data do Caixa Realizado]]="",0,YEAR(TbRegistrosSaídas[[#This Row],[Data do Caixa Realizado]]))</f>
        <v>2017</v>
      </c>
      <c r="K5">
        <f>IF(TbRegistrosSaídas[[#This Row],[Data da Competência]]="",0,MONTH(TbRegistrosSaídas[[#This Row],[Data da Competência]]))</f>
        <v>8</v>
      </c>
      <c r="L5">
        <f>IF(TbRegistrosSaídas[[#This Row],[Data da Competência]]="",0,YEAR(TbRegistrosSaídas[[#This Row],[Data da Competência]]))</f>
        <v>2017</v>
      </c>
      <c r="M5" s="40">
        <f>IF(TbRegistrosSaídas[[#This Row],[Data do Caixa Previsto]]="",0,MONTH(TbRegistrosSaídas[[#This Row],[Data do Caixa Previsto]]))</f>
        <v>9</v>
      </c>
      <c r="N5" s="40">
        <f>IF(TbRegistrosSaídas[[#This Row],[Data do Caixa Previsto]]="",0,YEAR(TbRegistrosSaídas[[#This Row],[Data do Caixa Previsto]]))</f>
        <v>2017</v>
      </c>
      <c r="O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" spans="2:15" ht="20.100000000000001" customHeight="1" x14ac:dyDescent="0.25">
      <c r="B6" s="15">
        <v>42983.821864178215</v>
      </c>
      <c r="C6" s="15">
        <v>42965</v>
      </c>
      <c r="D6" s="15">
        <v>42983.821864178215</v>
      </c>
      <c r="E6" t="s">
        <v>43</v>
      </c>
      <c r="F6" t="s">
        <v>34</v>
      </c>
      <c r="G6" s="13" t="s">
        <v>292</v>
      </c>
      <c r="H6" s="16">
        <v>131</v>
      </c>
      <c r="I6">
        <f>IF(TbRegistrosSaídas[[#This Row],[Data do Caixa Realizado]]="",0,MONTH(TbRegistrosSaídas[[#This Row],[Data do Caixa Realizado]]))</f>
        <v>9</v>
      </c>
      <c r="J6">
        <f>IF(TbRegistrosSaídas[[#This Row],[Data do Caixa Realizado]]="",0,YEAR(TbRegistrosSaídas[[#This Row],[Data do Caixa Realizado]]))</f>
        <v>2017</v>
      </c>
      <c r="K6">
        <f>IF(TbRegistrosSaídas[[#This Row],[Data da Competência]]="",0,MONTH(TbRegistrosSaídas[[#This Row],[Data da Competência]]))</f>
        <v>8</v>
      </c>
      <c r="L6">
        <f>IF(TbRegistrosSaídas[[#This Row],[Data da Competência]]="",0,YEAR(TbRegistrosSaídas[[#This Row],[Data da Competência]]))</f>
        <v>2017</v>
      </c>
      <c r="M6" s="40">
        <f>IF(TbRegistrosSaídas[[#This Row],[Data do Caixa Previsto]]="",0,MONTH(TbRegistrosSaídas[[#This Row],[Data do Caixa Previsto]]))</f>
        <v>9</v>
      </c>
      <c r="N6" s="40">
        <f>IF(TbRegistrosSaídas[[#This Row],[Data do Caixa Previsto]]="",0,YEAR(TbRegistrosSaídas[[#This Row],[Data do Caixa Previsto]]))</f>
        <v>2017</v>
      </c>
      <c r="O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" spans="2:15" ht="20.100000000000001" customHeight="1" x14ac:dyDescent="0.25">
      <c r="B7" s="15">
        <v>43004.400385589004</v>
      </c>
      <c r="C7" s="15">
        <v>42970</v>
      </c>
      <c r="D7" s="15">
        <v>43004.400385589004</v>
      </c>
      <c r="E7" t="s">
        <v>43</v>
      </c>
      <c r="F7" t="s">
        <v>34</v>
      </c>
      <c r="G7" s="13" t="s">
        <v>293</v>
      </c>
      <c r="H7" s="16">
        <v>803</v>
      </c>
      <c r="I7">
        <f>IF(TbRegistrosSaídas[[#This Row],[Data do Caixa Realizado]]="",0,MONTH(TbRegistrosSaídas[[#This Row],[Data do Caixa Realizado]]))</f>
        <v>9</v>
      </c>
      <c r="J7">
        <f>IF(TbRegistrosSaídas[[#This Row],[Data do Caixa Realizado]]="",0,YEAR(TbRegistrosSaídas[[#This Row],[Data do Caixa Realizado]]))</f>
        <v>2017</v>
      </c>
      <c r="K7">
        <f>IF(TbRegistrosSaídas[[#This Row],[Data da Competência]]="",0,MONTH(TbRegistrosSaídas[[#This Row],[Data da Competência]]))</f>
        <v>8</v>
      </c>
      <c r="L7">
        <f>IF(TbRegistrosSaídas[[#This Row],[Data da Competência]]="",0,YEAR(TbRegistrosSaídas[[#This Row],[Data da Competência]]))</f>
        <v>2017</v>
      </c>
      <c r="M7" s="40">
        <f>IF(TbRegistrosSaídas[[#This Row],[Data do Caixa Previsto]]="",0,MONTH(TbRegistrosSaídas[[#This Row],[Data do Caixa Previsto]]))</f>
        <v>9</v>
      </c>
      <c r="N7" s="40">
        <f>IF(TbRegistrosSaídas[[#This Row],[Data do Caixa Previsto]]="",0,YEAR(TbRegistrosSaídas[[#This Row],[Data do Caixa Previsto]]))</f>
        <v>2017</v>
      </c>
      <c r="O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" spans="2:15" ht="20.100000000000001" customHeight="1" x14ac:dyDescent="0.25">
      <c r="B8" s="15">
        <v>43002.058153394239</v>
      </c>
      <c r="C8" s="15">
        <v>42971</v>
      </c>
      <c r="D8" s="15">
        <v>43002.058153394239</v>
      </c>
      <c r="E8" t="s">
        <v>43</v>
      </c>
      <c r="F8" t="s">
        <v>44</v>
      </c>
      <c r="G8" s="13" t="s">
        <v>294</v>
      </c>
      <c r="H8" s="16">
        <v>4460</v>
      </c>
      <c r="I8">
        <f>IF(TbRegistrosSaídas[[#This Row],[Data do Caixa Realizado]]="",0,MONTH(TbRegistrosSaídas[[#This Row],[Data do Caixa Realizado]]))</f>
        <v>9</v>
      </c>
      <c r="J8">
        <f>IF(TbRegistrosSaídas[[#This Row],[Data do Caixa Realizado]]="",0,YEAR(TbRegistrosSaídas[[#This Row],[Data do Caixa Realizado]]))</f>
        <v>2017</v>
      </c>
      <c r="K8">
        <f>IF(TbRegistrosSaídas[[#This Row],[Data da Competência]]="",0,MONTH(TbRegistrosSaídas[[#This Row],[Data da Competência]]))</f>
        <v>8</v>
      </c>
      <c r="L8">
        <f>IF(TbRegistrosSaídas[[#This Row],[Data da Competência]]="",0,YEAR(TbRegistrosSaídas[[#This Row],[Data da Competência]]))</f>
        <v>2017</v>
      </c>
      <c r="M8" s="40">
        <f>IF(TbRegistrosSaídas[[#This Row],[Data do Caixa Previsto]]="",0,MONTH(TbRegistrosSaídas[[#This Row],[Data do Caixa Previsto]]))</f>
        <v>9</v>
      </c>
      <c r="N8" s="40">
        <f>IF(TbRegistrosSaídas[[#This Row],[Data do Caixa Previsto]]="",0,YEAR(TbRegistrosSaídas[[#This Row],[Data do Caixa Previsto]]))</f>
        <v>2017</v>
      </c>
      <c r="O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" spans="2:15" ht="20.100000000000001" customHeight="1" x14ac:dyDescent="0.25">
      <c r="B9" s="15">
        <v>42980.358785052202</v>
      </c>
      <c r="C9" s="15">
        <v>42972</v>
      </c>
      <c r="D9" s="15">
        <v>42980.358785052202</v>
      </c>
      <c r="E9" t="s">
        <v>43</v>
      </c>
      <c r="F9" t="s">
        <v>31</v>
      </c>
      <c r="G9" s="13" t="s">
        <v>295</v>
      </c>
      <c r="H9" s="16">
        <v>299</v>
      </c>
      <c r="I9">
        <f>IF(TbRegistrosSaídas[[#This Row],[Data do Caixa Realizado]]="",0,MONTH(TbRegistrosSaídas[[#This Row],[Data do Caixa Realizado]]))</f>
        <v>9</v>
      </c>
      <c r="J9">
        <f>IF(TbRegistrosSaídas[[#This Row],[Data do Caixa Realizado]]="",0,YEAR(TbRegistrosSaídas[[#This Row],[Data do Caixa Realizado]]))</f>
        <v>2017</v>
      </c>
      <c r="K9">
        <f>IF(TbRegistrosSaídas[[#This Row],[Data da Competência]]="",0,MONTH(TbRegistrosSaídas[[#This Row],[Data da Competência]]))</f>
        <v>8</v>
      </c>
      <c r="L9">
        <f>IF(TbRegistrosSaídas[[#This Row],[Data da Competência]]="",0,YEAR(TbRegistrosSaídas[[#This Row],[Data da Competência]]))</f>
        <v>2017</v>
      </c>
      <c r="M9" s="40">
        <f>IF(TbRegistrosSaídas[[#This Row],[Data do Caixa Previsto]]="",0,MONTH(TbRegistrosSaídas[[#This Row],[Data do Caixa Previsto]]))</f>
        <v>9</v>
      </c>
      <c r="N9" s="40">
        <f>IF(TbRegistrosSaídas[[#This Row],[Data do Caixa Previsto]]="",0,YEAR(TbRegistrosSaídas[[#This Row],[Data do Caixa Previsto]]))</f>
        <v>2017</v>
      </c>
      <c r="O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" spans="2:15" ht="20.100000000000001" customHeight="1" x14ac:dyDescent="0.25">
      <c r="B10" s="15">
        <v>43014.597468673528</v>
      </c>
      <c r="C10" s="15">
        <v>42976</v>
      </c>
      <c r="D10" s="15">
        <v>43014.597468673528</v>
      </c>
      <c r="E10" t="s">
        <v>43</v>
      </c>
      <c r="F10" t="s">
        <v>44</v>
      </c>
      <c r="G10" s="13" t="s">
        <v>296</v>
      </c>
      <c r="H10" s="16">
        <v>618</v>
      </c>
      <c r="I10">
        <f>IF(TbRegistrosSaídas[[#This Row],[Data do Caixa Realizado]]="",0,MONTH(TbRegistrosSaídas[[#This Row],[Data do Caixa Realizado]]))</f>
        <v>10</v>
      </c>
      <c r="J10">
        <f>IF(TbRegistrosSaídas[[#This Row],[Data do Caixa Realizado]]="",0,YEAR(TbRegistrosSaídas[[#This Row],[Data do Caixa Realizado]]))</f>
        <v>2017</v>
      </c>
      <c r="K10">
        <f>IF(TbRegistrosSaídas[[#This Row],[Data da Competência]]="",0,MONTH(TbRegistrosSaídas[[#This Row],[Data da Competência]]))</f>
        <v>8</v>
      </c>
      <c r="L10">
        <f>IF(TbRegistrosSaídas[[#This Row],[Data da Competência]]="",0,YEAR(TbRegistrosSaídas[[#This Row],[Data da Competência]]))</f>
        <v>2017</v>
      </c>
      <c r="M10" s="40">
        <f>IF(TbRegistrosSaídas[[#This Row],[Data do Caixa Previsto]]="",0,MONTH(TbRegistrosSaídas[[#This Row],[Data do Caixa Previsto]]))</f>
        <v>10</v>
      </c>
      <c r="N10" s="40">
        <f>IF(TbRegistrosSaídas[[#This Row],[Data do Caixa Previsto]]="",0,YEAR(TbRegistrosSaídas[[#This Row],[Data do Caixa Previsto]]))</f>
        <v>2017</v>
      </c>
      <c r="O1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" spans="2:15" ht="20.100000000000001" customHeight="1" x14ac:dyDescent="0.25">
      <c r="B11" s="15">
        <v>42990.1117348099</v>
      </c>
      <c r="C11" s="15">
        <v>42979</v>
      </c>
      <c r="D11" s="15">
        <v>42980.556611132772</v>
      </c>
      <c r="E11" t="s">
        <v>43</v>
      </c>
      <c r="F11" t="s">
        <v>44</v>
      </c>
      <c r="G11" s="13" t="s">
        <v>116</v>
      </c>
      <c r="H11" s="16">
        <v>2505</v>
      </c>
      <c r="I11">
        <f>IF(TbRegistrosSaídas[[#This Row],[Data do Caixa Realizado]]="",0,MONTH(TbRegistrosSaídas[[#This Row],[Data do Caixa Realizado]]))</f>
        <v>9</v>
      </c>
      <c r="J11">
        <f>IF(TbRegistrosSaídas[[#This Row],[Data do Caixa Realizado]]="",0,YEAR(TbRegistrosSaídas[[#This Row],[Data do Caixa Realizado]]))</f>
        <v>2017</v>
      </c>
      <c r="K11">
        <f>IF(TbRegistrosSaídas[[#This Row],[Data da Competência]]="",0,MONTH(TbRegistrosSaídas[[#This Row],[Data da Competência]]))</f>
        <v>9</v>
      </c>
      <c r="L11">
        <f>IF(TbRegistrosSaídas[[#This Row],[Data da Competência]]="",0,YEAR(TbRegistrosSaídas[[#This Row],[Data da Competência]]))</f>
        <v>2017</v>
      </c>
      <c r="M11" s="40">
        <f>IF(TbRegistrosSaídas[[#This Row],[Data do Caixa Previsto]]="",0,MONTH(TbRegistrosSaídas[[#This Row],[Data do Caixa Previsto]]))</f>
        <v>9</v>
      </c>
      <c r="N11" s="40">
        <f>IF(TbRegistrosSaídas[[#This Row],[Data do Caixa Previsto]]="",0,YEAR(TbRegistrosSaídas[[#This Row],[Data do Caixa Previsto]]))</f>
        <v>2017</v>
      </c>
      <c r="O1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9.5551236771279946</v>
      </c>
    </row>
    <row r="12" spans="2:15" ht="20.100000000000001" customHeight="1" x14ac:dyDescent="0.25">
      <c r="B12" s="15">
        <v>42987.417576127409</v>
      </c>
      <c r="C12" s="15">
        <v>42982</v>
      </c>
      <c r="D12" s="15">
        <v>42987.417576127409</v>
      </c>
      <c r="E12" t="s">
        <v>43</v>
      </c>
      <c r="F12" t="s">
        <v>34</v>
      </c>
      <c r="G12" s="13" t="s">
        <v>297</v>
      </c>
      <c r="H12" s="16">
        <v>817</v>
      </c>
      <c r="I12">
        <f>IF(TbRegistrosSaídas[[#This Row],[Data do Caixa Realizado]]="",0,MONTH(TbRegistrosSaídas[[#This Row],[Data do Caixa Realizado]]))</f>
        <v>9</v>
      </c>
      <c r="J12">
        <f>IF(TbRegistrosSaídas[[#This Row],[Data do Caixa Realizado]]="",0,YEAR(TbRegistrosSaídas[[#This Row],[Data do Caixa Realizado]]))</f>
        <v>2017</v>
      </c>
      <c r="K12">
        <f>IF(TbRegistrosSaídas[[#This Row],[Data da Competência]]="",0,MONTH(TbRegistrosSaídas[[#This Row],[Data da Competência]]))</f>
        <v>9</v>
      </c>
      <c r="L12">
        <f>IF(TbRegistrosSaídas[[#This Row],[Data da Competência]]="",0,YEAR(TbRegistrosSaídas[[#This Row],[Data da Competência]]))</f>
        <v>2017</v>
      </c>
      <c r="M12" s="40">
        <f>IF(TbRegistrosSaídas[[#This Row],[Data do Caixa Previsto]]="",0,MONTH(TbRegistrosSaídas[[#This Row],[Data do Caixa Previsto]]))</f>
        <v>9</v>
      </c>
      <c r="N12" s="40">
        <f>IF(TbRegistrosSaídas[[#This Row],[Data do Caixa Previsto]]="",0,YEAR(TbRegistrosSaídas[[#This Row],[Data do Caixa Previsto]]))</f>
        <v>2017</v>
      </c>
      <c r="O1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" spans="2:15" ht="20.100000000000001" customHeight="1" x14ac:dyDescent="0.25">
      <c r="B13" s="15" t="s">
        <v>69</v>
      </c>
      <c r="C13" s="15">
        <v>42984</v>
      </c>
      <c r="D13" s="15">
        <v>42984.703005901203</v>
      </c>
      <c r="E13" t="s">
        <v>43</v>
      </c>
      <c r="F13" t="s">
        <v>31</v>
      </c>
      <c r="G13" s="13" t="s">
        <v>298</v>
      </c>
      <c r="H13" s="16">
        <v>1565</v>
      </c>
      <c r="I13">
        <f>IF(TbRegistrosSaídas[[#This Row],[Data do Caixa Realizado]]="",0,MONTH(TbRegistrosSaídas[[#This Row],[Data do Caixa Realizado]]))</f>
        <v>0</v>
      </c>
      <c r="J13">
        <f>IF(TbRegistrosSaídas[[#This Row],[Data do Caixa Realizado]]="",0,YEAR(TbRegistrosSaídas[[#This Row],[Data do Caixa Realizado]]))</f>
        <v>0</v>
      </c>
      <c r="K13">
        <f>IF(TbRegistrosSaídas[[#This Row],[Data da Competência]]="",0,MONTH(TbRegistrosSaídas[[#This Row],[Data da Competência]]))</f>
        <v>9</v>
      </c>
      <c r="L13">
        <f>IF(TbRegistrosSaídas[[#This Row],[Data da Competência]]="",0,YEAR(TbRegistrosSaídas[[#This Row],[Data da Competência]]))</f>
        <v>2017</v>
      </c>
      <c r="M13" s="40">
        <f>IF(TbRegistrosSaídas[[#This Row],[Data do Caixa Previsto]]="",0,MONTH(TbRegistrosSaídas[[#This Row],[Data do Caixa Previsto]]))</f>
        <v>9</v>
      </c>
      <c r="N13" s="40">
        <f>IF(TbRegistrosSaídas[[#This Row],[Data do Caixa Previsto]]="",0,YEAR(TbRegistrosSaídas[[#This Row],[Data do Caixa Previsto]]))</f>
        <v>2017</v>
      </c>
      <c r="O1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2331.2969940987969</v>
      </c>
    </row>
    <row r="14" spans="2:15" ht="20.100000000000001" customHeight="1" x14ac:dyDescent="0.25">
      <c r="B14" s="15" t="s">
        <v>69</v>
      </c>
      <c r="C14" s="15">
        <v>42990</v>
      </c>
      <c r="D14" s="15">
        <v>43020.233591992961</v>
      </c>
      <c r="E14" t="s">
        <v>43</v>
      </c>
      <c r="F14" t="s">
        <v>32</v>
      </c>
      <c r="G14" s="13" t="s">
        <v>299</v>
      </c>
      <c r="H14" s="16">
        <v>1357</v>
      </c>
      <c r="I14">
        <f>IF(TbRegistrosSaídas[[#This Row],[Data do Caixa Realizado]]="",0,MONTH(TbRegistrosSaídas[[#This Row],[Data do Caixa Realizado]]))</f>
        <v>0</v>
      </c>
      <c r="J14">
        <f>IF(TbRegistrosSaídas[[#This Row],[Data do Caixa Realizado]]="",0,YEAR(TbRegistrosSaídas[[#This Row],[Data do Caixa Realizado]]))</f>
        <v>0</v>
      </c>
      <c r="K14">
        <f>IF(TbRegistrosSaídas[[#This Row],[Data da Competência]]="",0,MONTH(TbRegistrosSaídas[[#This Row],[Data da Competência]]))</f>
        <v>9</v>
      </c>
      <c r="L14">
        <f>IF(TbRegistrosSaídas[[#This Row],[Data da Competência]]="",0,YEAR(TbRegistrosSaídas[[#This Row],[Data da Competência]]))</f>
        <v>2017</v>
      </c>
      <c r="M14" s="40">
        <f>IF(TbRegistrosSaídas[[#This Row],[Data do Caixa Previsto]]="",0,MONTH(TbRegistrosSaídas[[#This Row],[Data do Caixa Previsto]]))</f>
        <v>10</v>
      </c>
      <c r="N14" s="40">
        <f>IF(TbRegistrosSaídas[[#This Row],[Data do Caixa Previsto]]="",0,YEAR(TbRegistrosSaídas[[#This Row],[Data do Caixa Previsto]]))</f>
        <v>2017</v>
      </c>
      <c r="O1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2295.766408007039</v>
      </c>
    </row>
    <row r="15" spans="2:15" ht="20.100000000000001" customHeight="1" x14ac:dyDescent="0.25">
      <c r="B15" s="15">
        <v>43025.32782899923</v>
      </c>
      <c r="C15" s="15">
        <v>42991</v>
      </c>
      <c r="D15" s="15">
        <v>43025.32782899923</v>
      </c>
      <c r="E15" t="s">
        <v>43</v>
      </c>
      <c r="F15" t="s">
        <v>32</v>
      </c>
      <c r="G15" s="13" t="s">
        <v>300</v>
      </c>
      <c r="H15" s="16">
        <v>4739</v>
      </c>
      <c r="I15">
        <f>IF(TbRegistrosSaídas[[#This Row],[Data do Caixa Realizado]]="",0,MONTH(TbRegistrosSaídas[[#This Row],[Data do Caixa Realizado]]))</f>
        <v>10</v>
      </c>
      <c r="J15">
        <f>IF(TbRegistrosSaídas[[#This Row],[Data do Caixa Realizado]]="",0,YEAR(TbRegistrosSaídas[[#This Row],[Data do Caixa Realizado]]))</f>
        <v>2017</v>
      </c>
      <c r="K15">
        <f>IF(TbRegistrosSaídas[[#This Row],[Data da Competência]]="",0,MONTH(TbRegistrosSaídas[[#This Row],[Data da Competência]]))</f>
        <v>9</v>
      </c>
      <c r="L15">
        <f>IF(TbRegistrosSaídas[[#This Row],[Data da Competência]]="",0,YEAR(TbRegistrosSaídas[[#This Row],[Data da Competência]]))</f>
        <v>2017</v>
      </c>
      <c r="M15" s="40">
        <f>IF(TbRegistrosSaídas[[#This Row],[Data do Caixa Previsto]]="",0,MONTH(TbRegistrosSaídas[[#This Row],[Data do Caixa Previsto]]))</f>
        <v>10</v>
      </c>
      <c r="N15" s="40">
        <f>IF(TbRegistrosSaídas[[#This Row],[Data do Caixa Previsto]]="",0,YEAR(TbRegistrosSaídas[[#This Row],[Data do Caixa Previsto]]))</f>
        <v>2017</v>
      </c>
      <c r="O1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6" spans="2:15" ht="20.100000000000001" customHeight="1" x14ac:dyDescent="0.25">
      <c r="B16" s="15">
        <v>43008.599150206064</v>
      </c>
      <c r="C16" s="15">
        <v>42992</v>
      </c>
      <c r="D16" s="15">
        <v>43008.599150206064</v>
      </c>
      <c r="E16" t="s">
        <v>43</v>
      </c>
      <c r="F16" t="s">
        <v>34</v>
      </c>
      <c r="G16" s="13" t="s">
        <v>301</v>
      </c>
      <c r="H16" s="16">
        <v>4675</v>
      </c>
      <c r="I16">
        <f>IF(TbRegistrosSaídas[[#This Row],[Data do Caixa Realizado]]="",0,MONTH(TbRegistrosSaídas[[#This Row],[Data do Caixa Realizado]]))</f>
        <v>9</v>
      </c>
      <c r="J16">
        <f>IF(TbRegistrosSaídas[[#This Row],[Data do Caixa Realizado]]="",0,YEAR(TbRegistrosSaídas[[#This Row],[Data do Caixa Realizado]]))</f>
        <v>2017</v>
      </c>
      <c r="K16">
        <f>IF(TbRegistrosSaídas[[#This Row],[Data da Competência]]="",0,MONTH(TbRegistrosSaídas[[#This Row],[Data da Competência]]))</f>
        <v>9</v>
      </c>
      <c r="L16">
        <f>IF(TbRegistrosSaídas[[#This Row],[Data da Competência]]="",0,YEAR(TbRegistrosSaídas[[#This Row],[Data da Competência]]))</f>
        <v>2017</v>
      </c>
      <c r="M16" s="40">
        <f>IF(TbRegistrosSaídas[[#This Row],[Data do Caixa Previsto]]="",0,MONTH(TbRegistrosSaídas[[#This Row],[Data do Caixa Previsto]]))</f>
        <v>9</v>
      </c>
      <c r="N16" s="40">
        <f>IF(TbRegistrosSaídas[[#This Row],[Data do Caixa Previsto]]="",0,YEAR(TbRegistrosSaídas[[#This Row],[Data do Caixa Previsto]]))</f>
        <v>2017</v>
      </c>
      <c r="O1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" spans="2:15" ht="20.100000000000001" customHeight="1" x14ac:dyDescent="0.25">
      <c r="B17" s="15">
        <v>43004.132052173023</v>
      </c>
      <c r="C17" s="15">
        <v>42997</v>
      </c>
      <c r="D17" s="15">
        <v>43004.132052173023</v>
      </c>
      <c r="E17" t="s">
        <v>43</v>
      </c>
      <c r="F17" t="s">
        <v>44</v>
      </c>
      <c r="G17" s="13" t="s">
        <v>302</v>
      </c>
      <c r="H17" s="16">
        <v>1797</v>
      </c>
      <c r="I17">
        <f>IF(TbRegistrosSaídas[[#This Row],[Data do Caixa Realizado]]="",0,MONTH(TbRegistrosSaídas[[#This Row],[Data do Caixa Realizado]]))</f>
        <v>9</v>
      </c>
      <c r="J17">
        <f>IF(TbRegistrosSaídas[[#This Row],[Data do Caixa Realizado]]="",0,YEAR(TbRegistrosSaídas[[#This Row],[Data do Caixa Realizado]]))</f>
        <v>2017</v>
      </c>
      <c r="K17">
        <f>IF(TbRegistrosSaídas[[#This Row],[Data da Competência]]="",0,MONTH(TbRegistrosSaídas[[#This Row],[Data da Competência]]))</f>
        <v>9</v>
      </c>
      <c r="L17">
        <f>IF(TbRegistrosSaídas[[#This Row],[Data da Competência]]="",0,YEAR(TbRegistrosSaídas[[#This Row],[Data da Competência]]))</f>
        <v>2017</v>
      </c>
      <c r="M17" s="40">
        <f>IF(TbRegistrosSaídas[[#This Row],[Data do Caixa Previsto]]="",0,MONTH(TbRegistrosSaídas[[#This Row],[Data do Caixa Previsto]]))</f>
        <v>9</v>
      </c>
      <c r="N17" s="40">
        <f>IF(TbRegistrosSaídas[[#This Row],[Data do Caixa Previsto]]="",0,YEAR(TbRegistrosSaídas[[#This Row],[Data do Caixa Previsto]]))</f>
        <v>2017</v>
      </c>
      <c r="O1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" spans="2:15" x14ac:dyDescent="0.25">
      <c r="B18" s="15">
        <v>43043.977578613987</v>
      </c>
      <c r="C18" s="15">
        <v>43002</v>
      </c>
      <c r="D18" s="15">
        <v>43043.977578613987</v>
      </c>
      <c r="E18" t="s">
        <v>43</v>
      </c>
      <c r="F18" t="s">
        <v>32</v>
      </c>
      <c r="G18" s="13" t="s">
        <v>303</v>
      </c>
      <c r="H18" s="16">
        <v>888</v>
      </c>
      <c r="I18">
        <f>IF(TbRegistrosSaídas[[#This Row],[Data do Caixa Realizado]]="",0,MONTH(TbRegistrosSaídas[[#This Row],[Data do Caixa Realizado]]))</f>
        <v>11</v>
      </c>
      <c r="J18">
        <f>IF(TbRegistrosSaídas[[#This Row],[Data do Caixa Realizado]]="",0,YEAR(TbRegistrosSaídas[[#This Row],[Data do Caixa Realizado]]))</f>
        <v>2017</v>
      </c>
      <c r="K18">
        <f>IF(TbRegistrosSaídas[[#This Row],[Data da Competência]]="",0,MONTH(TbRegistrosSaídas[[#This Row],[Data da Competência]]))</f>
        <v>9</v>
      </c>
      <c r="L18">
        <f>IF(TbRegistrosSaídas[[#This Row],[Data da Competência]]="",0,YEAR(TbRegistrosSaídas[[#This Row],[Data da Competência]]))</f>
        <v>2017</v>
      </c>
      <c r="M18" s="40">
        <f>IF(TbRegistrosSaídas[[#This Row],[Data do Caixa Previsto]]="",0,MONTH(TbRegistrosSaídas[[#This Row],[Data do Caixa Previsto]]))</f>
        <v>11</v>
      </c>
      <c r="N18" s="40">
        <f>IF(TbRegistrosSaídas[[#This Row],[Data do Caixa Previsto]]="",0,YEAR(TbRegistrosSaídas[[#This Row],[Data do Caixa Previsto]]))</f>
        <v>2017</v>
      </c>
      <c r="O1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" spans="2:15" x14ac:dyDescent="0.25">
      <c r="B19" s="15">
        <v>43015.898045269183</v>
      </c>
      <c r="C19" s="15">
        <v>43003</v>
      </c>
      <c r="D19" s="15">
        <v>43015.898045269183</v>
      </c>
      <c r="E19" t="s">
        <v>43</v>
      </c>
      <c r="F19" t="s">
        <v>44</v>
      </c>
      <c r="G19" s="13" t="s">
        <v>304</v>
      </c>
      <c r="H19" s="16">
        <v>2784</v>
      </c>
      <c r="I19">
        <f>IF(TbRegistrosSaídas[[#This Row],[Data do Caixa Realizado]]="",0,MONTH(TbRegistrosSaídas[[#This Row],[Data do Caixa Realizado]]))</f>
        <v>10</v>
      </c>
      <c r="J19">
        <f>IF(TbRegistrosSaídas[[#This Row],[Data do Caixa Realizado]]="",0,YEAR(TbRegistrosSaídas[[#This Row],[Data do Caixa Realizado]]))</f>
        <v>2017</v>
      </c>
      <c r="K19">
        <f>IF(TbRegistrosSaídas[[#This Row],[Data da Competência]]="",0,MONTH(TbRegistrosSaídas[[#This Row],[Data da Competência]]))</f>
        <v>9</v>
      </c>
      <c r="L19">
        <f>IF(TbRegistrosSaídas[[#This Row],[Data da Competência]]="",0,YEAR(TbRegistrosSaídas[[#This Row],[Data da Competência]]))</f>
        <v>2017</v>
      </c>
      <c r="M19" s="40">
        <f>IF(TbRegistrosSaídas[[#This Row],[Data do Caixa Previsto]]="",0,MONTH(TbRegistrosSaídas[[#This Row],[Data do Caixa Previsto]]))</f>
        <v>10</v>
      </c>
      <c r="N19" s="40">
        <f>IF(TbRegistrosSaídas[[#This Row],[Data do Caixa Previsto]]="",0,YEAR(TbRegistrosSaídas[[#This Row],[Data do Caixa Previsto]]))</f>
        <v>2017</v>
      </c>
      <c r="O1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" spans="2:15" x14ac:dyDescent="0.25">
      <c r="B20" s="15">
        <v>43010.944524159138</v>
      </c>
      <c r="C20" s="15">
        <v>43003</v>
      </c>
      <c r="D20" s="15">
        <v>43010.944524159138</v>
      </c>
      <c r="E20" t="s">
        <v>43</v>
      </c>
      <c r="F20" t="s">
        <v>31</v>
      </c>
      <c r="G20" s="13" t="s">
        <v>305</v>
      </c>
      <c r="H20" s="16">
        <v>707</v>
      </c>
      <c r="I20">
        <f>IF(TbRegistrosSaídas[[#This Row],[Data do Caixa Realizado]]="",0,MONTH(TbRegistrosSaídas[[#This Row],[Data do Caixa Realizado]]))</f>
        <v>10</v>
      </c>
      <c r="J20">
        <f>IF(TbRegistrosSaídas[[#This Row],[Data do Caixa Realizado]]="",0,YEAR(TbRegistrosSaídas[[#This Row],[Data do Caixa Realizado]]))</f>
        <v>2017</v>
      </c>
      <c r="K20">
        <f>IF(TbRegistrosSaídas[[#This Row],[Data da Competência]]="",0,MONTH(TbRegistrosSaídas[[#This Row],[Data da Competência]]))</f>
        <v>9</v>
      </c>
      <c r="L20">
        <f>IF(TbRegistrosSaídas[[#This Row],[Data da Competência]]="",0,YEAR(TbRegistrosSaídas[[#This Row],[Data da Competência]]))</f>
        <v>2017</v>
      </c>
      <c r="M20" s="40">
        <f>IF(TbRegistrosSaídas[[#This Row],[Data do Caixa Previsto]]="",0,MONTH(TbRegistrosSaídas[[#This Row],[Data do Caixa Previsto]]))</f>
        <v>10</v>
      </c>
      <c r="N20" s="40">
        <f>IF(TbRegistrosSaídas[[#This Row],[Data do Caixa Previsto]]="",0,YEAR(TbRegistrosSaídas[[#This Row],[Data do Caixa Previsto]]))</f>
        <v>2017</v>
      </c>
      <c r="O2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" spans="2:15" x14ac:dyDescent="0.25">
      <c r="B21" s="15">
        <v>43118.867552272008</v>
      </c>
      <c r="C21" s="15">
        <v>43006</v>
      </c>
      <c r="D21" s="15">
        <v>43042.600768911587</v>
      </c>
      <c r="E21" t="s">
        <v>43</v>
      </c>
      <c r="F21" t="s">
        <v>31</v>
      </c>
      <c r="G21" s="13" t="s">
        <v>306</v>
      </c>
      <c r="H21" s="16">
        <v>229</v>
      </c>
      <c r="I21">
        <f>IF(TbRegistrosSaídas[[#This Row],[Data do Caixa Realizado]]="",0,MONTH(TbRegistrosSaídas[[#This Row],[Data do Caixa Realizado]]))</f>
        <v>1</v>
      </c>
      <c r="J21">
        <f>IF(TbRegistrosSaídas[[#This Row],[Data do Caixa Realizado]]="",0,YEAR(TbRegistrosSaídas[[#This Row],[Data do Caixa Realizado]]))</f>
        <v>2018</v>
      </c>
      <c r="K21">
        <f>IF(TbRegistrosSaídas[[#This Row],[Data da Competência]]="",0,MONTH(TbRegistrosSaídas[[#This Row],[Data da Competência]]))</f>
        <v>9</v>
      </c>
      <c r="L21">
        <f>IF(TbRegistrosSaídas[[#This Row],[Data da Competência]]="",0,YEAR(TbRegistrosSaídas[[#This Row],[Data da Competência]]))</f>
        <v>2017</v>
      </c>
      <c r="M21" s="40">
        <f>IF(TbRegistrosSaídas[[#This Row],[Data do Caixa Previsto]]="",0,MONTH(TbRegistrosSaídas[[#This Row],[Data do Caixa Previsto]]))</f>
        <v>11</v>
      </c>
      <c r="N21" s="40">
        <f>IF(TbRegistrosSaídas[[#This Row],[Data do Caixa Previsto]]="",0,YEAR(TbRegistrosSaídas[[#This Row],[Data do Caixa Previsto]]))</f>
        <v>2017</v>
      </c>
      <c r="O2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76.266783360420959</v>
      </c>
    </row>
    <row r="22" spans="2:15" x14ac:dyDescent="0.25">
      <c r="B22" s="15">
        <v>43059.310583292005</v>
      </c>
      <c r="C22" s="15">
        <v>43009</v>
      </c>
      <c r="D22" s="15">
        <v>43059.310583292005</v>
      </c>
      <c r="E22" t="s">
        <v>43</v>
      </c>
      <c r="F22" t="s">
        <v>44</v>
      </c>
      <c r="G22" s="13" t="s">
        <v>307</v>
      </c>
      <c r="H22" s="16">
        <v>2894</v>
      </c>
      <c r="I22">
        <f>IF(TbRegistrosSaídas[[#This Row],[Data do Caixa Realizado]]="",0,MONTH(TbRegistrosSaídas[[#This Row],[Data do Caixa Realizado]]))</f>
        <v>11</v>
      </c>
      <c r="J22">
        <f>IF(TbRegistrosSaídas[[#This Row],[Data do Caixa Realizado]]="",0,YEAR(TbRegistrosSaídas[[#This Row],[Data do Caixa Realizado]]))</f>
        <v>2017</v>
      </c>
      <c r="K22">
        <f>IF(TbRegistrosSaídas[[#This Row],[Data da Competência]]="",0,MONTH(TbRegistrosSaídas[[#This Row],[Data da Competência]]))</f>
        <v>10</v>
      </c>
      <c r="L22">
        <f>IF(TbRegistrosSaídas[[#This Row],[Data da Competência]]="",0,YEAR(TbRegistrosSaídas[[#This Row],[Data da Competência]]))</f>
        <v>2017</v>
      </c>
      <c r="M22" s="40">
        <f>IF(TbRegistrosSaídas[[#This Row],[Data do Caixa Previsto]]="",0,MONTH(TbRegistrosSaídas[[#This Row],[Data do Caixa Previsto]]))</f>
        <v>11</v>
      </c>
      <c r="N22" s="40">
        <f>IF(TbRegistrosSaídas[[#This Row],[Data do Caixa Previsto]]="",0,YEAR(TbRegistrosSaídas[[#This Row],[Data do Caixa Previsto]]))</f>
        <v>2017</v>
      </c>
      <c r="O2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3" spans="2:15" x14ac:dyDescent="0.25">
      <c r="B23" s="15" t="s">
        <v>69</v>
      </c>
      <c r="C23" s="15">
        <v>43012</v>
      </c>
      <c r="D23" s="15">
        <v>43030.293823546323</v>
      </c>
      <c r="E23" t="s">
        <v>43</v>
      </c>
      <c r="F23" t="s">
        <v>32</v>
      </c>
      <c r="G23" s="13" t="s">
        <v>308</v>
      </c>
      <c r="H23" s="16">
        <v>4516</v>
      </c>
      <c r="I23">
        <f>IF(TbRegistrosSaídas[[#This Row],[Data do Caixa Realizado]]="",0,MONTH(TbRegistrosSaídas[[#This Row],[Data do Caixa Realizado]]))</f>
        <v>0</v>
      </c>
      <c r="J23">
        <f>IF(TbRegistrosSaídas[[#This Row],[Data do Caixa Realizado]]="",0,YEAR(TbRegistrosSaídas[[#This Row],[Data do Caixa Realizado]]))</f>
        <v>0</v>
      </c>
      <c r="K23">
        <f>IF(TbRegistrosSaídas[[#This Row],[Data da Competência]]="",0,MONTH(TbRegistrosSaídas[[#This Row],[Data da Competência]]))</f>
        <v>10</v>
      </c>
      <c r="L23">
        <f>IF(TbRegistrosSaídas[[#This Row],[Data da Competência]]="",0,YEAR(TbRegistrosSaídas[[#This Row],[Data da Competência]]))</f>
        <v>2017</v>
      </c>
      <c r="M23" s="40">
        <f>IF(TbRegistrosSaídas[[#This Row],[Data do Caixa Previsto]]="",0,MONTH(TbRegistrosSaídas[[#This Row],[Data do Caixa Previsto]]))</f>
        <v>10</v>
      </c>
      <c r="N23" s="40">
        <f>IF(TbRegistrosSaídas[[#This Row],[Data do Caixa Previsto]]="",0,YEAR(TbRegistrosSaídas[[#This Row],[Data do Caixa Previsto]]))</f>
        <v>2017</v>
      </c>
      <c r="O2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2285.7061764536775</v>
      </c>
    </row>
    <row r="24" spans="2:15" x14ac:dyDescent="0.25">
      <c r="B24" s="15">
        <v>43031.057901657718</v>
      </c>
      <c r="C24" s="15">
        <v>43014</v>
      </c>
      <c r="D24" s="15">
        <v>43031.057901657718</v>
      </c>
      <c r="E24" t="s">
        <v>43</v>
      </c>
      <c r="F24" t="s">
        <v>32</v>
      </c>
      <c r="G24" s="13" t="s">
        <v>309</v>
      </c>
      <c r="H24" s="16">
        <v>885</v>
      </c>
      <c r="I24">
        <f>IF(TbRegistrosSaídas[[#This Row],[Data do Caixa Realizado]]="",0,MONTH(TbRegistrosSaídas[[#This Row],[Data do Caixa Realizado]]))</f>
        <v>10</v>
      </c>
      <c r="J24">
        <f>IF(TbRegistrosSaídas[[#This Row],[Data do Caixa Realizado]]="",0,YEAR(TbRegistrosSaídas[[#This Row],[Data do Caixa Realizado]]))</f>
        <v>2017</v>
      </c>
      <c r="K24">
        <f>IF(TbRegistrosSaídas[[#This Row],[Data da Competência]]="",0,MONTH(TbRegistrosSaídas[[#This Row],[Data da Competência]]))</f>
        <v>10</v>
      </c>
      <c r="L24">
        <f>IF(TbRegistrosSaídas[[#This Row],[Data da Competência]]="",0,YEAR(TbRegistrosSaídas[[#This Row],[Data da Competência]]))</f>
        <v>2017</v>
      </c>
      <c r="M24" s="40">
        <f>IF(TbRegistrosSaídas[[#This Row],[Data do Caixa Previsto]]="",0,MONTH(TbRegistrosSaídas[[#This Row],[Data do Caixa Previsto]]))</f>
        <v>10</v>
      </c>
      <c r="N24" s="40">
        <f>IF(TbRegistrosSaídas[[#This Row],[Data do Caixa Previsto]]="",0,YEAR(TbRegistrosSaídas[[#This Row],[Data do Caixa Previsto]]))</f>
        <v>2017</v>
      </c>
      <c r="O2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5" spans="2:15" x14ac:dyDescent="0.25">
      <c r="B25" s="15">
        <v>43051.580861965143</v>
      </c>
      <c r="C25" s="15">
        <v>43017</v>
      </c>
      <c r="D25" s="15">
        <v>43046.987199176881</v>
      </c>
      <c r="E25" t="s">
        <v>43</v>
      </c>
      <c r="F25" t="s">
        <v>30</v>
      </c>
      <c r="G25" s="13" t="s">
        <v>310</v>
      </c>
      <c r="H25" s="16">
        <v>1509</v>
      </c>
      <c r="I25">
        <f>IF(TbRegistrosSaídas[[#This Row],[Data do Caixa Realizado]]="",0,MONTH(TbRegistrosSaídas[[#This Row],[Data do Caixa Realizado]]))</f>
        <v>11</v>
      </c>
      <c r="J25">
        <f>IF(TbRegistrosSaídas[[#This Row],[Data do Caixa Realizado]]="",0,YEAR(TbRegistrosSaídas[[#This Row],[Data do Caixa Realizado]]))</f>
        <v>2017</v>
      </c>
      <c r="K25">
        <f>IF(TbRegistrosSaídas[[#This Row],[Data da Competência]]="",0,MONTH(TbRegistrosSaídas[[#This Row],[Data da Competência]]))</f>
        <v>10</v>
      </c>
      <c r="L25">
        <f>IF(TbRegistrosSaídas[[#This Row],[Data da Competência]]="",0,YEAR(TbRegistrosSaídas[[#This Row],[Data da Competência]]))</f>
        <v>2017</v>
      </c>
      <c r="M25" s="40">
        <f>IF(TbRegistrosSaídas[[#This Row],[Data do Caixa Previsto]]="",0,MONTH(TbRegistrosSaídas[[#This Row],[Data do Caixa Previsto]]))</f>
        <v>11</v>
      </c>
      <c r="N25" s="40">
        <f>IF(TbRegistrosSaídas[[#This Row],[Data do Caixa Previsto]]="",0,YEAR(TbRegistrosSaídas[[#This Row],[Data do Caixa Previsto]]))</f>
        <v>2017</v>
      </c>
      <c r="O2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4.5936627882620087</v>
      </c>
    </row>
    <row r="26" spans="2:15" x14ac:dyDescent="0.25">
      <c r="B26" s="15">
        <v>43134.239961092644</v>
      </c>
      <c r="C26" s="15">
        <v>43022</v>
      </c>
      <c r="D26" s="15">
        <v>43045.041972262814</v>
      </c>
      <c r="E26" t="s">
        <v>43</v>
      </c>
      <c r="F26" t="s">
        <v>44</v>
      </c>
      <c r="G26" s="13" t="s">
        <v>311</v>
      </c>
      <c r="H26" s="16">
        <v>145</v>
      </c>
      <c r="I26">
        <f>IF(TbRegistrosSaídas[[#This Row],[Data do Caixa Realizado]]="",0,MONTH(TbRegistrosSaídas[[#This Row],[Data do Caixa Realizado]]))</f>
        <v>2</v>
      </c>
      <c r="J26">
        <f>IF(TbRegistrosSaídas[[#This Row],[Data do Caixa Realizado]]="",0,YEAR(TbRegistrosSaídas[[#This Row],[Data do Caixa Realizado]]))</f>
        <v>2018</v>
      </c>
      <c r="K26">
        <f>IF(TbRegistrosSaídas[[#This Row],[Data da Competência]]="",0,MONTH(TbRegistrosSaídas[[#This Row],[Data da Competência]]))</f>
        <v>10</v>
      </c>
      <c r="L26">
        <f>IF(TbRegistrosSaídas[[#This Row],[Data da Competência]]="",0,YEAR(TbRegistrosSaídas[[#This Row],[Data da Competência]]))</f>
        <v>2017</v>
      </c>
      <c r="M26" s="40">
        <f>IF(TbRegistrosSaídas[[#This Row],[Data do Caixa Previsto]]="",0,MONTH(TbRegistrosSaídas[[#This Row],[Data do Caixa Previsto]]))</f>
        <v>11</v>
      </c>
      <c r="N26" s="40">
        <f>IF(TbRegistrosSaídas[[#This Row],[Data do Caixa Previsto]]="",0,YEAR(TbRegistrosSaídas[[#This Row],[Data do Caixa Previsto]]))</f>
        <v>2017</v>
      </c>
      <c r="O2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89.197988829830138</v>
      </c>
    </row>
    <row r="27" spans="2:15" x14ac:dyDescent="0.25">
      <c r="B27" s="15">
        <v>43051.301144712357</v>
      </c>
      <c r="C27" s="15">
        <v>43024</v>
      </c>
      <c r="D27" s="15">
        <v>43031.245493844843</v>
      </c>
      <c r="E27" t="s">
        <v>43</v>
      </c>
      <c r="F27" t="s">
        <v>44</v>
      </c>
      <c r="G27" s="13" t="s">
        <v>312</v>
      </c>
      <c r="H27" s="16">
        <v>1311</v>
      </c>
      <c r="I27">
        <f>IF(TbRegistrosSaídas[[#This Row],[Data do Caixa Realizado]]="",0,MONTH(TbRegistrosSaídas[[#This Row],[Data do Caixa Realizado]]))</f>
        <v>11</v>
      </c>
      <c r="J27">
        <f>IF(TbRegistrosSaídas[[#This Row],[Data do Caixa Realizado]]="",0,YEAR(TbRegistrosSaídas[[#This Row],[Data do Caixa Realizado]]))</f>
        <v>2017</v>
      </c>
      <c r="K27">
        <f>IF(TbRegistrosSaídas[[#This Row],[Data da Competência]]="",0,MONTH(TbRegistrosSaídas[[#This Row],[Data da Competência]]))</f>
        <v>10</v>
      </c>
      <c r="L27">
        <f>IF(TbRegistrosSaídas[[#This Row],[Data da Competência]]="",0,YEAR(TbRegistrosSaídas[[#This Row],[Data da Competência]]))</f>
        <v>2017</v>
      </c>
      <c r="M27" s="40">
        <f>IF(TbRegistrosSaídas[[#This Row],[Data do Caixa Previsto]]="",0,MONTH(TbRegistrosSaídas[[#This Row],[Data do Caixa Previsto]]))</f>
        <v>10</v>
      </c>
      <c r="N27" s="40">
        <f>IF(TbRegistrosSaídas[[#This Row],[Data do Caixa Previsto]]="",0,YEAR(TbRegistrosSaídas[[#This Row],[Data do Caixa Previsto]]))</f>
        <v>2017</v>
      </c>
      <c r="O2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20.055650867514487</v>
      </c>
    </row>
    <row r="28" spans="2:15" x14ac:dyDescent="0.25">
      <c r="B28" s="15">
        <v>43059.361635124777</v>
      </c>
      <c r="C28" s="15">
        <v>43026</v>
      </c>
      <c r="D28" s="15">
        <v>43059.361635124777</v>
      </c>
      <c r="E28" t="s">
        <v>43</v>
      </c>
      <c r="F28" t="s">
        <v>44</v>
      </c>
      <c r="G28" s="13" t="s">
        <v>313</v>
      </c>
      <c r="H28" s="16">
        <v>4182</v>
      </c>
      <c r="I28">
        <f>IF(TbRegistrosSaídas[[#This Row],[Data do Caixa Realizado]]="",0,MONTH(TbRegistrosSaídas[[#This Row],[Data do Caixa Realizado]]))</f>
        <v>11</v>
      </c>
      <c r="J28">
        <f>IF(TbRegistrosSaídas[[#This Row],[Data do Caixa Realizado]]="",0,YEAR(TbRegistrosSaídas[[#This Row],[Data do Caixa Realizado]]))</f>
        <v>2017</v>
      </c>
      <c r="K28">
        <f>IF(TbRegistrosSaídas[[#This Row],[Data da Competência]]="",0,MONTH(TbRegistrosSaídas[[#This Row],[Data da Competência]]))</f>
        <v>10</v>
      </c>
      <c r="L28">
        <f>IF(TbRegistrosSaídas[[#This Row],[Data da Competência]]="",0,YEAR(TbRegistrosSaídas[[#This Row],[Data da Competência]]))</f>
        <v>2017</v>
      </c>
      <c r="M28" s="40">
        <f>IF(TbRegistrosSaídas[[#This Row],[Data do Caixa Previsto]]="",0,MONTH(TbRegistrosSaídas[[#This Row],[Data do Caixa Previsto]]))</f>
        <v>11</v>
      </c>
      <c r="N28" s="40">
        <f>IF(TbRegistrosSaídas[[#This Row],[Data do Caixa Previsto]]="",0,YEAR(TbRegistrosSaídas[[#This Row],[Data do Caixa Previsto]]))</f>
        <v>2017</v>
      </c>
      <c r="O2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9" spans="2:15" x14ac:dyDescent="0.25">
      <c r="B29" s="15">
        <v>43037.396901300337</v>
      </c>
      <c r="C29" s="15">
        <v>43032</v>
      </c>
      <c r="D29" s="15">
        <v>43037.396901300337</v>
      </c>
      <c r="E29" t="s">
        <v>43</v>
      </c>
      <c r="F29" t="s">
        <v>31</v>
      </c>
      <c r="G29" s="13" t="s">
        <v>314</v>
      </c>
      <c r="H29" s="16">
        <v>339</v>
      </c>
      <c r="I29">
        <f>IF(TbRegistrosSaídas[[#This Row],[Data do Caixa Realizado]]="",0,MONTH(TbRegistrosSaídas[[#This Row],[Data do Caixa Realizado]]))</f>
        <v>10</v>
      </c>
      <c r="J29">
        <f>IF(TbRegistrosSaídas[[#This Row],[Data do Caixa Realizado]]="",0,YEAR(TbRegistrosSaídas[[#This Row],[Data do Caixa Realizado]]))</f>
        <v>2017</v>
      </c>
      <c r="K29">
        <f>IF(TbRegistrosSaídas[[#This Row],[Data da Competência]]="",0,MONTH(TbRegistrosSaídas[[#This Row],[Data da Competência]]))</f>
        <v>10</v>
      </c>
      <c r="L29">
        <f>IF(TbRegistrosSaídas[[#This Row],[Data da Competência]]="",0,YEAR(TbRegistrosSaídas[[#This Row],[Data da Competência]]))</f>
        <v>2017</v>
      </c>
      <c r="M29" s="40">
        <f>IF(TbRegistrosSaídas[[#This Row],[Data do Caixa Previsto]]="",0,MONTH(TbRegistrosSaídas[[#This Row],[Data do Caixa Previsto]]))</f>
        <v>10</v>
      </c>
      <c r="N29" s="40">
        <f>IF(TbRegistrosSaídas[[#This Row],[Data do Caixa Previsto]]="",0,YEAR(TbRegistrosSaídas[[#This Row],[Data do Caixa Previsto]]))</f>
        <v>2017</v>
      </c>
      <c r="O2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0" spans="2:15" x14ac:dyDescent="0.25">
      <c r="B30" s="15">
        <v>43130.980668733508</v>
      </c>
      <c r="C30" s="15">
        <v>43037</v>
      </c>
      <c r="D30" s="15">
        <v>43068.17516674153</v>
      </c>
      <c r="E30" t="s">
        <v>43</v>
      </c>
      <c r="F30" t="s">
        <v>30</v>
      </c>
      <c r="G30" s="13" t="s">
        <v>315</v>
      </c>
      <c r="H30" s="16">
        <v>1788</v>
      </c>
      <c r="I30">
        <f>IF(TbRegistrosSaídas[[#This Row],[Data do Caixa Realizado]]="",0,MONTH(TbRegistrosSaídas[[#This Row],[Data do Caixa Realizado]]))</f>
        <v>1</v>
      </c>
      <c r="J30">
        <f>IF(TbRegistrosSaídas[[#This Row],[Data do Caixa Realizado]]="",0,YEAR(TbRegistrosSaídas[[#This Row],[Data do Caixa Realizado]]))</f>
        <v>2018</v>
      </c>
      <c r="K30">
        <f>IF(TbRegistrosSaídas[[#This Row],[Data da Competência]]="",0,MONTH(TbRegistrosSaídas[[#This Row],[Data da Competência]]))</f>
        <v>10</v>
      </c>
      <c r="L30">
        <f>IF(TbRegistrosSaídas[[#This Row],[Data da Competência]]="",0,YEAR(TbRegistrosSaídas[[#This Row],[Data da Competência]]))</f>
        <v>2017</v>
      </c>
      <c r="M30" s="40">
        <f>IF(TbRegistrosSaídas[[#This Row],[Data do Caixa Previsto]]="",0,MONTH(TbRegistrosSaídas[[#This Row],[Data do Caixa Previsto]]))</f>
        <v>11</v>
      </c>
      <c r="N30" s="40">
        <f>IF(TbRegistrosSaídas[[#This Row],[Data do Caixa Previsto]]="",0,YEAR(TbRegistrosSaídas[[#This Row],[Data do Caixa Previsto]]))</f>
        <v>2017</v>
      </c>
      <c r="O3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62.805501991977508</v>
      </c>
    </row>
    <row r="31" spans="2:15" x14ac:dyDescent="0.25">
      <c r="B31" s="15">
        <v>43089.045976990965</v>
      </c>
      <c r="C31" s="15">
        <v>43042</v>
      </c>
      <c r="D31" s="15">
        <v>43089.045976990965</v>
      </c>
      <c r="E31" t="s">
        <v>43</v>
      </c>
      <c r="F31" t="s">
        <v>32</v>
      </c>
      <c r="G31" s="13" t="s">
        <v>316</v>
      </c>
      <c r="H31" s="16">
        <v>1171</v>
      </c>
      <c r="I31">
        <f>IF(TbRegistrosSaídas[[#This Row],[Data do Caixa Realizado]]="",0,MONTH(TbRegistrosSaídas[[#This Row],[Data do Caixa Realizado]]))</f>
        <v>12</v>
      </c>
      <c r="J31">
        <f>IF(TbRegistrosSaídas[[#This Row],[Data do Caixa Realizado]]="",0,YEAR(TbRegistrosSaídas[[#This Row],[Data do Caixa Realizado]]))</f>
        <v>2017</v>
      </c>
      <c r="K31">
        <f>IF(TbRegistrosSaídas[[#This Row],[Data da Competência]]="",0,MONTH(TbRegistrosSaídas[[#This Row],[Data da Competência]]))</f>
        <v>11</v>
      </c>
      <c r="L31">
        <f>IF(TbRegistrosSaídas[[#This Row],[Data da Competência]]="",0,YEAR(TbRegistrosSaídas[[#This Row],[Data da Competência]]))</f>
        <v>2017</v>
      </c>
      <c r="M31" s="40">
        <f>IF(TbRegistrosSaídas[[#This Row],[Data do Caixa Previsto]]="",0,MONTH(TbRegistrosSaídas[[#This Row],[Data do Caixa Previsto]]))</f>
        <v>12</v>
      </c>
      <c r="N31" s="40">
        <f>IF(TbRegistrosSaídas[[#This Row],[Data do Caixa Previsto]]="",0,YEAR(TbRegistrosSaídas[[#This Row],[Data do Caixa Previsto]]))</f>
        <v>2017</v>
      </c>
      <c r="O3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2" spans="2:15" x14ac:dyDescent="0.25">
      <c r="B32" s="15">
        <v>43053.799831016353</v>
      </c>
      <c r="C32" s="15">
        <v>43044</v>
      </c>
      <c r="D32" s="15">
        <v>43053.799831016353</v>
      </c>
      <c r="E32" t="s">
        <v>43</v>
      </c>
      <c r="F32" t="s">
        <v>44</v>
      </c>
      <c r="G32" s="13" t="s">
        <v>317</v>
      </c>
      <c r="H32" s="16">
        <v>4059</v>
      </c>
      <c r="I32">
        <f>IF(TbRegistrosSaídas[[#This Row],[Data do Caixa Realizado]]="",0,MONTH(TbRegistrosSaídas[[#This Row],[Data do Caixa Realizado]]))</f>
        <v>11</v>
      </c>
      <c r="J32">
        <f>IF(TbRegistrosSaídas[[#This Row],[Data do Caixa Realizado]]="",0,YEAR(TbRegistrosSaídas[[#This Row],[Data do Caixa Realizado]]))</f>
        <v>2017</v>
      </c>
      <c r="K32">
        <f>IF(TbRegistrosSaídas[[#This Row],[Data da Competência]]="",0,MONTH(TbRegistrosSaídas[[#This Row],[Data da Competência]]))</f>
        <v>11</v>
      </c>
      <c r="L32">
        <f>IF(TbRegistrosSaídas[[#This Row],[Data da Competência]]="",0,YEAR(TbRegistrosSaídas[[#This Row],[Data da Competência]]))</f>
        <v>2017</v>
      </c>
      <c r="M32" s="40">
        <f>IF(TbRegistrosSaídas[[#This Row],[Data do Caixa Previsto]]="",0,MONTH(TbRegistrosSaídas[[#This Row],[Data do Caixa Previsto]]))</f>
        <v>11</v>
      </c>
      <c r="N32" s="40">
        <f>IF(TbRegistrosSaídas[[#This Row],[Data do Caixa Previsto]]="",0,YEAR(TbRegistrosSaídas[[#This Row],[Data do Caixa Previsto]]))</f>
        <v>2017</v>
      </c>
      <c r="O3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3" spans="2:15" x14ac:dyDescent="0.25">
      <c r="B33" s="15">
        <v>43080.068251063065</v>
      </c>
      <c r="C33" s="15">
        <v>43047</v>
      </c>
      <c r="D33" s="15">
        <v>43080.068251063065</v>
      </c>
      <c r="E33" t="s">
        <v>43</v>
      </c>
      <c r="F33" t="s">
        <v>34</v>
      </c>
      <c r="G33" s="13" t="s">
        <v>318</v>
      </c>
      <c r="H33" s="16">
        <v>4919</v>
      </c>
      <c r="I33">
        <f>IF(TbRegistrosSaídas[[#This Row],[Data do Caixa Realizado]]="",0,MONTH(TbRegistrosSaídas[[#This Row],[Data do Caixa Realizado]]))</f>
        <v>12</v>
      </c>
      <c r="J33">
        <f>IF(TbRegistrosSaídas[[#This Row],[Data do Caixa Realizado]]="",0,YEAR(TbRegistrosSaídas[[#This Row],[Data do Caixa Realizado]]))</f>
        <v>2017</v>
      </c>
      <c r="K33">
        <f>IF(TbRegistrosSaídas[[#This Row],[Data da Competência]]="",0,MONTH(TbRegistrosSaídas[[#This Row],[Data da Competência]]))</f>
        <v>11</v>
      </c>
      <c r="L33">
        <f>IF(TbRegistrosSaídas[[#This Row],[Data da Competência]]="",0,YEAR(TbRegistrosSaídas[[#This Row],[Data da Competência]]))</f>
        <v>2017</v>
      </c>
      <c r="M33" s="40">
        <f>IF(TbRegistrosSaídas[[#This Row],[Data do Caixa Previsto]]="",0,MONTH(TbRegistrosSaídas[[#This Row],[Data do Caixa Previsto]]))</f>
        <v>12</v>
      </c>
      <c r="N33" s="40">
        <f>IF(TbRegistrosSaídas[[#This Row],[Data do Caixa Previsto]]="",0,YEAR(TbRegistrosSaídas[[#This Row],[Data do Caixa Previsto]]))</f>
        <v>2017</v>
      </c>
      <c r="O3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4" spans="2:15" x14ac:dyDescent="0.25">
      <c r="B34" s="15">
        <v>43097.450419750799</v>
      </c>
      <c r="C34" s="15">
        <v>43051</v>
      </c>
      <c r="D34" s="15">
        <v>43087.512329668702</v>
      </c>
      <c r="E34" t="s">
        <v>43</v>
      </c>
      <c r="F34" t="s">
        <v>44</v>
      </c>
      <c r="G34" s="13" t="s">
        <v>319</v>
      </c>
      <c r="H34" s="16">
        <v>3224</v>
      </c>
      <c r="I34">
        <f>IF(TbRegistrosSaídas[[#This Row],[Data do Caixa Realizado]]="",0,MONTH(TbRegistrosSaídas[[#This Row],[Data do Caixa Realizado]]))</f>
        <v>12</v>
      </c>
      <c r="J34">
        <f>IF(TbRegistrosSaídas[[#This Row],[Data do Caixa Realizado]]="",0,YEAR(TbRegistrosSaídas[[#This Row],[Data do Caixa Realizado]]))</f>
        <v>2017</v>
      </c>
      <c r="K34">
        <f>IF(TbRegistrosSaídas[[#This Row],[Data da Competência]]="",0,MONTH(TbRegistrosSaídas[[#This Row],[Data da Competência]]))</f>
        <v>11</v>
      </c>
      <c r="L34">
        <f>IF(TbRegistrosSaídas[[#This Row],[Data da Competência]]="",0,YEAR(TbRegistrosSaídas[[#This Row],[Data da Competência]]))</f>
        <v>2017</v>
      </c>
      <c r="M34" s="40">
        <f>IF(TbRegistrosSaídas[[#This Row],[Data do Caixa Previsto]]="",0,MONTH(TbRegistrosSaídas[[#This Row],[Data do Caixa Previsto]]))</f>
        <v>12</v>
      </c>
      <c r="N34" s="40">
        <f>IF(TbRegistrosSaídas[[#This Row],[Data do Caixa Previsto]]="",0,YEAR(TbRegistrosSaídas[[#This Row],[Data do Caixa Previsto]]))</f>
        <v>2017</v>
      </c>
      <c r="O3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9.938090082097915</v>
      </c>
    </row>
    <row r="35" spans="2:15" x14ac:dyDescent="0.25">
      <c r="B35" s="15">
        <v>43095.145797073659</v>
      </c>
      <c r="C35" s="15">
        <v>43054</v>
      </c>
      <c r="D35" s="15">
        <v>43095.145797073659</v>
      </c>
      <c r="E35" t="s">
        <v>43</v>
      </c>
      <c r="F35" t="s">
        <v>32</v>
      </c>
      <c r="G35" s="13" t="s">
        <v>320</v>
      </c>
      <c r="H35" s="16">
        <v>3725</v>
      </c>
      <c r="I35">
        <f>IF(TbRegistrosSaídas[[#This Row],[Data do Caixa Realizado]]="",0,MONTH(TbRegistrosSaídas[[#This Row],[Data do Caixa Realizado]]))</f>
        <v>12</v>
      </c>
      <c r="J35">
        <f>IF(TbRegistrosSaídas[[#This Row],[Data do Caixa Realizado]]="",0,YEAR(TbRegistrosSaídas[[#This Row],[Data do Caixa Realizado]]))</f>
        <v>2017</v>
      </c>
      <c r="K35">
        <f>IF(TbRegistrosSaídas[[#This Row],[Data da Competência]]="",0,MONTH(TbRegistrosSaídas[[#This Row],[Data da Competência]]))</f>
        <v>11</v>
      </c>
      <c r="L35">
        <f>IF(TbRegistrosSaídas[[#This Row],[Data da Competência]]="",0,YEAR(TbRegistrosSaídas[[#This Row],[Data da Competência]]))</f>
        <v>2017</v>
      </c>
      <c r="M35" s="40">
        <f>IF(TbRegistrosSaídas[[#This Row],[Data do Caixa Previsto]]="",0,MONTH(TbRegistrosSaídas[[#This Row],[Data do Caixa Previsto]]))</f>
        <v>12</v>
      </c>
      <c r="N35" s="40">
        <f>IF(TbRegistrosSaídas[[#This Row],[Data do Caixa Previsto]]="",0,YEAR(TbRegistrosSaídas[[#This Row],[Data do Caixa Previsto]]))</f>
        <v>2017</v>
      </c>
      <c r="O3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6" spans="2:15" x14ac:dyDescent="0.25">
      <c r="B36" s="15">
        <v>43085.287677276574</v>
      </c>
      <c r="C36" s="15">
        <v>43056</v>
      </c>
      <c r="D36" s="15">
        <v>43085.287677276574</v>
      </c>
      <c r="E36" t="s">
        <v>43</v>
      </c>
      <c r="F36" t="s">
        <v>32</v>
      </c>
      <c r="G36" s="13" t="s">
        <v>321</v>
      </c>
      <c r="H36" s="16">
        <v>312</v>
      </c>
      <c r="I36">
        <f>IF(TbRegistrosSaídas[[#This Row],[Data do Caixa Realizado]]="",0,MONTH(TbRegistrosSaídas[[#This Row],[Data do Caixa Realizado]]))</f>
        <v>12</v>
      </c>
      <c r="J36">
        <f>IF(TbRegistrosSaídas[[#This Row],[Data do Caixa Realizado]]="",0,YEAR(TbRegistrosSaídas[[#This Row],[Data do Caixa Realizado]]))</f>
        <v>2017</v>
      </c>
      <c r="K36">
        <f>IF(TbRegistrosSaídas[[#This Row],[Data da Competência]]="",0,MONTH(TbRegistrosSaídas[[#This Row],[Data da Competência]]))</f>
        <v>11</v>
      </c>
      <c r="L36">
        <f>IF(TbRegistrosSaídas[[#This Row],[Data da Competência]]="",0,YEAR(TbRegistrosSaídas[[#This Row],[Data da Competência]]))</f>
        <v>2017</v>
      </c>
      <c r="M36" s="40">
        <f>IF(TbRegistrosSaídas[[#This Row],[Data do Caixa Previsto]]="",0,MONTH(TbRegistrosSaídas[[#This Row],[Data do Caixa Previsto]]))</f>
        <v>12</v>
      </c>
      <c r="N36" s="40">
        <f>IF(TbRegistrosSaídas[[#This Row],[Data do Caixa Previsto]]="",0,YEAR(TbRegistrosSaídas[[#This Row],[Data do Caixa Previsto]]))</f>
        <v>2017</v>
      </c>
      <c r="O3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7" spans="2:15" x14ac:dyDescent="0.25">
      <c r="B37" s="15">
        <v>43112.669025156058</v>
      </c>
      <c r="C37" s="15">
        <v>43057</v>
      </c>
      <c r="D37" s="15">
        <v>43112.669025156058</v>
      </c>
      <c r="E37" t="s">
        <v>43</v>
      </c>
      <c r="F37" t="s">
        <v>44</v>
      </c>
      <c r="G37" s="13" t="s">
        <v>322</v>
      </c>
      <c r="H37" s="16">
        <v>4773</v>
      </c>
      <c r="I37">
        <f>IF(TbRegistrosSaídas[[#This Row],[Data do Caixa Realizado]]="",0,MONTH(TbRegistrosSaídas[[#This Row],[Data do Caixa Realizado]]))</f>
        <v>1</v>
      </c>
      <c r="J37">
        <f>IF(TbRegistrosSaídas[[#This Row],[Data do Caixa Realizado]]="",0,YEAR(TbRegistrosSaídas[[#This Row],[Data do Caixa Realizado]]))</f>
        <v>2018</v>
      </c>
      <c r="K37">
        <f>IF(TbRegistrosSaídas[[#This Row],[Data da Competência]]="",0,MONTH(TbRegistrosSaídas[[#This Row],[Data da Competência]]))</f>
        <v>11</v>
      </c>
      <c r="L37">
        <f>IF(TbRegistrosSaídas[[#This Row],[Data da Competência]]="",0,YEAR(TbRegistrosSaídas[[#This Row],[Data da Competência]]))</f>
        <v>2017</v>
      </c>
      <c r="M37" s="40">
        <f>IF(TbRegistrosSaídas[[#This Row],[Data do Caixa Previsto]]="",0,MONTH(TbRegistrosSaídas[[#This Row],[Data do Caixa Previsto]]))</f>
        <v>1</v>
      </c>
      <c r="N37" s="40">
        <f>IF(TbRegistrosSaídas[[#This Row],[Data do Caixa Previsto]]="",0,YEAR(TbRegistrosSaídas[[#This Row],[Data do Caixa Previsto]]))</f>
        <v>2018</v>
      </c>
      <c r="O3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8" spans="2:15" x14ac:dyDescent="0.25">
      <c r="B38" s="15">
        <v>43076.636591836308</v>
      </c>
      <c r="C38" s="15">
        <v>43058</v>
      </c>
      <c r="D38" s="15">
        <v>43076.636591836308</v>
      </c>
      <c r="E38" t="s">
        <v>43</v>
      </c>
      <c r="F38" t="s">
        <v>34</v>
      </c>
      <c r="G38" s="13" t="s">
        <v>323</v>
      </c>
      <c r="H38" s="16">
        <v>228</v>
      </c>
      <c r="I38">
        <f>IF(TbRegistrosSaídas[[#This Row],[Data do Caixa Realizado]]="",0,MONTH(TbRegistrosSaídas[[#This Row],[Data do Caixa Realizado]]))</f>
        <v>12</v>
      </c>
      <c r="J38">
        <f>IF(TbRegistrosSaídas[[#This Row],[Data do Caixa Realizado]]="",0,YEAR(TbRegistrosSaídas[[#This Row],[Data do Caixa Realizado]]))</f>
        <v>2017</v>
      </c>
      <c r="K38">
        <f>IF(TbRegistrosSaídas[[#This Row],[Data da Competência]]="",0,MONTH(TbRegistrosSaídas[[#This Row],[Data da Competência]]))</f>
        <v>11</v>
      </c>
      <c r="L38">
        <f>IF(TbRegistrosSaídas[[#This Row],[Data da Competência]]="",0,YEAR(TbRegistrosSaídas[[#This Row],[Data da Competência]]))</f>
        <v>2017</v>
      </c>
      <c r="M38" s="40">
        <f>IF(TbRegistrosSaídas[[#This Row],[Data do Caixa Previsto]]="",0,MONTH(TbRegistrosSaídas[[#This Row],[Data do Caixa Previsto]]))</f>
        <v>12</v>
      </c>
      <c r="N38" s="40">
        <f>IF(TbRegistrosSaídas[[#This Row],[Data do Caixa Previsto]]="",0,YEAR(TbRegistrosSaídas[[#This Row],[Data do Caixa Previsto]]))</f>
        <v>2017</v>
      </c>
      <c r="O3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39" spans="2:15" x14ac:dyDescent="0.25">
      <c r="B39" s="15">
        <v>43097.776800296095</v>
      </c>
      <c r="C39" s="15">
        <v>43061</v>
      </c>
      <c r="D39" s="15">
        <v>43097.776800296095</v>
      </c>
      <c r="E39" t="s">
        <v>43</v>
      </c>
      <c r="F39" t="s">
        <v>44</v>
      </c>
      <c r="G39" s="13" t="s">
        <v>324</v>
      </c>
      <c r="H39" s="16">
        <v>450</v>
      </c>
      <c r="I39">
        <f>IF(TbRegistrosSaídas[[#This Row],[Data do Caixa Realizado]]="",0,MONTH(TbRegistrosSaídas[[#This Row],[Data do Caixa Realizado]]))</f>
        <v>12</v>
      </c>
      <c r="J39">
        <f>IF(TbRegistrosSaídas[[#This Row],[Data do Caixa Realizado]]="",0,YEAR(TbRegistrosSaídas[[#This Row],[Data do Caixa Realizado]]))</f>
        <v>2017</v>
      </c>
      <c r="K39">
        <f>IF(TbRegistrosSaídas[[#This Row],[Data da Competência]]="",0,MONTH(TbRegistrosSaídas[[#This Row],[Data da Competência]]))</f>
        <v>11</v>
      </c>
      <c r="L39">
        <f>IF(TbRegistrosSaídas[[#This Row],[Data da Competência]]="",0,YEAR(TbRegistrosSaídas[[#This Row],[Data da Competência]]))</f>
        <v>2017</v>
      </c>
      <c r="M39" s="40">
        <f>IF(TbRegistrosSaídas[[#This Row],[Data do Caixa Previsto]]="",0,MONTH(TbRegistrosSaídas[[#This Row],[Data do Caixa Previsto]]))</f>
        <v>12</v>
      </c>
      <c r="N39" s="40">
        <f>IF(TbRegistrosSaídas[[#This Row],[Data do Caixa Previsto]]="",0,YEAR(TbRegistrosSaídas[[#This Row],[Data do Caixa Previsto]]))</f>
        <v>2017</v>
      </c>
      <c r="O3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0" spans="2:15" x14ac:dyDescent="0.25">
      <c r="B40" s="15" t="s">
        <v>69</v>
      </c>
      <c r="C40" s="15">
        <v>43062</v>
      </c>
      <c r="D40" s="15">
        <v>43103.4086174822</v>
      </c>
      <c r="E40" t="s">
        <v>43</v>
      </c>
      <c r="F40" t="s">
        <v>44</v>
      </c>
      <c r="G40" s="13" t="s">
        <v>325</v>
      </c>
      <c r="H40" s="16">
        <v>1155</v>
      </c>
      <c r="I40">
        <f>IF(TbRegistrosSaídas[[#This Row],[Data do Caixa Realizado]]="",0,MONTH(TbRegistrosSaídas[[#This Row],[Data do Caixa Realizado]]))</f>
        <v>0</v>
      </c>
      <c r="J40">
        <f>IF(TbRegistrosSaídas[[#This Row],[Data do Caixa Realizado]]="",0,YEAR(TbRegistrosSaídas[[#This Row],[Data do Caixa Realizado]]))</f>
        <v>0</v>
      </c>
      <c r="K40">
        <f>IF(TbRegistrosSaídas[[#This Row],[Data da Competência]]="",0,MONTH(TbRegistrosSaídas[[#This Row],[Data da Competência]]))</f>
        <v>11</v>
      </c>
      <c r="L40">
        <f>IF(TbRegistrosSaídas[[#This Row],[Data da Competência]]="",0,YEAR(TbRegistrosSaídas[[#This Row],[Data da Competência]]))</f>
        <v>2017</v>
      </c>
      <c r="M40" s="40">
        <f>IF(TbRegistrosSaídas[[#This Row],[Data do Caixa Previsto]]="",0,MONTH(TbRegistrosSaídas[[#This Row],[Data do Caixa Previsto]]))</f>
        <v>1</v>
      </c>
      <c r="N40" s="40">
        <f>IF(TbRegistrosSaídas[[#This Row],[Data do Caixa Previsto]]="",0,YEAR(TbRegistrosSaídas[[#This Row],[Data do Caixa Previsto]]))</f>
        <v>2018</v>
      </c>
      <c r="O4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2212.5913825177995</v>
      </c>
    </row>
    <row r="41" spans="2:15" x14ac:dyDescent="0.25">
      <c r="B41" s="15" t="s">
        <v>69</v>
      </c>
      <c r="C41" s="15">
        <v>43069</v>
      </c>
      <c r="D41" s="15">
        <v>43070.024697534791</v>
      </c>
      <c r="E41" t="s">
        <v>43</v>
      </c>
      <c r="F41" t="s">
        <v>44</v>
      </c>
      <c r="G41" s="13" t="s">
        <v>294</v>
      </c>
      <c r="H41" s="16">
        <v>1967</v>
      </c>
      <c r="I41">
        <f>IF(TbRegistrosSaídas[[#This Row],[Data do Caixa Realizado]]="",0,MONTH(TbRegistrosSaídas[[#This Row],[Data do Caixa Realizado]]))</f>
        <v>0</v>
      </c>
      <c r="J41">
        <f>IF(TbRegistrosSaídas[[#This Row],[Data do Caixa Realizado]]="",0,YEAR(TbRegistrosSaídas[[#This Row],[Data do Caixa Realizado]]))</f>
        <v>0</v>
      </c>
      <c r="K41">
        <f>IF(TbRegistrosSaídas[[#This Row],[Data da Competência]]="",0,MONTH(TbRegistrosSaídas[[#This Row],[Data da Competência]]))</f>
        <v>11</v>
      </c>
      <c r="L41">
        <f>IF(TbRegistrosSaídas[[#This Row],[Data da Competência]]="",0,YEAR(TbRegistrosSaídas[[#This Row],[Data da Competência]]))</f>
        <v>2017</v>
      </c>
      <c r="M41" s="40">
        <f>IF(TbRegistrosSaídas[[#This Row],[Data do Caixa Previsto]]="",0,MONTH(TbRegistrosSaídas[[#This Row],[Data do Caixa Previsto]]))</f>
        <v>12</v>
      </c>
      <c r="N41" s="40">
        <f>IF(TbRegistrosSaídas[[#This Row],[Data do Caixa Previsto]]="",0,YEAR(TbRegistrosSaídas[[#This Row],[Data do Caixa Previsto]]))</f>
        <v>2017</v>
      </c>
      <c r="O4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2245.9753024652091</v>
      </c>
    </row>
    <row r="42" spans="2:15" x14ac:dyDescent="0.25">
      <c r="B42" s="15">
        <v>43159.922520357031</v>
      </c>
      <c r="C42" s="15">
        <v>43070</v>
      </c>
      <c r="D42" s="15">
        <v>43096.096100611438</v>
      </c>
      <c r="E42" t="s">
        <v>43</v>
      </c>
      <c r="F42" t="s">
        <v>30</v>
      </c>
      <c r="G42" s="13" t="s">
        <v>326</v>
      </c>
      <c r="H42" s="16">
        <v>2741</v>
      </c>
      <c r="I42">
        <f>IF(TbRegistrosSaídas[[#This Row],[Data do Caixa Realizado]]="",0,MONTH(TbRegistrosSaídas[[#This Row],[Data do Caixa Realizado]]))</f>
        <v>2</v>
      </c>
      <c r="J42">
        <f>IF(TbRegistrosSaídas[[#This Row],[Data do Caixa Realizado]]="",0,YEAR(TbRegistrosSaídas[[#This Row],[Data do Caixa Realizado]]))</f>
        <v>2018</v>
      </c>
      <c r="K42">
        <f>IF(TbRegistrosSaídas[[#This Row],[Data da Competência]]="",0,MONTH(TbRegistrosSaídas[[#This Row],[Data da Competência]]))</f>
        <v>12</v>
      </c>
      <c r="L42">
        <f>IF(TbRegistrosSaídas[[#This Row],[Data da Competência]]="",0,YEAR(TbRegistrosSaídas[[#This Row],[Data da Competência]]))</f>
        <v>2017</v>
      </c>
      <c r="M42" s="40">
        <f>IF(TbRegistrosSaídas[[#This Row],[Data do Caixa Previsto]]="",0,MONTH(TbRegistrosSaídas[[#This Row],[Data do Caixa Previsto]]))</f>
        <v>12</v>
      </c>
      <c r="N42" s="40">
        <f>IF(TbRegistrosSaídas[[#This Row],[Data do Caixa Previsto]]="",0,YEAR(TbRegistrosSaídas[[#This Row],[Data do Caixa Previsto]]))</f>
        <v>2017</v>
      </c>
      <c r="O4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63.826419745593739</v>
      </c>
    </row>
    <row r="43" spans="2:15" x14ac:dyDescent="0.25">
      <c r="B43" s="15">
        <v>43125.34551811625</v>
      </c>
      <c r="C43" s="15">
        <v>43071</v>
      </c>
      <c r="D43" s="15">
        <v>43125.34551811625</v>
      </c>
      <c r="E43" t="s">
        <v>43</v>
      </c>
      <c r="F43" t="s">
        <v>31</v>
      </c>
      <c r="G43" s="13" t="s">
        <v>327</v>
      </c>
      <c r="H43" s="16">
        <v>1130</v>
      </c>
      <c r="I43">
        <f>IF(TbRegistrosSaídas[[#This Row],[Data do Caixa Realizado]]="",0,MONTH(TbRegistrosSaídas[[#This Row],[Data do Caixa Realizado]]))</f>
        <v>1</v>
      </c>
      <c r="J43">
        <f>IF(TbRegistrosSaídas[[#This Row],[Data do Caixa Realizado]]="",0,YEAR(TbRegistrosSaídas[[#This Row],[Data do Caixa Realizado]]))</f>
        <v>2018</v>
      </c>
      <c r="K43">
        <f>IF(TbRegistrosSaídas[[#This Row],[Data da Competência]]="",0,MONTH(TbRegistrosSaídas[[#This Row],[Data da Competência]]))</f>
        <v>12</v>
      </c>
      <c r="L43">
        <f>IF(TbRegistrosSaídas[[#This Row],[Data da Competência]]="",0,YEAR(TbRegistrosSaídas[[#This Row],[Data da Competência]]))</f>
        <v>2017</v>
      </c>
      <c r="M43" s="40">
        <f>IF(TbRegistrosSaídas[[#This Row],[Data do Caixa Previsto]]="",0,MONTH(TbRegistrosSaídas[[#This Row],[Data do Caixa Previsto]]))</f>
        <v>1</v>
      </c>
      <c r="N43" s="40">
        <f>IF(TbRegistrosSaídas[[#This Row],[Data do Caixa Previsto]]="",0,YEAR(TbRegistrosSaídas[[#This Row],[Data do Caixa Previsto]]))</f>
        <v>2018</v>
      </c>
      <c r="O4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4" spans="2:15" x14ac:dyDescent="0.25">
      <c r="B44" s="15">
        <v>43118.533892290689</v>
      </c>
      <c r="C44" s="15">
        <v>43075</v>
      </c>
      <c r="D44" s="15">
        <v>43118.533892290689</v>
      </c>
      <c r="E44" t="s">
        <v>43</v>
      </c>
      <c r="F44" t="s">
        <v>32</v>
      </c>
      <c r="G44" s="13" t="s">
        <v>328</v>
      </c>
      <c r="H44" s="16">
        <v>4835</v>
      </c>
      <c r="I44">
        <f>IF(TbRegistrosSaídas[[#This Row],[Data do Caixa Realizado]]="",0,MONTH(TbRegistrosSaídas[[#This Row],[Data do Caixa Realizado]]))</f>
        <v>1</v>
      </c>
      <c r="J44">
        <f>IF(TbRegistrosSaídas[[#This Row],[Data do Caixa Realizado]]="",0,YEAR(TbRegistrosSaídas[[#This Row],[Data do Caixa Realizado]]))</f>
        <v>2018</v>
      </c>
      <c r="K44">
        <f>IF(TbRegistrosSaídas[[#This Row],[Data da Competência]]="",0,MONTH(TbRegistrosSaídas[[#This Row],[Data da Competência]]))</f>
        <v>12</v>
      </c>
      <c r="L44">
        <f>IF(TbRegistrosSaídas[[#This Row],[Data da Competência]]="",0,YEAR(TbRegistrosSaídas[[#This Row],[Data da Competência]]))</f>
        <v>2017</v>
      </c>
      <c r="M44" s="40">
        <f>IF(TbRegistrosSaídas[[#This Row],[Data do Caixa Previsto]]="",0,MONTH(TbRegistrosSaídas[[#This Row],[Data do Caixa Previsto]]))</f>
        <v>1</v>
      </c>
      <c r="N44" s="40">
        <f>IF(TbRegistrosSaídas[[#This Row],[Data do Caixa Previsto]]="",0,YEAR(TbRegistrosSaídas[[#This Row],[Data do Caixa Previsto]]))</f>
        <v>2018</v>
      </c>
      <c r="O4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5" spans="2:15" x14ac:dyDescent="0.25">
      <c r="B45" s="15">
        <v>43129.076273391656</v>
      </c>
      <c r="C45" s="15">
        <v>43077</v>
      </c>
      <c r="D45" s="15">
        <v>43129.076273391656</v>
      </c>
      <c r="E45" t="s">
        <v>43</v>
      </c>
      <c r="F45" t="s">
        <v>30</v>
      </c>
      <c r="G45" s="13" t="s">
        <v>290</v>
      </c>
      <c r="H45" s="16">
        <v>1411</v>
      </c>
      <c r="I45">
        <f>IF(TbRegistrosSaídas[[#This Row],[Data do Caixa Realizado]]="",0,MONTH(TbRegistrosSaídas[[#This Row],[Data do Caixa Realizado]]))</f>
        <v>1</v>
      </c>
      <c r="J45">
        <f>IF(TbRegistrosSaídas[[#This Row],[Data do Caixa Realizado]]="",0,YEAR(TbRegistrosSaídas[[#This Row],[Data do Caixa Realizado]]))</f>
        <v>2018</v>
      </c>
      <c r="K45">
        <f>IF(TbRegistrosSaídas[[#This Row],[Data da Competência]]="",0,MONTH(TbRegistrosSaídas[[#This Row],[Data da Competência]]))</f>
        <v>12</v>
      </c>
      <c r="L45">
        <f>IF(TbRegistrosSaídas[[#This Row],[Data da Competência]]="",0,YEAR(TbRegistrosSaídas[[#This Row],[Data da Competência]]))</f>
        <v>2017</v>
      </c>
      <c r="M45" s="40">
        <f>IF(TbRegistrosSaídas[[#This Row],[Data do Caixa Previsto]]="",0,MONTH(TbRegistrosSaídas[[#This Row],[Data do Caixa Previsto]]))</f>
        <v>1</v>
      </c>
      <c r="N45" s="40">
        <f>IF(TbRegistrosSaídas[[#This Row],[Data do Caixa Previsto]]="",0,YEAR(TbRegistrosSaídas[[#This Row],[Data do Caixa Previsto]]))</f>
        <v>2018</v>
      </c>
      <c r="O4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6" spans="2:15" x14ac:dyDescent="0.25">
      <c r="B46" s="15">
        <v>43099.632017726879</v>
      </c>
      <c r="C46" s="15">
        <v>43079</v>
      </c>
      <c r="D46" s="15">
        <v>43099.632017726879</v>
      </c>
      <c r="E46" t="s">
        <v>43</v>
      </c>
      <c r="F46" t="s">
        <v>44</v>
      </c>
      <c r="G46" s="13" t="s">
        <v>329</v>
      </c>
      <c r="H46" s="16">
        <v>457</v>
      </c>
      <c r="I46">
        <f>IF(TbRegistrosSaídas[[#This Row],[Data do Caixa Realizado]]="",0,MONTH(TbRegistrosSaídas[[#This Row],[Data do Caixa Realizado]]))</f>
        <v>12</v>
      </c>
      <c r="J46">
        <f>IF(TbRegistrosSaídas[[#This Row],[Data do Caixa Realizado]]="",0,YEAR(TbRegistrosSaídas[[#This Row],[Data do Caixa Realizado]]))</f>
        <v>2017</v>
      </c>
      <c r="K46">
        <f>IF(TbRegistrosSaídas[[#This Row],[Data da Competência]]="",0,MONTH(TbRegistrosSaídas[[#This Row],[Data da Competência]]))</f>
        <v>12</v>
      </c>
      <c r="L46">
        <f>IF(TbRegistrosSaídas[[#This Row],[Data da Competência]]="",0,YEAR(TbRegistrosSaídas[[#This Row],[Data da Competência]]))</f>
        <v>2017</v>
      </c>
      <c r="M46" s="40">
        <f>IF(TbRegistrosSaídas[[#This Row],[Data do Caixa Previsto]]="",0,MONTH(TbRegistrosSaídas[[#This Row],[Data do Caixa Previsto]]))</f>
        <v>12</v>
      </c>
      <c r="N46" s="40">
        <f>IF(TbRegistrosSaídas[[#This Row],[Data do Caixa Previsto]]="",0,YEAR(TbRegistrosSaídas[[#This Row],[Data do Caixa Previsto]]))</f>
        <v>2017</v>
      </c>
      <c r="O4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7" spans="2:15" x14ac:dyDescent="0.25">
      <c r="B47" s="15">
        <v>43142.610706080763</v>
      </c>
      <c r="C47" s="15">
        <v>43084</v>
      </c>
      <c r="D47" s="15">
        <v>43142.610706080763</v>
      </c>
      <c r="E47" t="s">
        <v>43</v>
      </c>
      <c r="F47" t="s">
        <v>31</v>
      </c>
      <c r="G47" s="13" t="s">
        <v>330</v>
      </c>
      <c r="H47" s="16">
        <v>2623</v>
      </c>
      <c r="I47">
        <f>IF(TbRegistrosSaídas[[#This Row],[Data do Caixa Realizado]]="",0,MONTH(TbRegistrosSaídas[[#This Row],[Data do Caixa Realizado]]))</f>
        <v>2</v>
      </c>
      <c r="J47">
        <f>IF(TbRegistrosSaídas[[#This Row],[Data do Caixa Realizado]]="",0,YEAR(TbRegistrosSaídas[[#This Row],[Data do Caixa Realizado]]))</f>
        <v>2018</v>
      </c>
      <c r="K47">
        <f>IF(TbRegistrosSaídas[[#This Row],[Data da Competência]]="",0,MONTH(TbRegistrosSaídas[[#This Row],[Data da Competência]]))</f>
        <v>12</v>
      </c>
      <c r="L47">
        <f>IF(TbRegistrosSaídas[[#This Row],[Data da Competência]]="",0,YEAR(TbRegistrosSaídas[[#This Row],[Data da Competência]]))</f>
        <v>2017</v>
      </c>
      <c r="M47" s="40">
        <f>IF(TbRegistrosSaídas[[#This Row],[Data do Caixa Previsto]]="",0,MONTH(TbRegistrosSaídas[[#This Row],[Data do Caixa Previsto]]))</f>
        <v>2</v>
      </c>
      <c r="N47" s="40">
        <f>IF(TbRegistrosSaídas[[#This Row],[Data do Caixa Previsto]]="",0,YEAR(TbRegistrosSaídas[[#This Row],[Data do Caixa Previsto]]))</f>
        <v>2018</v>
      </c>
      <c r="O4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8" spans="2:15" x14ac:dyDescent="0.25">
      <c r="B48" s="15">
        <v>43098.200846805485</v>
      </c>
      <c r="C48" s="15">
        <v>43086</v>
      </c>
      <c r="D48" s="15">
        <v>43098.200846805485</v>
      </c>
      <c r="E48" t="s">
        <v>43</v>
      </c>
      <c r="F48" t="s">
        <v>30</v>
      </c>
      <c r="G48" s="13" t="s">
        <v>331</v>
      </c>
      <c r="H48" s="16">
        <v>3440</v>
      </c>
      <c r="I48">
        <f>IF(TbRegistrosSaídas[[#This Row],[Data do Caixa Realizado]]="",0,MONTH(TbRegistrosSaídas[[#This Row],[Data do Caixa Realizado]]))</f>
        <v>12</v>
      </c>
      <c r="J48">
        <f>IF(TbRegistrosSaídas[[#This Row],[Data do Caixa Realizado]]="",0,YEAR(TbRegistrosSaídas[[#This Row],[Data do Caixa Realizado]]))</f>
        <v>2017</v>
      </c>
      <c r="K48">
        <f>IF(TbRegistrosSaídas[[#This Row],[Data da Competência]]="",0,MONTH(TbRegistrosSaídas[[#This Row],[Data da Competência]]))</f>
        <v>12</v>
      </c>
      <c r="L48">
        <f>IF(TbRegistrosSaídas[[#This Row],[Data da Competência]]="",0,YEAR(TbRegistrosSaídas[[#This Row],[Data da Competência]]))</f>
        <v>2017</v>
      </c>
      <c r="M48" s="40">
        <f>IF(TbRegistrosSaídas[[#This Row],[Data do Caixa Previsto]]="",0,MONTH(TbRegistrosSaídas[[#This Row],[Data do Caixa Previsto]]))</f>
        <v>12</v>
      </c>
      <c r="N48" s="40">
        <f>IF(TbRegistrosSaídas[[#This Row],[Data do Caixa Previsto]]="",0,YEAR(TbRegistrosSaídas[[#This Row],[Data do Caixa Previsto]]))</f>
        <v>2017</v>
      </c>
      <c r="O4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49" spans="2:15" x14ac:dyDescent="0.25">
      <c r="B49" s="15">
        <v>43111.046742717648</v>
      </c>
      <c r="C49" s="15">
        <v>43089</v>
      </c>
      <c r="D49" s="15">
        <v>43111.046742717648</v>
      </c>
      <c r="E49" t="s">
        <v>43</v>
      </c>
      <c r="F49" t="s">
        <v>44</v>
      </c>
      <c r="G49" s="13" t="s">
        <v>332</v>
      </c>
      <c r="H49" s="16">
        <v>3993</v>
      </c>
      <c r="I49">
        <f>IF(TbRegistrosSaídas[[#This Row],[Data do Caixa Realizado]]="",0,MONTH(TbRegistrosSaídas[[#This Row],[Data do Caixa Realizado]]))</f>
        <v>1</v>
      </c>
      <c r="J49">
        <f>IF(TbRegistrosSaídas[[#This Row],[Data do Caixa Realizado]]="",0,YEAR(TbRegistrosSaídas[[#This Row],[Data do Caixa Realizado]]))</f>
        <v>2018</v>
      </c>
      <c r="K49">
        <f>IF(TbRegistrosSaídas[[#This Row],[Data da Competência]]="",0,MONTH(TbRegistrosSaídas[[#This Row],[Data da Competência]]))</f>
        <v>12</v>
      </c>
      <c r="L49">
        <f>IF(TbRegistrosSaídas[[#This Row],[Data da Competência]]="",0,YEAR(TbRegistrosSaídas[[#This Row],[Data da Competência]]))</f>
        <v>2017</v>
      </c>
      <c r="M49" s="40">
        <f>IF(TbRegistrosSaídas[[#This Row],[Data do Caixa Previsto]]="",0,MONTH(TbRegistrosSaídas[[#This Row],[Data do Caixa Previsto]]))</f>
        <v>1</v>
      </c>
      <c r="N49" s="40">
        <f>IF(TbRegistrosSaídas[[#This Row],[Data do Caixa Previsto]]="",0,YEAR(TbRegistrosSaídas[[#This Row],[Data do Caixa Previsto]]))</f>
        <v>2018</v>
      </c>
      <c r="O4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0" spans="2:15" x14ac:dyDescent="0.25">
      <c r="B50" s="15">
        <v>43148.048932403181</v>
      </c>
      <c r="C50" s="15">
        <v>43090</v>
      </c>
      <c r="D50" s="15">
        <v>43148.048932403181</v>
      </c>
      <c r="E50" t="s">
        <v>43</v>
      </c>
      <c r="F50" t="s">
        <v>44</v>
      </c>
      <c r="G50" s="13" t="s">
        <v>333</v>
      </c>
      <c r="H50" s="16">
        <v>3273</v>
      </c>
      <c r="I50">
        <f>IF(TbRegistrosSaídas[[#This Row],[Data do Caixa Realizado]]="",0,MONTH(TbRegistrosSaídas[[#This Row],[Data do Caixa Realizado]]))</f>
        <v>2</v>
      </c>
      <c r="J50">
        <f>IF(TbRegistrosSaídas[[#This Row],[Data do Caixa Realizado]]="",0,YEAR(TbRegistrosSaídas[[#This Row],[Data do Caixa Realizado]]))</f>
        <v>2018</v>
      </c>
      <c r="K50">
        <f>IF(TbRegistrosSaídas[[#This Row],[Data da Competência]]="",0,MONTH(TbRegistrosSaídas[[#This Row],[Data da Competência]]))</f>
        <v>12</v>
      </c>
      <c r="L50">
        <f>IF(TbRegistrosSaídas[[#This Row],[Data da Competência]]="",0,YEAR(TbRegistrosSaídas[[#This Row],[Data da Competência]]))</f>
        <v>2017</v>
      </c>
      <c r="M50" s="40">
        <f>IF(TbRegistrosSaídas[[#This Row],[Data do Caixa Previsto]]="",0,MONTH(TbRegistrosSaídas[[#This Row],[Data do Caixa Previsto]]))</f>
        <v>2</v>
      </c>
      <c r="N50" s="40">
        <f>IF(TbRegistrosSaídas[[#This Row],[Data do Caixa Previsto]]="",0,YEAR(TbRegistrosSaídas[[#This Row],[Data do Caixa Previsto]]))</f>
        <v>2018</v>
      </c>
      <c r="O5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1" spans="2:15" x14ac:dyDescent="0.25">
      <c r="B51" s="15">
        <v>43135.265910262075</v>
      </c>
      <c r="C51" s="15">
        <v>43094</v>
      </c>
      <c r="D51" s="15">
        <v>43135.265910262075</v>
      </c>
      <c r="E51" t="s">
        <v>43</v>
      </c>
      <c r="F51" t="s">
        <v>30</v>
      </c>
      <c r="G51" s="13" t="s">
        <v>334</v>
      </c>
      <c r="H51" s="16">
        <v>4494</v>
      </c>
      <c r="I51">
        <f>IF(TbRegistrosSaídas[[#This Row],[Data do Caixa Realizado]]="",0,MONTH(TbRegistrosSaídas[[#This Row],[Data do Caixa Realizado]]))</f>
        <v>2</v>
      </c>
      <c r="J51">
        <f>IF(TbRegistrosSaídas[[#This Row],[Data do Caixa Realizado]]="",0,YEAR(TbRegistrosSaídas[[#This Row],[Data do Caixa Realizado]]))</f>
        <v>2018</v>
      </c>
      <c r="K51">
        <f>IF(TbRegistrosSaídas[[#This Row],[Data da Competência]]="",0,MONTH(TbRegistrosSaídas[[#This Row],[Data da Competência]]))</f>
        <v>12</v>
      </c>
      <c r="L51">
        <f>IF(TbRegistrosSaídas[[#This Row],[Data da Competência]]="",0,YEAR(TbRegistrosSaídas[[#This Row],[Data da Competência]]))</f>
        <v>2017</v>
      </c>
      <c r="M51" s="40">
        <f>IF(TbRegistrosSaídas[[#This Row],[Data do Caixa Previsto]]="",0,MONTH(TbRegistrosSaídas[[#This Row],[Data do Caixa Previsto]]))</f>
        <v>2</v>
      </c>
      <c r="N51" s="40">
        <f>IF(TbRegistrosSaídas[[#This Row],[Data do Caixa Previsto]]="",0,YEAR(TbRegistrosSaídas[[#This Row],[Data do Caixa Previsto]]))</f>
        <v>2018</v>
      </c>
      <c r="O5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2" spans="2:15" x14ac:dyDescent="0.25">
      <c r="B52" s="15">
        <v>43124.925483598126</v>
      </c>
      <c r="C52" s="15">
        <v>43096</v>
      </c>
      <c r="D52" s="15">
        <v>43124.925483598126</v>
      </c>
      <c r="E52" t="s">
        <v>43</v>
      </c>
      <c r="F52" t="s">
        <v>34</v>
      </c>
      <c r="G52" s="13" t="s">
        <v>335</v>
      </c>
      <c r="H52" s="16">
        <v>2511</v>
      </c>
      <c r="I52">
        <f>IF(TbRegistrosSaídas[[#This Row],[Data do Caixa Realizado]]="",0,MONTH(TbRegistrosSaídas[[#This Row],[Data do Caixa Realizado]]))</f>
        <v>1</v>
      </c>
      <c r="J52">
        <f>IF(TbRegistrosSaídas[[#This Row],[Data do Caixa Realizado]]="",0,YEAR(TbRegistrosSaídas[[#This Row],[Data do Caixa Realizado]]))</f>
        <v>2018</v>
      </c>
      <c r="K52">
        <f>IF(TbRegistrosSaídas[[#This Row],[Data da Competência]]="",0,MONTH(TbRegistrosSaídas[[#This Row],[Data da Competência]]))</f>
        <v>12</v>
      </c>
      <c r="L52">
        <f>IF(TbRegistrosSaídas[[#This Row],[Data da Competência]]="",0,YEAR(TbRegistrosSaídas[[#This Row],[Data da Competência]]))</f>
        <v>2017</v>
      </c>
      <c r="M52" s="40">
        <f>IF(TbRegistrosSaídas[[#This Row],[Data do Caixa Previsto]]="",0,MONTH(TbRegistrosSaídas[[#This Row],[Data do Caixa Previsto]]))</f>
        <v>1</v>
      </c>
      <c r="N52" s="40">
        <f>IF(TbRegistrosSaídas[[#This Row],[Data do Caixa Previsto]]="",0,YEAR(TbRegistrosSaídas[[#This Row],[Data do Caixa Previsto]]))</f>
        <v>2018</v>
      </c>
      <c r="O5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3" spans="2:15" x14ac:dyDescent="0.25">
      <c r="B53" s="15">
        <v>43143.989919163403</v>
      </c>
      <c r="C53" s="15">
        <v>43098</v>
      </c>
      <c r="D53" s="15">
        <v>43143.989919163403</v>
      </c>
      <c r="E53" t="s">
        <v>43</v>
      </c>
      <c r="F53" t="s">
        <v>31</v>
      </c>
      <c r="G53" s="13" t="s">
        <v>336</v>
      </c>
      <c r="H53" s="16">
        <v>2015</v>
      </c>
      <c r="I53">
        <f>IF(TbRegistrosSaídas[[#This Row],[Data do Caixa Realizado]]="",0,MONTH(TbRegistrosSaídas[[#This Row],[Data do Caixa Realizado]]))</f>
        <v>2</v>
      </c>
      <c r="J53">
        <f>IF(TbRegistrosSaídas[[#This Row],[Data do Caixa Realizado]]="",0,YEAR(TbRegistrosSaídas[[#This Row],[Data do Caixa Realizado]]))</f>
        <v>2018</v>
      </c>
      <c r="K53">
        <f>IF(TbRegistrosSaídas[[#This Row],[Data da Competência]]="",0,MONTH(TbRegistrosSaídas[[#This Row],[Data da Competência]]))</f>
        <v>12</v>
      </c>
      <c r="L53">
        <f>IF(TbRegistrosSaídas[[#This Row],[Data da Competência]]="",0,YEAR(TbRegistrosSaídas[[#This Row],[Data da Competência]]))</f>
        <v>2017</v>
      </c>
      <c r="M53" s="40">
        <f>IF(TbRegistrosSaídas[[#This Row],[Data do Caixa Previsto]]="",0,MONTH(TbRegistrosSaídas[[#This Row],[Data do Caixa Previsto]]))</f>
        <v>2</v>
      </c>
      <c r="N53" s="40">
        <f>IF(TbRegistrosSaídas[[#This Row],[Data do Caixa Previsto]]="",0,YEAR(TbRegistrosSaídas[[#This Row],[Data do Caixa Previsto]]))</f>
        <v>2018</v>
      </c>
      <c r="O5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4" spans="2:15" x14ac:dyDescent="0.25">
      <c r="B54" s="15">
        <v>43180.312256585908</v>
      </c>
      <c r="C54" s="15">
        <v>43100</v>
      </c>
      <c r="D54" s="15">
        <v>43151.353970851676</v>
      </c>
      <c r="E54" t="s">
        <v>43</v>
      </c>
      <c r="F54" t="s">
        <v>32</v>
      </c>
      <c r="G54" s="13" t="s">
        <v>337</v>
      </c>
      <c r="H54" s="16">
        <v>3413</v>
      </c>
      <c r="I54">
        <f>IF(TbRegistrosSaídas[[#This Row],[Data do Caixa Realizado]]="",0,MONTH(TbRegistrosSaídas[[#This Row],[Data do Caixa Realizado]]))</f>
        <v>3</v>
      </c>
      <c r="J54">
        <f>IF(TbRegistrosSaídas[[#This Row],[Data do Caixa Realizado]]="",0,YEAR(TbRegistrosSaídas[[#This Row],[Data do Caixa Realizado]]))</f>
        <v>2018</v>
      </c>
      <c r="K54">
        <f>IF(TbRegistrosSaídas[[#This Row],[Data da Competência]]="",0,MONTH(TbRegistrosSaídas[[#This Row],[Data da Competência]]))</f>
        <v>12</v>
      </c>
      <c r="L54">
        <f>IF(TbRegistrosSaídas[[#This Row],[Data da Competência]]="",0,YEAR(TbRegistrosSaídas[[#This Row],[Data da Competência]]))</f>
        <v>2017</v>
      </c>
      <c r="M54" s="40">
        <f>IF(TbRegistrosSaídas[[#This Row],[Data do Caixa Previsto]]="",0,MONTH(TbRegistrosSaídas[[#This Row],[Data do Caixa Previsto]]))</f>
        <v>2</v>
      </c>
      <c r="N54" s="40">
        <f>IF(TbRegistrosSaídas[[#This Row],[Data do Caixa Previsto]]="",0,YEAR(TbRegistrosSaídas[[#This Row],[Data do Caixa Previsto]]))</f>
        <v>2018</v>
      </c>
      <c r="O5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28.958285734232049</v>
      </c>
    </row>
    <row r="55" spans="2:15" x14ac:dyDescent="0.25">
      <c r="B55" s="15">
        <v>43144.795115927831</v>
      </c>
      <c r="C55" s="15">
        <v>43103</v>
      </c>
      <c r="D55" s="15">
        <v>43108.84859147996</v>
      </c>
      <c r="E55" t="s">
        <v>43</v>
      </c>
      <c r="F55" t="s">
        <v>34</v>
      </c>
      <c r="G55" s="13" t="s">
        <v>338</v>
      </c>
      <c r="H55" s="16">
        <v>4087</v>
      </c>
      <c r="I55">
        <f>IF(TbRegistrosSaídas[[#This Row],[Data do Caixa Realizado]]="",0,MONTH(TbRegistrosSaídas[[#This Row],[Data do Caixa Realizado]]))</f>
        <v>2</v>
      </c>
      <c r="J55">
        <f>IF(TbRegistrosSaídas[[#This Row],[Data do Caixa Realizado]]="",0,YEAR(TbRegistrosSaídas[[#This Row],[Data do Caixa Realizado]]))</f>
        <v>2018</v>
      </c>
      <c r="K55">
        <f>IF(TbRegistrosSaídas[[#This Row],[Data da Competência]]="",0,MONTH(TbRegistrosSaídas[[#This Row],[Data da Competência]]))</f>
        <v>1</v>
      </c>
      <c r="L55">
        <f>IF(TbRegistrosSaídas[[#This Row],[Data da Competência]]="",0,YEAR(TbRegistrosSaídas[[#This Row],[Data da Competência]]))</f>
        <v>2018</v>
      </c>
      <c r="M55" s="40">
        <f>IF(TbRegistrosSaídas[[#This Row],[Data do Caixa Previsto]]="",0,MONTH(TbRegistrosSaídas[[#This Row],[Data do Caixa Previsto]]))</f>
        <v>1</v>
      </c>
      <c r="N55" s="40">
        <f>IF(TbRegistrosSaídas[[#This Row],[Data do Caixa Previsto]]="",0,YEAR(TbRegistrosSaídas[[#This Row],[Data do Caixa Previsto]]))</f>
        <v>2018</v>
      </c>
      <c r="O5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35.946524447870615</v>
      </c>
    </row>
    <row r="56" spans="2:15" x14ac:dyDescent="0.25">
      <c r="B56" s="15">
        <v>43117.371907988454</v>
      </c>
      <c r="C56" s="15">
        <v>43106</v>
      </c>
      <c r="D56" s="15">
        <v>43117.371907988454</v>
      </c>
      <c r="E56" t="s">
        <v>43</v>
      </c>
      <c r="F56" t="s">
        <v>44</v>
      </c>
      <c r="G56" s="13" t="s">
        <v>339</v>
      </c>
      <c r="H56" s="16">
        <v>2441</v>
      </c>
      <c r="I56">
        <f>IF(TbRegistrosSaídas[[#This Row],[Data do Caixa Realizado]]="",0,MONTH(TbRegistrosSaídas[[#This Row],[Data do Caixa Realizado]]))</f>
        <v>1</v>
      </c>
      <c r="J56">
        <f>IF(TbRegistrosSaídas[[#This Row],[Data do Caixa Realizado]]="",0,YEAR(TbRegistrosSaídas[[#This Row],[Data do Caixa Realizado]]))</f>
        <v>2018</v>
      </c>
      <c r="K56">
        <f>IF(TbRegistrosSaídas[[#This Row],[Data da Competência]]="",0,MONTH(TbRegistrosSaídas[[#This Row],[Data da Competência]]))</f>
        <v>1</v>
      </c>
      <c r="L56">
        <f>IF(TbRegistrosSaídas[[#This Row],[Data da Competência]]="",0,YEAR(TbRegistrosSaídas[[#This Row],[Data da Competência]]))</f>
        <v>2018</v>
      </c>
      <c r="M56" s="40">
        <f>IF(TbRegistrosSaídas[[#This Row],[Data do Caixa Previsto]]="",0,MONTH(TbRegistrosSaídas[[#This Row],[Data do Caixa Previsto]]))</f>
        <v>1</v>
      </c>
      <c r="N56" s="40">
        <f>IF(TbRegistrosSaídas[[#This Row],[Data do Caixa Previsto]]="",0,YEAR(TbRegistrosSaídas[[#This Row],[Data do Caixa Previsto]]))</f>
        <v>2018</v>
      </c>
      <c r="O5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7" spans="2:15" x14ac:dyDescent="0.25">
      <c r="B57" s="15">
        <v>43127.72575701114</v>
      </c>
      <c r="C57" s="15">
        <v>43109</v>
      </c>
      <c r="D57" s="15">
        <v>43127.72575701114</v>
      </c>
      <c r="E57" t="s">
        <v>43</v>
      </c>
      <c r="F57" t="s">
        <v>31</v>
      </c>
      <c r="G57" s="13" t="s">
        <v>340</v>
      </c>
      <c r="H57" s="16">
        <v>3598</v>
      </c>
      <c r="I57">
        <f>IF(TbRegistrosSaídas[[#This Row],[Data do Caixa Realizado]]="",0,MONTH(TbRegistrosSaídas[[#This Row],[Data do Caixa Realizado]]))</f>
        <v>1</v>
      </c>
      <c r="J57">
        <f>IF(TbRegistrosSaídas[[#This Row],[Data do Caixa Realizado]]="",0,YEAR(TbRegistrosSaídas[[#This Row],[Data do Caixa Realizado]]))</f>
        <v>2018</v>
      </c>
      <c r="K57">
        <f>IF(TbRegistrosSaídas[[#This Row],[Data da Competência]]="",0,MONTH(TbRegistrosSaídas[[#This Row],[Data da Competência]]))</f>
        <v>1</v>
      </c>
      <c r="L57">
        <f>IF(TbRegistrosSaídas[[#This Row],[Data da Competência]]="",0,YEAR(TbRegistrosSaídas[[#This Row],[Data da Competência]]))</f>
        <v>2018</v>
      </c>
      <c r="M57" s="40">
        <f>IF(TbRegistrosSaídas[[#This Row],[Data do Caixa Previsto]]="",0,MONTH(TbRegistrosSaídas[[#This Row],[Data do Caixa Previsto]]))</f>
        <v>1</v>
      </c>
      <c r="N57" s="40">
        <f>IF(TbRegistrosSaídas[[#This Row],[Data do Caixa Previsto]]="",0,YEAR(TbRegistrosSaídas[[#This Row],[Data do Caixa Previsto]]))</f>
        <v>2018</v>
      </c>
      <c r="O5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8" spans="2:15" x14ac:dyDescent="0.25">
      <c r="B58" s="15">
        <v>43118.823326450649</v>
      </c>
      <c r="C58" s="15">
        <v>43110</v>
      </c>
      <c r="D58" s="15">
        <v>43118.823326450649</v>
      </c>
      <c r="E58" t="s">
        <v>43</v>
      </c>
      <c r="F58" t="s">
        <v>44</v>
      </c>
      <c r="G58" s="13" t="s">
        <v>341</v>
      </c>
      <c r="H58" s="16">
        <v>4895</v>
      </c>
      <c r="I58">
        <f>IF(TbRegistrosSaídas[[#This Row],[Data do Caixa Realizado]]="",0,MONTH(TbRegistrosSaídas[[#This Row],[Data do Caixa Realizado]]))</f>
        <v>1</v>
      </c>
      <c r="J58">
        <f>IF(TbRegistrosSaídas[[#This Row],[Data do Caixa Realizado]]="",0,YEAR(TbRegistrosSaídas[[#This Row],[Data do Caixa Realizado]]))</f>
        <v>2018</v>
      </c>
      <c r="K58">
        <f>IF(TbRegistrosSaídas[[#This Row],[Data da Competência]]="",0,MONTH(TbRegistrosSaídas[[#This Row],[Data da Competência]]))</f>
        <v>1</v>
      </c>
      <c r="L58">
        <f>IF(TbRegistrosSaídas[[#This Row],[Data da Competência]]="",0,YEAR(TbRegistrosSaídas[[#This Row],[Data da Competência]]))</f>
        <v>2018</v>
      </c>
      <c r="M58" s="40">
        <f>IF(TbRegistrosSaídas[[#This Row],[Data do Caixa Previsto]]="",0,MONTH(TbRegistrosSaídas[[#This Row],[Data do Caixa Previsto]]))</f>
        <v>1</v>
      </c>
      <c r="N58" s="40">
        <f>IF(TbRegistrosSaídas[[#This Row],[Data do Caixa Previsto]]="",0,YEAR(TbRegistrosSaídas[[#This Row],[Data do Caixa Previsto]]))</f>
        <v>2018</v>
      </c>
      <c r="O5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59" spans="2:15" x14ac:dyDescent="0.25">
      <c r="B59" s="15">
        <v>43167.544338803593</v>
      </c>
      <c r="C59" s="15">
        <v>43112</v>
      </c>
      <c r="D59" s="15">
        <v>43167.544338803593</v>
      </c>
      <c r="E59" t="s">
        <v>43</v>
      </c>
      <c r="F59" t="s">
        <v>44</v>
      </c>
      <c r="G59" s="13" t="s">
        <v>342</v>
      </c>
      <c r="H59" s="16">
        <v>971</v>
      </c>
      <c r="I59">
        <f>IF(TbRegistrosSaídas[[#This Row],[Data do Caixa Realizado]]="",0,MONTH(TbRegistrosSaídas[[#This Row],[Data do Caixa Realizado]]))</f>
        <v>3</v>
      </c>
      <c r="J59">
        <f>IF(TbRegistrosSaídas[[#This Row],[Data do Caixa Realizado]]="",0,YEAR(TbRegistrosSaídas[[#This Row],[Data do Caixa Realizado]]))</f>
        <v>2018</v>
      </c>
      <c r="K59">
        <f>IF(TbRegistrosSaídas[[#This Row],[Data da Competência]]="",0,MONTH(TbRegistrosSaídas[[#This Row],[Data da Competência]]))</f>
        <v>1</v>
      </c>
      <c r="L59">
        <f>IF(TbRegistrosSaídas[[#This Row],[Data da Competência]]="",0,YEAR(TbRegistrosSaídas[[#This Row],[Data da Competência]]))</f>
        <v>2018</v>
      </c>
      <c r="M59" s="40">
        <f>IF(TbRegistrosSaídas[[#This Row],[Data do Caixa Previsto]]="",0,MONTH(TbRegistrosSaídas[[#This Row],[Data do Caixa Previsto]]))</f>
        <v>3</v>
      </c>
      <c r="N59" s="40">
        <f>IF(TbRegistrosSaídas[[#This Row],[Data do Caixa Previsto]]="",0,YEAR(TbRegistrosSaídas[[#This Row],[Data do Caixa Previsto]]))</f>
        <v>2018</v>
      </c>
      <c r="O5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0" spans="2:15" x14ac:dyDescent="0.25">
      <c r="B60" s="15">
        <v>43137.043955849207</v>
      </c>
      <c r="C60" s="15">
        <v>43113</v>
      </c>
      <c r="D60" s="15">
        <v>43137.043955849207</v>
      </c>
      <c r="E60" t="s">
        <v>43</v>
      </c>
      <c r="F60" t="s">
        <v>34</v>
      </c>
      <c r="G60" s="13" t="s">
        <v>343</v>
      </c>
      <c r="H60" s="16">
        <v>556</v>
      </c>
      <c r="I60">
        <f>IF(TbRegistrosSaídas[[#This Row],[Data do Caixa Realizado]]="",0,MONTH(TbRegistrosSaídas[[#This Row],[Data do Caixa Realizado]]))</f>
        <v>2</v>
      </c>
      <c r="J60">
        <f>IF(TbRegistrosSaídas[[#This Row],[Data do Caixa Realizado]]="",0,YEAR(TbRegistrosSaídas[[#This Row],[Data do Caixa Realizado]]))</f>
        <v>2018</v>
      </c>
      <c r="K60">
        <f>IF(TbRegistrosSaídas[[#This Row],[Data da Competência]]="",0,MONTH(TbRegistrosSaídas[[#This Row],[Data da Competência]]))</f>
        <v>1</v>
      </c>
      <c r="L60">
        <f>IF(TbRegistrosSaídas[[#This Row],[Data da Competência]]="",0,YEAR(TbRegistrosSaídas[[#This Row],[Data da Competência]]))</f>
        <v>2018</v>
      </c>
      <c r="M60" s="40">
        <f>IF(TbRegistrosSaídas[[#This Row],[Data do Caixa Previsto]]="",0,MONTH(TbRegistrosSaídas[[#This Row],[Data do Caixa Previsto]]))</f>
        <v>2</v>
      </c>
      <c r="N60" s="40">
        <f>IF(TbRegistrosSaídas[[#This Row],[Data do Caixa Previsto]]="",0,YEAR(TbRegistrosSaídas[[#This Row],[Data do Caixa Previsto]]))</f>
        <v>2018</v>
      </c>
      <c r="O6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1" spans="2:15" x14ac:dyDescent="0.25">
      <c r="B61" s="15">
        <v>43144.881827671154</v>
      </c>
      <c r="C61" s="15">
        <v>43114</v>
      </c>
      <c r="D61" s="15">
        <v>43144.881827671154</v>
      </c>
      <c r="E61" t="s">
        <v>43</v>
      </c>
      <c r="F61" t="s">
        <v>34</v>
      </c>
      <c r="G61" s="13" t="s">
        <v>344</v>
      </c>
      <c r="H61" s="16">
        <v>1977</v>
      </c>
      <c r="I61">
        <f>IF(TbRegistrosSaídas[[#This Row],[Data do Caixa Realizado]]="",0,MONTH(TbRegistrosSaídas[[#This Row],[Data do Caixa Realizado]]))</f>
        <v>2</v>
      </c>
      <c r="J61">
        <f>IF(TbRegistrosSaídas[[#This Row],[Data do Caixa Realizado]]="",0,YEAR(TbRegistrosSaídas[[#This Row],[Data do Caixa Realizado]]))</f>
        <v>2018</v>
      </c>
      <c r="K61">
        <f>IF(TbRegistrosSaídas[[#This Row],[Data da Competência]]="",0,MONTH(TbRegistrosSaídas[[#This Row],[Data da Competência]]))</f>
        <v>1</v>
      </c>
      <c r="L61">
        <f>IF(TbRegistrosSaídas[[#This Row],[Data da Competência]]="",0,YEAR(TbRegistrosSaídas[[#This Row],[Data da Competência]]))</f>
        <v>2018</v>
      </c>
      <c r="M61" s="40">
        <f>IF(TbRegistrosSaídas[[#This Row],[Data do Caixa Previsto]]="",0,MONTH(TbRegistrosSaídas[[#This Row],[Data do Caixa Previsto]]))</f>
        <v>2</v>
      </c>
      <c r="N61" s="40">
        <f>IF(TbRegistrosSaídas[[#This Row],[Data do Caixa Previsto]]="",0,YEAR(TbRegistrosSaídas[[#This Row],[Data do Caixa Previsto]]))</f>
        <v>2018</v>
      </c>
      <c r="O6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2" spans="2:15" x14ac:dyDescent="0.25">
      <c r="B62" s="15">
        <v>43127.357625825418</v>
      </c>
      <c r="C62" s="15">
        <v>43116</v>
      </c>
      <c r="D62" s="15">
        <v>43127.357625825418</v>
      </c>
      <c r="E62" t="s">
        <v>43</v>
      </c>
      <c r="F62" t="s">
        <v>44</v>
      </c>
      <c r="G62" s="13" t="s">
        <v>297</v>
      </c>
      <c r="H62" s="16">
        <v>2951</v>
      </c>
      <c r="I62">
        <f>IF(TbRegistrosSaídas[[#This Row],[Data do Caixa Realizado]]="",0,MONTH(TbRegistrosSaídas[[#This Row],[Data do Caixa Realizado]]))</f>
        <v>1</v>
      </c>
      <c r="J62">
        <f>IF(TbRegistrosSaídas[[#This Row],[Data do Caixa Realizado]]="",0,YEAR(TbRegistrosSaídas[[#This Row],[Data do Caixa Realizado]]))</f>
        <v>2018</v>
      </c>
      <c r="K62">
        <f>IF(TbRegistrosSaídas[[#This Row],[Data da Competência]]="",0,MONTH(TbRegistrosSaídas[[#This Row],[Data da Competência]]))</f>
        <v>1</v>
      </c>
      <c r="L62">
        <f>IF(TbRegistrosSaídas[[#This Row],[Data da Competência]]="",0,YEAR(TbRegistrosSaídas[[#This Row],[Data da Competência]]))</f>
        <v>2018</v>
      </c>
      <c r="M62" s="40">
        <f>IF(TbRegistrosSaídas[[#This Row],[Data do Caixa Previsto]]="",0,MONTH(TbRegistrosSaídas[[#This Row],[Data do Caixa Previsto]]))</f>
        <v>1</v>
      </c>
      <c r="N62" s="40">
        <f>IF(TbRegistrosSaídas[[#This Row],[Data do Caixa Previsto]]="",0,YEAR(TbRegistrosSaídas[[#This Row],[Data do Caixa Previsto]]))</f>
        <v>2018</v>
      </c>
      <c r="O6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3" spans="2:15" x14ac:dyDescent="0.25">
      <c r="B63" s="15">
        <v>43164.408101095891</v>
      </c>
      <c r="C63" s="15">
        <v>43120</v>
      </c>
      <c r="D63" s="15">
        <v>43164.408101095891</v>
      </c>
      <c r="E63" t="s">
        <v>43</v>
      </c>
      <c r="F63" t="s">
        <v>44</v>
      </c>
      <c r="G63" s="13" t="s">
        <v>345</v>
      </c>
      <c r="H63" s="16">
        <v>2535</v>
      </c>
      <c r="I63">
        <f>IF(TbRegistrosSaídas[[#This Row],[Data do Caixa Realizado]]="",0,MONTH(TbRegistrosSaídas[[#This Row],[Data do Caixa Realizado]]))</f>
        <v>3</v>
      </c>
      <c r="J63">
        <f>IF(TbRegistrosSaídas[[#This Row],[Data do Caixa Realizado]]="",0,YEAR(TbRegistrosSaídas[[#This Row],[Data do Caixa Realizado]]))</f>
        <v>2018</v>
      </c>
      <c r="K63">
        <f>IF(TbRegistrosSaídas[[#This Row],[Data da Competência]]="",0,MONTH(TbRegistrosSaídas[[#This Row],[Data da Competência]]))</f>
        <v>1</v>
      </c>
      <c r="L63">
        <f>IF(TbRegistrosSaídas[[#This Row],[Data da Competência]]="",0,YEAR(TbRegistrosSaídas[[#This Row],[Data da Competência]]))</f>
        <v>2018</v>
      </c>
      <c r="M63" s="40">
        <f>IF(TbRegistrosSaídas[[#This Row],[Data do Caixa Previsto]]="",0,MONTH(TbRegistrosSaídas[[#This Row],[Data do Caixa Previsto]]))</f>
        <v>3</v>
      </c>
      <c r="N63" s="40">
        <f>IF(TbRegistrosSaídas[[#This Row],[Data do Caixa Previsto]]="",0,YEAR(TbRegistrosSaídas[[#This Row],[Data do Caixa Previsto]]))</f>
        <v>2018</v>
      </c>
      <c r="O6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4" spans="2:15" x14ac:dyDescent="0.25">
      <c r="B64" s="15">
        <v>43141.579590343346</v>
      </c>
      <c r="C64" s="15">
        <v>43121</v>
      </c>
      <c r="D64" s="15">
        <v>43141.579590343346</v>
      </c>
      <c r="E64" t="s">
        <v>43</v>
      </c>
      <c r="F64" t="s">
        <v>30</v>
      </c>
      <c r="G64" s="13" t="s">
        <v>346</v>
      </c>
      <c r="H64" s="16">
        <v>3057</v>
      </c>
      <c r="I64">
        <f>IF(TbRegistrosSaídas[[#This Row],[Data do Caixa Realizado]]="",0,MONTH(TbRegistrosSaídas[[#This Row],[Data do Caixa Realizado]]))</f>
        <v>2</v>
      </c>
      <c r="J64">
        <f>IF(TbRegistrosSaídas[[#This Row],[Data do Caixa Realizado]]="",0,YEAR(TbRegistrosSaídas[[#This Row],[Data do Caixa Realizado]]))</f>
        <v>2018</v>
      </c>
      <c r="K64">
        <f>IF(TbRegistrosSaídas[[#This Row],[Data da Competência]]="",0,MONTH(TbRegistrosSaídas[[#This Row],[Data da Competência]]))</f>
        <v>1</v>
      </c>
      <c r="L64">
        <f>IF(TbRegistrosSaídas[[#This Row],[Data da Competência]]="",0,YEAR(TbRegistrosSaídas[[#This Row],[Data da Competência]]))</f>
        <v>2018</v>
      </c>
      <c r="M64" s="40">
        <f>IF(TbRegistrosSaídas[[#This Row],[Data do Caixa Previsto]]="",0,MONTH(TbRegistrosSaídas[[#This Row],[Data do Caixa Previsto]]))</f>
        <v>2</v>
      </c>
      <c r="N64" s="40">
        <f>IF(TbRegistrosSaídas[[#This Row],[Data do Caixa Previsto]]="",0,YEAR(TbRegistrosSaídas[[#This Row],[Data do Caixa Previsto]]))</f>
        <v>2018</v>
      </c>
      <c r="O6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5" spans="2:15" x14ac:dyDescent="0.25">
      <c r="B65" s="15">
        <v>43140.52607681365</v>
      </c>
      <c r="C65" s="15">
        <v>43123</v>
      </c>
      <c r="D65" s="15">
        <v>43140.52607681365</v>
      </c>
      <c r="E65" t="s">
        <v>43</v>
      </c>
      <c r="F65" t="s">
        <v>34</v>
      </c>
      <c r="G65" s="13" t="s">
        <v>347</v>
      </c>
      <c r="H65" s="16">
        <v>3152</v>
      </c>
      <c r="I65">
        <f>IF(TbRegistrosSaídas[[#This Row],[Data do Caixa Realizado]]="",0,MONTH(TbRegistrosSaídas[[#This Row],[Data do Caixa Realizado]]))</f>
        <v>2</v>
      </c>
      <c r="J65">
        <f>IF(TbRegistrosSaídas[[#This Row],[Data do Caixa Realizado]]="",0,YEAR(TbRegistrosSaídas[[#This Row],[Data do Caixa Realizado]]))</f>
        <v>2018</v>
      </c>
      <c r="K65">
        <f>IF(TbRegistrosSaídas[[#This Row],[Data da Competência]]="",0,MONTH(TbRegistrosSaídas[[#This Row],[Data da Competência]]))</f>
        <v>1</v>
      </c>
      <c r="L65">
        <f>IF(TbRegistrosSaídas[[#This Row],[Data da Competência]]="",0,YEAR(TbRegistrosSaídas[[#This Row],[Data da Competência]]))</f>
        <v>2018</v>
      </c>
      <c r="M65" s="40">
        <f>IF(TbRegistrosSaídas[[#This Row],[Data do Caixa Previsto]]="",0,MONTH(TbRegistrosSaídas[[#This Row],[Data do Caixa Previsto]]))</f>
        <v>2</v>
      </c>
      <c r="N65" s="40">
        <f>IF(TbRegistrosSaídas[[#This Row],[Data do Caixa Previsto]]="",0,YEAR(TbRegistrosSaídas[[#This Row],[Data do Caixa Previsto]]))</f>
        <v>2018</v>
      </c>
      <c r="O6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6" spans="2:15" x14ac:dyDescent="0.25">
      <c r="B66" s="15">
        <v>43167.136566438901</v>
      </c>
      <c r="C66" s="15">
        <v>43125</v>
      </c>
      <c r="D66" s="15">
        <v>43167.136566438901</v>
      </c>
      <c r="E66" t="s">
        <v>43</v>
      </c>
      <c r="F66" t="s">
        <v>32</v>
      </c>
      <c r="G66" s="13" t="s">
        <v>348</v>
      </c>
      <c r="H66" s="16">
        <v>2247</v>
      </c>
      <c r="I66">
        <f>IF(TbRegistrosSaídas[[#This Row],[Data do Caixa Realizado]]="",0,MONTH(TbRegistrosSaídas[[#This Row],[Data do Caixa Realizado]]))</f>
        <v>3</v>
      </c>
      <c r="J66">
        <f>IF(TbRegistrosSaídas[[#This Row],[Data do Caixa Realizado]]="",0,YEAR(TbRegistrosSaídas[[#This Row],[Data do Caixa Realizado]]))</f>
        <v>2018</v>
      </c>
      <c r="K66">
        <f>IF(TbRegistrosSaídas[[#This Row],[Data da Competência]]="",0,MONTH(TbRegistrosSaídas[[#This Row],[Data da Competência]]))</f>
        <v>1</v>
      </c>
      <c r="L66">
        <f>IF(TbRegistrosSaídas[[#This Row],[Data da Competência]]="",0,YEAR(TbRegistrosSaídas[[#This Row],[Data da Competência]]))</f>
        <v>2018</v>
      </c>
      <c r="M66" s="40">
        <f>IF(TbRegistrosSaídas[[#This Row],[Data do Caixa Previsto]]="",0,MONTH(TbRegistrosSaídas[[#This Row],[Data do Caixa Previsto]]))</f>
        <v>3</v>
      </c>
      <c r="N66" s="40">
        <f>IF(TbRegistrosSaídas[[#This Row],[Data do Caixa Previsto]]="",0,YEAR(TbRegistrosSaídas[[#This Row],[Data do Caixa Previsto]]))</f>
        <v>2018</v>
      </c>
      <c r="O6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7" spans="2:15" x14ac:dyDescent="0.25">
      <c r="B67" s="15">
        <v>43180.080222393961</v>
      </c>
      <c r="C67" s="15">
        <v>43127</v>
      </c>
      <c r="D67" s="15">
        <v>43180.080222393961</v>
      </c>
      <c r="E67" t="s">
        <v>43</v>
      </c>
      <c r="F67" t="s">
        <v>31</v>
      </c>
      <c r="G67" s="13" t="s">
        <v>349</v>
      </c>
      <c r="H67" s="16">
        <v>2456</v>
      </c>
      <c r="I67">
        <f>IF(TbRegistrosSaídas[[#This Row],[Data do Caixa Realizado]]="",0,MONTH(TbRegistrosSaídas[[#This Row],[Data do Caixa Realizado]]))</f>
        <v>3</v>
      </c>
      <c r="J67">
        <f>IF(TbRegistrosSaídas[[#This Row],[Data do Caixa Realizado]]="",0,YEAR(TbRegistrosSaídas[[#This Row],[Data do Caixa Realizado]]))</f>
        <v>2018</v>
      </c>
      <c r="K67">
        <f>IF(TbRegistrosSaídas[[#This Row],[Data da Competência]]="",0,MONTH(TbRegistrosSaídas[[#This Row],[Data da Competência]]))</f>
        <v>1</v>
      </c>
      <c r="L67">
        <f>IF(TbRegistrosSaídas[[#This Row],[Data da Competência]]="",0,YEAR(TbRegistrosSaídas[[#This Row],[Data da Competência]]))</f>
        <v>2018</v>
      </c>
      <c r="M67" s="40">
        <f>IF(TbRegistrosSaídas[[#This Row],[Data do Caixa Previsto]]="",0,MONTH(TbRegistrosSaídas[[#This Row],[Data do Caixa Previsto]]))</f>
        <v>3</v>
      </c>
      <c r="N67" s="40">
        <f>IF(TbRegistrosSaídas[[#This Row],[Data do Caixa Previsto]]="",0,YEAR(TbRegistrosSaídas[[#This Row],[Data do Caixa Previsto]]))</f>
        <v>2018</v>
      </c>
      <c r="O6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68" spans="2:15" x14ac:dyDescent="0.25">
      <c r="B68" s="15">
        <v>43153.557863903276</v>
      </c>
      <c r="C68" s="15">
        <v>43129</v>
      </c>
      <c r="D68" s="15">
        <v>43142.593518246249</v>
      </c>
      <c r="E68" t="s">
        <v>43</v>
      </c>
      <c r="F68" t="s">
        <v>44</v>
      </c>
      <c r="G68" s="13" t="s">
        <v>350</v>
      </c>
      <c r="H68" s="16">
        <v>3801</v>
      </c>
      <c r="I68">
        <f>IF(TbRegistrosSaídas[[#This Row],[Data do Caixa Realizado]]="",0,MONTH(TbRegistrosSaídas[[#This Row],[Data do Caixa Realizado]]))</f>
        <v>2</v>
      </c>
      <c r="J68">
        <f>IF(TbRegistrosSaídas[[#This Row],[Data do Caixa Realizado]]="",0,YEAR(TbRegistrosSaídas[[#This Row],[Data do Caixa Realizado]]))</f>
        <v>2018</v>
      </c>
      <c r="K68">
        <f>IF(TbRegistrosSaídas[[#This Row],[Data da Competência]]="",0,MONTH(TbRegistrosSaídas[[#This Row],[Data da Competência]]))</f>
        <v>1</v>
      </c>
      <c r="L68">
        <f>IF(TbRegistrosSaídas[[#This Row],[Data da Competência]]="",0,YEAR(TbRegistrosSaídas[[#This Row],[Data da Competência]]))</f>
        <v>2018</v>
      </c>
      <c r="M68" s="40">
        <f>IF(TbRegistrosSaídas[[#This Row],[Data do Caixa Previsto]]="",0,MONTH(TbRegistrosSaídas[[#This Row],[Data do Caixa Previsto]]))</f>
        <v>2</v>
      </c>
      <c r="N68" s="40">
        <f>IF(TbRegistrosSaídas[[#This Row],[Data do Caixa Previsto]]="",0,YEAR(TbRegistrosSaídas[[#This Row],[Data do Caixa Previsto]]))</f>
        <v>2018</v>
      </c>
      <c r="O6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10.96434565702657</v>
      </c>
    </row>
    <row r="69" spans="2:15" x14ac:dyDescent="0.25">
      <c r="B69" s="15">
        <v>43144.375909015784</v>
      </c>
      <c r="C69" s="15">
        <v>43131</v>
      </c>
      <c r="D69" s="15">
        <v>43144.375909015784</v>
      </c>
      <c r="E69" t="s">
        <v>43</v>
      </c>
      <c r="F69" t="s">
        <v>34</v>
      </c>
      <c r="G69" s="13" t="s">
        <v>351</v>
      </c>
      <c r="H69" s="16">
        <v>3049</v>
      </c>
      <c r="I69">
        <f>IF(TbRegistrosSaídas[[#This Row],[Data do Caixa Realizado]]="",0,MONTH(TbRegistrosSaídas[[#This Row],[Data do Caixa Realizado]]))</f>
        <v>2</v>
      </c>
      <c r="J69">
        <f>IF(TbRegistrosSaídas[[#This Row],[Data do Caixa Realizado]]="",0,YEAR(TbRegistrosSaídas[[#This Row],[Data do Caixa Realizado]]))</f>
        <v>2018</v>
      </c>
      <c r="K69">
        <f>IF(TbRegistrosSaídas[[#This Row],[Data da Competência]]="",0,MONTH(TbRegistrosSaídas[[#This Row],[Data da Competência]]))</f>
        <v>1</v>
      </c>
      <c r="L69">
        <f>IF(TbRegistrosSaídas[[#This Row],[Data da Competência]]="",0,YEAR(TbRegistrosSaídas[[#This Row],[Data da Competência]]))</f>
        <v>2018</v>
      </c>
      <c r="M69" s="40">
        <f>IF(TbRegistrosSaídas[[#This Row],[Data do Caixa Previsto]]="",0,MONTH(TbRegistrosSaídas[[#This Row],[Data do Caixa Previsto]]))</f>
        <v>2</v>
      </c>
      <c r="N69" s="40">
        <f>IF(TbRegistrosSaídas[[#This Row],[Data do Caixa Previsto]]="",0,YEAR(TbRegistrosSaídas[[#This Row],[Data do Caixa Previsto]]))</f>
        <v>2018</v>
      </c>
      <c r="O6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0" spans="2:15" x14ac:dyDescent="0.25">
      <c r="B70" s="15">
        <v>43188.99516604135</v>
      </c>
      <c r="C70" s="15">
        <v>43135</v>
      </c>
      <c r="D70" s="15">
        <v>43170.130869357701</v>
      </c>
      <c r="E70" t="s">
        <v>43</v>
      </c>
      <c r="F70" t="s">
        <v>30</v>
      </c>
      <c r="G70" s="13" t="s">
        <v>352</v>
      </c>
      <c r="H70" s="16">
        <v>3255</v>
      </c>
      <c r="I70">
        <f>IF(TbRegistrosSaídas[[#This Row],[Data do Caixa Realizado]]="",0,MONTH(TbRegistrosSaídas[[#This Row],[Data do Caixa Realizado]]))</f>
        <v>3</v>
      </c>
      <c r="J70">
        <f>IF(TbRegistrosSaídas[[#This Row],[Data do Caixa Realizado]]="",0,YEAR(TbRegistrosSaídas[[#This Row],[Data do Caixa Realizado]]))</f>
        <v>2018</v>
      </c>
      <c r="K70">
        <f>IF(TbRegistrosSaídas[[#This Row],[Data da Competência]]="",0,MONTH(TbRegistrosSaídas[[#This Row],[Data da Competência]]))</f>
        <v>2</v>
      </c>
      <c r="L70">
        <f>IF(TbRegistrosSaídas[[#This Row],[Data da Competência]]="",0,YEAR(TbRegistrosSaídas[[#This Row],[Data da Competência]]))</f>
        <v>2018</v>
      </c>
      <c r="M70" s="40">
        <f>IF(TbRegistrosSaídas[[#This Row],[Data do Caixa Previsto]]="",0,MONTH(TbRegistrosSaídas[[#This Row],[Data do Caixa Previsto]]))</f>
        <v>3</v>
      </c>
      <c r="N70" s="40">
        <f>IF(TbRegistrosSaídas[[#This Row],[Data do Caixa Previsto]]="",0,YEAR(TbRegistrosSaídas[[#This Row],[Data do Caixa Previsto]]))</f>
        <v>2018</v>
      </c>
      <c r="O7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18.864296683648718</v>
      </c>
    </row>
    <row r="71" spans="2:15" x14ac:dyDescent="0.25">
      <c r="B71" s="15">
        <v>43179.613666487414</v>
      </c>
      <c r="C71" s="15">
        <v>43136</v>
      </c>
      <c r="D71" s="15">
        <v>43176.20769813798</v>
      </c>
      <c r="E71" t="s">
        <v>43</v>
      </c>
      <c r="F71" t="s">
        <v>44</v>
      </c>
      <c r="G71" s="13" t="s">
        <v>353</v>
      </c>
      <c r="H71" s="16">
        <v>2074</v>
      </c>
      <c r="I71">
        <f>IF(TbRegistrosSaídas[[#This Row],[Data do Caixa Realizado]]="",0,MONTH(TbRegistrosSaídas[[#This Row],[Data do Caixa Realizado]]))</f>
        <v>3</v>
      </c>
      <c r="J71">
        <f>IF(TbRegistrosSaídas[[#This Row],[Data do Caixa Realizado]]="",0,YEAR(TbRegistrosSaídas[[#This Row],[Data do Caixa Realizado]]))</f>
        <v>2018</v>
      </c>
      <c r="K71">
        <f>IF(TbRegistrosSaídas[[#This Row],[Data da Competência]]="",0,MONTH(TbRegistrosSaídas[[#This Row],[Data da Competência]]))</f>
        <v>2</v>
      </c>
      <c r="L71">
        <f>IF(TbRegistrosSaídas[[#This Row],[Data da Competência]]="",0,YEAR(TbRegistrosSaídas[[#This Row],[Data da Competência]]))</f>
        <v>2018</v>
      </c>
      <c r="M71" s="40">
        <f>IF(TbRegistrosSaídas[[#This Row],[Data do Caixa Previsto]]="",0,MONTH(TbRegistrosSaídas[[#This Row],[Data do Caixa Previsto]]))</f>
        <v>3</v>
      </c>
      <c r="N71" s="40">
        <f>IF(TbRegistrosSaídas[[#This Row],[Data do Caixa Previsto]]="",0,YEAR(TbRegistrosSaídas[[#This Row],[Data do Caixa Previsto]]))</f>
        <v>2018</v>
      </c>
      <c r="O7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3.4059683494342607</v>
      </c>
    </row>
    <row r="72" spans="2:15" x14ac:dyDescent="0.25">
      <c r="B72" s="15">
        <v>43175.293624405407</v>
      </c>
      <c r="C72" s="15">
        <v>43137</v>
      </c>
      <c r="D72" s="15">
        <v>43175.293624405407</v>
      </c>
      <c r="E72" t="s">
        <v>43</v>
      </c>
      <c r="F72" t="s">
        <v>44</v>
      </c>
      <c r="G72" s="13" t="s">
        <v>354</v>
      </c>
      <c r="H72" s="16">
        <v>3606</v>
      </c>
      <c r="I72">
        <f>IF(TbRegistrosSaídas[[#This Row],[Data do Caixa Realizado]]="",0,MONTH(TbRegistrosSaídas[[#This Row],[Data do Caixa Realizado]]))</f>
        <v>3</v>
      </c>
      <c r="J72">
        <f>IF(TbRegistrosSaídas[[#This Row],[Data do Caixa Realizado]]="",0,YEAR(TbRegistrosSaídas[[#This Row],[Data do Caixa Realizado]]))</f>
        <v>2018</v>
      </c>
      <c r="K72">
        <f>IF(TbRegistrosSaídas[[#This Row],[Data da Competência]]="",0,MONTH(TbRegistrosSaídas[[#This Row],[Data da Competência]]))</f>
        <v>2</v>
      </c>
      <c r="L72">
        <f>IF(TbRegistrosSaídas[[#This Row],[Data da Competência]]="",0,YEAR(TbRegistrosSaídas[[#This Row],[Data da Competência]]))</f>
        <v>2018</v>
      </c>
      <c r="M72" s="40">
        <f>IF(TbRegistrosSaídas[[#This Row],[Data do Caixa Previsto]]="",0,MONTH(TbRegistrosSaídas[[#This Row],[Data do Caixa Previsto]]))</f>
        <v>3</v>
      </c>
      <c r="N72" s="40">
        <f>IF(TbRegistrosSaídas[[#This Row],[Data do Caixa Previsto]]="",0,YEAR(TbRegistrosSaídas[[#This Row],[Data do Caixa Previsto]]))</f>
        <v>2018</v>
      </c>
      <c r="O7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3" spans="2:15" x14ac:dyDescent="0.25">
      <c r="B73" s="15">
        <v>43177.329774401594</v>
      </c>
      <c r="C73" s="15">
        <v>43138</v>
      </c>
      <c r="D73" s="15">
        <v>43177.329774401594</v>
      </c>
      <c r="E73" t="s">
        <v>43</v>
      </c>
      <c r="F73" t="s">
        <v>31</v>
      </c>
      <c r="G73" s="13" t="s">
        <v>355</v>
      </c>
      <c r="H73" s="16">
        <v>4867</v>
      </c>
      <c r="I73">
        <f>IF(TbRegistrosSaídas[[#This Row],[Data do Caixa Realizado]]="",0,MONTH(TbRegistrosSaídas[[#This Row],[Data do Caixa Realizado]]))</f>
        <v>3</v>
      </c>
      <c r="J73">
        <f>IF(TbRegistrosSaídas[[#This Row],[Data do Caixa Realizado]]="",0,YEAR(TbRegistrosSaídas[[#This Row],[Data do Caixa Realizado]]))</f>
        <v>2018</v>
      </c>
      <c r="K73">
        <f>IF(TbRegistrosSaídas[[#This Row],[Data da Competência]]="",0,MONTH(TbRegistrosSaídas[[#This Row],[Data da Competência]]))</f>
        <v>2</v>
      </c>
      <c r="L73">
        <f>IF(TbRegistrosSaídas[[#This Row],[Data da Competência]]="",0,YEAR(TbRegistrosSaídas[[#This Row],[Data da Competência]]))</f>
        <v>2018</v>
      </c>
      <c r="M73" s="40">
        <f>IF(TbRegistrosSaídas[[#This Row],[Data do Caixa Previsto]]="",0,MONTH(TbRegistrosSaídas[[#This Row],[Data do Caixa Previsto]]))</f>
        <v>3</v>
      </c>
      <c r="N73" s="40">
        <f>IF(TbRegistrosSaídas[[#This Row],[Data do Caixa Previsto]]="",0,YEAR(TbRegistrosSaídas[[#This Row],[Data do Caixa Previsto]]))</f>
        <v>2018</v>
      </c>
      <c r="O7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4" spans="2:15" x14ac:dyDescent="0.25">
      <c r="B74" s="15">
        <v>43175.004800342591</v>
      </c>
      <c r="C74" s="15">
        <v>43140</v>
      </c>
      <c r="D74" s="15">
        <v>43175.004800342591</v>
      </c>
      <c r="E74" t="s">
        <v>43</v>
      </c>
      <c r="F74" t="s">
        <v>32</v>
      </c>
      <c r="G74" s="13" t="s">
        <v>356</v>
      </c>
      <c r="H74" s="16">
        <v>702</v>
      </c>
      <c r="I74">
        <f>IF(TbRegistrosSaídas[[#This Row],[Data do Caixa Realizado]]="",0,MONTH(TbRegistrosSaídas[[#This Row],[Data do Caixa Realizado]]))</f>
        <v>3</v>
      </c>
      <c r="J74">
        <f>IF(TbRegistrosSaídas[[#This Row],[Data do Caixa Realizado]]="",0,YEAR(TbRegistrosSaídas[[#This Row],[Data do Caixa Realizado]]))</f>
        <v>2018</v>
      </c>
      <c r="K74">
        <f>IF(TbRegistrosSaídas[[#This Row],[Data da Competência]]="",0,MONTH(TbRegistrosSaídas[[#This Row],[Data da Competência]]))</f>
        <v>2</v>
      </c>
      <c r="L74">
        <f>IF(TbRegistrosSaídas[[#This Row],[Data da Competência]]="",0,YEAR(TbRegistrosSaídas[[#This Row],[Data da Competência]]))</f>
        <v>2018</v>
      </c>
      <c r="M74" s="40">
        <f>IF(TbRegistrosSaídas[[#This Row],[Data do Caixa Previsto]]="",0,MONTH(TbRegistrosSaídas[[#This Row],[Data do Caixa Previsto]]))</f>
        <v>3</v>
      </c>
      <c r="N74" s="40">
        <f>IF(TbRegistrosSaídas[[#This Row],[Data do Caixa Previsto]]="",0,YEAR(TbRegistrosSaídas[[#This Row],[Data do Caixa Previsto]]))</f>
        <v>2018</v>
      </c>
      <c r="O7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5" spans="2:15" x14ac:dyDescent="0.25">
      <c r="B75" s="15">
        <v>43238.007350836197</v>
      </c>
      <c r="C75" s="15">
        <v>43145</v>
      </c>
      <c r="D75" s="15">
        <v>43150.456480487795</v>
      </c>
      <c r="E75" t="s">
        <v>43</v>
      </c>
      <c r="F75" t="s">
        <v>32</v>
      </c>
      <c r="G75" s="13" t="s">
        <v>357</v>
      </c>
      <c r="H75" s="16">
        <v>2801</v>
      </c>
      <c r="I75">
        <f>IF(TbRegistrosSaídas[[#This Row],[Data do Caixa Realizado]]="",0,MONTH(TbRegistrosSaídas[[#This Row],[Data do Caixa Realizado]]))</f>
        <v>5</v>
      </c>
      <c r="J75">
        <f>IF(TbRegistrosSaídas[[#This Row],[Data do Caixa Realizado]]="",0,YEAR(TbRegistrosSaídas[[#This Row],[Data do Caixa Realizado]]))</f>
        <v>2018</v>
      </c>
      <c r="K75">
        <f>IF(TbRegistrosSaídas[[#This Row],[Data da Competência]]="",0,MONTH(TbRegistrosSaídas[[#This Row],[Data da Competência]]))</f>
        <v>2</v>
      </c>
      <c r="L75">
        <f>IF(TbRegistrosSaídas[[#This Row],[Data da Competência]]="",0,YEAR(TbRegistrosSaídas[[#This Row],[Data da Competência]]))</f>
        <v>2018</v>
      </c>
      <c r="M75" s="40">
        <f>IF(TbRegistrosSaídas[[#This Row],[Data do Caixa Previsto]]="",0,MONTH(TbRegistrosSaídas[[#This Row],[Data do Caixa Previsto]]))</f>
        <v>2</v>
      </c>
      <c r="N75" s="40">
        <f>IF(TbRegistrosSaídas[[#This Row],[Data do Caixa Previsto]]="",0,YEAR(TbRegistrosSaídas[[#This Row],[Data do Caixa Previsto]]))</f>
        <v>2018</v>
      </c>
      <c r="O7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87.550870348401077</v>
      </c>
    </row>
    <row r="76" spans="2:15" x14ac:dyDescent="0.25">
      <c r="B76" s="15" t="s">
        <v>69</v>
      </c>
      <c r="C76" s="15">
        <v>43146</v>
      </c>
      <c r="D76" s="15">
        <v>43169.778347522966</v>
      </c>
      <c r="E76" t="s">
        <v>43</v>
      </c>
      <c r="F76" t="s">
        <v>44</v>
      </c>
      <c r="G76" s="13" t="s">
        <v>358</v>
      </c>
      <c r="H76" s="16">
        <v>4438</v>
      </c>
      <c r="I76">
        <f>IF(TbRegistrosSaídas[[#This Row],[Data do Caixa Realizado]]="",0,MONTH(TbRegistrosSaídas[[#This Row],[Data do Caixa Realizado]]))</f>
        <v>0</v>
      </c>
      <c r="J76">
        <f>IF(TbRegistrosSaídas[[#This Row],[Data do Caixa Realizado]]="",0,YEAR(TbRegistrosSaídas[[#This Row],[Data do Caixa Realizado]]))</f>
        <v>0</v>
      </c>
      <c r="K76">
        <f>IF(TbRegistrosSaídas[[#This Row],[Data da Competência]]="",0,MONTH(TbRegistrosSaídas[[#This Row],[Data da Competência]]))</f>
        <v>2</v>
      </c>
      <c r="L76">
        <f>IF(TbRegistrosSaídas[[#This Row],[Data da Competência]]="",0,YEAR(TbRegistrosSaídas[[#This Row],[Data da Competência]]))</f>
        <v>2018</v>
      </c>
      <c r="M76" s="40">
        <f>IF(TbRegistrosSaídas[[#This Row],[Data do Caixa Previsto]]="",0,MONTH(TbRegistrosSaídas[[#This Row],[Data do Caixa Previsto]]))</f>
        <v>3</v>
      </c>
      <c r="N76" s="40">
        <f>IF(TbRegistrosSaídas[[#This Row],[Data do Caixa Previsto]]="",0,YEAR(TbRegistrosSaídas[[#This Row],[Data do Caixa Previsto]]))</f>
        <v>2018</v>
      </c>
      <c r="O7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2146.2216524770338</v>
      </c>
    </row>
    <row r="77" spans="2:15" x14ac:dyDescent="0.25">
      <c r="B77" s="15">
        <v>43198.215136039675</v>
      </c>
      <c r="C77" s="15">
        <v>43151</v>
      </c>
      <c r="D77" s="15">
        <v>43198.215136039675</v>
      </c>
      <c r="E77" t="s">
        <v>43</v>
      </c>
      <c r="F77" t="s">
        <v>31</v>
      </c>
      <c r="G77" s="13" t="s">
        <v>359</v>
      </c>
      <c r="H77" s="16">
        <v>3835</v>
      </c>
      <c r="I77">
        <f>IF(TbRegistrosSaídas[[#This Row],[Data do Caixa Realizado]]="",0,MONTH(TbRegistrosSaídas[[#This Row],[Data do Caixa Realizado]]))</f>
        <v>4</v>
      </c>
      <c r="J77">
        <f>IF(TbRegistrosSaídas[[#This Row],[Data do Caixa Realizado]]="",0,YEAR(TbRegistrosSaídas[[#This Row],[Data do Caixa Realizado]]))</f>
        <v>2018</v>
      </c>
      <c r="K77">
        <f>IF(TbRegistrosSaídas[[#This Row],[Data da Competência]]="",0,MONTH(TbRegistrosSaídas[[#This Row],[Data da Competência]]))</f>
        <v>2</v>
      </c>
      <c r="L77">
        <f>IF(TbRegistrosSaídas[[#This Row],[Data da Competência]]="",0,YEAR(TbRegistrosSaídas[[#This Row],[Data da Competência]]))</f>
        <v>2018</v>
      </c>
      <c r="M77" s="40">
        <f>IF(TbRegistrosSaídas[[#This Row],[Data do Caixa Previsto]]="",0,MONTH(TbRegistrosSaídas[[#This Row],[Data do Caixa Previsto]]))</f>
        <v>4</v>
      </c>
      <c r="N77" s="40">
        <f>IF(TbRegistrosSaídas[[#This Row],[Data do Caixa Previsto]]="",0,YEAR(TbRegistrosSaídas[[#This Row],[Data do Caixa Previsto]]))</f>
        <v>2018</v>
      </c>
      <c r="O7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8" spans="2:15" x14ac:dyDescent="0.25">
      <c r="B78" s="15">
        <v>43199.384372741159</v>
      </c>
      <c r="C78" s="15">
        <v>43160</v>
      </c>
      <c r="D78" s="15">
        <v>43199.384372741159</v>
      </c>
      <c r="E78" t="s">
        <v>43</v>
      </c>
      <c r="F78" t="s">
        <v>44</v>
      </c>
      <c r="G78" s="13" t="s">
        <v>360</v>
      </c>
      <c r="H78" s="16">
        <v>3893</v>
      </c>
      <c r="I78">
        <f>IF(TbRegistrosSaídas[[#This Row],[Data do Caixa Realizado]]="",0,MONTH(TbRegistrosSaídas[[#This Row],[Data do Caixa Realizado]]))</f>
        <v>4</v>
      </c>
      <c r="J78">
        <f>IF(TbRegistrosSaídas[[#This Row],[Data do Caixa Realizado]]="",0,YEAR(TbRegistrosSaídas[[#This Row],[Data do Caixa Realizado]]))</f>
        <v>2018</v>
      </c>
      <c r="K78">
        <f>IF(TbRegistrosSaídas[[#This Row],[Data da Competência]]="",0,MONTH(TbRegistrosSaídas[[#This Row],[Data da Competência]]))</f>
        <v>3</v>
      </c>
      <c r="L78">
        <f>IF(TbRegistrosSaídas[[#This Row],[Data da Competência]]="",0,YEAR(TbRegistrosSaídas[[#This Row],[Data da Competência]]))</f>
        <v>2018</v>
      </c>
      <c r="M78" s="40">
        <f>IF(TbRegistrosSaídas[[#This Row],[Data do Caixa Previsto]]="",0,MONTH(TbRegistrosSaídas[[#This Row],[Data do Caixa Previsto]]))</f>
        <v>4</v>
      </c>
      <c r="N78" s="40">
        <f>IF(TbRegistrosSaídas[[#This Row],[Data do Caixa Previsto]]="",0,YEAR(TbRegistrosSaídas[[#This Row],[Data do Caixa Previsto]]))</f>
        <v>2018</v>
      </c>
      <c r="O7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79" spans="2:15" x14ac:dyDescent="0.25">
      <c r="B79" s="15">
        <v>43184.353160705636</v>
      </c>
      <c r="C79" s="15">
        <v>43163</v>
      </c>
      <c r="D79" s="15">
        <v>43184.353160705636</v>
      </c>
      <c r="E79" t="s">
        <v>43</v>
      </c>
      <c r="F79" t="s">
        <v>44</v>
      </c>
      <c r="G79" s="13" t="s">
        <v>224</v>
      </c>
      <c r="H79" s="16">
        <v>1970</v>
      </c>
      <c r="I79">
        <f>IF(TbRegistrosSaídas[[#This Row],[Data do Caixa Realizado]]="",0,MONTH(TbRegistrosSaídas[[#This Row],[Data do Caixa Realizado]]))</f>
        <v>3</v>
      </c>
      <c r="J79">
        <f>IF(TbRegistrosSaídas[[#This Row],[Data do Caixa Realizado]]="",0,YEAR(TbRegistrosSaídas[[#This Row],[Data do Caixa Realizado]]))</f>
        <v>2018</v>
      </c>
      <c r="K79">
        <f>IF(TbRegistrosSaídas[[#This Row],[Data da Competência]]="",0,MONTH(TbRegistrosSaídas[[#This Row],[Data da Competência]]))</f>
        <v>3</v>
      </c>
      <c r="L79">
        <f>IF(TbRegistrosSaídas[[#This Row],[Data da Competência]]="",0,YEAR(TbRegistrosSaídas[[#This Row],[Data da Competência]]))</f>
        <v>2018</v>
      </c>
      <c r="M79" s="40">
        <f>IF(TbRegistrosSaídas[[#This Row],[Data do Caixa Previsto]]="",0,MONTH(TbRegistrosSaídas[[#This Row],[Data do Caixa Previsto]]))</f>
        <v>3</v>
      </c>
      <c r="N79" s="40">
        <f>IF(TbRegistrosSaídas[[#This Row],[Data do Caixa Previsto]]="",0,YEAR(TbRegistrosSaídas[[#This Row],[Data do Caixa Previsto]]))</f>
        <v>2018</v>
      </c>
      <c r="O7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0" spans="2:15" x14ac:dyDescent="0.25">
      <c r="B80" s="15">
        <v>43219.347145801272</v>
      </c>
      <c r="C80" s="15">
        <v>43164</v>
      </c>
      <c r="D80" s="15">
        <v>43219.347145801272</v>
      </c>
      <c r="E80" t="s">
        <v>43</v>
      </c>
      <c r="F80" t="s">
        <v>32</v>
      </c>
      <c r="G80" s="13" t="s">
        <v>361</v>
      </c>
      <c r="H80" s="16">
        <v>729</v>
      </c>
      <c r="I80">
        <f>IF(TbRegistrosSaídas[[#This Row],[Data do Caixa Realizado]]="",0,MONTH(TbRegistrosSaídas[[#This Row],[Data do Caixa Realizado]]))</f>
        <v>4</v>
      </c>
      <c r="J80">
        <f>IF(TbRegistrosSaídas[[#This Row],[Data do Caixa Realizado]]="",0,YEAR(TbRegistrosSaídas[[#This Row],[Data do Caixa Realizado]]))</f>
        <v>2018</v>
      </c>
      <c r="K80">
        <f>IF(TbRegistrosSaídas[[#This Row],[Data da Competência]]="",0,MONTH(TbRegistrosSaídas[[#This Row],[Data da Competência]]))</f>
        <v>3</v>
      </c>
      <c r="L80">
        <f>IF(TbRegistrosSaídas[[#This Row],[Data da Competência]]="",0,YEAR(TbRegistrosSaídas[[#This Row],[Data da Competência]]))</f>
        <v>2018</v>
      </c>
      <c r="M80" s="40">
        <f>IF(TbRegistrosSaídas[[#This Row],[Data do Caixa Previsto]]="",0,MONTH(TbRegistrosSaídas[[#This Row],[Data do Caixa Previsto]]))</f>
        <v>4</v>
      </c>
      <c r="N80" s="40">
        <f>IF(TbRegistrosSaídas[[#This Row],[Data do Caixa Previsto]]="",0,YEAR(TbRegistrosSaídas[[#This Row],[Data do Caixa Previsto]]))</f>
        <v>2018</v>
      </c>
      <c r="O8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1" spans="2:15" x14ac:dyDescent="0.25">
      <c r="B81" s="15">
        <v>43188.959993905235</v>
      </c>
      <c r="C81" s="15">
        <v>43166</v>
      </c>
      <c r="D81" s="15">
        <v>43188.959993905235</v>
      </c>
      <c r="E81" t="s">
        <v>43</v>
      </c>
      <c r="F81" t="s">
        <v>31</v>
      </c>
      <c r="G81" s="13" t="s">
        <v>362</v>
      </c>
      <c r="H81" s="16">
        <v>474</v>
      </c>
      <c r="I81">
        <f>IF(TbRegistrosSaídas[[#This Row],[Data do Caixa Realizado]]="",0,MONTH(TbRegistrosSaídas[[#This Row],[Data do Caixa Realizado]]))</f>
        <v>3</v>
      </c>
      <c r="J81">
        <f>IF(TbRegistrosSaídas[[#This Row],[Data do Caixa Realizado]]="",0,YEAR(TbRegistrosSaídas[[#This Row],[Data do Caixa Realizado]]))</f>
        <v>2018</v>
      </c>
      <c r="K81">
        <f>IF(TbRegistrosSaídas[[#This Row],[Data da Competência]]="",0,MONTH(TbRegistrosSaídas[[#This Row],[Data da Competência]]))</f>
        <v>3</v>
      </c>
      <c r="L81">
        <f>IF(TbRegistrosSaídas[[#This Row],[Data da Competência]]="",0,YEAR(TbRegistrosSaídas[[#This Row],[Data da Competência]]))</f>
        <v>2018</v>
      </c>
      <c r="M81" s="40">
        <f>IF(TbRegistrosSaídas[[#This Row],[Data do Caixa Previsto]]="",0,MONTH(TbRegistrosSaídas[[#This Row],[Data do Caixa Previsto]]))</f>
        <v>3</v>
      </c>
      <c r="N81" s="40">
        <f>IF(TbRegistrosSaídas[[#This Row],[Data do Caixa Previsto]]="",0,YEAR(TbRegistrosSaídas[[#This Row],[Data do Caixa Previsto]]))</f>
        <v>2018</v>
      </c>
      <c r="O8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2" spans="2:15" x14ac:dyDescent="0.25">
      <c r="B82" s="15">
        <v>43197.842717434411</v>
      </c>
      <c r="C82" s="15">
        <v>43168</v>
      </c>
      <c r="D82" s="15">
        <v>43197.842717434411</v>
      </c>
      <c r="E82" t="s">
        <v>43</v>
      </c>
      <c r="F82" t="s">
        <v>32</v>
      </c>
      <c r="G82" s="13" t="s">
        <v>363</v>
      </c>
      <c r="H82" s="16">
        <v>3164</v>
      </c>
      <c r="I82">
        <f>IF(TbRegistrosSaídas[[#This Row],[Data do Caixa Realizado]]="",0,MONTH(TbRegistrosSaídas[[#This Row],[Data do Caixa Realizado]]))</f>
        <v>4</v>
      </c>
      <c r="J82">
        <f>IF(TbRegistrosSaídas[[#This Row],[Data do Caixa Realizado]]="",0,YEAR(TbRegistrosSaídas[[#This Row],[Data do Caixa Realizado]]))</f>
        <v>2018</v>
      </c>
      <c r="K82">
        <f>IF(TbRegistrosSaídas[[#This Row],[Data da Competência]]="",0,MONTH(TbRegistrosSaídas[[#This Row],[Data da Competência]]))</f>
        <v>3</v>
      </c>
      <c r="L82">
        <f>IF(TbRegistrosSaídas[[#This Row],[Data da Competência]]="",0,YEAR(TbRegistrosSaídas[[#This Row],[Data da Competência]]))</f>
        <v>2018</v>
      </c>
      <c r="M82" s="40">
        <f>IF(TbRegistrosSaídas[[#This Row],[Data do Caixa Previsto]]="",0,MONTH(TbRegistrosSaídas[[#This Row],[Data do Caixa Previsto]]))</f>
        <v>4</v>
      </c>
      <c r="N82" s="40">
        <f>IF(TbRegistrosSaídas[[#This Row],[Data do Caixa Previsto]]="",0,YEAR(TbRegistrosSaídas[[#This Row],[Data do Caixa Previsto]]))</f>
        <v>2018</v>
      </c>
      <c r="O8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3" spans="2:15" x14ac:dyDescent="0.25">
      <c r="B83" s="15">
        <v>43228.717380772498</v>
      </c>
      <c r="C83" s="15">
        <v>43173</v>
      </c>
      <c r="D83" s="15">
        <v>43228.717380772498</v>
      </c>
      <c r="E83" t="s">
        <v>43</v>
      </c>
      <c r="F83" t="s">
        <v>44</v>
      </c>
      <c r="G83" s="13" t="s">
        <v>364</v>
      </c>
      <c r="H83" s="16">
        <v>3113</v>
      </c>
      <c r="I83">
        <f>IF(TbRegistrosSaídas[[#This Row],[Data do Caixa Realizado]]="",0,MONTH(TbRegistrosSaídas[[#This Row],[Data do Caixa Realizado]]))</f>
        <v>5</v>
      </c>
      <c r="J83">
        <f>IF(TbRegistrosSaídas[[#This Row],[Data do Caixa Realizado]]="",0,YEAR(TbRegistrosSaídas[[#This Row],[Data do Caixa Realizado]]))</f>
        <v>2018</v>
      </c>
      <c r="K83">
        <f>IF(TbRegistrosSaídas[[#This Row],[Data da Competência]]="",0,MONTH(TbRegistrosSaídas[[#This Row],[Data da Competência]]))</f>
        <v>3</v>
      </c>
      <c r="L83">
        <f>IF(TbRegistrosSaídas[[#This Row],[Data da Competência]]="",0,YEAR(TbRegistrosSaídas[[#This Row],[Data da Competência]]))</f>
        <v>2018</v>
      </c>
      <c r="M83" s="40">
        <f>IF(TbRegistrosSaídas[[#This Row],[Data do Caixa Previsto]]="",0,MONTH(TbRegistrosSaídas[[#This Row],[Data do Caixa Previsto]]))</f>
        <v>5</v>
      </c>
      <c r="N83" s="40">
        <f>IF(TbRegistrosSaídas[[#This Row],[Data do Caixa Previsto]]="",0,YEAR(TbRegistrosSaídas[[#This Row],[Data do Caixa Previsto]]))</f>
        <v>2018</v>
      </c>
      <c r="O8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4" spans="2:15" x14ac:dyDescent="0.25">
      <c r="B84" s="15">
        <v>43288.26904093464</v>
      </c>
      <c r="C84" s="15">
        <v>43176</v>
      </c>
      <c r="D84" s="15">
        <v>43201.571307437043</v>
      </c>
      <c r="E84" t="s">
        <v>43</v>
      </c>
      <c r="F84" t="s">
        <v>30</v>
      </c>
      <c r="G84" s="13" t="s">
        <v>365</v>
      </c>
      <c r="H84" s="16">
        <v>789</v>
      </c>
      <c r="I84">
        <f>IF(TbRegistrosSaídas[[#This Row],[Data do Caixa Realizado]]="",0,MONTH(TbRegistrosSaídas[[#This Row],[Data do Caixa Realizado]]))</f>
        <v>7</v>
      </c>
      <c r="J84">
        <f>IF(TbRegistrosSaídas[[#This Row],[Data do Caixa Realizado]]="",0,YEAR(TbRegistrosSaídas[[#This Row],[Data do Caixa Realizado]]))</f>
        <v>2018</v>
      </c>
      <c r="K84">
        <f>IF(TbRegistrosSaídas[[#This Row],[Data da Competência]]="",0,MONTH(TbRegistrosSaídas[[#This Row],[Data da Competência]]))</f>
        <v>3</v>
      </c>
      <c r="L84">
        <f>IF(TbRegistrosSaídas[[#This Row],[Data da Competência]]="",0,YEAR(TbRegistrosSaídas[[#This Row],[Data da Competência]]))</f>
        <v>2018</v>
      </c>
      <c r="M84" s="40">
        <f>IF(TbRegistrosSaídas[[#This Row],[Data do Caixa Previsto]]="",0,MONTH(TbRegistrosSaídas[[#This Row],[Data do Caixa Previsto]]))</f>
        <v>4</v>
      </c>
      <c r="N84" s="40">
        <f>IF(TbRegistrosSaídas[[#This Row],[Data do Caixa Previsto]]="",0,YEAR(TbRegistrosSaídas[[#This Row],[Data do Caixa Previsto]]))</f>
        <v>2018</v>
      </c>
      <c r="O8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86.697733497596346</v>
      </c>
    </row>
    <row r="85" spans="2:15" x14ac:dyDescent="0.25">
      <c r="B85" s="15">
        <v>43191.559855343337</v>
      </c>
      <c r="C85" s="15">
        <v>43180</v>
      </c>
      <c r="D85" s="15">
        <v>43191.559855343337</v>
      </c>
      <c r="E85" t="s">
        <v>43</v>
      </c>
      <c r="F85" t="s">
        <v>30</v>
      </c>
      <c r="G85" s="13" t="s">
        <v>366</v>
      </c>
      <c r="H85" s="16">
        <v>3521</v>
      </c>
      <c r="I85">
        <f>IF(TbRegistrosSaídas[[#This Row],[Data do Caixa Realizado]]="",0,MONTH(TbRegistrosSaídas[[#This Row],[Data do Caixa Realizado]]))</f>
        <v>4</v>
      </c>
      <c r="J85">
        <f>IF(TbRegistrosSaídas[[#This Row],[Data do Caixa Realizado]]="",0,YEAR(TbRegistrosSaídas[[#This Row],[Data do Caixa Realizado]]))</f>
        <v>2018</v>
      </c>
      <c r="K85">
        <f>IF(TbRegistrosSaídas[[#This Row],[Data da Competência]]="",0,MONTH(TbRegistrosSaídas[[#This Row],[Data da Competência]]))</f>
        <v>3</v>
      </c>
      <c r="L85">
        <f>IF(TbRegistrosSaídas[[#This Row],[Data da Competência]]="",0,YEAR(TbRegistrosSaídas[[#This Row],[Data da Competência]]))</f>
        <v>2018</v>
      </c>
      <c r="M85" s="40">
        <f>IF(TbRegistrosSaídas[[#This Row],[Data do Caixa Previsto]]="",0,MONTH(TbRegistrosSaídas[[#This Row],[Data do Caixa Previsto]]))</f>
        <v>4</v>
      </c>
      <c r="N85" s="40">
        <f>IF(TbRegistrosSaídas[[#This Row],[Data do Caixa Previsto]]="",0,YEAR(TbRegistrosSaídas[[#This Row],[Data do Caixa Previsto]]))</f>
        <v>2018</v>
      </c>
      <c r="O8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6" spans="2:15" x14ac:dyDescent="0.25">
      <c r="B86" s="15">
        <v>43187.734676954671</v>
      </c>
      <c r="C86" s="15">
        <v>43183</v>
      </c>
      <c r="D86" s="15">
        <v>43187.734676954671</v>
      </c>
      <c r="E86" t="s">
        <v>43</v>
      </c>
      <c r="F86" t="s">
        <v>44</v>
      </c>
      <c r="G86" s="13" t="s">
        <v>367</v>
      </c>
      <c r="H86" s="16">
        <v>4947</v>
      </c>
      <c r="I86">
        <f>IF(TbRegistrosSaídas[[#This Row],[Data do Caixa Realizado]]="",0,MONTH(TbRegistrosSaídas[[#This Row],[Data do Caixa Realizado]]))</f>
        <v>3</v>
      </c>
      <c r="J86">
        <f>IF(TbRegistrosSaídas[[#This Row],[Data do Caixa Realizado]]="",0,YEAR(TbRegistrosSaídas[[#This Row],[Data do Caixa Realizado]]))</f>
        <v>2018</v>
      </c>
      <c r="K86">
        <f>IF(TbRegistrosSaídas[[#This Row],[Data da Competência]]="",0,MONTH(TbRegistrosSaídas[[#This Row],[Data da Competência]]))</f>
        <v>3</v>
      </c>
      <c r="L86">
        <f>IF(TbRegistrosSaídas[[#This Row],[Data da Competência]]="",0,YEAR(TbRegistrosSaídas[[#This Row],[Data da Competência]]))</f>
        <v>2018</v>
      </c>
      <c r="M86" s="40">
        <f>IF(TbRegistrosSaídas[[#This Row],[Data do Caixa Previsto]]="",0,MONTH(TbRegistrosSaídas[[#This Row],[Data do Caixa Previsto]]))</f>
        <v>3</v>
      </c>
      <c r="N86" s="40">
        <f>IF(TbRegistrosSaídas[[#This Row],[Data do Caixa Previsto]]="",0,YEAR(TbRegistrosSaídas[[#This Row],[Data do Caixa Previsto]]))</f>
        <v>2018</v>
      </c>
      <c r="O8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7" spans="2:15" x14ac:dyDescent="0.25">
      <c r="B87" s="15">
        <v>43223.623035835837</v>
      </c>
      <c r="C87" s="15">
        <v>43184</v>
      </c>
      <c r="D87" s="15">
        <v>43223.623035835837</v>
      </c>
      <c r="E87" t="s">
        <v>43</v>
      </c>
      <c r="F87" t="s">
        <v>30</v>
      </c>
      <c r="G87" s="13" t="s">
        <v>368</v>
      </c>
      <c r="H87" s="16">
        <v>1527</v>
      </c>
      <c r="I87">
        <f>IF(TbRegistrosSaídas[[#This Row],[Data do Caixa Realizado]]="",0,MONTH(TbRegistrosSaídas[[#This Row],[Data do Caixa Realizado]]))</f>
        <v>5</v>
      </c>
      <c r="J87">
        <f>IF(TbRegistrosSaídas[[#This Row],[Data do Caixa Realizado]]="",0,YEAR(TbRegistrosSaídas[[#This Row],[Data do Caixa Realizado]]))</f>
        <v>2018</v>
      </c>
      <c r="K87">
        <f>IF(TbRegistrosSaídas[[#This Row],[Data da Competência]]="",0,MONTH(TbRegistrosSaídas[[#This Row],[Data da Competência]]))</f>
        <v>3</v>
      </c>
      <c r="L87">
        <f>IF(TbRegistrosSaídas[[#This Row],[Data da Competência]]="",0,YEAR(TbRegistrosSaídas[[#This Row],[Data da Competência]]))</f>
        <v>2018</v>
      </c>
      <c r="M87" s="40">
        <f>IF(TbRegistrosSaídas[[#This Row],[Data do Caixa Previsto]]="",0,MONTH(TbRegistrosSaídas[[#This Row],[Data do Caixa Previsto]]))</f>
        <v>5</v>
      </c>
      <c r="N87" s="40">
        <f>IF(TbRegistrosSaídas[[#This Row],[Data do Caixa Previsto]]="",0,YEAR(TbRegistrosSaídas[[#This Row],[Data do Caixa Previsto]]))</f>
        <v>2018</v>
      </c>
      <c r="O8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8" spans="2:15" x14ac:dyDescent="0.25">
      <c r="B88" s="15">
        <v>43234.522556233635</v>
      </c>
      <c r="C88" s="15">
        <v>43191</v>
      </c>
      <c r="D88" s="15">
        <v>43234.522556233635</v>
      </c>
      <c r="E88" t="s">
        <v>43</v>
      </c>
      <c r="F88" t="s">
        <v>30</v>
      </c>
      <c r="G88" s="13" t="s">
        <v>369</v>
      </c>
      <c r="H88" s="16">
        <v>764</v>
      </c>
      <c r="I88">
        <f>IF(TbRegistrosSaídas[[#This Row],[Data do Caixa Realizado]]="",0,MONTH(TbRegistrosSaídas[[#This Row],[Data do Caixa Realizado]]))</f>
        <v>5</v>
      </c>
      <c r="J88">
        <f>IF(TbRegistrosSaídas[[#This Row],[Data do Caixa Realizado]]="",0,YEAR(TbRegistrosSaídas[[#This Row],[Data do Caixa Realizado]]))</f>
        <v>2018</v>
      </c>
      <c r="K88">
        <f>IF(TbRegistrosSaídas[[#This Row],[Data da Competência]]="",0,MONTH(TbRegistrosSaídas[[#This Row],[Data da Competência]]))</f>
        <v>4</v>
      </c>
      <c r="L88">
        <f>IF(TbRegistrosSaídas[[#This Row],[Data da Competência]]="",0,YEAR(TbRegistrosSaídas[[#This Row],[Data da Competência]]))</f>
        <v>2018</v>
      </c>
      <c r="M88" s="40">
        <f>IF(TbRegistrosSaídas[[#This Row],[Data do Caixa Previsto]]="",0,MONTH(TbRegistrosSaídas[[#This Row],[Data do Caixa Previsto]]))</f>
        <v>5</v>
      </c>
      <c r="N88" s="40">
        <f>IF(TbRegistrosSaídas[[#This Row],[Data do Caixa Previsto]]="",0,YEAR(TbRegistrosSaídas[[#This Row],[Data do Caixa Previsto]]))</f>
        <v>2018</v>
      </c>
      <c r="O8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89" spans="2:15" x14ac:dyDescent="0.25">
      <c r="B89" s="15">
        <v>43202.116934975762</v>
      </c>
      <c r="C89" s="15">
        <v>43193</v>
      </c>
      <c r="D89" s="15">
        <v>43202.116934975762</v>
      </c>
      <c r="E89" t="s">
        <v>43</v>
      </c>
      <c r="F89" t="s">
        <v>31</v>
      </c>
      <c r="G89" s="13" t="s">
        <v>370</v>
      </c>
      <c r="H89" s="16">
        <v>2463</v>
      </c>
      <c r="I89">
        <f>IF(TbRegistrosSaídas[[#This Row],[Data do Caixa Realizado]]="",0,MONTH(TbRegistrosSaídas[[#This Row],[Data do Caixa Realizado]]))</f>
        <v>4</v>
      </c>
      <c r="J89">
        <f>IF(TbRegistrosSaídas[[#This Row],[Data do Caixa Realizado]]="",0,YEAR(TbRegistrosSaídas[[#This Row],[Data do Caixa Realizado]]))</f>
        <v>2018</v>
      </c>
      <c r="K89">
        <f>IF(TbRegistrosSaídas[[#This Row],[Data da Competência]]="",0,MONTH(TbRegistrosSaídas[[#This Row],[Data da Competência]]))</f>
        <v>4</v>
      </c>
      <c r="L89">
        <f>IF(TbRegistrosSaídas[[#This Row],[Data da Competência]]="",0,YEAR(TbRegistrosSaídas[[#This Row],[Data da Competência]]))</f>
        <v>2018</v>
      </c>
      <c r="M89" s="40">
        <f>IF(TbRegistrosSaídas[[#This Row],[Data do Caixa Previsto]]="",0,MONTH(TbRegistrosSaídas[[#This Row],[Data do Caixa Previsto]]))</f>
        <v>4</v>
      </c>
      <c r="N89" s="40">
        <f>IF(TbRegistrosSaídas[[#This Row],[Data do Caixa Previsto]]="",0,YEAR(TbRegistrosSaídas[[#This Row],[Data do Caixa Previsto]]))</f>
        <v>2018</v>
      </c>
      <c r="O8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0" spans="2:15" x14ac:dyDescent="0.25">
      <c r="B90" s="15">
        <v>43220.080853168562</v>
      </c>
      <c r="C90" s="15">
        <v>43195</v>
      </c>
      <c r="D90" s="15">
        <v>43215.697364070438</v>
      </c>
      <c r="E90" t="s">
        <v>43</v>
      </c>
      <c r="F90" t="s">
        <v>32</v>
      </c>
      <c r="G90" s="13" t="s">
        <v>371</v>
      </c>
      <c r="H90" s="16">
        <v>2111</v>
      </c>
      <c r="I90">
        <f>IF(TbRegistrosSaídas[[#This Row],[Data do Caixa Realizado]]="",0,MONTH(TbRegistrosSaídas[[#This Row],[Data do Caixa Realizado]]))</f>
        <v>4</v>
      </c>
      <c r="J90">
        <f>IF(TbRegistrosSaídas[[#This Row],[Data do Caixa Realizado]]="",0,YEAR(TbRegistrosSaídas[[#This Row],[Data do Caixa Realizado]]))</f>
        <v>2018</v>
      </c>
      <c r="K90">
        <f>IF(TbRegistrosSaídas[[#This Row],[Data da Competência]]="",0,MONTH(TbRegistrosSaídas[[#This Row],[Data da Competência]]))</f>
        <v>4</v>
      </c>
      <c r="L90">
        <f>IF(TbRegistrosSaídas[[#This Row],[Data da Competência]]="",0,YEAR(TbRegistrosSaídas[[#This Row],[Data da Competência]]))</f>
        <v>2018</v>
      </c>
      <c r="M90" s="40">
        <f>IF(TbRegistrosSaídas[[#This Row],[Data do Caixa Previsto]]="",0,MONTH(TbRegistrosSaídas[[#This Row],[Data do Caixa Previsto]]))</f>
        <v>4</v>
      </c>
      <c r="N90" s="40">
        <f>IF(TbRegistrosSaídas[[#This Row],[Data do Caixa Previsto]]="",0,YEAR(TbRegistrosSaídas[[#This Row],[Data do Caixa Previsto]]))</f>
        <v>2018</v>
      </c>
      <c r="O9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4.3834890981233912</v>
      </c>
    </row>
    <row r="91" spans="2:15" x14ac:dyDescent="0.25">
      <c r="B91" s="15">
        <v>43221.571171062293</v>
      </c>
      <c r="C91" s="15">
        <v>43196</v>
      </c>
      <c r="D91" s="15">
        <v>43221.571171062293</v>
      </c>
      <c r="E91" t="s">
        <v>43</v>
      </c>
      <c r="F91" t="s">
        <v>44</v>
      </c>
      <c r="G91" s="13" t="s">
        <v>372</v>
      </c>
      <c r="H91" s="16">
        <v>1144</v>
      </c>
      <c r="I91">
        <f>IF(TbRegistrosSaídas[[#This Row],[Data do Caixa Realizado]]="",0,MONTH(TbRegistrosSaídas[[#This Row],[Data do Caixa Realizado]]))</f>
        <v>5</v>
      </c>
      <c r="J91">
        <f>IF(TbRegistrosSaídas[[#This Row],[Data do Caixa Realizado]]="",0,YEAR(TbRegistrosSaídas[[#This Row],[Data do Caixa Realizado]]))</f>
        <v>2018</v>
      </c>
      <c r="K91">
        <f>IF(TbRegistrosSaídas[[#This Row],[Data da Competência]]="",0,MONTH(TbRegistrosSaídas[[#This Row],[Data da Competência]]))</f>
        <v>4</v>
      </c>
      <c r="L91">
        <f>IF(TbRegistrosSaídas[[#This Row],[Data da Competência]]="",0,YEAR(TbRegistrosSaídas[[#This Row],[Data da Competência]]))</f>
        <v>2018</v>
      </c>
      <c r="M91" s="40">
        <f>IF(TbRegistrosSaídas[[#This Row],[Data do Caixa Previsto]]="",0,MONTH(TbRegistrosSaídas[[#This Row],[Data do Caixa Previsto]]))</f>
        <v>5</v>
      </c>
      <c r="N91" s="40">
        <f>IF(TbRegistrosSaídas[[#This Row],[Data do Caixa Previsto]]="",0,YEAR(TbRegistrosSaídas[[#This Row],[Data do Caixa Previsto]]))</f>
        <v>2018</v>
      </c>
      <c r="O9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2" spans="2:15" x14ac:dyDescent="0.25">
      <c r="B92" s="15">
        <v>43240.686796046153</v>
      </c>
      <c r="C92" s="15">
        <v>43200</v>
      </c>
      <c r="D92" s="15">
        <v>43240.686796046153</v>
      </c>
      <c r="E92" t="s">
        <v>43</v>
      </c>
      <c r="F92" t="s">
        <v>32</v>
      </c>
      <c r="G92" s="13" t="s">
        <v>373</v>
      </c>
      <c r="H92" s="16">
        <v>597</v>
      </c>
      <c r="I92">
        <f>IF(TbRegistrosSaídas[[#This Row],[Data do Caixa Realizado]]="",0,MONTH(TbRegistrosSaídas[[#This Row],[Data do Caixa Realizado]]))</f>
        <v>5</v>
      </c>
      <c r="J92">
        <f>IF(TbRegistrosSaídas[[#This Row],[Data do Caixa Realizado]]="",0,YEAR(TbRegistrosSaídas[[#This Row],[Data do Caixa Realizado]]))</f>
        <v>2018</v>
      </c>
      <c r="K92">
        <f>IF(TbRegistrosSaídas[[#This Row],[Data da Competência]]="",0,MONTH(TbRegistrosSaídas[[#This Row],[Data da Competência]]))</f>
        <v>4</v>
      </c>
      <c r="L92">
        <f>IF(TbRegistrosSaídas[[#This Row],[Data da Competência]]="",0,YEAR(TbRegistrosSaídas[[#This Row],[Data da Competência]]))</f>
        <v>2018</v>
      </c>
      <c r="M92" s="40">
        <f>IF(TbRegistrosSaídas[[#This Row],[Data do Caixa Previsto]]="",0,MONTH(TbRegistrosSaídas[[#This Row],[Data do Caixa Previsto]]))</f>
        <v>5</v>
      </c>
      <c r="N92" s="40">
        <f>IF(TbRegistrosSaídas[[#This Row],[Data do Caixa Previsto]]="",0,YEAR(TbRegistrosSaídas[[#This Row],[Data do Caixa Previsto]]))</f>
        <v>2018</v>
      </c>
      <c r="O9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3" spans="2:15" x14ac:dyDescent="0.25">
      <c r="B93" s="15">
        <v>43290.30848134488</v>
      </c>
      <c r="C93" s="15">
        <v>43206</v>
      </c>
      <c r="D93" s="15">
        <v>43209.120587233294</v>
      </c>
      <c r="E93" t="s">
        <v>43</v>
      </c>
      <c r="F93" t="s">
        <v>44</v>
      </c>
      <c r="G93" s="13" t="s">
        <v>374</v>
      </c>
      <c r="H93" s="16">
        <v>3445</v>
      </c>
      <c r="I93">
        <f>IF(TbRegistrosSaídas[[#This Row],[Data do Caixa Realizado]]="",0,MONTH(TbRegistrosSaídas[[#This Row],[Data do Caixa Realizado]]))</f>
        <v>7</v>
      </c>
      <c r="J93">
        <f>IF(TbRegistrosSaídas[[#This Row],[Data do Caixa Realizado]]="",0,YEAR(TbRegistrosSaídas[[#This Row],[Data do Caixa Realizado]]))</f>
        <v>2018</v>
      </c>
      <c r="K93">
        <f>IF(TbRegistrosSaídas[[#This Row],[Data da Competência]]="",0,MONTH(TbRegistrosSaídas[[#This Row],[Data da Competência]]))</f>
        <v>4</v>
      </c>
      <c r="L93">
        <f>IF(TbRegistrosSaídas[[#This Row],[Data da Competência]]="",0,YEAR(TbRegistrosSaídas[[#This Row],[Data da Competência]]))</f>
        <v>2018</v>
      </c>
      <c r="M93" s="40">
        <f>IF(TbRegistrosSaídas[[#This Row],[Data do Caixa Previsto]]="",0,MONTH(TbRegistrosSaídas[[#This Row],[Data do Caixa Previsto]]))</f>
        <v>4</v>
      </c>
      <c r="N93" s="40">
        <f>IF(TbRegistrosSaídas[[#This Row],[Data do Caixa Previsto]]="",0,YEAR(TbRegistrosSaídas[[#This Row],[Data do Caixa Previsto]]))</f>
        <v>2018</v>
      </c>
      <c r="O9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81.187894111586502</v>
      </c>
    </row>
    <row r="94" spans="2:15" x14ac:dyDescent="0.25">
      <c r="B94" s="15">
        <v>43222.305289041076</v>
      </c>
      <c r="C94" s="15">
        <v>43212</v>
      </c>
      <c r="D94" s="15">
        <v>43222.305289041076</v>
      </c>
      <c r="E94" t="s">
        <v>43</v>
      </c>
      <c r="F94" t="s">
        <v>30</v>
      </c>
      <c r="G94" s="13" t="s">
        <v>375</v>
      </c>
      <c r="H94" s="16">
        <v>1996</v>
      </c>
      <c r="I94">
        <f>IF(TbRegistrosSaídas[[#This Row],[Data do Caixa Realizado]]="",0,MONTH(TbRegistrosSaídas[[#This Row],[Data do Caixa Realizado]]))</f>
        <v>5</v>
      </c>
      <c r="J94">
        <f>IF(TbRegistrosSaídas[[#This Row],[Data do Caixa Realizado]]="",0,YEAR(TbRegistrosSaídas[[#This Row],[Data do Caixa Realizado]]))</f>
        <v>2018</v>
      </c>
      <c r="K94">
        <f>IF(TbRegistrosSaídas[[#This Row],[Data da Competência]]="",0,MONTH(TbRegistrosSaídas[[#This Row],[Data da Competência]]))</f>
        <v>4</v>
      </c>
      <c r="L94">
        <f>IF(TbRegistrosSaídas[[#This Row],[Data da Competência]]="",0,YEAR(TbRegistrosSaídas[[#This Row],[Data da Competência]]))</f>
        <v>2018</v>
      </c>
      <c r="M94" s="40">
        <f>IF(TbRegistrosSaídas[[#This Row],[Data do Caixa Previsto]]="",0,MONTH(TbRegistrosSaídas[[#This Row],[Data do Caixa Previsto]]))</f>
        <v>5</v>
      </c>
      <c r="N94" s="40">
        <f>IF(TbRegistrosSaídas[[#This Row],[Data do Caixa Previsto]]="",0,YEAR(TbRegistrosSaídas[[#This Row],[Data do Caixa Previsto]]))</f>
        <v>2018</v>
      </c>
      <c r="O9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5" spans="2:15" x14ac:dyDescent="0.25">
      <c r="B95" s="15">
        <v>43232.768700738379</v>
      </c>
      <c r="C95" s="15">
        <v>43218</v>
      </c>
      <c r="D95" s="15">
        <v>43232.768700738379</v>
      </c>
      <c r="E95" t="s">
        <v>43</v>
      </c>
      <c r="F95" t="s">
        <v>32</v>
      </c>
      <c r="G95" s="13" t="s">
        <v>376</v>
      </c>
      <c r="H95" s="16">
        <v>1254</v>
      </c>
      <c r="I95">
        <f>IF(TbRegistrosSaídas[[#This Row],[Data do Caixa Realizado]]="",0,MONTH(TbRegistrosSaídas[[#This Row],[Data do Caixa Realizado]]))</f>
        <v>5</v>
      </c>
      <c r="J95">
        <f>IF(TbRegistrosSaídas[[#This Row],[Data do Caixa Realizado]]="",0,YEAR(TbRegistrosSaídas[[#This Row],[Data do Caixa Realizado]]))</f>
        <v>2018</v>
      </c>
      <c r="K95">
        <f>IF(TbRegistrosSaídas[[#This Row],[Data da Competência]]="",0,MONTH(TbRegistrosSaídas[[#This Row],[Data da Competência]]))</f>
        <v>4</v>
      </c>
      <c r="L95">
        <f>IF(TbRegistrosSaídas[[#This Row],[Data da Competência]]="",0,YEAR(TbRegistrosSaídas[[#This Row],[Data da Competência]]))</f>
        <v>2018</v>
      </c>
      <c r="M95" s="40">
        <f>IF(TbRegistrosSaídas[[#This Row],[Data do Caixa Previsto]]="",0,MONTH(TbRegistrosSaídas[[#This Row],[Data do Caixa Previsto]]))</f>
        <v>5</v>
      </c>
      <c r="N95" s="40">
        <f>IF(TbRegistrosSaídas[[#This Row],[Data do Caixa Previsto]]="",0,YEAR(TbRegistrosSaídas[[#This Row],[Data do Caixa Previsto]]))</f>
        <v>2018</v>
      </c>
      <c r="O9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6" spans="2:15" x14ac:dyDescent="0.25">
      <c r="B96" s="15">
        <v>43241.145893950612</v>
      </c>
      <c r="C96" s="15">
        <v>43219</v>
      </c>
      <c r="D96" s="15">
        <v>43223.806256091018</v>
      </c>
      <c r="E96" t="s">
        <v>43</v>
      </c>
      <c r="F96" t="s">
        <v>32</v>
      </c>
      <c r="G96" s="13" t="s">
        <v>377</v>
      </c>
      <c r="H96" s="16">
        <v>905</v>
      </c>
      <c r="I96">
        <f>IF(TbRegistrosSaídas[[#This Row],[Data do Caixa Realizado]]="",0,MONTH(TbRegistrosSaídas[[#This Row],[Data do Caixa Realizado]]))</f>
        <v>5</v>
      </c>
      <c r="J96">
        <f>IF(TbRegistrosSaídas[[#This Row],[Data do Caixa Realizado]]="",0,YEAR(TbRegistrosSaídas[[#This Row],[Data do Caixa Realizado]]))</f>
        <v>2018</v>
      </c>
      <c r="K96">
        <f>IF(TbRegistrosSaídas[[#This Row],[Data da Competência]]="",0,MONTH(TbRegistrosSaídas[[#This Row],[Data da Competência]]))</f>
        <v>4</v>
      </c>
      <c r="L96">
        <f>IF(TbRegistrosSaídas[[#This Row],[Data da Competência]]="",0,YEAR(TbRegistrosSaídas[[#This Row],[Data da Competência]]))</f>
        <v>2018</v>
      </c>
      <c r="M96" s="40">
        <f>IF(TbRegistrosSaídas[[#This Row],[Data do Caixa Previsto]]="",0,MONTH(TbRegistrosSaídas[[#This Row],[Data do Caixa Previsto]]))</f>
        <v>5</v>
      </c>
      <c r="N96" s="40">
        <f>IF(TbRegistrosSaídas[[#This Row],[Data do Caixa Previsto]]="",0,YEAR(TbRegistrosSaídas[[#This Row],[Data do Caixa Previsto]]))</f>
        <v>2018</v>
      </c>
      <c r="O9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17.339637859593495</v>
      </c>
    </row>
    <row r="97" spans="2:15" x14ac:dyDescent="0.25">
      <c r="B97" s="15">
        <v>43251.616600040084</v>
      </c>
      <c r="C97" s="15">
        <v>43222</v>
      </c>
      <c r="D97" s="15">
        <v>43251.616600040084</v>
      </c>
      <c r="E97" t="s">
        <v>43</v>
      </c>
      <c r="F97" t="s">
        <v>31</v>
      </c>
      <c r="G97" s="13" t="s">
        <v>378</v>
      </c>
      <c r="H97" s="16">
        <v>2975</v>
      </c>
      <c r="I97">
        <f>IF(TbRegistrosSaídas[[#This Row],[Data do Caixa Realizado]]="",0,MONTH(TbRegistrosSaídas[[#This Row],[Data do Caixa Realizado]]))</f>
        <v>5</v>
      </c>
      <c r="J97">
        <f>IF(TbRegistrosSaídas[[#This Row],[Data do Caixa Realizado]]="",0,YEAR(TbRegistrosSaídas[[#This Row],[Data do Caixa Realizado]]))</f>
        <v>2018</v>
      </c>
      <c r="K97">
        <f>IF(TbRegistrosSaídas[[#This Row],[Data da Competência]]="",0,MONTH(TbRegistrosSaídas[[#This Row],[Data da Competência]]))</f>
        <v>5</v>
      </c>
      <c r="L97">
        <f>IF(TbRegistrosSaídas[[#This Row],[Data da Competência]]="",0,YEAR(TbRegistrosSaídas[[#This Row],[Data da Competência]]))</f>
        <v>2018</v>
      </c>
      <c r="M97" s="40">
        <f>IF(TbRegistrosSaídas[[#This Row],[Data do Caixa Previsto]]="",0,MONTH(TbRegistrosSaídas[[#This Row],[Data do Caixa Previsto]]))</f>
        <v>5</v>
      </c>
      <c r="N97" s="40">
        <f>IF(TbRegistrosSaídas[[#This Row],[Data do Caixa Previsto]]="",0,YEAR(TbRegistrosSaídas[[#This Row],[Data do Caixa Previsto]]))</f>
        <v>2018</v>
      </c>
      <c r="O9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8" spans="2:15" x14ac:dyDescent="0.25">
      <c r="B98" s="15">
        <v>43228.679133753983</v>
      </c>
      <c r="C98" s="15">
        <v>43223</v>
      </c>
      <c r="D98" s="15">
        <v>43228.679133753983</v>
      </c>
      <c r="E98" t="s">
        <v>43</v>
      </c>
      <c r="F98" t="s">
        <v>44</v>
      </c>
      <c r="G98" s="13" t="s">
        <v>379</v>
      </c>
      <c r="H98" s="16">
        <v>4807</v>
      </c>
      <c r="I98">
        <f>IF(TbRegistrosSaídas[[#This Row],[Data do Caixa Realizado]]="",0,MONTH(TbRegistrosSaídas[[#This Row],[Data do Caixa Realizado]]))</f>
        <v>5</v>
      </c>
      <c r="J98">
        <f>IF(TbRegistrosSaídas[[#This Row],[Data do Caixa Realizado]]="",0,YEAR(TbRegistrosSaídas[[#This Row],[Data do Caixa Realizado]]))</f>
        <v>2018</v>
      </c>
      <c r="K98">
        <f>IF(TbRegistrosSaídas[[#This Row],[Data da Competência]]="",0,MONTH(TbRegistrosSaídas[[#This Row],[Data da Competência]]))</f>
        <v>5</v>
      </c>
      <c r="L98">
        <f>IF(TbRegistrosSaídas[[#This Row],[Data da Competência]]="",0,YEAR(TbRegistrosSaídas[[#This Row],[Data da Competência]]))</f>
        <v>2018</v>
      </c>
      <c r="M98" s="40">
        <f>IF(TbRegistrosSaídas[[#This Row],[Data do Caixa Previsto]]="",0,MONTH(TbRegistrosSaídas[[#This Row],[Data do Caixa Previsto]]))</f>
        <v>5</v>
      </c>
      <c r="N98" s="40">
        <f>IF(TbRegistrosSaídas[[#This Row],[Data do Caixa Previsto]]="",0,YEAR(TbRegistrosSaídas[[#This Row],[Data do Caixa Previsto]]))</f>
        <v>2018</v>
      </c>
      <c r="O9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99" spans="2:15" x14ac:dyDescent="0.25">
      <c r="B99" s="15">
        <v>43264.296949259209</v>
      </c>
      <c r="C99" s="15">
        <v>43230</v>
      </c>
      <c r="D99" s="15">
        <v>43264.296949259209</v>
      </c>
      <c r="E99" t="s">
        <v>43</v>
      </c>
      <c r="F99" t="s">
        <v>30</v>
      </c>
      <c r="G99" s="13" t="s">
        <v>380</v>
      </c>
      <c r="H99" s="16">
        <v>1882</v>
      </c>
      <c r="I99">
        <f>IF(TbRegistrosSaídas[[#This Row],[Data do Caixa Realizado]]="",0,MONTH(TbRegistrosSaídas[[#This Row],[Data do Caixa Realizado]]))</f>
        <v>6</v>
      </c>
      <c r="J99">
        <f>IF(TbRegistrosSaídas[[#This Row],[Data do Caixa Realizado]]="",0,YEAR(TbRegistrosSaídas[[#This Row],[Data do Caixa Realizado]]))</f>
        <v>2018</v>
      </c>
      <c r="K99">
        <f>IF(TbRegistrosSaídas[[#This Row],[Data da Competência]]="",0,MONTH(TbRegistrosSaídas[[#This Row],[Data da Competência]]))</f>
        <v>5</v>
      </c>
      <c r="L99">
        <f>IF(TbRegistrosSaídas[[#This Row],[Data da Competência]]="",0,YEAR(TbRegistrosSaídas[[#This Row],[Data da Competência]]))</f>
        <v>2018</v>
      </c>
      <c r="M99" s="40">
        <f>IF(TbRegistrosSaídas[[#This Row],[Data do Caixa Previsto]]="",0,MONTH(TbRegistrosSaídas[[#This Row],[Data do Caixa Previsto]]))</f>
        <v>6</v>
      </c>
      <c r="N99" s="40">
        <f>IF(TbRegistrosSaídas[[#This Row],[Data do Caixa Previsto]]="",0,YEAR(TbRegistrosSaídas[[#This Row],[Data do Caixa Previsto]]))</f>
        <v>2018</v>
      </c>
      <c r="O9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0" spans="2:15" x14ac:dyDescent="0.25">
      <c r="B100" s="15">
        <v>43278.791757178202</v>
      </c>
      <c r="C100" s="15">
        <v>43235</v>
      </c>
      <c r="D100" s="15">
        <v>43278.791757178202</v>
      </c>
      <c r="E100" t="s">
        <v>43</v>
      </c>
      <c r="F100" t="s">
        <v>34</v>
      </c>
      <c r="G100" s="13" t="s">
        <v>381</v>
      </c>
      <c r="H100" s="16">
        <v>3932</v>
      </c>
      <c r="I100">
        <f>IF(TbRegistrosSaídas[[#This Row],[Data do Caixa Realizado]]="",0,MONTH(TbRegistrosSaídas[[#This Row],[Data do Caixa Realizado]]))</f>
        <v>6</v>
      </c>
      <c r="J100">
        <f>IF(TbRegistrosSaídas[[#This Row],[Data do Caixa Realizado]]="",0,YEAR(TbRegistrosSaídas[[#This Row],[Data do Caixa Realizado]]))</f>
        <v>2018</v>
      </c>
      <c r="K100">
        <f>IF(TbRegistrosSaídas[[#This Row],[Data da Competência]]="",0,MONTH(TbRegistrosSaídas[[#This Row],[Data da Competência]]))</f>
        <v>5</v>
      </c>
      <c r="L100">
        <f>IF(TbRegistrosSaídas[[#This Row],[Data da Competência]]="",0,YEAR(TbRegistrosSaídas[[#This Row],[Data da Competência]]))</f>
        <v>2018</v>
      </c>
      <c r="M100" s="40">
        <f>IF(TbRegistrosSaídas[[#This Row],[Data do Caixa Previsto]]="",0,MONTH(TbRegistrosSaídas[[#This Row],[Data do Caixa Previsto]]))</f>
        <v>6</v>
      </c>
      <c r="N100" s="40">
        <f>IF(TbRegistrosSaídas[[#This Row],[Data do Caixa Previsto]]="",0,YEAR(TbRegistrosSaídas[[#This Row],[Data do Caixa Previsto]]))</f>
        <v>2018</v>
      </c>
      <c r="O10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1" spans="2:15" x14ac:dyDescent="0.25">
      <c r="B101" s="15" t="s">
        <v>69</v>
      </c>
      <c r="C101" s="15">
        <v>43238</v>
      </c>
      <c r="D101" s="15">
        <v>43253.101312636762</v>
      </c>
      <c r="E101" t="s">
        <v>43</v>
      </c>
      <c r="F101" t="s">
        <v>44</v>
      </c>
      <c r="G101" s="13" t="s">
        <v>382</v>
      </c>
      <c r="H101" s="16">
        <v>701</v>
      </c>
      <c r="I101">
        <f>IF(TbRegistrosSaídas[[#This Row],[Data do Caixa Realizado]]="",0,MONTH(TbRegistrosSaídas[[#This Row],[Data do Caixa Realizado]]))</f>
        <v>0</v>
      </c>
      <c r="J101">
        <f>IF(TbRegistrosSaídas[[#This Row],[Data do Caixa Realizado]]="",0,YEAR(TbRegistrosSaídas[[#This Row],[Data do Caixa Realizado]]))</f>
        <v>0</v>
      </c>
      <c r="K101">
        <f>IF(TbRegistrosSaídas[[#This Row],[Data da Competência]]="",0,MONTH(TbRegistrosSaídas[[#This Row],[Data da Competência]]))</f>
        <v>5</v>
      </c>
      <c r="L101">
        <f>IF(TbRegistrosSaídas[[#This Row],[Data da Competência]]="",0,YEAR(TbRegistrosSaídas[[#This Row],[Data da Competência]]))</f>
        <v>2018</v>
      </c>
      <c r="M101" s="40">
        <f>IF(TbRegistrosSaídas[[#This Row],[Data do Caixa Previsto]]="",0,MONTH(TbRegistrosSaídas[[#This Row],[Data do Caixa Previsto]]))</f>
        <v>6</v>
      </c>
      <c r="N101" s="40">
        <f>IF(TbRegistrosSaídas[[#This Row],[Data do Caixa Previsto]]="",0,YEAR(TbRegistrosSaídas[[#This Row],[Data do Caixa Previsto]]))</f>
        <v>2018</v>
      </c>
      <c r="O10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2062.8986873632384</v>
      </c>
    </row>
    <row r="102" spans="2:15" x14ac:dyDescent="0.25">
      <c r="B102" s="15">
        <v>43278.250305144895</v>
      </c>
      <c r="C102" s="15">
        <v>43239</v>
      </c>
      <c r="D102" s="15">
        <v>43278.250305144895</v>
      </c>
      <c r="E102" t="s">
        <v>43</v>
      </c>
      <c r="F102" t="s">
        <v>44</v>
      </c>
      <c r="G102" s="13" t="s">
        <v>383</v>
      </c>
      <c r="H102" s="16">
        <v>2651</v>
      </c>
      <c r="I102">
        <f>IF(TbRegistrosSaídas[[#This Row],[Data do Caixa Realizado]]="",0,MONTH(TbRegistrosSaídas[[#This Row],[Data do Caixa Realizado]]))</f>
        <v>6</v>
      </c>
      <c r="J102">
        <f>IF(TbRegistrosSaídas[[#This Row],[Data do Caixa Realizado]]="",0,YEAR(TbRegistrosSaídas[[#This Row],[Data do Caixa Realizado]]))</f>
        <v>2018</v>
      </c>
      <c r="K102">
        <f>IF(TbRegistrosSaídas[[#This Row],[Data da Competência]]="",0,MONTH(TbRegistrosSaídas[[#This Row],[Data da Competência]]))</f>
        <v>5</v>
      </c>
      <c r="L102">
        <f>IF(TbRegistrosSaídas[[#This Row],[Data da Competência]]="",0,YEAR(TbRegistrosSaídas[[#This Row],[Data da Competência]]))</f>
        <v>2018</v>
      </c>
      <c r="M102" s="40">
        <f>IF(TbRegistrosSaídas[[#This Row],[Data do Caixa Previsto]]="",0,MONTH(TbRegistrosSaídas[[#This Row],[Data do Caixa Previsto]]))</f>
        <v>6</v>
      </c>
      <c r="N102" s="40">
        <f>IF(TbRegistrosSaídas[[#This Row],[Data do Caixa Previsto]]="",0,YEAR(TbRegistrosSaídas[[#This Row],[Data do Caixa Previsto]]))</f>
        <v>2018</v>
      </c>
      <c r="O10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3" spans="2:15" x14ac:dyDescent="0.25">
      <c r="B103" s="15">
        <v>43350.331612666698</v>
      </c>
      <c r="C103" s="15">
        <v>43246</v>
      </c>
      <c r="D103" s="15">
        <v>43282.817543595353</v>
      </c>
      <c r="E103" t="s">
        <v>43</v>
      </c>
      <c r="F103" t="s">
        <v>44</v>
      </c>
      <c r="G103" s="13" t="s">
        <v>384</v>
      </c>
      <c r="H103" s="16">
        <v>3792</v>
      </c>
      <c r="I103">
        <f>IF(TbRegistrosSaídas[[#This Row],[Data do Caixa Realizado]]="",0,MONTH(TbRegistrosSaídas[[#This Row],[Data do Caixa Realizado]]))</f>
        <v>9</v>
      </c>
      <c r="J103">
        <f>IF(TbRegistrosSaídas[[#This Row],[Data do Caixa Realizado]]="",0,YEAR(TbRegistrosSaídas[[#This Row],[Data do Caixa Realizado]]))</f>
        <v>2018</v>
      </c>
      <c r="K103">
        <f>IF(TbRegistrosSaídas[[#This Row],[Data da Competência]]="",0,MONTH(TbRegistrosSaídas[[#This Row],[Data da Competência]]))</f>
        <v>5</v>
      </c>
      <c r="L103">
        <f>IF(TbRegistrosSaídas[[#This Row],[Data da Competência]]="",0,YEAR(TbRegistrosSaídas[[#This Row],[Data da Competência]]))</f>
        <v>2018</v>
      </c>
      <c r="M103" s="40">
        <f>IF(TbRegistrosSaídas[[#This Row],[Data do Caixa Previsto]]="",0,MONTH(TbRegistrosSaídas[[#This Row],[Data do Caixa Previsto]]))</f>
        <v>7</v>
      </c>
      <c r="N103" s="40">
        <f>IF(TbRegistrosSaídas[[#This Row],[Data do Caixa Previsto]]="",0,YEAR(TbRegistrosSaídas[[#This Row],[Data do Caixa Previsto]]))</f>
        <v>2018</v>
      </c>
      <c r="O10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67.514069071345148</v>
      </c>
    </row>
    <row r="104" spans="2:15" x14ac:dyDescent="0.25">
      <c r="B104" s="15">
        <v>43334.039973021354</v>
      </c>
      <c r="C104" s="15">
        <v>43248</v>
      </c>
      <c r="D104" s="15">
        <v>43306.553383849692</v>
      </c>
      <c r="E104" t="s">
        <v>43</v>
      </c>
      <c r="F104" t="s">
        <v>34</v>
      </c>
      <c r="G104" s="13" t="s">
        <v>385</v>
      </c>
      <c r="H104" s="16">
        <v>611</v>
      </c>
      <c r="I104">
        <f>IF(TbRegistrosSaídas[[#This Row],[Data do Caixa Realizado]]="",0,MONTH(TbRegistrosSaídas[[#This Row],[Data do Caixa Realizado]]))</f>
        <v>8</v>
      </c>
      <c r="J104">
        <f>IF(TbRegistrosSaídas[[#This Row],[Data do Caixa Realizado]]="",0,YEAR(TbRegistrosSaídas[[#This Row],[Data do Caixa Realizado]]))</f>
        <v>2018</v>
      </c>
      <c r="K104">
        <f>IF(TbRegistrosSaídas[[#This Row],[Data da Competência]]="",0,MONTH(TbRegistrosSaídas[[#This Row],[Data da Competência]]))</f>
        <v>5</v>
      </c>
      <c r="L104">
        <f>IF(TbRegistrosSaídas[[#This Row],[Data da Competência]]="",0,YEAR(TbRegistrosSaídas[[#This Row],[Data da Competência]]))</f>
        <v>2018</v>
      </c>
      <c r="M104" s="40">
        <f>IF(TbRegistrosSaídas[[#This Row],[Data do Caixa Previsto]]="",0,MONTH(TbRegistrosSaídas[[#This Row],[Data do Caixa Previsto]]))</f>
        <v>7</v>
      </c>
      <c r="N104" s="40">
        <f>IF(TbRegistrosSaídas[[#This Row],[Data do Caixa Previsto]]="",0,YEAR(TbRegistrosSaídas[[#This Row],[Data do Caixa Previsto]]))</f>
        <v>2018</v>
      </c>
      <c r="O10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27.486589171661763</v>
      </c>
    </row>
    <row r="105" spans="2:15" x14ac:dyDescent="0.25">
      <c r="B105" s="15">
        <v>43292.621992013512</v>
      </c>
      <c r="C105" s="15">
        <v>43251</v>
      </c>
      <c r="D105" s="15">
        <v>43292.621992013512</v>
      </c>
      <c r="E105" t="s">
        <v>43</v>
      </c>
      <c r="F105" t="s">
        <v>31</v>
      </c>
      <c r="G105" s="13" t="s">
        <v>386</v>
      </c>
      <c r="H105" s="16">
        <v>3431</v>
      </c>
      <c r="I105">
        <f>IF(TbRegistrosSaídas[[#This Row],[Data do Caixa Realizado]]="",0,MONTH(TbRegistrosSaídas[[#This Row],[Data do Caixa Realizado]]))</f>
        <v>7</v>
      </c>
      <c r="J105">
        <f>IF(TbRegistrosSaídas[[#This Row],[Data do Caixa Realizado]]="",0,YEAR(TbRegistrosSaídas[[#This Row],[Data do Caixa Realizado]]))</f>
        <v>2018</v>
      </c>
      <c r="K105">
        <f>IF(TbRegistrosSaídas[[#This Row],[Data da Competência]]="",0,MONTH(TbRegistrosSaídas[[#This Row],[Data da Competência]]))</f>
        <v>5</v>
      </c>
      <c r="L105">
        <f>IF(TbRegistrosSaídas[[#This Row],[Data da Competência]]="",0,YEAR(TbRegistrosSaídas[[#This Row],[Data da Competência]]))</f>
        <v>2018</v>
      </c>
      <c r="M105" s="40">
        <f>IF(TbRegistrosSaídas[[#This Row],[Data do Caixa Previsto]]="",0,MONTH(TbRegistrosSaídas[[#This Row],[Data do Caixa Previsto]]))</f>
        <v>7</v>
      </c>
      <c r="N105" s="40">
        <f>IF(TbRegistrosSaídas[[#This Row],[Data do Caixa Previsto]]="",0,YEAR(TbRegistrosSaídas[[#This Row],[Data do Caixa Previsto]]))</f>
        <v>2018</v>
      </c>
      <c r="O10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6" spans="2:15" x14ac:dyDescent="0.25">
      <c r="B106" s="15">
        <v>43279.068040624879</v>
      </c>
      <c r="C106" s="15">
        <v>43253</v>
      </c>
      <c r="D106" s="15">
        <v>43279.068040624879</v>
      </c>
      <c r="E106" t="s">
        <v>43</v>
      </c>
      <c r="F106" t="s">
        <v>44</v>
      </c>
      <c r="G106" s="13" t="s">
        <v>387</v>
      </c>
      <c r="H106" s="16">
        <v>3670</v>
      </c>
      <c r="I106">
        <f>IF(TbRegistrosSaídas[[#This Row],[Data do Caixa Realizado]]="",0,MONTH(TbRegistrosSaídas[[#This Row],[Data do Caixa Realizado]]))</f>
        <v>6</v>
      </c>
      <c r="J106">
        <f>IF(TbRegistrosSaídas[[#This Row],[Data do Caixa Realizado]]="",0,YEAR(TbRegistrosSaídas[[#This Row],[Data do Caixa Realizado]]))</f>
        <v>2018</v>
      </c>
      <c r="K106">
        <f>IF(TbRegistrosSaídas[[#This Row],[Data da Competência]]="",0,MONTH(TbRegistrosSaídas[[#This Row],[Data da Competência]]))</f>
        <v>6</v>
      </c>
      <c r="L106">
        <f>IF(TbRegistrosSaídas[[#This Row],[Data da Competência]]="",0,YEAR(TbRegistrosSaídas[[#This Row],[Data da Competência]]))</f>
        <v>2018</v>
      </c>
      <c r="M106" s="40">
        <f>IF(TbRegistrosSaídas[[#This Row],[Data do Caixa Previsto]]="",0,MONTH(TbRegistrosSaídas[[#This Row],[Data do Caixa Previsto]]))</f>
        <v>6</v>
      </c>
      <c r="N106" s="40">
        <f>IF(TbRegistrosSaídas[[#This Row],[Data do Caixa Previsto]]="",0,YEAR(TbRegistrosSaídas[[#This Row],[Data do Caixa Previsto]]))</f>
        <v>2018</v>
      </c>
      <c r="O10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7" spans="2:15" x14ac:dyDescent="0.25">
      <c r="B107" s="15">
        <v>43259.6666754662</v>
      </c>
      <c r="C107" s="15">
        <v>43255</v>
      </c>
      <c r="D107" s="15">
        <v>43259.6666754662</v>
      </c>
      <c r="E107" t="s">
        <v>43</v>
      </c>
      <c r="F107" t="s">
        <v>44</v>
      </c>
      <c r="G107" s="13" t="s">
        <v>388</v>
      </c>
      <c r="H107" s="16">
        <v>4320</v>
      </c>
      <c r="I107">
        <f>IF(TbRegistrosSaídas[[#This Row],[Data do Caixa Realizado]]="",0,MONTH(TbRegistrosSaídas[[#This Row],[Data do Caixa Realizado]]))</f>
        <v>6</v>
      </c>
      <c r="J107">
        <f>IF(TbRegistrosSaídas[[#This Row],[Data do Caixa Realizado]]="",0,YEAR(TbRegistrosSaídas[[#This Row],[Data do Caixa Realizado]]))</f>
        <v>2018</v>
      </c>
      <c r="K107">
        <f>IF(TbRegistrosSaídas[[#This Row],[Data da Competência]]="",0,MONTH(TbRegistrosSaídas[[#This Row],[Data da Competência]]))</f>
        <v>6</v>
      </c>
      <c r="L107">
        <f>IF(TbRegistrosSaídas[[#This Row],[Data da Competência]]="",0,YEAR(TbRegistrosSaídas[[#This Row],[Data da Competência]]))</f>
        <v>2018</v>
      </c>
      <c r="M107" s="40">
        <f>IF(TbRegistrosSaídas[[#This Row],[Data do Caixa Previsto]]="",0,MONTH(TbRegistrosSaídas[[#This Row],[Data do Caixa Previsto]]))</f>
        <v>6</v>
      </c>
      <c r="N107" s="40">
        <f>IF(TbRegistrosSaídas[[#This Row],[Data do Caixa Previsto]]="",0,YEAR(TbRegistrosSaídas[[#This Row],[Data do Caixa Previsto]]))</f>
        <v>2018</v>
      </c>
      <c r="O10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8" spans="2:15" x14ac:dyDescent="0.25">
      <c r="B108" s="15">
        <v>43282.67946727157</v>
      </c>
      <c r="C108" s="15">
        <v>43256</v>
      </c>
      <c r="D108" s="15">
        <v>43282.67946727157</v>
      </c>
      <c r="E108" t="s">
        <v>43</v>
      </c>
      <c r="F108" t="s">
        <v>31</v>
      </c>
      <c r="G108" s="13" t="s">
        <v>389</v>
      </c>
      <c r="H108" s="16">
        <v>1809</v>
      </c>
      <c r="I108">
        <f>IF(TbRegistrosSaídas[[#This Row],[Data do Caixa Realizado]]="",0,MONTH(TbRegistrosSaídas[[#This Row],[Data do Caixa Realizado]]))</f>
        <v>7</v>
      </c>
      <c r="J108">
        <f>IF(TbRegistrosSaídas[[#This Row],[Data do Caixa Realizado]]="",0,YEAR(TbRegistrosSaídas[[#This Row],[Data do Caixa Realizado]]))</f>
        <v>2018</v>
      </c>
      <c r="K108">
        <f>IF(TbRegistrosSaídas[[#This Row],[Data da Competência]]="",0,MONTH(TbRegistrosSaídas[[#This Row],[Data da Competência]]))</f>
        <v>6</v>
      </c>
      <c r="L108">
        <f>IF(TbRegistrosSaídas[[#This Row],[Data da Competência]]="",0,YEAR(TbRegistrosSaídas[[#This Row],[Data da Competência]]))</f>
        <v>2018</v>
      </c>
      <c r="M108" s="40">
        <f>IF(TbRegistrosSaídas[[#This Row],[Data do Caixa Previsto]]="",0,MONTH(TbRegistrosSaídas[[#This Row],[Data do Caixa Previsto]]))</f>
        <v>7</v>
      </c>
      <c r="N108" s="40">
        <f>IF(TbRegistrosSaídas[[#This Row],[Data do Caixa Previsto]]="",0,YEAR(TbRegistrosSaídas[[#This Row],[Data do Caixa Previsto]]))</f>
        <v>2018</v>
      </c>
      <c r="O10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09" spans="2:15" x14ac:dyDescent="0.25">
      <c r="B109" s="15">
        <v>43306.811336210056</v>
      </c>
      <c r="C109" s="15">
        <v>43258</v>
      </c>
      <c r="D109" s="15">
        <v>43306.811336210056</v>
      </c>
      <c r="E109" t="s">
        <v>43</v>
      </c>
      <c r="F109" t="s">
        <v>44</v>
      </c>
      <c r="G109" s="13" t="s">
        <v>390</v>
      </c>
      <c r="H109" s="16">
        <v>667</v>
      </c>
      <c r="I109">
        <f>IF(TbRegistrosSaídas[[#This Row],[Data do Caixa Realizado]]="",0,MONTH(TbRegistrosSaídas[[#This Row],[Data do Caixa Realizado]]))</f>
        <v>7</v>
      </c>
      <c r="J109">
        <f>IF(TbRegistrosSaídas[[#This Row],[Data do Caixa Realizado]]="",0,YEAR(TbRegistrosSaídas[[#This Row],[Data do Caixa Realizado]]))</f>
        <v>2018</v>
      </c>
      <c r="K109">
        <f>IF(TbRegistrosSaídas[[#This Row],[Data da Competência]]="",0,MONTH(TbRegistrosSaídas[[#This Row],[Data da Competência]]))</f>
        <v>6</v>
      </c>
      <c r="L109">
        <f>IF(TbRegistrosSaídas[[#This Row],[Data da Competência]]="",0,YEAR(TbRegistrosSaídas[[#This Row],[Data da Competência]]))</f>
        <v>2018</v>
      </c>
      <c r="M109" s="40">
        <f>IF(TbRegistrosSaídas[[#This Row],[Data do Caixa Previsto]]="",0,MONTH(TbRegistrosSaídas[[#This Row],[Data do Caixa Previsto]]))</f>
        <v>7</v>
      </c>
      <c r="N109" s="40">
        <f>IF(TbRegistrosSaídas[[#This Row],[Data do Caixa Previsto]]="",0,YEAR(TbRegistrosSaídas[[#This Row],[Data do Caixa Previsto]]))</f>
        <v>2018</v>
      </c>
      <c r="O10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0" spans="2:15" x14ac:dyDescent="0.25">
      <c r="B110" s="15">
        <v>43269.791763204586</v>
      </c>
      <c r="C110" s="15">
        <v>43262</v>
      </c>
      <c r="D110" s="15">
        <v>43269.791763204586</v>
      </c>
      <c r="E110" t="s">
        <v>43</v>
      </c>
      <c r="F110" t="s">
        <v>30</v>
      </c>
      <c r="G110" s="13" t="s">
        <v>391</v>
      </c>
      <c r="H110" s="16">
        <v>1613</v>
      </c>
      <c r="I110">
        <f>IF(TbRegistrosSaídas[[#This Row],[Data do Caixa Realizado]]="",0,MONTH(TbRegistrosSaídas[[#This Row],[Data do Caixa Realizado]]))</f>
        <v>6</v>
      </c>
      <c r="J110">
        <f>IF(TbRegistrosSaídas[[#This Row],[Data do Caixa Realizado]]="",0,YEAR(TbRegistrosSaídas[[#This Row],[Data do Caixa Realizado]]))</f>
        <v>2018</v>
      </c>
      <c r="K110">
        <f>IF(TbRegistrosSaídas[[#This Row],[Data da Competência]]="",0,MONTH(TbRegistrosSaídas[[#This Row],[Data da Competência]]))</f>
        <v>6</v>
      </c>
      <c r="L110">
        <f>IF(TbRegistrosSaídas[[#This Row],[Data da Competência]]="",0,YEAR(TbRegistrosSaídas[[#This Row],[Data da Competência]]))</f>
        <v>2018</v>
      </c>
      <c r="M110" s="40">
        <f>IF(TbRegistrosSaídas[[#This Row],[Data do Caixa Previsto]]="",0,MONTH(TbRegistrosSaídas[[#This Row],[Data do Caixa Previsto]]))</f>
        <v>6</v>
      </c>
      <c r="N110" s="40">
        <f>IF(TbRegistrosSaídas[[#This Row],[Data do Caixa Previsto]]="",0,YEAR(TbRegistrosSaídas[[#This Row],[Data do Caixa Previsto]]))</f>
        <v>2018</v>
      </c>
      <c r="O11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1" spans="2:15" x14ac:dyDescent="0.25">
      <c r="B111" s="15">
        <v>43309.241793705783</v>
      </c>
      <c r="C111" s="15">
        <v>43268</v>
      </c>
      <c r="D111" s="15">
        <v>43309.241793705783</v>
      </c>
      <c r="E111" t="s">
        <v>43</v>
      </c>
      <c r="F111" t="s">
        <v>34</v>
      </c>
      <c r="G111" s="13" t="s">
        <v>392</v>
      </c>
      <c r="H111" s="16">
        <v>3756</v>
      </c>
      <c r="I111">
        <f>IF(TbRegistrosSaídas[[#This Row],[Data do Caixa Realizado]]="",0,MONTH(TbRegistrosSaídas[[#This Row],[Data do Caixa Realizado]]))</f>
        <v>7</v>
      </c>
      <c r="J111">
        <f>IF(TbRegistrosSaídas[[#This Row],[Data do Caixa Realizado]]="",0,YEAR(TbRegistrosSaídas[[#This Row],[Data do Caixa Realizado]]))</f>
        <v>2018</v>
      </c>
      <c r="K111">
        <f>IF(TbRegistrosSaídas[[#This Row],[Data da Competência]]="",0,MONTH(TbRegistrosSaídas[[#This Row],[Data da Competência]]))</f>
        <v>6</v>
      </c>
      <c r="L111">
        <f>IF(TbRegistrosSaídas[[#This Row],[Data da Competência]]="",0,YEAR(TbRegistrosSaídas[[#This Row],[Data da Competência]]))</f>
        <v>2018</v>
      </c>
      <c r="M111" s="40">
        <f>IF(TbRegistrosSaídas[[#This Row],[Data do Caixa Previsto]]="",0,MONTH(TbRegistrosSaídas[[#This Row],[Data do Caixa Previsto]]))</f>
        <v>7</v>
      </c>
      <c r="N111" s="40">
        <f>IF(TbRegistrosSaídas[[#This Row],[Data do Caixa Previsto]]="",0,YEAR(TbRegistrosSaídas[[#This Row],[Data do Caixa Previsto]]))</f>
        <v>2018</v>
      </c>
      <c r="O11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2" spans="2:15" x14ac:dyDescent="0.25">
      <c r="B112" s="15">
        <v>43328.010321588059</v>
      </c>
      <c r="C112" s="15">
        <v>43271</v>
      </c>
      <c r="D112" s="15">
        <v>43328.010321588059</v>
      </c>
      <c r="E112" t="s">
        <v>43</v>
      </c>
      <c r="F112" t="s">
        <v>31</v>
      </c>
      <c r="G112" s="13" t="s">
        <v>393</v>
      </c>
      <c r="H112" s="16">
        <v>3672</v>
      </c>
      <c r="I112">
        <f>IF(TbRegistrosSaídas[[#This Row],[Data do Caixa Realizado]]="",0,MONTH(TbRegistrosSaídas[[#This Row],[Data do Caixa Realizado]]))</f>
        <v>8</v>
      </c>
      <c r="J112">
        <f>IF(TbRegistrosSaídas[[#This Row],[Data do Caixa Realizado]]="",0,YEAR(TbRegistrosSaídas[[#This Row],[Data do Caixa Realizado]]))</f>
        <v>2018</v>
      </c>
      <c r="K112">
        <f>IF(TbRegistrosSaídas[[#This Row],[Data da Competência]]="",0,MONTH(TbRegistrosSaídas[[#This Row],[Data da Competência]]))</f>
        <v>6</v>
      </c>
      <c r="L112">
        <f>IF(TbRegistrosSaídas[[#This Row],[Data da Competência]]="",0,YEAR(TbRegistrosSaídas[[#This Row],[Data da Competência]]))</f>
        <v>2018</v>
      </c>
      <c r="M112" s="40">
        <f>IF(TbRegistrosSaídas[[#This Row],[Data do Caixa Previsto]]="",0,MONTH(TbRegistrosSaídas[[#This Row],[Data do Caixa Previsto]]))</f>
        <v>8</v>
      </c>
      <c r="N112" s="40">
        <f>IF(TbRegistrosSaídas[[#This Row],[Data do Caixa Previsto]]="",0,YEAR(TbRegistrosSaídas[[#This Row],[Data do Caixa Previsto]]))</f>
        <v>2018</v>
      </c>
      <c r="O11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3" spans="2:15" x14ac:dyDescent="0.25">
      <c r="B113" s="15">
        <v>43329.109711177305</v>
      </c>
      <c r="C113" s="15">
        <v>43277</v>
      </c>
      <c r="D113" s="15">
        <v>43288.040879967026</v>
      </c>
      <c r="E113" t="s">
        <v>43</v>
      </c>
      <c r="F113" t="s">
        <v>44</v>
      </c>
      <c r="G113" s="13" t="s">
        <v>394</v>
      </c>
      <c r="H113" s="16">
        <v>658</v>
      </c>
      <c r="I113">
        <f>IF(TbRegistrosSaídas[[#This Row],[Data do Caixa Realizado]]="",0,MONTH(TbRegistrosSaídas[[#This Row],[Data do Caixa Realizado]]))</f>
        <v>8</v>
      </c>
      <c r="J113">
        <f>IF(TbRegistrosSaídas[[#This Row],[Data do Caixa Realizado]]="",0,YEAR(TbRegistrosSaídas[[#This Row],[Data do Caixa Realizado]]))</f>
        <v>2018</v>
      </c>
      <c r="K113">
        <f>IF(TbRegistrosSaídas[[#This Row],[Data da Competência]]="",0,MONTH(TbRegistrosSaídas[[#This Row],[Data da Competência]]))</f>
        <v>6</v>
      </c>
      <c r="L113">
        <f>IF(TbRegistrosSaídas[[#This Row],[Data da Competência]]="",0,YEAR(TbRegistrosSaídas[[#This Row],[Data da Competência]]))</f>
        <v>2018</v>
      </c>
      <c r="M113" s="40">
        <f>IF(TbRegistrosSaídas[[#This Row],[Data do Caixa Previsto]]="",0,MONTH(TbRegistrosSaídas[[#This Row],[Data do Caixa Previsto]]))</f>
        <v>7</v>
      </c>
      <c r="N113" s="40">
        <f>IF(TbRegistrosSaídas[[#This Row],[Data do Caixa Previsto]]="",0,YEAR(TbRegistrosSaídas[[#This Row],[Data do Caixa Previsto]]))</f>
        <v>2018</v>
      </c>
      <c r="O11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41.068831210279313</v>
      </c>
    </row>
    <row r="114" spans="2:15" x14ac:dyDescent="0.25">
      <c r="B114" s="15">
        <v>43336.432893175937</v>
      </c>
      <c r="C114" s="15">
        <v>43280</v>
      </c>
      <c r="D114" s="15">
        <v>43336.432893175937</v>
      </c>
      <c r="E114" t="s">
        <v>43</v>
      </c>
      <c r="F114" t="s">
        <v>31</v>
      </c>
      <c r="G114" s="13" t="s">
        <v>395</v>
      </c>
      <c r="H114" s="16">
        <v>4762</v>
      </c>
      <c r="I114">
        <f>IF(TbRegistrosSaídas[[#This Row],[Data do Caixa Realizado]]="",0,MONTH(TbRegistrosSaídas[[#This Row],[Data do Caixa Realizado]]))</f>
        <v>8</v>
      </c>
      <c r="J114">
        <f>IF(TbRegistrosSaídas[[#This Row],[Data do Caixa Realizado]]="",0,YEAR(TbRegistrosSaídas[[#This Row],[Data do Caixa Realizado]]))</f>
        <v>2018</v>
      </c>
      <c r="K114">
        <f>IF(TbRegistrosSaídas[[#This Row],[Data da Competência]]="",0,MONTH(TbRegistrosSaídas[[#This Row],[Data da Competência]]))</f>
        <v>6</v>
      </c>
      <c r="L114">
        <f>IF(TbRegistrosSaídas[[#This Row],[Data da Competência]]="",0,YEAR(TbRegistrosSaídas[[#This Row],[Data da Competência]]))</f>
        <v>2018</v>
      </c>
      <c r="M114" s="40">
        <f>IF(TbRegistrosSaídas[[#This Row],[Data do Caixa Previsto]]="",0,MONTH(TbRegistrosSaídas[[#This Row],[Data do Caixa Previsto]]))</f>
        <v>8</v>
      </c>
      <c r="N114" s="40">
        <f>IF(TbRegistrosSaídas[[#This Row],[Data do Caixa Previsto]]="",0,YEAR(TbRegistrosSaídas[[#This Row],[Data do Caixa Previsto]]))</f>
        <v>2018</v>
      </c>
      <c r="O11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5" spans="2:15" x14ac:dyDescent="0.25">
      <c r="B115" s="15">
        <v>43290.700268540626</v>
      </c>
      <c r="C115" s="15">
        <v>43283</v>
      </c>
      <c r="D115" s="15">
        <v>43290.700268540626</v>
      </c>
      <c r="E115" t="s">
        <v>43</v>
      </c>
      <c r="F115" t="s">
        <v>34</v>
      </c>
      <c r="G115" s="13" t="s">
        <v>396</v>
      </c>
      <c r="H115" s="16">
        <v>2186</v>
      </c>
      <c r="I115">
        <f>IF(TbRegistrosSaídas[[#This Row],[Data do Caixa Realizado]]="",0,MONTH(TbRegistrosSaídas[[#This Row],[Data do Caixa Realizado]]))</f>
        <v>7</v>
      </c>
      <c r="J115">
        <f>IF(TbRegistrosSaídas[[#This Row],[Data do Caixa Realizado]]="",0,YEAR(TbRegistrosSaídas[[#This Row],[Data do Caixa Realizado]]))</f>
        <v>2018</v>
      </c>
      <c r="K115">
        <f>IF(TbRegistrosSaídas[[#This Row],[Data da Competência]]="",0,MONTH(TbRegistrosSaídas[[#This Row],[Data da Competência]]))</f>
        <v>7</v>
      </c>
      <c r="L115">
        <f>IF(TbRegistrosSaídas[[#This Row],[Data da Competência]]="",0,YEAR(TbRegistrosSaídas[[#This Row],[Data da Competência]]))</f>
        <v>2018</v>
      </c>
      <c r="M115" s="40">
        <f>IF(TbRegistrosSaídas[[#This Row],[Data do Caixa Previsto]]="",0,MONTH(TbRegistrosSaídas[[#This Row],[Data do Caixa Previsto]]))</f>
        <v>7</v>
      </c>
      <c r="N115" s="40">
        <f>IF(TbRegistrosSaídas[[#This Row],[Data do Caixa Previsto]]="",0,YEAR(TbRegistrosSaídas[[#This Row],[Data do Caixa Previsto]]))</f>
        <v>2018</v>
      </c>
      <c r="O11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6" spans="2:15" x14ac:dyDescent="0.25">
      <c r="B116" s="15">
        <v>43305.188654160578</v>
      </c>
      <c r="C116" s="15">
        <v>43284</v>
      </c>
      <c r="D116" s="15">
        <v>43305.188654160578</v>
      </c>
      <c r="E116" t="s">
        <v>43</v>
      </c>
      <c r="F116" t="s">
        <v>31</v>
      </c>
      <c r="G116" s="13" t="s">
        <v>397</v>
      </c>
      <c r="H116" s="16">
        <v>3411</v>
      </c>
      <c r="I116">
        <f>IF(TbRegistrosSaídas[[#This Row],[Data do Caixa Realizado]]="",0,MONTH(TbRegistrosSaídas[[#This Row],[Data do Caixa Realizado]]))</f>
        <v>7</v>
      </c>
      <c r="J116">
        <f>IF(TbRegistrosSaídas[[#This Row],[Data do Caixa Realizado]]="",0,YEAR(TbRegistrosSaídas[[#This Row],[Data do Caixa Realizado]]))</f>
        <v>2018</v>
      </c>
      <c r="K116">
        <f>IF(TbRegistrosSaídas[[#This Row],[Data da Competência]]="",0,MONTH(TbRegistrosSaídas[[#This Row],[Data da Competência]]))</f>
        <v>7</v>
      </c>
      <c r="L116">
        <f>IF(TbRegistrosSaídas[[#This Row],[Data da Competência]]="",0,YEAR(TbRegistrosSaídas[[#This Row],[Data da Competência]]))</f>
        <v>2018</v>
      </c>
      <c r="M116" s="40">
        <f>IF(TbRegistrosSaídas[[#This Row],[Data do Caixa Previsto]]="",0,MONTH(TbRegistrosSaídas[[#This Row],[Data do Caixa Previsto]]))</f>
        <v>7</v>
      </c>
      <c r="N116" s="40">
        <f>IF(TbRegistrosSaídas[[#This Row],[Data do Caixa Previsto]]="",0,YEAR(TbRegistrosSaídas[[#This Row],[Data do Caixa Previsto]]))</f>
        <v>2018</v>
      </c>
      <c r="O11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7" spans="2:15" x14ac:dyDescent="0.25">
      <c r="B117" s="15">
        <v>43305.434626119764</v>
      </c>
      <c r="C117" s="15">
        <v>43289</v>
      </c>
      <c r="D117" s="15">
        <v>43305.434626119764</v>
      </c>
      <c r="E117" t="s">
        <v>43</v>
      </c>
      <c r="F117" t="s">
        <v>31</v>
      </c>
      <c r="G117" s="13" t="s">
        <v>398</v>
      </c>
      <c r="H117" s="16">
        <v>2524</v>
      </c>
      <c r="I117">
        <f>IF(TbRegistrosSaídas[[#This Row],[Data do Caixa Realizado]]="",0,MONTH(TbRegistrosSaídas[[#This Row],[Data do Caixa Realizado]]))</f>
        <v>7</v>
      </c>
      <c r="J117">
        <f>IF(TbRegistrosSaídas[[#This Row],[Data do Caixa Realizado]]="",0,YEAR(TbRegistrosSaídas[[#This Row],[Data do Caixa Realizado]]))</f>
        <v>2018</v>
      </c>
      <c r="K117">
        <f>IF(TbRegistrosSaídas[[#This Row],[Data da Competência]]="",0,MONTH(TbRegistrosSaídas[[#This Row],[Data da Competência]]))</f>
        <v>7</v>
      </c>
      <c r="L117">
        <f>IF(TbRegistrosSaídas[[#This Row],[Data da Competência]]="",0,YEAR(TbRegistrosSaídas[[#This Row],[Data da Competência]]))</f>
        <v>2018</v>
      </c>
      <c r="M117" s="40">
        <f>IF(TbRegistrosSaídas[[#This Row],[Data do Caixa Previsto]]="",0,MONTH(TbRegistrosSaídas[[#This Row],[Data do Caixa Previsto]]))</f>
        <v>7</v>
      </c>
      <c r="N117" s="40">
        <f>IF(TbRegistrosSaídas[[#This Row],[Data do Caixa Previsto]]="",0,YEAR(TbRegistrosSaídas[[#This Row],[Data do Caixa Previsto]]))</f>
        <v>2018</v>
      </c>
      <c r="O11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8" spans="2:15" x14ac:dyDescent="0.25">
      <c r="B118" s="15">
        <v>43313.176696691356</v>
      </c>
      <c r="C118" s="15">
        <v>43291</v>
      </c>
      <c r="D118" s="15">
        <v>43313.176696691356</v>
      </c>
      <c r="E118" t="s">
        <v>43</v>
      </c>
      <c r="F118" t="s">
        <v>34</v>
      </c>
      <c r="G118" s="13" t="s">
        <v>399</v>
      </c>
      <c r="H118" s="16">
        <v>1709</v>
      </c>
      <c r="I118">
        <f>IF(TbRegistrosSaídas[[#This Row],[Data do Caixa Realizado]]="",0,MONTH(TbRegistrosSaídas[[#This Row],[Data do Caixa Realizado]]))</f>
        <v>8</v>
      </c>
      <c r="J118">
        <f>IF(TbRegistrosSaídas[[#This Row],[Data do Caixa Realizado]]="",0,YEAR(TbRegistrosSaídas[[#This Row],[Data do Caixa Realizado]]))</f>
        <v>2018</v>
      </c>
      <c r="K118">
        <f>IF(TbRegistrosSaídas[[#This Row],[Data da Competência]]="",0,MONTH(TbRegistrosSaídas[[#This Row],[Data da Competência]]))</f>
        <v>7</v>
      </c>
      <c r="L118">
        <f>IF(TbRegistrosSaídas[[#This Row],[Data da Competência]]="",0,YEAR(TbRegistrosSaídas[[#This Row],[Data da Competência]]))</f>
        <v>2018</v>
      </c>
      <c r="M118" s="40">
        <f>IF(TbRegistrosSaídas[[#This Row],[Data do Caixa Previsto]]="",0,MONTH(TbRegistrosSaídas[[#This Row],[Data do Caixa Previsto]]))</f>
        <v>8</v>
      </c>
      <c r="N118" s="40">
        <f>IF(TbRegistrosSaídas[[#This Row],[Data do Caixa Previsto]]="",0,YEAR(TbRegistrosSaídas[[#This Row],[Data do Caixa Previsto]]))</f>
        <v>2018</v>
      </c>
      <c r="O11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19" spans="2:15" x14ac:dyDescent="0.25">
      <c r="B119" s="15">
        <v>43340.349295717155</v>
      </c>
      <c r="C119" s="15">
        <v>43296</v>
      </c>
      <c r="D119" s="15">
        <v>43340.349295717155</v>
      </c>
      <c r="E119" t="s">
        <v>43</v>
      </c>
      <c r="F119" t="s">
        <v>44</v>
      </c>
      <c r="G119" s="13" t="s">
        <v>400</v>
      </c>
      <c r="H119" s="16">
        <v>3181</v>
      </c>
      <c r="I119">
        <f>IF(TbRegistrosSaídas[[#This Row],[Data do Caixa Realizado]]="",0,MONTH(TbRegistrosSaídas[[#This Row],[Data do Caixa Realizado]]))</f>
        <v>8</v>
      </c>
      <c r="J119">
        <f>IF(TbRegistrosSaídas[[#This Row],[Data do Caixa Realizado]]="",0,YEAR(TbRegistrosSaídas[[#This Row],[Data do Caixa Realizado]]))</f>
        <v>2018</v>
      </c>
      <c r="K119">
        <f>IF(TbRegistrosSaídas[[#This Row],[Data da Competência]]="",0,MONTH(TbRegistrosSaídas[[#This Row],[Data da Competência]]))</f>
        <v>7</v>
      </c>
      <c r="L119">
        <f>IF(TbRegistrosSaídas[[#This Row],[Data da Competência]]="",0,YEAR(TbRegistrosSaídas[[#This Row],[Data da Competência]]))</f>
        <v>2018</v>
      </c>
      <c r="M119" s="40">
        <f>IF(TbRegistrosSaídas[[#This Row],[Data do Caixa Previsto]]="",0,MONTH(TbRegistrosSaídas[[#This Row],[Data do Caixa Previsto]]))</f>
        <v>8</v>
      </c>
      <c r="N119" s="40">
        <f>IF(TbRegistrosSaídas[[#This Row],[Data do Caixa Previsto]]="",0,YEAR(TbRegistrosSaídas[[#This Row],[Data do Caixa Previsto]]))</f>
        <v>2018</v>
      </c>
      <c r="O11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0" spans="2:15" x14ac:dyDescent="0.25">
      <c r="B120" s="15">
        <v>43321.703958375911</v>
      </c>
      <c r="C120" s="15">
        <v>43297</v>
      </c>
      <c r="D120" s="15">
        <v>43321.703958375911</v>
      </c>
      <c r="E120" t="s">
        <v>43</v>
      </c>
      <c r="F120" t="s">
        <v>32</v>
      </c>
      <c r="G120" s="13" t="s">
        <v>401</v>
      </c>
      <c r="H120" s="16">
        <v>1108</v>
      </c>
      <c r="I120">
        <f>IF(TbRegistrosSaídas[[#This Row],[Data do Caixa Realizado]]="",0,MONTH(TbRegistrosSaídas[[#This Row],[Data do Caixa Realizado]]))</f>
        <v>8</v>
      </c>
      <c r="J120">
        <f>IF(TbRegistrosSaídas[[#This Row],[Data do Caixa Realizado]]="",0,YEAR(TbRegistrosSaídas[[#This Row],[Data do Caixa Realizado]]))</f>
        <v>2018</v>
      </c>
      <c r="K120">
        <f>IF(TbRegistrosSaídas[[#This Row],[Data da Competência]]="",0,MONTH(TbRegistrosSaídas[[#This Row],[Data da Competência]]))</f>
        <v>7</v>
      </c>
      <c r="L120">
        <f>IF(TbRegistrosSaídas[[#This Row],[Data da Competência]]="",0,YEAR(TbRegistrosSaídas[[#This Row],[Data da Competência]]))</f>
        <v>2018</v>
      </c>
      <c r="M120" s="40">
        <f>IF(TbRegistrosSaídas[[#This Row],[Data do Caixa Previsto]]="",0,MONTH(TbRegistrosSaídas[[#This Row],[Data do Caixa Previsto]]))</f>
        <v>8</v>
      </c>
      <c r="N120" s="40">
        <f>IF(TbRegistrosSaídas[[#This Row],[Data do Caixa Previsto]]="",0,YEAR(TbRegistrosSaídas[[#This Row],[Data do Caixa Previsto]]))</f>
        <v>2018</v>
      </c>
      <c r="O12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1" spans="2:15" x14ac:dyDescent="0.25">
      <c r="B121" s="15">
        <v>43330.010675622812</v>
      </c>
      <c r="C121" s="15">
        <v>43298</v>
      </c>
      <c r="D121" s="15">
        <v>43330.010675622812</v>
      </c>
      <c r="E121" t="s">
        <v>43</v>
      </c>
      <c r="F121" t="s">
        <v>44</v>
      </c>
      <c r="G121" s="13" t="s">
        <v>402</v>
      </c>
      <c r="H121" s="16">
        <v>2777</v>
      </c>
      <c r="I121">
        <f>IF(TbRegistrosSaídas[[#This Row],[Data do Caixa Realizado]]="",0,MONTH(TbRegistrosSaídas[[#This Row],[Data do Caixa Realizado]]))</f>
        <v>8</v>
      </c>
      <c r="J121">
        <f>IF(TbRegistrosSaídas[[#This Row],[Data do Caixa Realizado]]="",0,YEAR(TbRegistrosSaídas[[#This Row],[Data do Caixa Realizado]]))</f>
        <v>2018</v>
      </c>
      <c r="K121">
        <f>IF(TbRegistrosSaídas[[#This Row],[Data da Competência]]="",0,MONTH(TbRegistrosSaídas[[#This Row],[Data da Competência]]))</f>
        <v>7</v>
      </c>
      <c r="L121">
        <f>IF(TbRegistrosSaídas[[#This Row],[Data da Competência]]="",0,YEAR(TbRegistrosSaídas[[#This Row],[Data da Competência]]))</f>
        <v>2018</v>
      </c>
      <c r="M121" s="40">
        <f>IF(TbRegistrosSaídas[[#This Row],[Data do Caixa Previsto]]="",0,MONTH(TbRegistrosSaídas[[#This Row],[Data do Caixa Previsto]]))</f>
        <v>8</v>
      </c>
      <c r="N121" s="40">
        <f>IF(TbRegistrosSaídas[[#This Row],[Data do Caixa Previsto]]="",0,YEAR(TbRegistrosSaídas[[#This Row],[Data do Caixa Previsto]]))</f>
        <v>2018</v>
      </c>
      <c r="O12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2" spans="2:15" x14ac:dyDescent="0.25">
      <c r="B122" s="15">
        <v>43357.040894197533</v>
      </c>
      <c r="C122" s="15">
        <v>43300</v>
      </c>
      <c r="D122" s="15">
        <v>43357.040894197533</v>
      </c>
      <c r="E122" t="s">
        <v>43</v>
      </c>
      <c r="F122" t="s">
        <v>34</v>
      </c>
      <c r="G122" s="13" t="s">
        <v>403</v>
      </c>
      <c r="H122" s="16">
        <v>3793</v>
      </c>
      <c r="I122">
        <f>IF(TbRegistrosSaídas[[#This Row],[Data do Caixa Realizado]]="",0,MONTH(TbRegistrosSaídas[[#This Row],[Data do Caixa Realizado]]))</f>
        <v>9</v>
      </c>
      <c r="J122">
        <f>IF(TbRegistrosSaídas[[#This Row],[Data do Caixa Realizado]]="",0,YEAR(TbRegistrosSaídas[[#This Row],[Data do Caixa Realizado]]))</f>
        <v>2018</v>
      </c>
      <c r="K122">
        <f>IF(TbRegistrosSaídas[[#This Row],[Data da Competência]]="",0,MONTH(TbRegistrosSaídas[[#This Row],[Data da Competência]]))</f>
        <v>7</v>
      </c>
      <c r="L122">
        <f>IF(TbRegistrosSaídas[[#This Row],[Data da Competência]]="",0,YEAR(TbRegistrosSaídas[[#This Row],[Data da Competência]]))</f>
        <v>2018</v>
      </c>
      <c r="M122" s="40">
        <f>IF(TbRegistrosSaídas[[#This Row],[Data do Caixa Previsto]]="",0,MONTH(TbRegistrosSaídas[[#This Row],[Data do Caixa Previsto]]))</f>
        <v>9</v>
      </c>
      <c r="N122" s="40">
        <f>IF(TbRegistrosSaídas[[#This Row],[Data do Caixa Previsto]]="",0,YEAR(TbRegistrosSaídas[[#This Row],[Data do Caixa Previsto]]))</f>
        <v>2018</v>
      </c>
      <c r="O12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3" spans="2:15" x14ac:dyDescent="0.25">
      <c r="B123" s="15" t="s">
        <v>69</v>
      </c>
      <c r="C123" s="15">
        <v>43302</v>
      </c>
      <c r="D123" s="15">
        <v>43324.888843781351</v>
      </c>
      <c r="E123" t="s">
        <v>43</v>
      </c>
      <c r="F123" t="s">
        <v>31</v>
      </c>
      <c r="G123" s="13" t="s">
        <v>404</v>
      </c>
      <c r="H123" s="16">
        <v>4217</v>
      </c>
      <c r="I123">
        <f>IF(TbRegistrosSaídas[[#This Row],[Data do Caixa Realizado]]="",0,MONTH(TbRegistrosSaídas[[#This Row],[Data do Caixa Realizado]]))</f>
        <v>0</v>
      </c>
      <c r="J123">
        <f>IF(TbRegistrosSaídas[[#This Row],[Data do Caixa Realizado]]="",0,YEAR(TbRegistrosSaídas[[#This Row],[Data do Caixa Realizado]]))</f>
        <v>0</v>
      </c>
      <c r="K123">
        <f>IF(TbRegistrosSaídas[[#This Row],[Data da Competência]]="",0,MONTH(TbRegistrosSaídas[[#This Row],[Data da Competência]]))</f>
        <v>7</v>
      </c>
      <c r="L123">
        <f>IF(TbRegistrosSaídas[[#This Row],[Data da Competência]]="",0,YEAR(TbRegistrosSaídas[[#This Row],[Data da Competência]]))</f>
        <v>2018</v>
      </c>
      <c r="M123" s="40">
        <f>IF(TbRegistrosSaídas[[#This Row],[Data do Caixa Previsto]]="",0,MONTH(TbRegistrosSaídas[[#This Row],[Data do Caixa Previsto]]))</f>
        <v>8</v>
      </c>
      <c r="N123" s="40">
        <f>IF(TbRegistrosSaídas[[#This Row],[Data do Caixa Previsto]]="",0,YEAR(TbRegistrosSaídas[[#This Row],[Data do Caixa Previsto]]))</f>
        <v>2018</v>
      </c>
      <c r="O12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1991.1111562186488</v>
      </c>
    </row>
    <row r="124" spans="2:15" x14ac:dyDescent="0.25">
      <c r="B124" s="15">
        <v>43342.623492549312</v>
      </c>
      <c r="C124" s="15">
        <v>43309</v>
      </c>
      <c r="D124" s="15">
        <v>43342.623492549312</v>
      </c>
      <c r="E124" t="s">
        <v>43</v>
      </c>
      <c r="F124" t="s">
        <v>44</v>
      </c>
      <c r="G124" s="13" t="s">
        <v>405</v>
      </c>
      <c r="H124" s="16">
        <v>4850</v>
      </c>
      <c r="I124">
        <f>IF(TbRegistrosSaídas[[#This Row],[Data do Caixa Realizado]]="",0,MONTH(TbRegistrosSaídas[[#This Row],[Data do Caixa Realizado]]))</f>
        <v>8</v>
      </c>
      <c r="J124">
        <f>IF(TbRegistrosSaídas[[#This Row],[Data do Caixa Realizado]]="",0,YEAR(TbRegistrosSaídas[[#This Row],[Data do Caixa Realizado]]))</f>
        <v>2018</v>
      </c>
      <c r="K124">
        <f>IF(TbRegistrosSaídas[[#This Row],[Data da Competência]]="",0,MONTH(TbRegistrosSaídas[[#This Row],[Data da Competência]]))</f>
        <v>7</v>
      </c>
      <c r="L124">
        <f>IF(TbRegistrosSaídas[[#This Row],[Data da Competência]]="",0,YEAR(TbRegistrosSaídas[[#This Row],[Data da Competência]]))</f>
        <v>2018</v>
      </c>
      <c r="M124" s="40">
        <f>IF(TbRegistrosSaídas[[#This Row],[Data do Caixa Previsto]]="",0,MONTH(TbRegistrosSaídas[[#This Row],[Data do Caixa Previsto]]))</f>
        <v>8</v>
      </c>
      <c r="N124" s="40">
        <f>IF(TbRegistrosSaídas[[#This Row],[Data do Caixa Previsto]]="",0,YEAR(TbRegistrosSaídas[[#This Row],[Data do Caixa Previsto]]))</f>
        <v>2018</v>
      </c>
      <c r="O12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5" spans="2:15" x14ac:dyDescent="0.25">
      <c r="B125" s="15">
        <v>43354.968085716326</v>
      </c>
      <c r="C125" s="15">
        <v>43311</v>
      </c>
      <c r="D125" s="15">
        <v>43331.330507155544</v>
      </c>
      <c r="E125" t="s">
        <v>43</v>
      </c>
      <c r="F125" t="s">
        <v>31</v>
      </c>
      <c r="G125" s="13" t="s">
        <v>406</v>
      </c>
      <c r="H125" s="16">
        <v>4309</v>
      </c>
      <c r="I125">
        <f>IF(TbRegistrosSaídas[[#This Row],[Data do Caixa Realizado]]="",0,MONTH(TbRegistrosSaídas[[#This Row],[Data do Caixa Realizado]]))</f>
        <v>9</v>
      </c>
      <c r="J125">
        <f>IF(TbRegistrosSaídas[[#This Row],[Data do Caixa Realizado]]="",0,YEAR(TbRegistrosSaídas[[#This Row],[Data do Caixa Realizado]]))</f>
        <v>2018</v>
      </c>
      <c r="K125">
        <f>IF(TbRegistrosSaídas[[#This Row],[Data da Competência]]="",0,MONTH(TbRegistrosSaídas[[#This Row],[Data da Competência]]))</f>
        <v>7</v>
      </c>
      <c r="L125">
        <f>IF(TbRegistrosSaídas[[#This Row],[Data da Competência]]="",0,YEAR(TbRegistrosSaídas[[#This Row],[Data da Competência]]))</f>
        <v>2018</v>
      </c>
      <c r="M125" s="40">
        <f>IF(TbRegistrosSaídas[[#This Row],[Data do Caixa Previsto]]="",0,MONTH(TbRegistrosSaídas[[#This Row],[Data do Caixa Previsto]]))</f>
        <v>8</v>
      </c>
      <c r="N125" s="40">
        <f>IF(TbRegistrosSaídas[[#This Row],[Data do Caixa Previsto]]="",0,YEAR(TbRegistrosSaídas[[#This Row],[Data do Caixa Previsto]]))</f>
        <v>2018</v>
      </c>
      <c r="O12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23.637578560781549</v>
      </c>
    </row>
    <row r="126" spans="2:15" x14ac:dyDescent="0.25">
      <c r="B126" s="15">
        <v>43374.615784892369</v>
      </c>
      <c r="C126" s="15">
        <v>43313</v>
      </c>
      <c r="D126" s="15">
        <v>43314.576092684139</v>
      </c>
      <c r="E126" t="s">
        <v>43</v>
      </c>
      <c r="F126" t="s">
        <v>32</v>
      </c>
      <c r="G126" s="13" t="s">
        <v>407</v>
      </c>
      <c r="H126" s="16">
        <v>4462</v>
      </c>
      <c r="I126">
        <f>IF(TbRegistrosSaídas[[#This Row],[Data do Caixa Realizado]]="",0,MONTH(TbRegistrosSaídas[[#This Row],[Data do Caixa Realizado]]))</f>
        <v>10</v>
      </c>
      <c r="J126">
        <f>IF(TbRegistrosSaídas[[#This Row],[Data do Caixa Realizado]]="",0,YEAR(TbRegistrosSaídas[[#This Row],[Data do Caixa Realizado]]))</f>
        <v>2018</v>
      </c>
      <c r="K126">
        <f>IF(TbRegistrosSaídas[[#This Row],[Data da Competência]]="",0,MONTH(TbRegistrosSaídas[[#This Row],[Data da Competência]]))</f>
        <v>8</v>
      </c>
      <c r="L126">
        <f>IF(TbRegistrosSaídas[[#This Row],[Data da Competência]]="",0,YEAR(TbRegistrosSaídas[[#This Row],[Data da Competência]]))</f>
        <v>2018</v>
      </c>
      <c r="M126" s="40">
        <f>IF(TbRegistrosSaídas[[#This Row],[Data do Caixa Previsto]]="",0,MONTH(TbRegistrosSaídas[[#This Row],[Data do Caixa Previsto]]))</f>
        <v>8</v>
      </c>
      <c r="N126" s="40">
        <f>IF(TbRegistrosSaídas[[#This Row],[Data do Caixa Previsto]]="",0,YEAR(TbRegistrosSaídas[[#This Row],[Data do Caixa Previsto]]))</f>
        <v>2018</v>
      </c>
      <c r="O12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60.039692208229098</v>
      </c>
    </row>
    <row r="127" spans="2:15" x14ac:dyDescent="0.25">
      <c r="B127" s="15">
        <v>43375.491443107414</v>
      </c>
      <c r="C127" s="15">
        <v>43319</v>
      </c>
      <c r="D127" s="15">
        <v>43375.491443107414</v>
      </c>
      <c r="E127" t="s">
        <v>43</v>
      </c>
      <c r="F127" t="s">
        <v>30</v>
      </c>
      <c r="G127" s="13" t="s">
        <v>408</v>
      </c>
      <c r="H127" s="16">
        <v>4947</v>
      </c>
      <c r="I127">
        <f>IF(TbRegistrosSaídas[[#This Row],[Data do Caixa Realizado]]="",0,MONTH(TbRegistrosSaídas[[#This Row],[Data do Caixa Realizado]]))</f>
        <v>10</v>
      </c>
      <c r="J127">
        <f>IF(TbRegistrosSaídas[[#This Row],[Data do Caixa Realizado]]="",0,YEAR(TbRegistrosSaídas[[#This Row],[Data do Caixa Realizado]]))</f>
        <v>2018</v>
      </c>
      <c r="K127">
        <f>IF(TbRegistrosSaídas[[#This Row],[Data da Competência]]="",0,MONTH(TbRegistrosSaídas[[#This Row],[Data da Competência]]))</f>
        <v>8</v>
      </c>
      <c r="L127">
        <f>IF(TbRegistrosSaídas[[#This Row],[Data da Competência]]="",0,YEAR(TbRegistrosSaídas[[#This Row],[Data da Competência]]))</f>
        <v>2018</v>
      </c>
      <c r="M127" s="40">
        <f>IF(TbRegistrosSaídas[[#This Row],[Data do Caixa Previsto]]="",0,MONTH(TbRegistrosSaídas[[#This Row],[Data do Caixa Previsto]]))</f>
        <v>10</v>
      </c>
      <c r="N127" s="40">
        <f>IF(TbRegistrosSaídas[[#This Row],[Data do Caixa Previsto]]="",0,YEAR(TbRegistrosSaídas[[#This Row],[Data do Caixa Previsto]]))</f>
        <v>2018</v>
      </c>
      <c r="O12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8" spans="2:15" x14ac:dyDescent="0.25">
      <c r="B128" s="15">
        <v>43368.704862392784</v>
      </c>
      <c r="C128" s="15">
        <v>43322</v>
      </c>
      <c r="D128" s="15">
        <v>43368.704862392784</v>
      </c>
      <c r="E128" t="s">
        <v>43</v>
      </c>
      <c r="F128" t="s">
        <v>34</v>
      </c>
      <c r="G128" s="13" t="s">
        <v>409</v>
      </c>
      <c r="H128" s="16">
        <v>902</v>
      </c>
      <c r="I128">
        <f>IF(TbRegistrosSaídas[[#This Row],[Data do Caixa Realizado]]="",0,MONTH(TbRegistrosSaídas[[#This Row],[Data do Caixa Realizado]]))</f>
        <v>9</v>
      </c>
      <c r="J128">
        <f>IF(TbRegistrosSaídas[[#This Row],[Data do Caixa Realizado]]="",0,YEAR(TbRegistrosSaídas[[#This Row],[Data do Caixa Realizado]]))</f>
        <v>2018</v>
      </c>
      <c r="K128">
        <f>IF(TbRegistrosSaídas[[#This Row],[Data da Competência]]="",0,MONTH(TbRegistrosSaídas[[#This Row],[Data da Competência]]))</f>
        <v>8</v>
      </c>
      <c r="L128">
        <f>IF(TbRegistrosSaídas[[#This Row],[Data da Competência]]="",0,YEAR(TbRegistrosSaídas[[#This Row],[Data da Competência]]))</f>
        <v>2018</v>
      </c>
      <c r="M128" s="40">
        <f>IF(TbRegistrosSaídas[[#This Row],[Data do Caixa Previsto]]="",0,MONTH(TbRegistrosSaídas[[#This Row],[Data do Caixa Previsto]]))</f>
        <v>9</v>
      </c>
      <c r="N128" s="40">
        <f>IF(TbRegistrosSaídas[[#This Row],[Data do Caixa Previsto]]="",0,YEAR(TbRegistrosSaídas[[#This Row],[Data do Caixa Previsto]]))</f>
        <v>2018</v>
      </c>
      <c r="O12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29" spans="2:15" x14ac:dyDescent="0.25">
      <c r="B129" s="15">
        <v>43366.872016051886</v>
      </c>
      <c r="C129" s="15">
        <v>43324</v>
      </c>
      <c r="D129" s="15">
        <v>43366.872016051886</v>
      </c>
      <c r="E129" t="s">
        <v>43</v>
      </c>
      <c r="F129" t="s">
        <v>30</v>
      </c>
      <c r="G129" s="13" t="s">
        <v>410</v>
      </c>
      <c r="H129" s="16">
        <v>432</v>
      </c>
      <c r="I129">
        <f>IF(TbRegistrosSaídas[[#This Row],[Data do Caixa Realizado]]="",0,MONTH(TbRegistrosSaídas[[#This Row],[Data do Caixa Realizado]]))</f>
        <v>9</v>
      </c>
      <c r="J129">
        <f>IF(TbRegistrosSaídas[[#This Row],[Data do Caixa Realizado]]="",0,YEAR(TbRegistrosSaídas[[#This Row],[Data do Caixa Realizado]]))</f>
        <v>2018</v>
      </c>
      <c r="K129">
        <f>IF(TbRegistrosSaídas[[#This Row],[Data da Competência]]="",0,MONTH(TbRegistrosSaídas[[#This Row],[Data da Competência]]))</f>
        <v>8</v>
      </c>
      <c r="L129">
        <f>IF(TbRegistrosSaídas[[#This Row],[Data da Competência]]="",0,YEAR(TbRegistrosSaídas[[#This Row],[Data da Competência]]))</f>
        <v>2018</v>
      </c>
      <c r="M129" s="40">
        <f>IF(TbRegistrosSaídas[[#This Row],[Data do Caixa Previsto]]="",0,MONTH(TbRegistrosSaídas[[#This Row],[Data do Caixa Previsto]]))</f>
        <v>9</v>
      </c>
      <c r="N129" s="40">
        <f>IF(TbRegistrosSaídas[[#This Row],[Data do Caixa Previsto]]="",0,YEAR(TbRegistrosSaídas[[#This Row],[Data do Caixa Previsto]]))</f>
        <v>2018</v>
      </c>
      <c r="O12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0" spans="2:15" x14ac:dyDescent="0.25">
      <c r="B130" s="15">
        <v>43356.956112414089</v>
      </c>
      <c r="C130" s="15">
        <v>43327</v>
      </c>
      <c r="D130" s="15">
        <v>43356.956112414089</v>
      </c>
      <c r="E130" t="s">
        <v>43</v>
      </c>
      <c r="F130" t="s">
        <v>31</v>
      </c>
      <c r="G130" s="13" t="s">
        <v>411</v>
      </c>
      <c r="H130" s="16">
        <v>4084</v>
      </c>
      <c r="I130">
        <f>IF(TbRegistrosSaídas[[#This Row],[Data do Caixa Realizado]]="",0,MONTH(TbRegistrosSaídas[[#This Row],[Data do Caixa Realizado]]))</f>
        <v>9</v>
      </c>
      <c r="J130">
        <f>IF(TbRegistrosSaídas[[#This Row],[Data do Caixa Realizado]]="",0,YEAR(TbRegistrosSaídas[[#This Row],[Data do Caixa Realizado]]))</f>
        <v>2018</v>
      </c>
      <c r="K130">
        <f>IF(TbRegistrosSaídas[[#This Row],[Data da Competência]]="",0,MONTH(TbRegistrosSaídas[[#This Row],[Data da Competência]]))</f>
        <v>8</v>
      </c>
      <c r="L130">
        <f>IF(TbRegistrosSaídas[[#This Row],[Data da Competência]]="",0,YEAR(TbRegistrosSaídas[[#This Row],[Data da Competência]]))</f>
        <v>2018</v>
      </c>
      <c r="M130" s="40">
        <f>IF(TbRegistrosSaídas[[#This Row],[Data do Caixa Previsto]]="",0,MONTH(TbRegistrosSaídas[[#This Row],[Data do Caixa Previsto]]))</f>
        <v>9</v>
      </c>
      <c r="N130" s="40">
        <f>IF(TbRegistrosSaídas[[#This Row],[Data do Caixa Previsto]]="",0,YEAR(TbRegistrosSaídas[[#This Row],[Data do Caixa Previsto]]))</f>
        <v>2018</v>
      </c>
      <c r="O13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1" spans="2:15" x14ac:dyDescent="0.25">
      <c r="B131" s="15">
        <v>43433.012235706425</v>
      </c>
      <c r="C131" s="15">
        <v>43334</v>
      </c>
      <c r="D131" s="15">
        <v>43359.016635810432</v>
      </c>
      <c r="E131" t="s">
        <v>43</v>
      </c>
      <c r="F131" t="s">
        <v>44</v>
      </c>
      <c r="G131" s="13" t="s">
        <v>412</v>
      </c>
      <c r="H131" s="16">
        <v>1054</v>
      </c>
      <c r="I131">
        <f>IF(TbRegistrosSaídas[[#This Row],[Data do Caixa Realizado]]="",0,MONTH(TbRegistrosSaídas[[#This Row],[Data do Caixa Realizado]]))</f>
        <v>11</v>
      </c>
      <c r="J131">
        <f>IF(TbRegistrosSaídas[[#This Row],[Data do Caixa Realizado]]="",0,YEAR(TbRegistrosSaídas[[#This Row],[Data do Caixa Realizado]]))</f>
        <v>2018</v>
      </c>
      <c r="K131">
        <f>IF(TbRegistrosSaídas[[#This Row],[Data da Competência]]="",0,MONTH(TbRegistrosSaídas[[#This Row],[Data da Competência]]))</f>
        <v>8</v>
      </c>
      <c r="L131">
        <f>IF(TbRegistrosSaídas[[#This Row],[Data da Competência]]="",0,YEAR(TbRegistrosSaídas[[#This Row],[Data da Competência]]))</f>
        <v>2018</v>
      </c>
      <c r="M131" s="40">
        <f>IF(TbRegistrosSaídas[[#This Row],[Data do Caixa Previsto]]="",0,MONTH(TbRegistrosSaídas[[#This Row],[Data do Caixa Previsto]]))</f>
        <v>9</v>
      </c>
      <c r="N131" s="40">
        <f>IF(TbRegistrosSaídas[[#This Row],[Data do Caixa Previsto]]="",0,YEAR(TbRegistrosSaídas[[#This Row],[Data do Caixa Previsto]]))</f>
        <v>2018</v>
      </c>
      <c r="O13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73.9955998959922</v>
      </c>
    </row>
    <row r="132" spans="2:15" x14ac:dyDescent="0.25">
      <c r="B132" s="15">
        <v>43352.077398814596</v>
      </c>
      <c r="C132" s="15">
        <v>43335</v>
      </c>
      <c r="D132" s="15">
        <v>43352.077398814596</v>
      </c>
      <c r="E132" t="s">
        <v>43</v>
      </c>
      <c r="F132" t="s">
        <v>30</v>
      </c>
      <c r="G132" s="13" t="s">
        <v>413</v>
      </c>
      <c r="H132" s="16">
        <v>4608</v>
      </c>
      <c r="I132">
        <f>IF(TbRegistrosSaídas[[#This Row],[Data do Caixa Realizado]]="",0,MONTH(TbRegistrosSaídas[[#This Row],[Data do Caixa Realizado]]))</f>
        <v>9</v>
      </c>
      <c r="J132">
        <f>IF(TbRegistrosSaídas[[#This Row],[Data do Caixa Realizado]]="",0,YEAR(TbRegistrosSaídas[[#This Row],[Data do Caixa Realizado]]))</f>
        <v>2018</v>
      </c>
      <c r="K132">
        <f>IF(TbRegistrosSaídas[[#This Row],[Data da Competência]]="",0,MONTH(TbRegistrosSaídas[[#This Row],[Data da Competência]]))</f>
        <v>8</v>
      </c>
      <c r="L132">
        <f>IF(TbRegistrosSaídas[[#This Row],[Data da Competência]]="",0,YEAR(TbRegistrosSaídas[[#This Row],[Data da Competência]]))</f>
        <v>2018</v>
      </c>
      <c r="M132" s="40">
        <f>IF(TbRegistrosSaídas[[#This Row],[Data do Caixa Previsto]]="",0,MONTH(TbRegistrosSaídas[[#This Row],[Data do Caixa Previsto]]))</f>
        <v>9</v>
      </c>
      <c r="N132" s="40">
        <f>IF(TbRegistrosSaídas[[#This Row],[Data do Caixa Previsto]]="",0,YEAR(TbRegistrosSaídas[[#This Row],[Data do Caixa Previsto]]))</f>
        <v>2018</v>
      </c>
      <c r="O13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3" spans="2:15" x14ac:dyDescent="0.25">
      <c r="B133" s="15">
        <v>43363.149663367352</v>
      </c>
      <c r="C133" s="15">
        <v>43340</v>
      </c>
      <c r="D133" s="15">
        <v>43363.149663367352</v>
      </c>
      <c r="E133" t="s">
        <v>43</v>
      </c>
      <c r="F133" t="s">
        <v>34</v>
      </c>
      <c r="G133" s="13" t="s">
        <v>414</v>
      </c>
      <c r="H133" s="16">
        <v>1238</v>
      </c>
      <c r="I133">
        <f>IF(TbRegistrosSaídas[[#This Row],[Data do Caixa Realizado]]="",0,MONTH(TbRegistrosSaídas[[#This Row],[Data do Caixa Realizado]]))</f>
        <v>9</v>
      </c>
      <c r="J133">
        <f>IF(TbRegistrosSaídas[[#This Row],[Data do Caixa Realizado]]="",0,YEAR(TbRegistrosSaídas[[#This Row],[Data do Caixa Realizado]]))</f>
        <v>2018</v>
      </c>
      <c r="K133">
        <f>IF(TbRegistrosSaídas[[#This Row],[Data da Competência]]="",0,MONTH(TbRegistrosSaídas[[#This Row],[Data da Competência]]))</f>
        <v>8</v>
      </c>
      <c r="L133">
        <f>IF(TbRegistrosSaídas[[#This Row],[Data da Competência]]="",0,YEAR(TbRegistrosSaídas[[#This Row],[Data da Competência]]))</f>
        <v>2018</v>
      </c>
      <c r="M133" s="40">
        <f>IF(TbRegistrosSaídas[[#This Row],[Data do Caixa Previsto]]="",0,MONTH(TbRegistrosSaídas[[#This Row],[Data do Caixa Previsto]]))</f>
        <v>9</v>
      </c>
      <c r="N133" s="40">
        <f>IF(TbRegistrosSaídas[[#This Row],[Data do Caixa Previsto]]="",0,YEAR(TbRegistrosSaídas[[#This Row],[Data do Caixa Previsto]]))</f>
        <v>2018</v>
      </c>
      <c r="O13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4" spans="2:15" x14ac:dyDescent="0.25">
      <c r="B134" s="15">
        <v>43370.729955212279</v>
      </c>
      <c r="C134" s="15">
        <v>43346</v>
      </c>
      <c r="D134" s="15">
        <v>43370.729955212279</v>
      </c>
      <c r="E134" t="s">
        <v>43</v>
      </c>
      <c r="F134" t="s">
        <v>44</v>
      </c>
      <c r="G134" s="13" t="s">
        <v>415</v>
      </c>
      <c r="H134" s="16">
        <v>1342</v>
      </c>
      <c r="I134">
        <f>IF(TbRegistrosSaídas[[#This Row],[Data do Caixa Realizado]]="",0,MONTH(TbRegistrosSaídas[[#This Row],[Data do Caixa Realizado]]))</f>
        <v>9</v>
      </c>
      <c r="J134">
        <f>IF(TbRegistrosSaídas[[#This Row],[Data do Caixa Realizado]]="",0,YEAR(TbRegistrosSaídas[[#This Row],[Data do Caixa Realizado]]))</f>
        <v>2018</v>
      </c>
      <c r="K134">
        <f>IF(TbRegistrosSaídas[[#This Row],[Data da Competência]]="",0,MONTH(TbRegistrosSaídas[[#This Row],[Data da Competência]]))</f>
        <v>9</v>
      </c>
      <c r="L134">
        <f>IF(TbRegistrosSaídas[[#This Row],[Data da Competência]]="",0,YEAR(TbRegistrosSaídas[[#This Row],[Data da Competência]]))</f>
        <v>2018</v>
      </c>
      <c r="M134" s="40">
        <f>IF(TbRegistrosSaídas[[#This Row],[Data do Caixa Previsto]]="",0,MONTH(TbRegistrosSaídas[[#This Row],[Data do Caixa Previsto]]))</f>
        <v>9</v>
      </c>
      <c r="N134" s="40">
        <f>IF(TbRegistrosSaídas[[#This Row],[Data do Caixa Previsto]]="",0,YEAR(TbRegistrosSaídas[[#This Row],[Data do Caixa Previsto]]))</f>
        <v>2018</v>
      </c>
      <c r="O13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5" spans="2:15" x14ac:dyDescent="0.25">
      <c r="B135" s="15">
        <v>43438.840632706146</v>
      </c>
      <c r="C135" s="15">
        <v>43350</v>
      </c>
      <c r="D135" s="15">
        <v>43402.779511524925</v>
      </c>
      <c r="E135" t="s">
        <v>43</v>
      </c>
      <c r="F135" t="s">
        <v>30</v>
      </c>
      <c r="G135" s="13" t="s">
        <v>416</v>
      </c>
      <c r="H135" s="16">
        <v>2936</v>
      </c>
      <c r="I135">
        <f>IF(TbRegistrosSaídas[[#This Row],[Data do Caixa Realizado]]="",0,MONTH(TbRegistrosSaídas[[#This Row],[Data do Caixa Realizado]]))</f>
        <v>12</v>
      </c>
      <c r="J135">
        <f>IF(TbRegistrosSaídas[[#This Row],[Data do Caixa Realizado]]="",0,YEAR(TbRegistrosSaídas[[#This Row],[Data do Caixa Realizado]]))</f>
        <v>2018</v>
      </c>
      <c r="K135">
        <f>IF(TbRegistrosSaídas[[#This Row],[Data da Competência]]="",0,MONTH(TbRegistrosSaídas[[#This Row],[Data da Competência]]))</f>
        <v>9</v>
      </c>
      <c r="L135">
        <f>IF(TbRegistrosSaídas[[#This Row],[Data da Competência]]="",0,YEAR(TbRegistrosSaídas[[#This Row],[Data da Competência]]))</f>
        <v>2018</v>
      </c>
      <c r="M135" s="40">
        <f>IF(TbRegistrosSaídas[[#This Row],[Data do Caixa Previsto]]="",0,MONTH(TbRegistrosSaídas[[#This Row],[Data do Caixa Previsto]]))</f>
        <v>10</v>
      </c>
      <c r="N135" s="40">
        <f>IF(TbRegistrosSaídas[[#This Row],[Data do Caixa Previsto]]="",0,YEAR(TbRegistrosSaídas[[#This Row],[Data do Caixa Previsto]]))</f>
        <v>2018</v>
      </c>
      <c r="O13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36.061121181221097</v>
      </c>
    </row>
    <row r="136" spans="2:15" x14ac:dyDescent="0.25">
      <c r="B136" s="15">
        <v>43381.142100455778</v>
      </c>
      <c r="C136" s="15">
        <v>43351</v>
      </c>
      <c r="D136" s="15">
        <v>43381.142100455778</v>
      </c>
      <c r="E136" t="s">
        <v>43</v>
      </c>
      <c r="F136" t="s">
        <v>44</v>
      </c>
      <c r="G136" s="13" t="s">
        <v>417</v>
      </c>
      <c r="H136" s="16">
        <v>875</v>
      </c>
      <c r="I136">
        <f>IF(TbRegistrosSaídas[[#This Row],[Data do Caixa Realizado]]="",0,MONTH(TbRegistrosSaídas[[#This Row],[Data do Caixa Realizado]]))</f>
        <v>10</v>
      </c>
      <c r="J136">
        <f>IF(TbRegistrosSaídas[[#This Row],[Data do Caixa Realizado]]="",0,YEAR(TbRegistrosSaídas[[#This Row],[Data do Caixa Realizado]]))</f>
        <v>2018</v>
      </c>
      <c r="K136">
        <f>IF(TbRegistrosSaídas[[#This Row],[Data da Competência]]="",0,MONTH(TbRegistrosSaídas[[#This Row],[Data da Competência]]))</f>
        <v>9</v>
      </c>
      <c r="L136">
        <f>IF(TbRegistrosSaídas[[#This Row],[Data da Competência]]="",0,YEAR(TbRegistrosSaídas[[#This Row],[Data da Competência]]))</f>
        <v>2018</v>
      </c>
      <c r="M136" s="40">
        <f>IF(TbRegistrosSaídas[[#This Row],[Data do Caixa Previsto]]="",0,MONTH(TbRegistrosSaídas[[#This Row],[Data do Caixa Previsto]]))</f>
        <v>10</v>
      </c>
      <c r="N136" s="40">
        <f>IF(TbRegistrosSaídas[[#This Row],[Data do Caixa Previsto]]="",0,YEAR(TbRegistrosSaídas[[#This Row],[Data do Caixa Previsto]]))</f>
        <v>2018</v>
      </c>
      <c r="O13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7" spans="2:15" x14ac:dyDescent="0.25">
      <c r="B137" s="15">
        <v>43355.021702138809</v>
      </c>
      <c r="C137" s="15">
        <v>43353</v>
      </c>
      <c r="D137" s="15">
        <v>43355.021702138809</v>
      </c>
      <c r="E137" t="s">
        <v>43</v>
      </c>
      <c r="F137" t="s">
        <v>32</v>
      </c>
      <c r="G137" s="13" t="s">
        <v>418</v>
      </c>
      <c r="H137" s="16">
        <v>159</v>
      </c>
      <c r="I137">
        <f>IF(TbRegistrosSaídas[[#This Row],[Data do Caixa Realizado]]="",0,MONTH(TbRegistrosSaídas[[#This Row],[Data do Caixa Realizado]]))</f>
        <v>9</v>
      </c>
      <c r="J137">
        <f>IF(TbRegistrosSaídas[[#This Row],[Data do Caixa Realizado]]="",0,YEAR(TbRegistrosSaídas[[#This Row],[Data do Caixa Realizado]]))</f>
        <v>2018</v>
      </c>
      <c r="K137">
        <f>IF(TbRegistrosSaídas[[#This Row],[Data da Competência]]="",0,MONTH(TbRegistrosSaídas[[#This Row],[Data da Competência]]))</f>
        <v>9</v>
      </c>
      <c r="L137">
        <f>IF(TbRegistrosSaídas[[#This Row],[Data da Competência]]="",0,YEAR(TbRegistrosSaídas[[#This Row],[Data da Competência]]))</f>
        <v>2018</v>
      </c>
      <c r="M137" s="40">
        <f>IF(TbRegistrosSaídas[[#This Row],[Data do Caixa Previsto]]="",0,MONTH(TbRegistrosSaídas[[#This Row],[Data do Caixa Previsto]]))</f>
        <v>9</v>
      </c>
      <c r="N137" s="40">
        <f>IF(TbRegistrosSaídas[[#This Row],[Data do Caixa Previsto]]="",0,YEAR(TbRegistrosSaídas[[#This Row],[Data do Caixa Previsto]]))</f>
        <v>2018</v>
      </c>
      <c r="O13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8" spans="2:15" x14ac:dyDescent="0.25">
      <c r="B138" s="15">
        <v>43382.641285204452</v>
      </c>
      <c r="C138" s="15">
        <v>43358</v>
      </c>
      <c r="D138" s="15">
        <v>43382.641285204452</v>
      </c>
      <c r="E138" t="s">
        <v>43</v>
      </c>
      <c r="F138" t="s">
        <v>44</v>
      </c>
      <c r="G138" s="13" t="s">
        <v>419</v>
      </c>
      <c r="H138" s="16">
        <v>2933</v>
      </c>
      <c r="I138">
        <f>IF(TbRegistrosSaídas[[#This Row],[Data do Caixa Realizado]]="",0,MONTH(TbRegistrosSaídas[[#This Row],[Data do Caixa Realizado]]))</f>
        <v>10</v>
      </c>
      <c r="J138">
        <f>IF(TbRegistrosSaídas[[#This Row],[Data do Caixa Realizado]]="",0,YEAR(TbRegistrosSaídas[[#This Row],[Data do Caixa Realizado]]))</f>
        <v>2018</v>
      </c>
      <c r="K138">
        <f>IF(TbRegistrosSaídas[[#This Row],[Data da Competência]]="",0,MONTH(TbRegistrosSaídas[[#This Row],[Data da Competência]]))</f>
        <v>9</v>
      </c>
      <c r="L138">
        <f>IF(TbRegistrosSaídas[[#This Row],[Data da Competência]]="",0,YEAR(TbRegistrosSaídas[[#This Row],[Data da Competência]]))</f>
        <v>2018</v>
      </c>
      <c r="M138" s="40">
        <f>IF(TbRegistrosSaídas[[#This Row],[Data do Caixa Previsto]]="",0,MONTH(TbRegistrosSaídas[[#This Row],[Data do Caixa Previsto]]))</f>
        <v>10</v>
      </c>
      <c r="N138" s="40">
        <f>IF(TbRegistrosSaídas[[#This Row],[Data do Caixa Previsto]]="",0,YEAR(TbRegistrosSaídas[[#This Row],[Data do Caixa Previsto]]))</f>
        <v>2018</v>
      </c>
      <c r="O13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39" spans="2:15" x14ac:dyDescent="0.25">
      <c r="B139" s="15">
        <v>43405.129639238316</v>
      </c>
      <c r="C139" s="15">
        <v>43358</v>
      </c>
      <c r="D139" s="15">
        <v>43405.129639238316</v>
      </c>
      <c r="E139" t="s">
        <v>43</v>
      </c>
      <c r="F139" t="s">
        <v>44</v>
      </c>
      <c r="G139" s="13" t="s">
        <v>420</v>
      </c>
      <c r="H139" s="16">
        <v>4944</v>
      </c>
      <c r="I139">
        <f>IF(TbRegistrosSaídas[[#This Row],[Data do Caixa Realizado]]="",0,MONTH(TbRegistrosSaídas[[#This Row],[Data do Caixa Realizado]]))</f>
        <v>11</v>
      </c>
      <c r="J139">
        <f>IF(TbRegistrosSaídas[[#This Row],[Data do Caixa Realizado]]="",0,YEAR(TbRegistrosSaídas[[#This Row],[Data do Caixa Realizado]]))</f>
        <v>2018</v>
      </c>
      <c r="K139">
        <f>IF(TbRegistrosSaídas[[#This Row],[Data da Competência]]="",0,MONTH(TbRegistrosSaídas[[#This Row],[Data da Competência]]))</f>
        <v>9</v>
      </c>
      <c r="L139">
        <f>IF(TbRegistrosSaídas[[#This Row],[Data da Competência]]="",0,YEAR(TbRegistrosSaídas[[#This Row],[Data da Competência]]))</f>
        <v>2018</v>
      </c>
      <c r="M139" s="40">
        <f>IF(TbRegistrosSaídas[[#This Row],[Data do Caixa Previsto]]="",0,MONTH(TbRegistrosSaídas[[#This Row],[Data do Caixa Previsto]]))</f>
        <v>11</v>
      </c>
      <c r="N139" s="40">
        <f>IF(TbRegistrosSaídas[[#This Row],[Data do Caixa Previsto]]="",0,YEAR(TbRegistrosSaídas[[#This Row],[Data do Caixa Previsto]]))</f>
        <v>2018</v>
      </c>
      <c r="O13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0" spans="2:15" x14ac:dyDescent="0.25">
      <c r="B140" s="15">
        <v>43377.659993656314</v>
      </c>
      <c r="C140" s="15">
        <v>43362</v>
      </c>
      <c r="D140" s="15">
        <v>43377.659993656314</v>
      </c>
      <c r="E140" t="s">
        <v>43</v>
      </c>
      <c r="F140" t="s">
        <v>34</v>
      </c>
      <c r="G140" s="13" t="s">
        <v>421</v>
      </c>
      <c r="H140" s="16">
        <v>4173</v>
      </c>
      <c r="I140">
        <f>IF(TbRegistrosSaídas[[#This Row],[Data do Caixa Realizado]]="",0,MONTH(TbRegistrosSaídas[[#This Row],[Data do Caixa Realizado]]))</f>
        <v>10</v>
      </c>
      <c r="J140">
        <f>IF(TbRegistrosSaídas[[#This Row],[Data do Caixa Realizado]]="",0,YEAR(TbRegistrosSaídas[[#This Row],[Data do Caixa Realizado]]))</f>
        <v>2018</v>
      </c>
      <c r="K140">
        <f>IF(TbRegistrosSaídas[[#This Row],[Data da Competência]]="",0,MONTH(TbRegistrosSaídas[[#This Row],[Data da Competência]]))</f>
        <v>9</v>
      </c>
      <c r="L140">
        <f>IF(TbRegistrosSaídas[[#This Row],[Data da Competência]]="",0,YEAR(TbRegistrosSaídas[[#This Row],[Data da Competência]]))</f>
        <v>2018</v>
      </c>
      <c r="M140" s="40">
        <f>IF(TbRegistrosSaídas[[#This Row],[Data do Caixa Previsto]]="",0,MONTH(TbRegistrosSaídas[[#This Row],[Data do Caixa Previsto]]))</f>
        <v>10</v>
      </c>
      <c r="N140" s="40">
        <f>IF(TbRegistrosSaídas[[#This Row],[Data do Caixa Previsto]]="",0,YEAR(TbRegistrosSaídas[[#This Row],[Data do Caixa Previsto]]))</f>
        <v>2018</v>
      </c>
      <c r="O14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1" spans="2:15" x14ac:dyDescent="0.25">
      <c r="B141" s="15">
        <v>43375.186046774324</v>
      </c>
      <c r="C141" s="15">
        <v>43367</v>
      </c>
      <c r="D141" s="15">
        <v>43375.186046774324</v>
      </c>
      <c r="E141" t="s">
        <v>43</v>
      </c>
      <c r="F141" t="s">
        <v>30</v>
      </c>
      <c r="G141" s="13" t="s">
        <v>422</v>
      </c>
      <c r="H141" s="16">
        <v>2065</v>
      </c>
      <c r="I141">
        <f>IF(TbRegistrosSaídas[[#This Row],[Data do Caixa Realizado]]="",0,MONTH(TbRegistrosSaídas[[#This Row],[Data do Caixa Realizado]]))</f>
        <v>10</v>
      </c>
      <c r="J141">
        <f>IF(TbRegistrosSaídas[[#This Row],[Data do Caixa Realizado]]="",0,YEAR(TbRegistrosSaídas[[#This Row],[Data do Caixa Realizado]]))</f>
        <v>2018</v>
      </c>
      <c r="K141">
        <f>IF(TbRegistrosSaídas[[#This Row],[Data da Competência]]="",0,MONTH(TbRegistrosSaídas[[#This Row],[Data da Competência]]))</f>
        <v>9</v>
      </c>
      <c r="L141">
        <f>IF(TbRegistrosSaídas[[#This Row],[Data da Competência]]="",0,YEAR(TbRegistrosSaídas[[#This Row],[Data da Competência]]))</f>
        <v>2018</v>
      </c>
      <c r="M141" s="40">
        <f>IF(TbRegistrosSaídas[[#This Row],[Data do Caixa Previsto]]="",0,MONTH(TbRegistrosSaídas[[#This Row],[Data do Caixa Previsto]]))</f>
        <v>10</v>
      </c>
      <c r="N141" s="40">
        <f>IF(TbRegistrosSaídas[[#This Row],[Data do Caixa Previsto]]="",0,YEAR(TbRegistrosSaídas[[#This Row],[Data do Caixa Previsto]]))</f>
        <v>2018</v>
      </c>
      <c r="O14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2" spans="2:15" x14ac:dyDescent="0.25">
      <c r="B142" s="15">
        <v>43422.470077078746</v>
      </c>
      <c r="C142" s="15">
        <v>43371</v>
      </c>
      <c r="D142" s="15">
        <v>43422.470077078746</v>
      </c>
      <c r="E142" t="s">
        <v>43</v>
      </c>
      <c r="F142" t="s">
        <v>31</v>
      </c>
      <c r="G142" s="13" t="s">
        <v>423</v>
      </c>
      <c r="H142" s="16">
        <v>521</v>
      </c>
      <c r="I142">
        <f>IF(TbRegistrosSaídas[[#This Row],[Data do Caixa Realizado]]="",0,MONTH(TbRegistrosSaídas[[#This Row],[Data do Caixa Realizado]]))</f>
        <v>11</v>
      </c>
      <c r="J142">
        <f>IF(TbRegistrosSaídas[[#This Row],[Data do Caixa Realizado]]="",0,YEAR(TbRegistrosSaídas[[#This Row],[Data do Caixa Realizado]]))</f>
        <v>2018</v>
      </c>
      <c r="K142">
        <f>IF(TbRegistrosSaídas[[#This Row],[Data da Competência]]="",0,MONTH(TbRegistrosSaídas[[#This Row],[Data da Competência]]))</f>
        <v>9</v>
      </c>
      <c r="L142">
        <f>IF(TbRegistrosSaídas[[#This Row],[Data da Competência]]="",0,YEAR(TbRegistrosSaídas[[#This Row],[Data da Competência]]))</f>
        <v>2018</v>
      </c>
      <c r="M142" s="40">
        <f>IF(TbRegistrosSaídas[[#This Row],[Data do Caixa Previsto]]="",0,MONTH(TbRegistrosSaídas[[#This Row],[Data do Caixa Previsto]]))</f>
        <v>11</v>
      </c>
      <c r="N142" s="40">
        <f>IF(TbRegistrosSaídas[[#This Row],[Data do Caixa Previsto]]="",0,YEAR(TbRegistrosSaídas[[#This Row],[Data do Caixa Previsto]]))</f>
        <v>2018</v>
      </c>
      <c r="O14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3" spans="2:15" x14ac:dyDescent="0.25">
      <c r="B143" s="15">
        <v>43417.82681558784</v>
      </c>
      <c r="C143" s="15">
        <v>43374</v>
      </c>
      <c r="D143" s="15">
        <v>43417.82681558784</v>
      </c>
      <c r="E143" t="s">
        <v>43</v>
      </c>
      <c r="F143" t="s">
        <v>31</v>
      </c>
      <c r="G143" s="13" t="s">
        <v>424</v>
      </c>
      <c r="H143" s="16">
        <v>819</v>
      </c>
      <c r="I143">
        <f>IF(TbRegistrosSaídas[[#This Row],[Data do Caixa Realizado]]="",0,MONTH(TbRegistrosSaídas[[#This Row],[Data do Caixa Realizado]]))</f>
        <v>11</v>
      </c>
      <c r="J143">
        <f>IF(TbRegistrosSaídas[[#This Row],[Data do Caixa Realizado]]="",0,YEAR(TbRegistrosSaídas[[#This Row],[Data do Caixa Realizado]]))</f>
        <v>2018</v>
      </c>
      <c r="K143">
        <f>IF(TbRegistrosSaídas[[#This Row],[Data da Competência]]="",0,MONTH(TbRegistrosSaídas[[#This Row],[Data da Competência]]))</f>
        <v>10</v>
      </c>
      <c r="L143">
        <f>IF(TbRegistrosSaídas[[#This Row],[Data da Competência]]="",0,YEAR(TbRegistrosSaídas[[#This Row],[Data da Competência]]))</f>
        <v>2018</v>
      </c>
      <c r="M143" s="40">
        <f>IF(TbRegistrosSaídas[[#This Row],[Data do Caixa Previsto]]="",0,MONTH(TbRegistrosSaídas[[#This Row],[Data do Caixa Previsto]]))</f>
        <v>11</v>
      </c>
      <c r="N143" s="40">
        <f>IF(TbRegistrosSaídas[[#This Row],[Data do Caixa Previsto]]="",0,YEAR(TbRegistrosSaídas[[#This Row],[Data do Caixa Previsto]]))</f>
        <v>2018</v>
      </c>
      <c r="O14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4" spans="2:15" x14ac:dyDescent="0.25">
      <c r="B144" s="15">
        <v>43433.158712252123</v>
      </c>
      <c r="C144" s="15">
        <v>43377</v>
      </c>
      <c r="D144" s="15">
        <v>43433.158712252123</v>
      </c>
      <c r="E144" t="s">
        <v>43</v>
      </c>
      <c r="F144" t="s">
        <v>34</v>
      </c>
      <c r="G144" s="13" t="s">
        <v>425</v>
      </c>
      <c r="H144" s="16">
        <v>1260</v>
      </c>
      <c r="I144">
        <f>IF(TbRegistrosSaídas[[#This Row],[Data do Caixa Realizado]]="",0,MONTH(TbRegistrosSaídas[[#This Row],[Data do Caixa Realizado]]))</f>
        <v>11</v>
      </c>
      <c r="J144">
        <f>IF(TbRegistrosSaídas[[#This Row],[Data do Caixa Realizado]]="",0,YEAR(TbRegistrosSaídas[[#This Row],[Data do Caixa Realizado]]))</f>
        <v>2018</v>
      </c>
      <c r="K144">
        <f>IF(TbRegistrosSaídas[[#This Row],[Data da Competência]]="",0,MONTH(TbRegistrosSaídas[[#This Row],[Data da Competência]]))</f>
        <v>10</v>
      </c>
      <c r="L144">
        <f>IF(TbRegistrosSaídas[[#This Row],[Data da Competência]]="",0,YEAR(TbRegistrosSaídas[[#This Row],[Data da Competência]]))</f>
        <v>2018</v>
      </c>
      <c r="M144" s="40">
        <f>IF(TbRegistrosSaídas[[#This Row],[Data do Caixa Previsto]]="",0,MONTH(TbRegistrosSaídas[[#This Row],[Data do Caixa Previsto]]))</f>
        <v>11</v>
      </c>
      <c r="N144" s="40">
        <f>IF(TbRegistrosSaídas[[#This Row],[Data do Caixa Previsto]]="",0,YEAR(TbRegistrosSaídas[[#This Row],[Data do Caixa Previsto]]))</f>
        <v>2018</v>
      </c>
      <c r="O14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5" spans="2:15" x14ac:dyDescent="0.25">
      <c r="B145" s="15">
        <v>43389.890057350683</v>
      </c>
      <c r="C145" s="15">
        <v>43383</v>
      </c>
      <c r="D145" s="15">
        <v>43389.890057350683</v>
      </c>
      <c r="E145" t="s">
        <v>43</v>
      </c>
      <c r="F145" t="s">
        <v>30</v>
      </c>
      <c r="G145" s="13" t="s">
        <v>426</v>
      </c>
      <c r="H145" s="16">
        <v>2998</v>
      </c>
      <c r="I145">
        <f>IF(TbRegistrosSaídas[[#This Row],[Data do Caixa Realizado]]="",0,MONTH(TbRegistrosSaídas[[#This Row],[Data do Caixa Realizado]]))</f>
        <v>10</v>
      </c>
      <c r="J145">
        <f>IF(TbRegistrosSaídas[[#This Row],[Data do Caixa Realizado]]="",0,YEAR(TbRegistrosSaídas[[#This Row],[Data do Caixa Realizado]]))</f>
        <v>2018</v>
      </c>
      <c r="K145">
        <f>IF(TbRegistrosSaídas[[#This Row],[Data da Competência]]="",0,MONTH(TbRegistrosSaídas[[#This Row],[Data da Competência]]))</f>
        <v>10</v>
      </c>
      <c r="L145">
        <f>IF(TbRegistrosSaídas[[#This Row],[Data da Competência]]="",0,YEAR(TbRegistrosSaídas[[#This Row],[Data da Competência]]))</f>
        <v>2018</v>
      </c>
      <c r="M145" s="40">
        <f>IF(TbRegistrosSaídas[[#This Row],[Data do Caixa Previsto]]="",0,MONTH(TbRegistrosSaídas[[#This Row],[Data do Caixa Previsto]]))</f>
        <v>10</v>
      </c>
      <c r="N145" s="40">
        <f>IF(TbRegistrosSaídas[[#This Row],[Data do Caixa Previsto]]="",0,YEAR(TbRegistrosSaídas[[#This Row],[Data do Caixa Previsto]]))</f>
        <v>2018</v>
      </c>
      <c r="O14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6" spans="2:15" x14ac:dyDescent="0.25">
      <c r="B146" s="15">
        <v>43404.046693214259</v>
      </c>
      <c r="C146" s="15">
        <v>43385</v>
      </c>
      <c r="D146" s="15">
        <v>43404.046693214259</v>
      </c>
      <c r="E146" t="s">
        <v>43</v>
      </c>
      <c r="F146" t="s">
        <v>30</v>
      </c>
      <c r="G146" s="13" t="s">
        <v>427</v>
      </c>
      <c r="H146" s="16">
        <v>4287</v>
      </c>
      <c r="I146">
        <f>IF(TbRegistrosSaídas[[#This Row],[Data do Caixa Realizado]]="",0,MONTH(TbRegistrosSaídas[[#This Row],[Data do Caixa Realizado]]))</f>
        <v>10</v>
      </c>
      <c r="J146">
        <f>IF(TbRegistrosSaídas[[#This Row],[Data do Caixa Realizado]]="",0,YEAR(TbRegistrosSaídas[[#This Row],[Data do Caixa Realizado]]))</f>
        <v>2018</v>
      </c>
      <c r="K146">
        <f>IF(TbRegistrosSaídas[[#This Row],[Data da Competência]]="",0,MONTH(TbRegistrosSaídas[[#This Row],[Data da Competência]]))</f>
        <v>10</v>
      </c>
      <c r="L146">
        <f>IF(TbRegistrosSaídas[[#This Row],[Data da Competência]]="",0,YEAR(TbRegistrosSaídas[[#This Row],[Data da Competência]]))</f>
        <v>2018</v>
      </c>
      <c r="M146" s="40">
        <f>IF(TbRegistrosSaídas[[#This Row],[Data do Caixa Previsto]]="",0,MONTH(TbRegistrosSaídas[[#This Row],[Data do Caixa Previsto]]))</f>
        <v>10</v>
      </c>
      <c r="N146" s="40">
        <f>IF(TbRegistrosSaídas[[#This Row],[Data do Caixa Previsto]]="",0,YEAR(TbRegistrosSaídas[[#This Row],[Data do Caixa Previsto]]))</f>
        <v>2018</v>
      </c>
      <c r="O14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7" spans="2:15" x14ac:dyDescent="0.25">
      <c r="B147" s="15">
        <v>43507.755970956488</v>
      </c>
      <c r="C147" s="15">
        <v>43387</v>
      </c>
      <c r="D147" s="15">
        <v>43428.148562697053</v>
      </c>
      <c r="E147" t="s">
        <v>43</v>
      </c>
      <c r="F147" t="s">
        <v>32</v>
      </c>
      <c r="G147" s="13" t="s">
        <v>428</v>
      </c>
      <c r="H147" s="16">
        <v>2015</v>
      </c>
      <c r="I147">
        <f>IF(TbRegistrosSaídas[[#This Row],[Data do Caixa Realizado]]="",0,MONTH(TbRegistrosSaídas[[#This Row],[Data do Caixa Realizado]]))</f>
        <v>2</v>
      </c>
      <c r="J147">
        <f>IF(TbRegistrosSaídas[[#This Row],[Data do Caixa Realizado]]="",0,YEAR(TbRegistrosSaídas[[#This Row],[Data do Caixa Realizado]]))</f>
        <v>2019</v>
      </c>
      <c r="K147">
        <f>IF(TbRegistrosSaídas[[#This Row],[Data da Competência]]="",0,MONTH(TbRegistrosSaídas[[#This Row],[Data da Competência]]))</f>
        <v>10</v>
      </c>
      <c r="L147">
        <f>IF(TbRegistrosSaídas[[#This Row],[Data da Competência]]="",0,YEAR(TbRegistrosSaídas[[#This Row],[Data da Competência]]))</f>
        <v>2018</v>
      </c>
      <c r="M147" s="40">
        <f>IF(TbRegistrosSaídas[[#This Row],[Data do Caixa Previsto]]="",0,MONTH(TbRegistrosSaídas[[#This Row],[Data do Caixa Previsto]]))</f>
        <v>11</v>
      </c>
      <c r="N147" s="40">
        <f>IF(TbRegistrosSaídas[[#This Row],[Data do Caixa Previsto]]="",0,YEAR(TbRegistrosSaídas[[#This Row],[Data do Caixa Previsto]]))</f>
        <v>2018</v>
      </c>
      <c r="O14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79.607408259435033</v>
      </c>
    </row>
    <row r="148" spans="2:15" x14ac:dyDescent="0.25">
      <c r="B148" s="15">
        <v>43449.211879770926</v>
      </c>
      <c r="C148" s="15">
        <v>43393</v>
      </c>
      <c r="D148" s="15">
        <v>43449.211879770926</v>
      </c>
      <c r="E148" t="s">
        <v>43</v>
      </c>
      <c r="F148" t="s">
        <v>32</v>
      </c>
      <c r="G148" s="13" t="s">
        <v>429</v>
      </c>
      <c r="H148" s="16">
        <v>3369</v>
      </c>
      <c r="I148">
        <f>IF(TbRegistrosSaídas[[#This Row],[Data do Caixa Realizado]]="",0,MONTH(TbRegistrosSaídas[[#This Row],[Data do Caixa Realizado]]))</f>
        <v>12</v>
      </c>
      <c r="J148">
        <f>IF(TbRegistrosSaídas[[#This Row],[Data do Caixa Realizado]]="",0,YEAR(TbRegistrosSaídas[[#This Row],[Data do Caixa Realizado]]))</f>
        <v>2018</v>
      </c>
      <c r="K148">
        <f>IF(TbRegistrosSaídas[[#This Row],[Data da Competência]]="",0,MONTH(TbRegistrosSaídas[[#This Row],[Data da Competência]]))</f>
        <v>10</v>
      </c>
      <c r="L148">
        <f>IF(TbRegistrosSaídas[[#This Row],[Data da Competência]]="",0,YEAR(TbRegistrosSaídas[[#This Row],[Data da Competência]]))</f>
        <v>2018</v>
      </c>
      <c r="M148" s="40">
        <f>IF(TbRegistrosSaídas[[#This Row],[Data do Caixa Previsto]]="",0,MONTH(TbRegistrosSaídas[[#This Row],[Data do Caixa Previsto]]))</f>
        <v>12</v>
      </c>
      <c r="N148" s="40">
        <f>IF(TbRegistrosSaídas[[#This Row],[Data do Caixa Previsto]]="",0,YEAR(TbRegistrosSaídas[[#This Row],[Data do Caixa Previsto]]))</f>
        <v>2018</v>
      </c>
      <c r="O14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49" spans="2:15" x14ac:dyDescent="0.25">
      <c r="B149" s="15">
        <v>43404.811332468627</v>
      </c>
      <c r="C149" s="15">
        <v>43394</v>
      </c>
      <c r="D149" s="15">
        <v>43404.811332468627</v>
      </c>
      <c r="E149" t="s">
        <v>43</v>
      </c>
      <c r="F149" t="s">
        <v>44</v>
      </c>
      <c r="G149" s="13" t="s">
        <v>430</v>
      </c>
      <c r="H149" s="16">
        <v>4851</v>
      </c>
      <c r="I149">
        <f>IF(TbRegistrosSaídas[[#This Row],[Data do Caixa Realizado]]="",0,MONTH(TbRegistrosSaídas[[#This Row],[Data do Caixa Realizado]]))</f>
        <v>10</v>
      </c>
      <c r="J149">
        <f>IF(TbRegistrosSaídas[[#This Row],[Data do Caixa Realizado]]="",0,YEAR(TbRegistrosSaídas[[#This Row],[Data do Caixa Realizado]]))</f>
        <v>2018</v>
      </c>
      <c r="K149">
        <f>IF(TbRegistrosSaídas[[#This Row],[Data da Competência]]="",0,MONTH(TbRegistrosSaídas[[#This Row],[Data da Competência]]))</f>
        <v>10</v>
      </c>
      <c r="L149">
        <f>IF(TbRegistrosSaídas[[#This Row],[Data da Competência]]="",0,YEAR(TbRegistrosSaídas[[#This Row],[Data da Competência]]))</f>
        <v>2018</v>
      </c>
      <c r="M149" s="40">
        <f>IF(TbRegistrosSaídas[[#This Row],[Data do Caixa Previsto]]="",0,MONTH(TbRegistrosSaídas[[#This Row],[Data do Caixa Previsto]]))</f>
        <v>10</v>
      </c>
      <c r="N149" s="40">
        <f>IF(TbRegistrosSaídas[[#This Row],[Data do Caixa Previsto]]="",0,YEAR(TbRegistrosSaídas[[#This Row],[Data do Caixa Previsto]]))</f>
        <v>2018</v>
      </c>
      <c r="O14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0" spans="2:15" x14ac:dyDescent="0.25">
      <c r="B150" s="15">
        <v>43456.031618147535</v>
      </c>
      <c r="C150" s="15">
        <v>43398</v>
      </c>
      <c r="D150" s="15">
        <v>43449.013472196442</v>
      </c>
      <c r="E150" t="s">
        <v>43</v>
      </c>
      <c r="F150" t="s">
        <v>44</v>
      </c>
      <c r="G150" s="13" t="s">
        <v>431</v>
      </c>
      <c r="H150" s="16">
        <v>2178</v>
      </c>
      <c r="I150">
        <f>IF(TbRegistrosSaídas[[#This Row],[Data do Caixa Realizado]]="",0,MONTH(TbRegistrosSaídas[[#This Row],[Data do Caixa Realizado]]))</f>
        <v>12</v>
      </c>
      <c r="J150">
        <f>IF(TbRegistrosSaídas[[#This Row],[Data do Caixa Realizado]]="",0,YEAR(TbRegistrosSaídas[[#This Row],[Data do Caixa Realizado]]))</f>
        <v>2018</v>
      </c>
      <c r="K150">
        <f>IF(TbRegistrosSaídas[[#This Row],[Data da Competência]]="",0,MONTH(TbRegistrosSaídas[[#This Row],[Data da Competência]]))</f>
        <v>10</v>
      </c>
      <c r="L150">
        <f>IF(TbRegistrosSaídas[[#This Row],[Data da Competência]]="",0,YEAR(TbRegistrosSaídas[[#This Row],[Data da Competência]]))</f>
        <v>2018</v>
      </c>
      <c r="M150" s="40">
        <f>IF(TbRegistrosSaídas[[#This Row],[Data do Caixa Previsto]]="",0,MONTH(TbRegistrosSaídas[[#This Row],[Data do Caixa Previsto]]))</f>
        <v>12</v>
      </c>
      <c r="N150" s="40">
        <f>IF(TbRegistrosSaídas[[#This Row],[Data do Caixa Previsto]]="",0,YEAR(TbRegistrosSaídas[[#This Row],[Data do Caixa Previsto]]))</f>
        <v>2018</v>
      </c>
      <c r="O15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7.0181459510931745</v>
      </c>
    </row>
    <row r="151" spans="2:15" x14ac:dyDescent="0.25">
      <c r="B151" s="15">
        <v>43424.062053727328</v>
      </c>
      <c r="C151" s="15">
        <v>43400</v>
      </c>
      <c r="D151" s="15">
        <v>43424.062053727328</v>
      </c>
      <c r="E151" t="s">
        <v>43</v>
      </c>
      <c r="F151" t="s">
        <v>32</v>
      </c>
      <c r="G151" s="13" t="s">
        <v>432</v>
      </c>
      <c r="H151" s="16">
        <v>4052</v>
      </c>
      <c r="I151">
        <f>IF(TbRegistrosSaídas[[#This Row],[Data do Caixa Realizado]]="",0,MONTH(TbRegistrosSaídas[[#This Row],[Data do Caixa Realizado]]))</f>
        <v>11</v>
      </c>
      <c r="J151">
        <f>IF(TbRegistrosSaídas[[#This Row],[Data do Caixa Realizado]]="",0,YEAR(TbRegistrosSaídas[[#This Row],[Data do Caixa Realizado]]))</f>
        <v>2018</v>
      </c>
      <c r="K151">
        <f>IF(TbRegistrosSaídas[[#This Row],[Data da Competência]]="",0,MONTH(TbRegistrosSaídas[[#This Row],[Data da Competência]]))</f>
        <v>10</v>
      </c>
      <c r="L151">
        <f>IF(TbRegistrosSaídas[[#This Row],[Data da Competência]]="",0,YEAR(TbRegistrosSaídas[[#This Row],[Data da Competência]]))</f>
        <v>2018</v>
      </c>
      <c r="M151" s="40">
        <f>IF(TbRegistrosSaídas[[#This Row],[Data do Caixa Previsto]]="",0,MONTH(TbRegistrosSaídas[[#This Row],[Data do Caixa Previsto]]))</f>
        <v>11</v>
      </c>
      <c r="N151" s="40">
        <f>IF(TbRegistrosSaídas[[#This Row],[Data do Caixa Previsto]]="",0,YEAR(TbRegistrosSaídas[[#This Row],[Data do Caixa Previsto]]))</f>
        <v>2018</v>
      </c>
      <c r="O15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2" spans="2:15" x14ac:dyDescent="0.25">
      <c r="B152" s="15">
        <v>43420.587272347206</v>
      </c>
      <c r="C152" s="15">
        <v>43403</v>
      </c>
      <c r="D152" s="15">
        <v>43420.587272347206</v>
      </c>
      <c r="E152" t="s">
        <v>43</v>
      </c>
      <c r="F152" t="s">
        <v>30</v>
      </c>
      <c r="G152" s="13" t="s">
        <v>433</v>
      </c>
      <c r="H152" s="16">
        <v>2864</v>
      </c>
      <c r="I152">
        <f>IF(TbRegistrosSaídas[[#This Row],[Data do Caixa Realizado]]="",0,MONTH(TbRegistrosSaídas[[#This Row],[Data do Caixa Realizado]]))</f>
        <v>11</v>
      </c>
      <c r="J152">
        <f>IF(TbRegistrosSaídas[[#This Row],[Data do Caixa Realizado]]="",0,YEAR(TbRegistrosSaídas[[#This Row],[Data do Caixa Realizado]]))</f>
        <v>2018</v>
      </c>
      <c r="K152">
        <f>IF(TbRegistrosSaídas[[#This Row],[Data da Competência]]="",0,MONTH(TbRegistrosSaídas[[#This Row],[Data da Competência]]))</f>
        <v>10</v>
      </c>
      <c r="L152">
        <f>IF(TbRegistrosSaídas[[#This Row],[Data da Competência]]="",0,YEAR(TbRegistrosSaídas[[#This Row],[Data da Competência]]))</f>
        <v>2018</v>
      </c>
      <c r="M152" s="40">
        <f>IF(TbRegistrosSaídas[[#This Row],[Data do Caixa Previsto]]="",0,MONTH(TbRegistrosSaídas[[#This Row],[Data do Caixa Previsto]]))</f>
        <v>11</v>
      </c>
      <c r="N152" s="40">
        <f>IF(TbRegistrosSaídas[[#This Row],[Data do Caixa Previsto]]="",0,YEAR(TbRegistrosSaídas[[#This Row],[Data do Caixa Previsto]]))</f>
        <v>2018</v>
      </c>
      <c r="O15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3" spans="2:15" x14ac:dyDescent="0.25">
      <c r="B153" s="15">
        <v>43461.891878681301</v>
      </c>
      <c r="C153" s="15">
        <v>43405</v>
      </c>
      <c r="D153" s="15">
        <v>43461.891878681301</v>
      </c>
      <c r="E153" t="s">
        <v>43</v>
      </c>
      <c r="F153" t="s">
        <v>44</v>
      </c>
      <c r="G153" s="13" t="s">
        <v>434</v>
      </c>
      <c r="H153" s="16">
        <v>2425</v>
      </c>
      <c r="I153">
        <f>IF(TbRegistrosSaídas[[#This Row],[Data do Caixa Realizado]]="",0,MONTH(TbRegistrosSaídas[[#This Row],[Data do Caixa Realizado]]))</f>
        <v>12</v>
      </c>
      <c r="J153">
        <f>IF(TbRegistrosSaídas[[#This Row],[Data do Caixa Realizado]]="",0,YEAR(TbRegistrosSaídas[[#This Row],[Data do Caixa Realizado]]))</f>
        <v>2018</v>
      </c>
      <c r="K153">
        <f>IF(TbRegistrosSaídas[[#This Row],[Data da Competência]]="",0,MONTH(TbRegistrosSaídas[[#This Row],[Data da Competência]]))</f>
        <v>11</v>
      </c>
      <c r="L153">
        <f>IF(TbRegistrosSaídas[[#This Row],[Data da Competência]]="",0,YEAR(TbRegistrosSaídas[[#This Row],[Data da Competência]]))</f>
        <v>2018</v>
      </c>
      <c r="M153" s="40">
        <f>IF(TbRegistrosSaídas[[#This Row],[Data do Caixa Previsto]]="",0,MONTH(TbRegistrosSaídas[[#This Row],[Data do Caixa Previsto]]))</f>
        <v>12</v>
      </c>
      <c r="N153" s="40">
        <f>IF(TbRegistrosSaídas[[#This Row],[Data do Caixa Previsto]]="",0,YEAR(TbRegistrosSaídas[[#This Row],[Data do Caixa Previsto]]))</f>
        <v>2018</v>
      </c>
      <c r="O15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4" spans="2:15" x14ac:dyDescent="0.25">
      <c r="B154" s="15">
        <v>43491.131651867006</v>
      </c>
      <c r="C154" s="15">
        <v>43407</v>
      </c>
      <c r="D154" s="15">
        <v>43466.552162254069</v>
      </c>
      <c r="E154" t="s">
        <v>43</v>
      </c>
      <c r="F154" t="s">
        <v>30</v>
      </c>
      <c r="G154" s="13" t="s">
        <v>352</v>
      </c>
      <c r="H154" s="16">
        <v>1542</v>
      </c>
      <c r="I154">
        <f>IF(TbRegistrosSaídas[[#This Row],[Data do Caixa Realizado]]="",0,MONTH(TbRegistrosSaídas[[#This Row],[Data do Caixa Realizado]]))</f>
        <v>1</v>
      </c>
      <c r="J154">
        <f>IF(TbRegistrosSaídas[[#This Row],[Data do Caixa Realizado]]="",0,YEAR(TbRegistrosSaídas[[#This Row],[Data do Caixa Realizado]]))</f>
        <v>2019</v>
      </c>
      <c r="K154">
        <f>IF(TbRegistrosSaídas[[#This Row],[Data da Competência]]="",0,MONTH(TbRegistrosSaídas[[#This Row],[Data da Competência]]))</f>
        <v>11</v>
      </c>
      <c r="L154">
        <f>IF(TbRegistrosSaídas[[#This Row],[Data da Competência]]="",0,YEAR(TbRegistrosSaídas[[#This Row],[Data da Competência]]))</f>
        <v>2018</v>
      </c>
      <c r="M154" s="40">
        <f>IF(TbRegistrosSaídas[[#This Row],[Data do Caixa Previsto]]="",0,MONTH(TbRegistrosSaídas[[#This Row],[Data do Caixa Previsto]]))</f>
        <v>1</v>
      </c>
      <c r="N154" s="40">
        <f>IF(TbRegistrosSaídas[[#This Row],[Data do Caixa Previsto]]="",0,YEAR(TbRegistrosSaídas[[#This Row],[Data do Caixa Previsto]]))</f>
        <v>2019</v>
      </c>
      <c r="O15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24.579489612937323</v>
      </c>
    </row>
    <row r="155" spans="2:15" x14ac:dyDescent="0.25">
      <c r="B155" s="15">
        <v>43446.7351960983</v>
      </c>
      <c r="C155" s="15">
        <v>43412</v>
      </c>
      <c r="D155" s="15">
        <v>43446.7351960983</v>
      </c>
      <c r="E155" t="s">
        <v>43</v>
      </c>
      <c r="F155" t="s">
        <v>44</v>
      </c>
      <c r="G155" s="13" t="s">
        <v>435</v>
      </c>
      <c r="H155" s="16">
        <v>1736</v>
      </c>
      <c r="I155">
        <f>IF(TbRegistrosSaídas[[#This Row],[Data do Caixa Realizado]]="",0,MONTH(TbRegistrosSaídas[[#This Row],[Data do Caixa Realizado]]))</f>
        <v>12</v>
      </c>
      <c r="J155">
        <f>IF(TbRegistrosSaídas[[#This Row],[Data do Caixa Realizado]]="",0,YEAR(TbRegistrosSaídas[[#This Row],[Data do Caixa Realizado]]))</f>
        <v>2018</v>
      </c>
      <c r="K155">
        <f>IF(TbRegistrosSaídas[[#This Row],[Data da Competência]]="",0,MONTH(TbRegistrosSaídas[[#This Row],[Data da Competência]]))</f>
        <v>11</v>
      </c>
      <c r="L155">
        <f>IF(TbRegistrosSaídas[[#This Row],[Data da Competência]]="",0,YEAR(TbRegistrosSaídas[[#This Row],[Data da Competência]]))</f>
        <v>2018</v>
      </c>
      <c r="M155" s="40">
        <f>IF(TbRegistrosSaídas[[#This Row],[Data do Caixa Previsto]]="",0,MONTH(TbRegistrosSaídas[[#This Row],[Data do Caixa Previsto]]))</f>
        <v>12</v>
      </c>
      <c r="N155" s="40">
        <f>IF(TbRegistrosSaídas[[#This Row],[Data do Caixa Previsto]]="",0,YEAR(TbRegistrosSaídas[[#This Row],[Data do Caixa Previsto]]))</f>
        <v>2018</v>
      </c>
      <c r="O15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6" spans="2:15" x14ac:dyDescent="0.25">
      <c r="B156" s="15">
        <v>43474.679630611819</v>
      </c>
      <c r="C156" s="15">
        <v>43415</v>
      </c>
      <c r="D156" s="15">
        <v>43474.679630611819</v>
      </c>
      <c r="E156" t="s">
        <v>43</v>
      </c>
      <c r="F156" t="s">
        <v>31</v>
      </c>
      <c r="G156" s="13" t="s">
        <v>436</v>
      </c>
      <c r="H156" s="16">
        <v>1628</v>
      </c>
      <c r="I156">
        <f>IF(TbRegistrosSaídas[[#This Row],[Data do Caixa Realizado]]="",0,MONTH(TbRegistrosSaídas[[#This Row],[Data do Caixa Realizado]]))</f>
        <v>1</v>
      </c>
      <c r="J156">
        <f>IF(TbRegistrosSaídas[[#This Row],[Data do Caixa Realizado]]="",0,YEAR(TbRegistrosSaídas[[#This Row],[Data do Caixa Realizado]]))</f>
        <v>2019</v>
      </c>
      <c r="K156">
        <f>IF(TbRegistrosSaídas[[#This Row],[Data da Competência]]="",0,MONTH(TbRegistrosSaídas[[#This Row],[Data da Competência]]))</f>
        <v>11</v>
      </c>
      <c r="L156">
        <f>IF(TbRegistrosSaídas[[#This Row],[Data da Competência]]="",0,YEAR(TbRegistrosSaídas[[#This Row],[Data da Competência]]))</f>
        <v>2018</v>
      </c>
      <c r="M156" s="40">
        <f>IF(TbRegistrosSaídas[[#This Row],[Data do Caixa Previsto]]="",0,MONTH(TbRegistrosSaídas[[#This Row],[Data do Caixa Previsto]]))</f>
        <v>1</v>
      </c>
      <c r="N156" s="40">
        <f>IF(TbRegistrosSaídas[[#This Row],[Data do Caixa Previsto]]="",0,YEAR(TbRegistrosSaídas[[#This Row],[Data do Caixa Previsto]]))</f>
        <v>2019</v>
      </c>
      <c r="O15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7" spans="2:15" x14ac:dyDescent="0.25">
      <c r="B157" s="15">
        <v>43420.10775852378</v>
      </c>
      <c r="C157" s="15">
        <v>43417</v>
      </c>
      <c r="D157" s="15">
        <v>43420.10775852378</v>
      </c>
      <c r="E157" t="s">
        <v>43</v>
      </c>
      <c r="F157" t="s">
        <v>44</v>
      </c>
      <c r="G157" s="13" t="s">
        <v>437</v>
      </c>
      <c r="H157" s="16">
        <v>3853</v>
      </c>
      <c r="I157">
        <f>IF(TbRegistrosSaídas[[#This Row],[Data do Caixa Realizado]]="",0,MONTH(TbRegistrosSaídas[[#This Row],[Data do Caixa Realizado]]))</f>
        <v>11</v>
      </c>
      <c r="J157">
        <f>IF(TbRegistrosSaídas[[#This Row],[Data do Caixa Realizado]]="",0,YEAR(TbRegistrosSaídas[[#This Row],[Data do Caixa Realizado]]))</f>
        <v>2018</v>
      </c>
      <c r="K157">
        <f>IF(TbRegistrosSaídas[[#This Row],[Data da Competência]]="",0,MONTH(TbRegistrosSaídas[[#This Row],[Data da Competência]]))</f>
        <v>11</v>
      </c>
      <c r="L157">
        <f>IF(TbRegistrosSaídas[[#This Row],[Data da Competência]]="",0,YEAR(TbRegistrosSaídas[[#This Row],[Data da Competência]]))</f>
        <v>2018</v>
      </c>
      <c r="M157" s="40">
        <f>IF(TbRegistrosSaídas[[#This Row],[Data do Caixa Previsto]]="",0,MONTH(TbRegistrosSaídas[[#This Row],[Data do Caixa Previsto]]))</f>
        <v>11</v>
      </c>
      <c r="N157" s="40">
        <f>IF(TbRegistrosSaídas[[#This Row],[Data do Caixa Previsto]]="",0,YEAR(TbRegistrosSaídas[[#This Row],[Data do Caixa Previsto]]))</f>
        <v>2018</v>
      </c>
      <c r="O15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8" spans="2:15" x14ac:dyDescent="0.25">
      <c r="B158" s="15">
        <v>43451.20401159949</v>
      </c>
      <c r="C158" s="15">
        <v>43421</v>
      </c>
      <c r="D158" s="15">
        <v>43451.20401159949</v>
      </c>
      <c r="E158" t="s">
        <v>43</v>
      </c>
      <c r="F158" t="s">
        <v>31</v>
      </c>
      <c r="G158" s="13" t="s">
        <v>438</v>
      </c>
      <c r="H158" s="16">
        <v>883</v>
      </c>
      <c r="I158">
        <f>IF(TbRegistrosSaídas[[#This Row],[Data do Caixa Realizado]]="",0,MONTH(TbRegistrosSaídas[[#This Row],[Data do Caixa Realizado]]))</f>
        <v>12</v>
      </c>
      <c r="J158">
        <f>IF(TbRegistrosSaídas[[#This Row],[Data do Caixa Realizado]]="",0,YEAR(TbRegistrosSaídas[[#This Row],[Data do Caixa Realizado]]))</f>
        <v>2018</v>
      </c>
      <c r="K158">
        <f>IF(TbRegistrosSaídas[[#This Row],[Data da Competência]]="",0,MONTH(TbRegistrosSaídas[[#This Row],[Data da Competência]]))</f>
        <v>11</v>
      </c>
      <c r="L158">
        <f>IF(TbRegistrosSaídas[[#This Row],[Data da Competência]]="",0,YEAR(TbRegistrosSaídas[[#This Row],[Data da Competência]]))</f>
        <v>2018</v>
      </c>
      <c r="M158" s="40">
        <f>IF(TbRegistrosSaídas[[#This Row],[Data do Caixa Previsto]]="",0,MONTH(TbRegistrosSaídas[[#This Row],[Data do Caixa Previsto]]))</f>
        <v>12</v>
      </c>
      <c r="N158" s="40">
        <f>IF(TbRegistrosSaídas[[#This Row],[Data do Caixa Previsto]]="",0,YEAR(TbRegistrosSaídas[[#This Row],[Data do Caixa Previsto]]))</f>
        <v>2018</v>
      </c>
      <c r="O15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59" spans="2:15" x14ac:dyDescent="0.25">
      <c r="B159" s="15">
        <v>43441.762171101494</v>
      </c>
      <c r="C159" s="15">
        <v>43421</v>
      </c>
      <c r="D159" s="15">
        <v>43441.762171101494</v>
      </c>
      <c r="E159" t="s">
        <v>43</v>
      </c>
      <c r="F159" t="s">
        <v>44</v>
      </c>
      <c r="G159" s="13" t="s">
        <v>439</v>
      </c>
      <c r="H159" s="16">
        <v>976</v>
      </c>
      <c r="I159">
        <f>IF(TbRegistrosSaídas[[#This Row],[Data do Caixa Realizado]]="",0,MONTH(TbRegistrosSaídas[[#This Row],[Data do Caixa Realizado]]))</f>
        <v>12</v>
      </c>
      <c r="J159">
        <f>IF(TbRegistrosSaídas[[#This Row],[Data do Caixa Realizado]]="",0,YEAR(TbRegistrosSaídas[[#This Row],[Data do Caixa Realizado]]))</f>
        <v>2018</v>
      </c>
      <c r="K159">
        <f>IF(TbRegistrosSaídas[[#This Row],[Data da Competência]]="",0,MONTH(TbRegistrosSaídas[[#This Row],[Data da Competência]]))</f>
        <v>11</v>
      </c>
      <c r="L159">
        <f>IF(TbRegistrosSaídas[[#This Row],[Data da Competência]]="",0,YEAR(TbRegistrosSaídas[[#This Row],[Data da Competência]]))</f>
        <v>2018</v>
      </c>
      <c r="M159" s="40">
        <f>IF(TbRegistrosSaídas[[#This Row],[Data do Caixa Previsto]]="",0,MONTH(TbRegistrosSaídas[[#This Row],[Data do Caixa Previsto]]))</f>
        <v>12</v>
      </c>
      <c r="N159" s="40">
        <f>IF(TbRegistrosSaídas[[#This Row],[Data do Caixa Previsto]]="",0,YEAR(TbRegistrosSaídas[[#This Row],[Data do Caixa Previsto]]))</f>
        <v>2018</v>
      </c>
      <c r="O15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60" spans="2:15" x14ac:dyDescent="0.25">
      <c r="B160" s="15">
        <v>43465.942395888327</v>
      </c>
      <c r="C160" s="15">
        <v>43424</v>
      </c>
      <c r="D160" s="15">
        <v>43465.942395888327</v>
      </c>
      <c r="E160" t="s">
        <v>43</v>
      </c>
      <c r="F160" t="s">
        <v>31</v>
      </c>
      <c r="G160" s="13" t="s">
        <v>440</v>
      </c>
      <c r="H160" s="16">
        <v>2663</v>
      </c>
      <c r="I160">
        <f>IF(TbRegistrosSaídas[[#This Row],[Data do Caixa Realizado]]="",0,MONTH(TbRegistrosSaídas[[#This Row],[Data do Caixa Realizado]]))</f>
        <v>12</v>
      </c>
      <c r="J160">
        <f>IF(TbRegistrosSaídas[[#This Row],[Data do Caixa Realizado]]="",0,YEAR(TbRegistrosSaídas[[#This Row],[Data do Caixa Realizado]]))</f>
        <v>2018</v>
      </c>
      <c r="K160">
        <f>IF(TbRegistrosSaídas[[#This Row],[Data da Competência]]="",0,MONTH(TbRegistrosSaídas[[#This Row],[Data da Competência]]))</f>
        <v>11</v>
      </c>
      <c r="L160">
        <f>IF(TbRegistrosSaídas[[#This Row],[Data da Competência]]="",0,YEAR(TbRegistrosSaídas[[#This Row],[Data da Competência]]))</f>
        <v>2018</v>
      </c>
      <c r="M160" s="40">
        <f>IF(TbRegistrosSaídas[[#This Row],[Data do Caixa Previsto]]="",0,MONTH(TbRegistrosSaídas[[#This Row],[Data do Caixa Previsto]]))</f>
        <v>12</v>
      </c>
      <c r="N160" s="40">
        <f>IF(TbRegistrosSaídas[[#This Row],[Data do Caixa Previsto]]="",0,YEAR(TbRegistrosSaídas[[#This Row],[Data do Caixa Previsto]]))</f>
        <v>2018</v>
      </c>
      <c r="O16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61" spans="2:15" x14ac:dyDescent="0.25">
      <c r="B161" s="15">
        <v>43430.953637786966</v>
      </c>
      <c r="C161" s="15">
        <v>43430</v>
      </c>
      <c r="D161" s="15">
        <v>43430.953637786966</v>
      </c>
      <c r="E161" t="s">
        <v>43</v>
      </c>
      <c r="F161" t="s">
        <v>44</v>
      </c>
      <c r="G161" s="13" t="s">
        <v>441</v>
      </c>
      <c r="H161" s="16">
        <v>4888</v>
      </c>
      <c r="I161">
        <f>IF(TbRegistrosSaídas[[#This Row],[Data do Caixa Realizado]]="",0,MONTH(TbRegistrosSaídas[[#This Row],[Data do Caixa Realizado]]))</f>
        <v>11</v>
      </c>
      <c r="J161">
        <f>IF(TbRegistrosSaídas[[#This Row],[Data do Caixa Realizado]]="",0,YEAR(TbRegistrosSaídas[[#This Row],[Data do Caixa Realizado]]))</f>
        <v>2018</v>
      </c>
      <c r="K161">
        <f>IF(TbRegistrosSaídas[[#This Row],[Data da Competência]]="",0,MONTH(TbRegistrosSaídas[[#This Row],[Data da Competência]]))</f>
        <v>11</v>
      </c>
      <c r="L161">
        <f>IF(TbRegistrosSaídas[[#This Row],[Data da Competência]]="",0,YEAR(TbRegistrosSaídas[[#This Row],[Data da Competência]]))</f>
        <v>2018</v>
      </c>
      <c r="M161" s="40">
        <f>IF(TbRegistrosSaídas[[#This Row],[Data do Caixa Previsto]]="",0,MONTH(TbRegistrosSaídas[[#This Row],[Data do Caixa Previsto]]))</f>
        <v>11</v>
      </c>
      <c r="N161" s="40">
        <f>IF(TbRegistrosSaídas[[#This Row],[Data do Caixa Previsto]]="",0,YEAR(TbRegistrosSaídas[[#This Row],[Data do Caixa Previsto]]))</f>
        <v>2018</v>
      </c>
      <c r="O16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62" spans="2:15" x14ac:dyDescent="0.25">
      <c r="B162" s="15">
        <v>43517.76387190332</v>
      </c>
      <c r="C162" s="15">
        <v>43433</v>
      </c>
      <c r="D162" s="15">
        <v>43478.804327652433</v>
      </c>
      <c r="E162" t="s">
        <v>43</v>
      </c>
      <c r="F162" t="s">
        <v>31</v>
      </c>
      <c r="G162" s="13" t="s">
        <v>442</v>
      </c>
      <c r="H162" s="16">
        <v>2030</v>
      </c>
      <c r="I162">
        <f>IF(TbRegistrosSaídas[[#This Row],[Data do Caixa Realizado]]="",0,MONTH(TbRegistrosSaídas[[#This Row],[Data do Caixa Realizado]]))</f>
        <v>2</v>
      </c>
      <c r="J162">
        <f>IF(TbRegistrosSaídas[[#This Row],[Data do Caixa Realizado]]="",0,YEAR(TbRegistrosSaídas[[#This Row],[Data do Caixa Realizado]]))</f>
        <v>2019</v>
      </c>
      <c r="K162">
        <f>IF(TbRegistrosSaídas[[#This Row],[Data da Competência]]="",0,MONTH(TbRegistrosSaídas[[#This Row],[Data da Competência]]))</f>
        <v>11</v>
      </c>
      <c r="L162">
        <f>IF(TbRegistrosSaídas[[#This Row],[Data da Competência]]="",0,YEAR(TbRegistrosSaídas[[#This Row],[Data da Competência]]))</f>
        <v>2018</v>
      </c>
      <c r="M162" s="40">
        <f>IF(TbRegistrosSaídas[[#This Row],[Data do Caixa Previsto]]="",0,MONTH(TbRegistrosSaídas[[#This Row],[Data do Caixa Previsto]]))</f>
        <v>1</v>
      </c>
      <c r="N162" s="40">
        <f>IF(TbRegistrosSaídas[[#This Row],[Data do Caixa Previsto]]="",0,YEAR(TbRegistrosSaídas[[#This Row],[Data do Caixa Previsto]]))</f>
        <v>2019</v>
      </c>
      <c r="O16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38.95954425088712</v>
      </c>
    </row>
    <row r="163" spans="2:15" x14ac:dyDescent="0.25">
      <c r="B163" s="15" t="s">
        <v>69</v>
      </c>
      <c r="C163" s="15">
        <v>43436</v>
      </c>
      <c r="D163" s="15">
        <v>43485.820929970221</v>
      </c>
      <c r="E163" t="s">
        <v>43</v>
      </c>
      <c r="F163" t="s">
        <v>44</v>
      </c>
      <c r="G163" s="13" t="s">
        <v>443</v>
      </c>
      <c r="H163" s="16">
        <v>2117</v>
      </c>
      <c r="I163">
        <f>IF(TbRegistrosSaídas[[#This Row],[Data do Caixa Realizado]]="",0,MONTH(TbRegistrosSaídas[[#This Row],[Data do Caixa Realizado]]))</f>
        <v>0</v>
      </c>
      <c r="J163">
        <f>IF(TbRegistrosSaídas[[#This Row],[Data do Caixa Realizado]]="",0,YEAR(TbRegistrosSaídas[[#This Row],[Data do Caixa Realizado]]))</f>
        <v>0</v>
      </c>
      <c r="K163">
        <f>IF(TbRegistrosSaídas[[#This Row],[Data da Competência]]="",0,MONTH(TbRegistrosSaídas[[#This Row],[Data da Competência]]))</f>
        <v>12</v>
      </c>
      <c r="L163">
        <f>IF(TbRegistrosSaídas[[#This Row],[Data da Competência]]="",0,YEAR(TbRegistrosSaídas[[#This Row],[Data da Competência]]))</f>
        <v>2018</v>
      </c>
      <c r="M163" s="40">
        <f>IF(TbRegistrosSaídas[[#This Row],[Data do Caixa Previsto]]="",0,MONTH(TbRegistrosSaídas[[#This Row],[Data do Caixa Previsto]]))</f>
        <v>1</v>
      </c>
      <c r="N163" s="40">
        <f>IF(TbRegistrosSaídas[[#This Row],[Data do Caixa Previsto]]="",0,YEAR(TbRegistrosSaídas[[#This Row],[Data do Caixa Previsto]]))</f>
        <v>2019</v>
      </c>
      <c r="O16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1830.1790700297788</v>
      </c>
    </row>
    <row r="164" spans="2:15" x14ac:dyDescent="0.25">
      <c r="B164" s="15">
        <v>43576.35130395602</v>
      </c>
      <c r="C164" s="15">
        <v>43438</v>
      </c>
      <c r="D164" s="15">
        <v>43494.750065134205</v>
      </c>
      <c r="E164" t="s">
        <v>43</v>
      </c>
      <c r="F164" t="s">
        <v>44</v>
      </c>
      <c r="G164" s="13" t="s">
        <v>444</v>
      </c>
      <c r="H164" s="16">
        <v>1236</v>
      </c>
      <c r="I164">
        <f>IF(TbRegistrosSaídas[[#This Row],[Data do Caixa Realizado]]="",0,MONTH(TbRegistrosSaídas[[#This Row],[Data do Caixa Realizado]]))</f>
        <v>4</v>
      </c>
      <c r="J164">
        <f>IF(TbRegistrosSaídas[[#This Row],[Data do Caixa Realizado]]="",0,YEAR(TbRegistrosSaídas[[#This Row],[Data do Caixa Realizado]]))</f>
        <v>2019</v>
      </c>
      <c r="K164">
        <f>IF(TbRegistrosSaídas[[#This Row],[Data da Competência]]="",0,MONTH(TbRegistrosSaídas[[#This Row],[Data da Competência]]))</f>
        <v>12</v>
      </c>
      <c r="L164">
        <f>IF(TbRegistrosSaídas[[#This Row],[Data da Competência]]="",0,YEAR(TbRegistrosSaídas[[#This Row],[Data da Competência]]))</f>
        <v>2018</v>
      </c>
      <c r="M164" s="40">
        <f>IF(TbRegistrosSaídas[[#This Row],[Data do Caixa Previsto]]="",0,MONTH(TbRegistrosSaídas[[#This Row],[Data do Caixa Previsto]]))</f>
        <v>1</v>
      </c>
      <c r="N164" s="40">
        <f>IF(TbRegistrosSaídas[[#This Row],[Data do Caixa Previsto]]="",0,YEAR(TbRegistrosSaídas[[#This Row],[Data do Caixa Previsto]]))</f>
        <v>2019</v>
      </c>
      <c r="O16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81.601238821815059</v>
      </c>
    </row>
    <row r="165" spans="2:15" x14ac:dyDescent="0.25">
      <c r="B165" s="15">
        <v>43465.7468934922</v>
      </c>
      <c r="C165" s="15">
        <v>43443</v>
      </c>
      <c r="D165" s="15">
        <v>43465.7468934922</v>
      </c>
      <c r="E165" t="s">
        <v>43</v>
      </c>
      <c r="F165" t="s">
        <v>44</v>
      </c>
      <c r="G165" s="13" t="s">
        <v>445</v>
      </c>
      <c r="H165" s="16">
        <v>426</v>
      </c>
      <c r="I165">
        <f>IF(TbRegistrosSaídas[[#This Row],[Data do Caixa Realizado]]="",0,MONTH(TbRegistrosSaídas[[#This Row],[Data do Caixa Realizado]]))</f>
        <v>12</v>
      </c>
      <c r="J165">
        <f>IF(TbRegistrosSaídas[[#This Row],[Data do Caixa Realizado]]="",0,YEAR(TbRegistrosSaídas[[#This Row],[Data do Caixa Realizado]]))</f>
        <v>2018</v>
      </c>
      <c r="K165">
        <f>IF(TbRegistrosSaídas[[#This Row],[Data da Competência]]="",0,MONTH(TbRegistrosSaídas[[#This Row],[Data da Competência]]))</f>
        <v>12</v>
      </c>
      <c r="L165">
        <f>IF(TbRegistrosSaídas[[#This Row],[Data da Competência]]="",0,YEAR(TbRegistrosSaídas[[#This Row],[Data da Competência]]))</f>
        <v>2018</v>
      </c>
      <c r="M165" s="40">
        <f>IF(TbRegistrosSaídas[[#This Row],[Data do Caixa Previsto]]="",0,MONTH(TbRegistrosSaídas[[#This Row],[Data do Caixa Previsto]]))</f>
        <v>12</v>
      </c>
      <c r="N165" s="40">
        <f>IF(TbRegistrosSaídas[[#This Row],[Data do Caixa Previsto]]="",0,YEAR(TbRegistrosSaídas[[#This Row],[Data do Caixa Previsto]]))</f>
        <v>2018</v>
      </c>
      <c r="O16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66" spans="2:15" x14ac:dyDescent="0.25">
      <c r="B166" s="15">
        <v>43465.107280855569</v>
      </c>
      <c r="C166" s="15">
        <v>43444</v>
      </c>
      <c r="D166" s="15">
        <v>43458.160574156776</v>
      </c>
      <c r="E166" t="s">
        <v>43</v>
      </c>
      <c r="F166" t="s">
        <v>30</v>
      </c>
      <c r="G166" s="13" t="s">
        <v>446</v>
      </c>
      <c r="H166" s="16">
        <v>3956</v>
      </c>
      <c r="I166">
        <f>IF(TbRegistrosSaídas[[#This Row],[Data do Caixa Realizado]]="",0,MONTH(TbRegistrosSaídas[[#This Row],[Data do Caixa Realizado]]))</f>
        <v>12</v>
      </c>
      <c r="J166">
        <f>IF(TbRegistrosSaídas[[#This Row],[Data do Caixa Realizado]]="",0,YEAR(TbRegistrosSaídas[[#This Row],[Data do Caixa Realizado]]))</f>
        <v>2018</v>
      </c>
      <c r="K166">
        <f>IF(TbRegistrosSaídas[[#This Row],[Data da Competência]]="",0,MONTH(TbRegistrosSaídas[[#This Row],[Data da Competência]]))</f>
        <v>12</v>
      </c>
      <c r="L166">
        <f>IF(TbRegistrosSaídas[[#This Row],[Data da Competência]]="",0,YEAR(TbRegistrosSaídas[[#This Row],[Data da Competência]]))</f>
        <v>2018</v>
      </c>
      <c r="M166" s="40">
        <f>IF(TbRegistrosSaídas[[#This Row],[Data do Caixa Previsto]]="",0,MONTH(TbRegistrosSaídas[[#This Row],[Data do Caixa Previsto]]))</f>
        <v>12</v>
      </c>
      <c r="N166" s="40">
        <f>IF(TbRegistrosSaídas[[#This Row],[Data do Caixa Previsto]]="",0,YEAR(TbRegistrosSaídas[[#This Row],[Data do Caixa Previsto]]))</f>
        <v>2018</v>
      </c>
      <c r="O16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6.9467066987926955</v>
      </c>
    </row>
    <row r="167" spans="2:15" x14ac:dyDescent="0.25">
      <c r="B167" s="15" t="s">
        <v>69</v>
      </c>
      <c r="C167" s="15">
        <v>43448</v>
      </c>
      <c r="D167" s="15">
        <v>43480.746977784853</v>
      </c>
      <c r="E167" t="s">
        <v>43</v>
      </c>
      <c r="F167" t="s">
        <v>44</v>
      </c>
      <c r="G167" s="13" t="s">
        <v>447</v>
      </c>
      <c r="H167" s="16">
        <v>3042</v>
      </c>
      <c r="I167">
        <f>IF(TbRegistrosSaídas[[#This Row],[Data do Caixa Realizado]]="",0,MONTH(TbRegistrosSaídas[[#This Row],[Data do Caixa Realizado]]))</f>
        <v>0</v>
      </c>
      <c r="J167">
        <f>IF(TbRegistrosSaídas[[#This Row],[Data do Caixa Realizado]]="",0,YEAR(TbRegistrosSaídas[[#This Row],[Data do Caixa Realizado]]))</f>
        <v>0</v>
      </c>
      <c r="K167">
        <f>IF(TbRegistrosSaídas[[#This Row],[Data da Competência]]="",0,MONTH(TbRegistrosSaídas[[#This Row],[Data da Competência]]))</f>
        <v>12</v>
      </c>
      <c r="L167">
        <f>IF(TbRegistrosSaídas[[#This Row],[Data da Competência]]="",0,YEAR(TbRegistrosSaídas[[#This Row],[Data da Competência]]))</f>
        <v>2018</v>
      </c>
      <c r="M167" s="40">
        <f>IF(TbRegistrosSaídas[[#This Row],[Data do Caixa Previsto]]="",0,MONTH(TbRegistrosSaídas[[#This Row],[Data do Caixa Previsto]]))</f>
        <v>1</v>
      </c>
      <c r="N167" s="40">
        <f>IF(TbRegistrosSaídas[[#This Row],[Data do Caixa Previsto]]="",0,YEAR(TbRegistrosSaídas[[#This Row],[Data do Caixa Previsto]]))</f>
        <v>2019</v>
      </c>
      <c r="O16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1835.2530222151472</v>
      </c>
    </row>
    <row r="168" spans="2:15" x14ac:dyDescent="0.25">
      <c r="B168" s="15">
        <v>43506.264597842761</v>
      </c>
      <c r="C168" s="15">
        <v>43449</v>
      </c>
      <c r="D168" s="15">
        <v>43489.335938548378</v>
      </c>
      <c r="E168" t="s">
        <v>43</v>
      </c>
      <c r="F168" t="s">
        <v>44</v>
      </c>
      <c r="G168" s="13" t="s">
        <v>448</v>
      </c>
      <c r="H168" s="16">
        <v>1434</v>
      </c>
      <c r="I168">
        <f>IF(TbRegistrosSaídas[[#This Row],[Data do Caixa Realizado]]="",0,MONTH(TbRegistrosSaídas[[#This Row],[Data do Caixa Realizado]]))</f>
        <v>2</v>
      </c>
      <c r="J168">
        <f>IF(TbRegistrosSaídas[[#This Row],[Data do Caixa Realizado]]="",0,YEAR(TbRegistrosSaídas[[#This Row],[Data do Caixa Realizado]]))</f>
        <v>2019</v>
      </c>
      <c r="K168">
        <f>IF(TbRegistrosSaídas[[#This Row],[Data da Competência]]="",0,MONTH(TbRegistrosSaídas[[#This Row],[Data da Competência]]))</f>
        <v>12</v>
      </c>
      <c r="L168">
        <f>IF(TbRegistrosSaídas[[#This Row],[Data da Competência]]="",0,YEAR(TbRegistrosSaídas[[#This Row],[Data da Competência]]))</f>
        <v>2018</v>
      </c>
      <c r="M168" s="40">
        <f>IF(TbRegistrosSaídas[[#This Row],[Data do Caixa Previsto]]="",0,MONTH(TbRegistrosSaídas[[#This Row],[Data do Caixa Previsto]]))</f>
        <v>1</v>
      </c>
      <c r="N168" s="40">
        <f>IF(TbRegistrosSaídas[[#This Row],[Data do Caixa Previsto]]="",0,YEAR(TbRegistrosSaídas[[#This Row],[Data do Caixa Previsto]]))</f>
        <v>2019</v>
      </c>
      <c r="O16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16.928659294382669</v>
      </c>
    </row>
    <row r="169" spans="2:15" x14ac:dyDescent="0.25">
      <c r="B169" s="15">
        <v>43487.188431641203</v>
      </c>
      <c r="C169" s="15">
        <v>43452</v>
      </c>
      <c r="D169" s="15">
        <v>43487.188431641203</v>
      </c>
      <c r="E169" t="s">
        <v>43</v>
      </c>
      <c r="F169" t="s">
        <v>34</v>
      </c>
      <c r="G169" s="13" t="s">
        <v>449</v>
      </c>
      <c r="H169" s="16">
        <v>1782</v>
      </c>
      <c r="I169">
        <f>IF(TbRegistrosSaídas[[#This Row],[Data do Caixa Realizado]]="",0,MONTH(TbRegistrosSaídas[[#This Row],[Data do Caixa Realizado]]))</f>
        <v>1</v>
      </c>
      <c r="J169">
        <f>IF(TbRegistrosSaídas[[#This Row],[Data do Caixa Realizado]]="",0,YEAR(TbRegistrosSaídas[[#This Row],[Data do Caixa Realizado]]))</f>
        <v>2019</v>
      </c>
      <c r="K169">
        <f>IF(TbRegistrosSaídas[[#This Row],[Data da Competência]]="",0,MONTH(TbRegistrosSaídas[[#This Row],[Data da Competência]]))</f>
        <v>12</v>
      </c>
      <c r="L169">
        <f>IF(TbRegistrosSaídas[[#This Row],[Data da Competência]]="",0,YEAR(TbRegistrosSaídas[[#This Row],[Data da Competência]]))</f>
        <v>2018</v>
      </c>
      <c r="M169" s="40">
        <f>IF(TbRegistrosSaídas[[#This Row],[Data do Caixa Previsto]]="",0,MONTH(TbRegistrosSaídas[[#This Row],[Data do Caixa Previsto]]))</f>
        <v>1</v>
      </c>
      <c r="N169" s="40">
        <f>IF(TbRegistrosSaídas[[#This Row],[Data do Caixa Previsto]]="",0,YEAR(TbRegistrosSaídas[[#This Row],[Data do Caixa Previsto]]))</f>
        <v>2019</v>
      </c>
      <c r="O16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0" spans="2:15" x14ac:dyDescent="0.25">
      <c r="B170" s="15">
        <v>43514.403187421965</v>
      </c>
      <c r="C170" s="15">
        <v>43459</v>
      </c>
      <c r="D170" s="15">
        <v>43514.403187421965</v>
      </c>
      <c r="E170" t="s">
        <v>43</v>
      </c>
      <c r="F170" t="s">
        <v>44</v>
      </c>
      <c r="G170" s="13" t="s">
        <v>450</v>
      </c>
      <c r="H170" s="16">
        <v>365</v>
      </c>
      <c r="I170">
        <f>IF(TbRegistrosSaídas[[#This Row],[Data do Caixa Realizado]]="",0,MONTH(TbRegistrosSaídas[[#This Row],[Data do Caixa Realizado]]))</f>
        <v>2</v>
      </c>
      <c r="J170">
        <f>IF(TbRegistrosSaídas[[#This Row],[Data do Caixa Realizado]]="",0,YEAR(TbRegistrosSaídas[[#This Row],[Data do Caixa Realizado]]))</f>
        <v>2019</v>
      </c>
      <c r="K170">
        <f>IF(TbRegistrosSaídas[[#This Row],[Data da Competência]]="",0,MONTH(TbRegistrosSaídas[[#This Row],[Data da Competência]]))</f>
        <v>12</v>
      </c>
      <c r="L170">
        <f>IF(TbRegistrosSaídas[[#This Row],[Data da Competência]]="",0,YEAR(TbRegistrosSaídas[[#This Row],[Data da Competência]]))</f>
        <v>2018</v>
      </c>
      <c r="M170" s="40">
        <f>IF(TbRegistrosSaídas[[#This Row],[Data do Caixa Previsto]]="",0,MONTH(TbRegistrosSaídas[[#This Row],[Data do Caixa Previsto]]))</f>
        <v>2</v>
      </c>
      <c r="N170" s="40">
        <f>IF(TbRegistrosSaídas[[#This Row],[Data do Caixa Previsto]]="",0,YEAR(TbRegistrosSaídas[[#This Row],[Data do Caixa Previsto]]))</f>
        <v>2019</v>
      </c>
      <c r="O17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1" spans="2:15" x14ac:dyDescent="0.25">
      <c r="B171" s="15">
        <v>43491.679228472654</v>
      </c>
      <c r="C171" s="15">
        <v>43461</v>
      </c>
      <c r="D171" s="15">
        <v>43491.679228472654</v>
      </c>
      <c r="E171" t="s">
        <v>43</v>
      </c>
      <c r="F171" t="s">
        <v>44</v>
      </c>
      <c r="G171" s="13" t="s">
        <v>451</v>
      </c>
      <c r="H171" s="16">
        <v>2757</v>
      </c>
      <c r="I171">
        <f>IF(TbRegistrosSaídas[[#This Row],[Data do Caixa Realizado]]="",0,MONTH(TbRegistrosSaídas[[#This Row],[Data do Caixa Realizado]]))</f>
        <v>1</v>
      </c>
      <c r="J171">
        <f>IF(TbRegistrosSaídas[[#This Row],[Data do Caixa Realizado]]="",0,YEAR(TbRegistrosSaídas[[#This Row],[Data do Caixa Realizado]]))</f>
        <v>2019</v>
      </c>
      <c r="K171">
        <f>IF(TbRegistrosSaídas[[#This Row],[Data da Competência]]="",0,MONTH(TbRegistrosSaídas[[#This Row],[Data da Competência]]))</f>
        <v>12</v>
      </c>
      <c r="L171">
        <f>IF(TbRegistrosSaídas[[#This Row],[Data da Competência]]="",0,YEAR(TbRegistrosSaídas[[#This Row],[Data da Competência]]))</f>
        <v>2018</v>
      </c>
      <c r="M171" s="40">
        <f>IF(TbRegistrosSaídas[[#This Row],[Data do Caixa Previsto]]="",0,MONTH(TbRegistrosSaídas[[#This Row],[Data do Caixa Previsto]]))</f>
        <v>1</v>
      </c>
      <c r="N171" s="40">
        <f>IF(TbRegistrosSaídas[[#This Row],[Data do Caixa Previsto]]="",0,YEAR(TbRegistrosSaídas[[#This Row],[Data do Caixa Previsto]]))</f>
        <v>2019</v>
      </c>
      <c r="O17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2" spans="2:15" x14ac:dyDescent="0.25">
      <c r="B172" s="15">
        <v>43515.206907104708</v>
      </c>
      <c r="C172" s="15">
        <v>43464</v>
      </c>
      <c r="D172" s="15">
        <v>43515.206907104708</v>
      </c>
      <c r="E172" t="s">
        <v>43</v>
      </c>
      <c r="F172" t="s">
        <v>34</v>
      </c>
      <c r="G172" s="13" t="s">
        <v>452</v>
      </c>
      <c r="H172" s="16">
        <v>2112</v>
      </c>
      <c r="I172">
        <f>IF(TbRegistrosSaídas[[#This Row],[Data do Caixa Realizado]]="",0,MONTH(TbRegistrosSaídas[[#This Row],[Data do Caixa Realizado]]))</f>
        <v>2</v>
      </c>
      <c r="J172">
        <f>IF(TbRegistrosSaídas[[#This Row],[Data do Caixa Realizado]]="",0,YEAR(TbRegistrosSaídas[[#This Row],[Data do Caixa Realizado]]))</f>
        <v>2019</v>
      </c>
      <c r="K172">
        <f>IF(TbRegistrosSaídas[[#This Row],[Data da Competência]]="",0,MONTH(TbRegistrosSaídas[[#This Row],[Data da Competência]]))</f>
        <v>12</v>
      </c>
      <c r="L172">
        <f>IF(TbRegistrosSaídas[[#This Row],[Data da Competência]]="",0,YEAR(TbRegistrosSaídas[[#This Row],[Data da Competência]]))</f>
        <v>2018</v>
      </c>
      <c r="M172" s="40">
        <f>IF(TbRegistrosSaídas[[#This Row],[Data do Caixa Previsto]]="",0,MONTH(TbRegistrosSaídas[[#This Row],[Data do Caixa Previsto]]))</f>
        <v>2</v>
      </c>
      <c r="N172" s="40">
        <f>IF(TbRegistrosSaídas[[#This Row],[Data do Caixa Previsto]]="",0,YEAR(TbRegistrosSaídas[[#This Row],[Data do Caixa Previsto]]))</f>
        <v>2019</v>
      </c>
      <c r="O17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3" spans="2:15" x14ac:dyDescent="0.25">
      <c r="B173" s="15">
        <v>43573.207294267304</v>
      </c>
      <c r="C173" s="15">
        <v>43467</v>
      </c>
      <c r="D173" s="15">
        <v>43483.579939553441</v>
      </c>
      <c r="E173" t="s">
        <v>43</v>
      </c>
      <c r="F173" t="s">
        <v>34</v>
      </c>
      <c r="G173" s="13" t="s">
        <v>453</v>
      </c>
      <c r="H173" s="16">
        <v>2190</v>
      </c>
      <c r="I173">
        <f>IF(TbRegistrosSaídas[[#This Row],[Data do Caixa Realizado]]="",0,MONTH(TbRegistrosSaídas[[#This Row],[Data do Caixa Realizado]]))</f>
        <v>4</v>
      </c>
      <c r="J173">
        <f>IF(TbRegistrosSaídas[[#This Row],[Data do Caixa Realizado]]="",0,YEAR(TbRegistrosSaídas[[#This Row],[Data do Caixa Realizado]]))</f>
        <v>2019</v>
      </c>
      <c r="K173">
        <f>IF(TbRegistrosSaídas[[#This Row],[Data da Competência]]="",0,MONTH(TbRegistrosSaídas[[#This Row],[Data da Competência]]))</f>
        <v>1</v>
      </c>
      <c r="L173">
        <f>IF(TbRegistrosSaídas[[#This Row],[Data da Competência]]="",0,YEAR(TbRegistrosSaídas[[#This Row],[Data da Competência]]))</f>
        <v>2019</v>
      </c>
      <c r="M173" s="40">
        <f>IF(TbRegistrosSaídas[[#This Row],[Data do Caixa Previsto]]="",0,MONTH(TbRegistrosSaídas[[#This Row],[Data do Caixa Previsto]]))</f>
        <v>1</v>
      </c>
      <c r="N173" s="40">
        <f>IF(TbRegistrosSaídas[[#This Row],[Data do Caixa Previsto]]="",0,YEAR(TbRegistrosSaídas[[#This Row],[Data do Caixa Previsto]]))</f>
        <v>2019</v>
      </c>
      <c r="O17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89.627354713862587</v>
      </c>
    </row>
    <row r="174" spans="2:15" x14ac:dyDescent="0.25">
      <c r="B174" s="15">
        <v>43485.642328387614</v>
      </c>
      <c r="C174" s="15">
        <v>43469</v>
      </c>
      <c r="D174" s="15">
        <v>43485.642328387614</v>
      </c>
      <c r="E174" t="s">
        <v>43</v>
      </c>
      <c r="F174" t="s">
        <v>44</v>
      </c>
      <c r="G174" s="13" t="s">
        <v>454</v>
      </c>
      <c r="H174" s="16">
        <v>2998</v>
      </c>
      <c r="I174">
        <f>IF(TbRegistrosSaídas[[#This Row],[Data do Caixa Realizado]]="",0,MONTH(TbRegistrosSaídas[[#This Row],[Data do Caixa Realizado]]))</f>
        <v>1</v>
      </c>
      <c r="J174">
        <f>IF(TbRegistrosSaídas[[#This Row],[Data do Caixa Realizado]]="",0,YEAR(TbRegistrosSaídas[[#This Row],[Data do Caixa Realizado]]))</f>
        <v>2019</v>
      </c>
      <c r="K174">
        <f>IF(TbRegistrosSaídas[[#This Row],[Data da Competência]]="",0,MONTH(TbRegistrosSaídas[[#This Row],[Data da Competência]]))</f>
        <v>1</v>
      </c>
      <c r="L174">
        <f>IF(TbRegistrosSaídas[[#This Row],[Data da Competência]]="",0,YEAR(TbRegistrosSaídas[[#This Row],[Data da Competência]]))</f>
        <v>2019</v>
      </c>
      <c r="M174" s="40">
        <f>IF(TbRegistrosSaídas[[#This Row],[Data do Caixa Previsto]]="",0,MONTH(TbRegistrosSaídas[[#This Row],[Data do Caixa Previsto]]))</f>
        <v>1</v>
      </c>
      <c r="N174" s="40">
        <f>IF(TbRegistrosSaídas[[#This Row],[Data do Caixa Previsto]]="",0,YEAR(TbRegistrosSaídas[[#This Row],[Data do Caixa Previsto]]))</f>
        <v>2019</v>
      </c>
      <c r="O17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5" spans="2:15" x14ac:dyDescent="0.25">
      <c r="B175" s="15">
        <v>43501.032672097659</v>
      </c>
      <c r="C175" s="15">
        <v>43476</v>
      </c>
      <c r="D175" s="15">
        <v>43501.032672097659</v>
      </c>
      <c r="E175" t="s">
        <v>43</v>
      </c>
      <c r="F175" t="s">
        <v>44</v>
      </c>
      <c r="G175" s="13" t="s">
        <v>455</v>
      </c>
      <c r="H175" s="16">
        <v>3808</v>
      </c>
      <c r="I175">
        <f>IF(TbRegistrosSaídas[[#This Row],[Data do Caixa Realizado]]="",0,MONTH(TbRegistrosSaídas[[#This Row],[Data do Caixa Realizado]]))</f>
        <v>2</v>
      </c>
      <c r="J175">
        <f>IF(TbRegistrosSaídas[[#This Row],[Data do Caixa Realizado]]="",0,YEAR(TbRegistrosSaídas[[#This Row],[Data do Caixa Realizado]]))</f>
        <v>2019</v>
      </c>
      <c r="K175">
        <f>IF(TbRegistrosSaídas[[#This Row],[Data da Competência]]="",0,MONTH(TbRegistrosSaídas[[#This Row],[Data da Competência]]))</f>
        <v>1</v>
      </c>
      <c r="L175">
        <f>IF(TbRegistrosSaídas[[#This Row],[Data da Competência]]="",0,YEAR(TbRegistrosSaídas[[#This Row],[Data da Competência]]))</f>
        <v>2019</v>
      </c>
      <c r="M175" s="40">
        <f>IF(TbRegistrosSaídas[[#This Row],[Data do Caixa Previsto]]="",0,MONTH(TbRegistrosSaídas[[#This Row],[Data do Caixa Previsto]]))</f>
        <v>2</v>
      </c>
      <c r="N175" s="40">
        <f>IF(TbRegistrosSaídas[[#This Row],[Data do Caixa Previsto]]="",0,YEAR(TbRegistrosSaídas[[#This Row],[Data do Caixa Previsto]]))</f>
        <v>2019</v>
      </c>
      <c r="O17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6" spans="2:15" x14ac:dyDescent="0.25">
      <c r="B176" s="15">
        <v>43495.478907818499</v>
      </c>
      <c r="C176" s="15">
        <v>43479</v>
      </c>
      <c r="D176" s="15">
        <v>43495.478907818499</v>
      </c>
      <c r="E176" t="s">
        <v>43</v>
      </c>
      <c r="F176" t="s">
        <v>44</v>
      </c>
      <c r="G176" s="13" t="s">
        <v>456</v>
      </c>
      <c r="H176" s="16">
        <v>4928</v>
      </c>
      <c r="I176">
        <f>IF(TbRegistrosSaídas[[#This Row],[Data do Caixa Realizado]]="",0,MONTH(TbRegistrosSaídas[[#This Row],[Data do Caixa Realizado]]))</f>
        <v>1</v>
      </c>
      <c r="J176">
        <f>IF(TbRegistrosSaídas[[#This Row],[Data do Caixa Realizado]]="",0,YEAR(TbRegistrosSaídas[[#This Row],[Data do Caixa Realizado]]))</f>
        <v>2019</v>
      </c>
      <c r="K176">
        <f>IF(TbRegistrosSaídas[[#This Row],[Data da Competência]]="",0,MONTH(TbRegistrosSaídas[[#This Row],[Data da Competência]]))</f>
        <v>1</v>
      </c>
      <c r="L176">
        <f>IF(TbRegistrosSaídas[[#This Row],[Data da Competência]]="",0,YEAR(TbRegistrosSaídas[[#This Row],[Data da Competência]]))</f>
        <v>2019</v>
      </c>
      <c r="M176" s="40">
        <f>IF(TbRegistrosSaídas[[#This Row],[Data do Caixa Previsto]]="",0,MONTH(TbRegistrosSaídas[[#This Row],[Data do Caixa Previsto]]))</f>
        <v>1</v>
      </c>
      <c r="N176" s="40">
        <f>IF(TbRegistrosSaídas[[#This Row],[Data do Caixa Previsto]]="",0,YEAR(TbRegistrosSaídas[[#This Row],[Data do Caixa Previsto]]))</f>
        <v>2019</v>
      </c>
      <c r="O17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7" spans="2:15" x14ac:dyDescent="0.25">
      <c r="B177" s="15">
        <v>43536.025611727033</v>
      </c>
      <c r="C177" s="15">
        <v>43482</v>
      </c>
      <c r="D177" s="15">
        <v>43536.025611727033</v>
      </c>
      <c r="E177" t="s">
        <v>43</v>
      </c>
      <c r="F177" t="s">
        <v>34</v>
      </c>
      <c r="G177" s="13" t="s">
        <v>457</v>
      </c>
      <c r="H177" s="16">
        <v>4179</v>
      </c>
      <c r="I177">
        <f>IF(TbRegistrosSaídas[[#This Row],[Data do Caixa Realizado]]="",0,MONTH(TbRegistrosSaídas[[#This Row],[Data do Caixa Realizado]]))</f>
        <v>3</v>
      </c>
      <c r="J177">
        <f>IF(TbRegistrosSaídas[[#This Row],[Data do Caixa Realizado]]="",0,YEAR(TbRegistrosSaídas[[#This Row],[Data do Caixa Realizado]]))</f>
        <v>2019</v>
      </c>
      <c r="K177">
        <f>IF(TbRegistrosSaídas[[#This Row],[Data da Competência]]="",0,MONTH(TbRegistrosSaídas[[#This Row],[Data da Competência]]))</f>
        <v>1</v>
      </c>
      <c r="L177">
        <f>IF(TbRegistrosSaídas[[#This Row],[Data da Competência]]="",0,YEAR(TbRegistrosSaídas[[#This Row],[Data da Competência]]))</f>
        <v>2019</v>
      </c>
      <c r="M177" s="40">
        <f>IF(TbRegistrosSaídas[[#This Row],[Data do Caixa Previsto]]="",0,MONTH(TbRegistrosSaídas[[#This Row],[Data do Caixa Previsto]]))</f>
        <v>3</v>
      </c>
      <c r="N177" s="40">
        <f>IF(TbRegistrosSaídas[[#This Row],[Data do Caixa Previsto]]="",0,YEAR(TbRegistrosSaídas[[#This Row],[Data do Caixa Previsto]]))</f>
        <v>2019</v>
      </c>
      <c r="O17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8" spans="2:15" x14ac:dyDescent="0.25">
      <c r="B178" s="15">
        <v>43499.993512821027</v>
      </c>
      <c r="C178" s="15">
        <v>43484</v>
      </c>
      <c r="D178" s="15">
        <v>43499.993512821027</v>
      </c>
      <c r="E178" t="s">
        <v>43</v>
      </c>
      <c r="F178" t="s">
        <v>30</v>
      </c>
      <c r="G178" s="13" t="s">
        <v>458</v>
      </c>
      <c r="H178" s="16">
        <v>4896</v>
      </c>
      <c r="I178">
        <f>IF(TbRegistrosSaídas[[#This Row],[Data do Caixa Realizado]]="",0,MONTH(TbRegistrosSaídas[[#This Row],[Data do Caixa Realizado]]))</f>
        <v>2</v>
      </c>
      <c r="J178">
        <f>IF(TbRegistrosSaídas[[#This Row],[Data do Caixa Realizado]]="",0,YEAR(TbRegistrosSaídas[[#This Row],[Data do Caixa Realizado]]))</f>
        <v>2019</v>
      </c>
      <c r="K178">
        <f>IF(TbRegistrosSaídas[[#This Row],[Data da Competência]]="",0,MONTH(TbRegistrosSaídas[[#This Row],[Data da Competência]]))</f>
        <v>1</v>
      </c>
      <c r="L178">
        <f>IF(TbRegistrosSaídas[[#This Row],[Data da Competência]]="",0,YEAR(TbRegistrosSaídas[[#This Row],[Data da Competência]]))</f>
        <v>2019</v>
      </c>
      <c r="M178" s="40">
        <f>IF(TbRegistrosSaídas[[#This Row],[Data do Caixa Previsto]]="",0,MONTH(TbRegistrosSaídas[[#This Row],[Data do Caixa Previsto]]))</f>
        <v>2</v>
      </c>
      <c r="N178" s="40">
        <f>IF(TbRegistrosSaídas[[#This Row],[Data do Caixa Previsto]]="",0,YEAR(TbRegistrosSaídas[[#This Row],[Data do Caixa Previsto]]))</f>
        <v>2019</v>
      </c>
      <c r="O17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79" spans="2:15" x14ac:dyDescent="0.25">
      <c r="B179" s="15">
        <v>43498.131083059947</v>
      </c>
      <c r="C179" s="15">
        <v>43487</v>
      </c>
      <c r="D179" s="15">
        <v>43498.131083059947</v>
      </c>
      <c r="E179" t="s">
        <v>43</v>
      </c>
      <c r="F179" t="s">
        <v>34</v>
      </c>
      <c r="G179" s="13" t="s">
        <v>374</v>
      </c>
      <c r="H179" s="16">
        <v>4092</v>
      </c>
      <c r="I179">
        <f>IF(TbRegistrosSaídas[[#This Row],[Data do Caixa Realizado]]="",0,MONTH(TbRegistrosSaídas[[#This Row],[Data do Caixa Realizado]]))</f>
        <v>2</v>
      </c>
      <c r="J179">
        <f>IF(TbRegistrosSaídas[[#This Row],[Data do Caixa Realizado]]="",0,YEAR(TbRegistrosSaídas[[#This Row],[Data do Caixa Realizado]]))</f>
        <v>2019</v>
      </c>
      <c r="K179">
        <f>IF(TbRegistrosSaídas[[#This Row],[Data da Competência]]="",0,MONTH(TbRegistrosSaídas[[#This Row],[Data da Competência]]))</f>
        <v>1</v>
      </c>
      <c r="L179">
        <f>IF(TbRegistrosSaídas[[#This Row],[Data da Competência]]="",0,YEAR(TbRegistrosSaídas[[#This Row],[Data da Competência]]))</f>
        <v>2019</v>
      </c>
      <c r="M179" s="40">
        <f>IF(TbRegistrosSaídas[[#This Row],[Data do Caixa Previsto]]="",0,MONTH(TbRegistrosSaídas[[#This Row],[Data do Caixa Previsto]]))</f>
        <v>2</v>
      </c>
      <c r="N179" s="40">
        <f>IF(TbRegistrosSaídas[[#This Row],[Data do Caixa Previsto]]="",0,YEAR(TbRegistrosSaídas[[#This Row],[Data do Caixa Previsto]]))</f>
        <v>2019</v>
      </c>
      <c r="O17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0" spans="2:15" x14ac:dyDescent="0.25">
      <c r="B180" s="15">
        <v>43496.93367126838</v>
      </c>
      <c r="C180" s="15">
        <v>43492</v>
      </c>
      <c r="D180" s="15">
        <v>43496.93367126838</v>
      </c>
      <c r="E180" t="s">
        <v>43</v>
      </c>
      <c r="F180" t="s">
        <v>44</v>
      </c>
      <c r="G180" s="13" t="s">
        <v>459</v>
      </c>
      <c r="H180" s="16">
        <v>2956</v>
      </c>
      <c r="I180">
        <f>IF(TbRegistrosSaídas[[#This Row],[Data do Caixa Realizado]]="",0,MONTH(TbRegistrosSaídas[[#This Row],[Data do Caixa Realizado]]))</f>
        <v>1</v>
      </c>
      <c r="J180">
        <f>IF(TbRegistrosSaídas[[#This Row],[Data do Caixa Realizado]]="",0,YEAR(TbRegistrosSaídas[[#This Row],[Data do Caixa Realizado]]))</f>
        <v>2019</v>
      </c>
      <c r="K180">
        <f>IF(TbRegistrosSaídas[[#This Row],[Data da Competência]]="",0,MONTH(TbRegistrosSaídas[[#This Row],[Data da Competência]]))</f>
        <v>1</v>
      </c>
      <c r="L180">
        <f>IF(TbRegistrosSaídas[[#This Row],[Data da Competência]]="",0,YEAR(TbRegistrosSaídas[[#This Row],[Data da Competência]]))</f>
        <v>2019</v>
      </c>
      <c r="M180" s="40">
        <f>IF(TbRegistrosSaídas[[#This Row],[Data do Caixa Previsto]]="",0,MONTH(TbRegistrosSaídas[[#This Row],[Data do Caixa Previsto]]))</f>
        <v>1</v>
      </c>
      <c r="N180" s="40">
        <f>IF(TbRegistrosSaídas[[#This Row],[Data do Caixa Previsto]]="",0,YEAR(TbRegistrosSaídas[[#This Row],[Data do Caixa Previsto]]))</f>
        <v>2019</v>
      </c>
      <c r="O18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1" spans="2:15" x14ac:dyDescent="0.25">
      <c r="B181" s="15">
        <v>43509.777939985303</v>
      </c>
      <c r="C181" s="15">
        <v>43496</v>
      </c>
      <c r="D181" s="15">
        <v>43509.777939985303</v>
      </c>
      <c r="E181" t="s">
        <v>43</v>
      </c>
      <c r="F181" t="s">
        <v>34</v>
      </c>
      <c r="G181" s="13" t="s">
        <v>460</v>
      </c>
      <c r="H181" s="16">
        <v>533</v>
      </c>
      <c r="I181">
        <f>IF(TbRegistrosSaídas[[#This Row],[Data do Caixa Realizado]]="",0,MONTH(TbRegistrosSaídas[[#This Row],[Data do Caixa Realizado]]))</f>
        <v>2</v>
      </c>
      <c r="J181">
        <f>IF(TbRegistrosSaídas[[#This Row],[Data do Caixa Realizado]]="",0,YEAR(TbRegistrosSaídas[[#This Row],[Data do Caixa Realizado]]))</f>
        <v>2019</v>
      </c>
      <c r="K181">
        <f>IF(TbRegistrosSaídas[[#This Row],[Data da Competência]]="",0,MONTH(TbRegistrosSaídas[[#This Row],[Data da Competência]]))</f>
        <v>1</v>
      </c>
      <c r="L181">
        <f>IF(TbRegistrosSaídas[[#This Row],[Data da Competência]]="",0,YEAR(TbRegistrosSaídas[[#This Row],[Data da Competência]]))</f>
        <v>2019</v>
      </c>
      <c r="M181" s="40">
        <f>IF(TbRegistrosSaídas[[#This Row],[Data do Caixa Previsto]]="",0,MONTH(TbRegistrosSaídas[[#This Row],[Data do Caixa Previsto]]))</f>
        <v>2</v>
      </c>
      <c r="N181" s="40">
        <f>IF(TbRegistrosSaídas[[#This Row],[Data do Caixa Previsto]]="",0,YEAR(TbRegistrosSaídas[[#This Row],[Data do Caixa Previsto]]))</f>
        <v>2019</v>
      </c>
      <c r="O18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2" spans="2:15" x14ac:dyDescent="0.25">
      <c r="B182" s="15">
        <v>43520.73063092697</v>
      </c>
      <c r="C182" s="15">
        <v>43497</v>
      </c>
      <c r="D182" s="15">
        <v>43520.73063092697</v>
      </c>
      <c r="E182" t="s">
        <v>43</v>
      </c>
      <c r="F182" t="s">
        <v>31</v>
      </c>
      <c r="G182" s="13" t="s">
        <v>461</v>
      </c>
      <c r="H182" s="16">
        <v>3519</v>
      </c>
      <c r="I182">
        <f>IF(TbRegistrosSaídas[[#This Row],[Data do Caixa Realizado]]="",0,MONTH(TbRegistrosSaídas[[#This Row],[Data do Caixa Realizado]]))</f>
        <v>2</v>
      </c>
      <c r="J182">
        <f>IF(TbRegistrosSaídas[[#This Row],[Data do Caixa Realizado]]="",0,YEAR(TbRegistrosSaídas[[#This Row],[Data do Caixa Realizado]]))</f>
        <v>2019</v>
      </c>
      <c r="K182">
        <f>IF(TbRegistrosSaídas[[#This Row],[Data da Competência]]="",0,MONTH(TbRegistrosSaídas[[#This Row],[Data da Competência]]))</f>
        <v>2</v>
      </c>
      <c r="L182">
        <f>IF(TbRegistrosSaídas[[#This Row],[Data da Competência]]="",0,YEAR(TbRegistrosSaídas[[#This Row],[Data da Competência]]))</f>
        <v>2019</v>
      </c>
      <c r="M182" s="40">
        <f>IF(TbRegistrosSaídas[[#This Row],[Data do Caixa Previsto]]="",0,MONTH(TbRegistrosSaídas[[#This Row],[Data do Caixa Previsto]]))</f>
        <v>2</v>
      </c>
      <c r="N182" s="40">
        <f>IF(TbRegistrosSaídas[[#This Row],[Data do Caixa Previsto]]="",0,YEAR(TbRegistrosSaídas[[#This Row],[Data do Caixa Previsto]]))</f>
        <v>2019</v>
      </c>
      <c r="O18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3" spans="2:15" x14ac:dyDescent="0.25">
      <c r="B183" s="15">
        <v>43548.78797907626</v>
      </c>
      <c r="C183" s="15">
        <v>43499</v>
      </c>
      <c r="D183" s="15">
        <v>43548.78797907626</v>
      </c>
      <c r="E183" t="s">
        <v>43</v>
      </c>
      <c r="F183" t="s">
        <v>30</v>
      </c>
      <c r="G183" s="13" t="s">
        <v>462</v>
      </c>
      <c r="H183" s="16">
        <v>757</v>
      </c>
      <c r="I183">
        <f>IF(TbRegistrosSaídas[[#This Row],[Data do Caixa Realizado]]="",0,MONTH(TbRegistrosSaídas[[#This Row],[Data do Caixa Realizado]]))</f>
        <v>3</v>
      </c>
      <c r="J183">
        <f>IF(TbRegistrosSaídas[[#This Row],[Data do Caixa Realizado]]="",0,YEAR(TbRegistrosSaídas[[#This Row],[Data do Caixa Realizado]]))</f>
        <v>2019</v>
      </c>
      <c r="K183">
        <f>IF(TbRegistrosSaídas[[#This Row],[Data da Competência]]="",0,MONTH(TbRegistrosSaídas[[#This Row],[Data da Competência]]))</f>
        <v>2</v>
      </c>
      <c r="L183">
        <f>IF(TbRegistrosSaídas[[#This Row],[Data da Competência]]="",0,YEAR(TbRegistrosSaídas[[#This Row],[Data da Competência]]))</f>
        <v>2019</v>
      </c>
      <c r="M183" s="40">
        <f>IF(TbRegistrosSaídas[[#This Row],[Data do Caixa Previsto]]="",0,MONTH(TbRegistrosSaídas[[#This Row],[Data do Caixa Previsto]]))</f>
        <v>3</v>
      </c>
      <c r="N183" s="40">
        <f>IF(TbRegistrosSaídas[[#This Row],[Data do Caixa Previsto]]="",0,YEAR(TbRegistrosSaídas[[#This Row],[Data do Caixa Previsto]]))</f>
        <v>2019</v>
      </c>
      <c r="O18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4" spans="2:15" x14ac:dyDescent="0.25">
      <c r="B184" s="15">
        <v>43552.247547339066</v>
      </c>
      <c r="C184" s="15">
        <v>43503</v>
      </c>
      <c r="D184" s="15">
        <v>43552.247547339066</v>
      </c>
      <c r="E184" t="s">
        <v>43</v>
      </c>
      <c r="F184" t="s">
        <v>44</v>
      </c>
      <c r="G184" s="13" t="s">
        <v>463</v>
      </c>
      <c r="H184" s="16">
        <v>2688</v>
      </c>
      <c r="I184">
        <f>IF(TbRegistrosSaídas[[#This Row],[Data do Caixa Realizado]]="",0,MONTH(TbRegistrosSaídas[[#This Row],[Data do Caixa Realizado]]))</f>
        <v>3</v>
      </c>
      <c r="J184">
        <f>IF(TbRegistrosSaídas[[#This Row],[Data do Caixa Realizado]]="",0,YEAR(TbRegistrosSaídas[[#This Row],[Data do Caixa Realizado]]))</f>
        <v>2019</v>
      </c>
      <c r="K184">
        <f>IF(TbRegistrosSaídas[[#This Row],[Data da Competência]]="",0,MONTH(TbRegistrosSaídas[[#This Row],[Data da Competência]]))</f>
        <v>2</v>
      </c>
      <c r="L184">
        <f>IF(TbRegistrosSaídas[[#This Row],[Data da Competência]]="",0,YEAR(TbRegistrosSaídas[[#This Row],[Data da Competência]]))</f>
        <v>2019</v>
      </c>
      <c r="M184" s="40">
        <f>IF(TbRegistrosSaídas[[#This Row],[Data do Caixa Previsto]]="",0,MONTH(TbRegistrosSaídas[[#This Row],[Data do Caixa Previsto]]))</f>
        <v>3</v>
      </c>
      <c r="N184" s="40">
        <f>IF(TbRegistrosSaídas[[#This Row],[Data do Caixa Previsto]]="",0,YEAR(TbRegistrosSaídas[[#This Row],[Data do Caixa Previsto]]))</f>
        <v>2019</v>
      </c>
      <c r="O18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5" spans="2:15" x14ac:dyDescent="0.25">
      <c r="B185" s="15">
        <v>43554.442660476037</v>
      </c>
      <c r="C185" s="15">
        <v>43505</v>
      </c>
      <c r="D185" s="15">
        <v>43554.442660476037</v>
      </c>
      <c r="E185" t="s">
        <v>43</v>
      </c>
      <c r="F185" t="s">
        <v>32</v>
      </c>
      <c r="G185" s="13" t="s">
        <v>464</v>
      </c>
      <c r="H185" s="16">
        <v>340</v>
      </c>
      <c r="I185">
        <f>IF(TbRegistrosSaídas[[#This Row],[Data do Caixa Realizado]]="",0,MONTH(TbRegistrosSaídas[[#This Row],[Data do Caixa Realizado]]))</f>
        <v>3</v>
      </c>
      <c r="J185">
        <f>IF(TbRegistrosSaídas[[#This Row],[Data do Caixa Realizado]]="",0,YEAR(TbRegistrosSaídas[[#This Row],[Data do Caixa Realizado]]))</f>
        <v>2019</v>
      </c>
      <c r="K185">
        <f>IF(TbRegistrosSaídas[[#This Row],[Data da Competência]]="",0,MONTH(TbRegistrosSaídas[[#This Row],[Data da Competência]]))</f>
        <v>2</v>
      </c>
      <c r="L185">
        <f>IF(TbRegistrosSaídas[[#This Row],[Data da Competência]]="",0,YEAR(TbRegistrosSaídas[[#This Row],[Data da Competência]]))</f>
        <v>2019</v>
      </c>
      <c r="M185" s="40">
        <f>IF(TbRegistrosSaídas[[#This Row],[Data do Caixa Previsto]]="",0,MONTH(TbRegistrosSaídas[[#This Row],[Data do Caixa Previsto]]))</f>
        <v>3</v>
      </c>
      <c r="N185" s="40">
        <f>IF(TbRegistrosSaídas[[#This Row],[Data do Caixa Previsto]]="",0,YEAR(TbRegistrosSaídas[[#This Row],[Data do Caixa Previsto]]))</f>
        <v>2019</v>
      </c>
      <c r="O18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6" spans="2:15" x14ac:dyDescent="0.25">
      <c r="B186" s="15">
        <v>43508.592568137858</v>
      </c>
      <c r="C186" s="15">
        <v>43506</v>
      </c>
      <c r="D186" s="15">
        <v>43508.592568137858</v>
      </c>
      <c r="E186" t="s">
        <v>43</v>
      </c>
      <c r="F186" t="s">
        <v>32</v>
      </c>
      <c r="G186" s="13" t="s">
        <v>465</v>
      </c>
      <c r="H186" s="16">
        <v>4204</v>
      </c>
      <c r="I186">
        <f>IF(TbRegistrosSaídas[[#This Row],[Data do Caixa Realizado]]="",0,MONTH(TbRegistrosSaídas[[#This Row],[Data do Caixa Realizado]]))</f>
        <v>2</v>
      </c>
      <c r="J186">
        <f>IF(TbRegistrosSaídas[[#This Row],[Data do Caixa Realizado]]="",0,YEAR(TbRegistrosSaídas[[#This Row],[Data do Caixa Realizado]]))</f>
        <v>2019</v>
      </c>
      <c r="K186">
        <f>IF(TbRegistrosSaídas[[#This Row],[Data da Competência]]="",0,MONTH(TbRegistrosSaídas[[#This Row],[Data da Competência]]))</f>
        <v>2</v>
      </c>
      <c r="L186">
        <f>IF(TbRegistrosSaídas[[#This Row],[Data da Competência]]="",0,YEAR(TbRegistrosSaídas[[#This Row],[Data da Competência]]))</f>
        <v>2019</v>
      </c>
      <c r="M186" s="40">
        <f>IF(TbRegistrosSaídas[[#This Row],[Data do Caixa Previsto]]="",0,MONTH(TbRegistrosSaídas[[#This Row],[Data do Caixa Previsto]]))</f>
        <v>2</v>
      </c>
      <c r="N186" s="40">
        <f>IF(TbRegistrosSaídas[[#This Row],[Data do Caixa Previsto]]="",0,YEAR(TbRegistrosSaídas[[#This Row],[Data do Caixa Previsto]]))</f>
        <v>2019</v>
      </c>
      <c r="O18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7" spans="2:15" x14ac:dyDescent="0.25">
      <c r="B187" s="15">
        <v>43555.285152896111</v>
      </c>
      <c r="C187" s="15">
        <v>43508</v>
      </c>
      <c r="D187" s="15">
        <v>43555.285152896111</v>
      </c>
      <c r="E187" t="s">
        <v>43</v>
      </c>
      <c r="F187" t="s">
        <v>31</v>
      </c>
      <c r="G187" s="13" t="s">
        <v>466</v>
      </c>
      <c r="H187" s="16">
        <v>3695</v>
      </c>
      <c r="I187">
        <f>IF(TbRegistrosSaídas[[#This Row],[Data do Caixa Realizado]]="",0,MONTH(TbRegistrosSaídas[[#This Row],[Data do Caixa Realizado]]))</f>
        <v>3</v>
      </c>
      <c r="J187">
        <f>IF(TbRegistrosSaídas[[#This Row],[Data do Caixa Realizado]]="",0,YEAR(TbRegistrosSaídas[[#This Row],[Data do Caixa Realizado]]))</f>
        <v>2019</v>
      </c>
      <c r="K187">
        <f>IF(TbRegistrosSaídas[[#This Row],[Data da Competência]]="",0,MONTH(TbRegistrosSaídas[[#This Row],[Data da Competência]]))</f>
        <v>2</v>
      </c>
      <c r="L187">
        <f>IF(TbRegistrosSaídas[[#This Row],[Data da Competência]]="",0,YEAR(TbRegistrosSaídas[[#This Row],[Data da Competência]]))</f>
        <v>2019</v>
      </c>
      <c r="M187" s="40">
        <f>IF(TbRegistrosSaídas[[#This Row],[Data do Caixa Previsto]]="",0,MONTH(TbRegistrosSaídas[[#This Row],[Data do Caixa Previsto]]))</f>
        <v>3</v>
      </c>
      <c r="N187" s="40">
        <f>IF(TbRegistrosSaídas[[#This Row],[Data do Caixa Previsto]]="",0,YEAR(TbRegistrosSaídas[[#This Row],[Data do Caixa Previsto]]))</f>
        <v>2019</v>
      </c>
      <c r="O18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88" spans="2:15" x14ac:dyDescent="0.25">
      <c r="B188" s="15">
        <v>43619.877278489352</v>
      </c>
      <c r="C188" s="15">
        <v>43517</v>
      </c>
      <c r="D188" s="15">
        <v>43548.006375386678</v>
      </c>
      <c r="E188" t="s">
        <v>43</v>
      </c>
      <c r="F188" t="s">
        <v>34</v>
      </c>
      <c r="G188" s="13" t="s">
        <v>467</v>
      </c>
      <c r="H188" s="16">
        <v>4148</v>
      </c>
      <c r="I188">
        <f>IF(TbRegistrosSaídas[[#This Row],[Data do Caixa Realizado]]="",0,MONTH(TbRegistrosSaídas[[#This Row],[Data do Caixa Realizado]]))</f>
        <v>6</v>
      </c>
      <c r="J188">
        <f>IF(TbRegistrosSaídas[[#This Row],[Data do Caixa Realizado]]="",0,YEAR(TbRegistrosSaídas[[#This Row],[Data do Caixa Realizado]]))</f>
        <v>2019</v>
      </c>
      <c r="K188">
        <f>IF(TbRegistrosSaídas[[#This Row],[Data da Competência]]="",0,MONTH(TbRegistrosSaídas[[#This Row],[Data da Competência]]))</f>
        <v>2</v>
      </c>
      <c r="L188">
        <f>IF(TbRegistrosSaídas[[#This Row],[Data da Competência]]="",0,YEAR(TbRegistrosSaídas[[#This Row],[Data da Competência]]))</f>
        <v>2019</v>
      </c>
      <c r="M188" s="40">
        <f>IF(TbRegistrosSaídas[[#This Row],[Data do Caixa Previsto]]="",0,MONTH(TbRegistrosSaídas[[#This Row],[Data do Caixa Previsto]]))</f>
        <v>3</v>
      </c>
      <c r="N188" s="40">
        <f>IF(TbRegistrosSaídas[[#This Row],[Data do Caixa Previsto]]="",0,YEAR(TbRegistrosSaídas[[#This Row],[Data do Caixa Previsto]]))</f>
        <v>2019</v>
      </c>
      <c r="O18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71.870903102673765</v>
      </c>
    </row>
    <row r="189" spans="2:15" x14ac:dyDescent="0.25">
      <c r="B189" s="15">
        <v>43566.482468635586</v>
      </c>
      <c r="C189" s="15">
        <v>43521</v>
      </c>
      <c r="D189" s="15">
        <v>43553.920091748245</v>
      </c>
      <c r="E189" t="s">
        <v>43</v>
      </c>
      <c r="F189" t="s">
        <v>44</v>
      </c>
      <c r="G189" s="13" t="s">
        <v>468</v>
      </c>
      <c r="H189" s="16">
        <v>4303</v>
      </c>
      <c r="I189">
        <f>IF(TbRegistrosSaídas[[#This Row],[Data do Caixa Realizado]]="",0,MONTH(TbRegistrosSaídas[[#This Row],[Data do Caixa Realizado]]))</f>
        <v>4</v>
      </c>
      <c r="J189">
        <f>IF(TbRegistrosSaídas[[#This Row],[Data do Caixa Realizado]]="",0,YEAR(TbRegistrosSaídas[[#This Row],[Data do Caixa Realizado]]))</f>
        <v>2019</v>
      </c>
      <c r="K189">
        <f>IF(TbRegistrosSaídas[[#This Row],[Data da Competência]]="",0,MONTH(TbRegistrosSaídas[[#This Row],[Data da Competência]]))</f>
        <v>2</v>
      </c>
      <c r="L189">
        <f>IF(TbRegistrosSaídas[[#This Row],[Data da Competência]]="",0,YEAR(TbRegistrosSaídas[[#This Row],[Data da Competência]]))</f>
        <v>2019</v>
      </c>
      <c r="M189" s="40">
        <f>IF(TbRegistrosSaídas[[#This Row],[Data do Caixa Previsto]]="",0,MONTH(TbRegistrosSaídas[[#This Row],[Data do Caixa Previsto]]))</f>
        <v>3</v>
      </c>
      <c r="N189" s="40">
        <f>IF(TbRegistrosSaídas[[#This Row],[Data do Caixa Previsto]]="",0,YEAR(TbRegistrosSaídas[[#This Row],[Data do Caixa Previsto]]))</f>
        <v>2019</v>
      </c>
      <c r="O18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12.562376887341088</v>
      </c>
    </row>
    <row r="190" spans="2:15" x14ac:dyDescent="0.25">
      <c r="B190" s="15">
        <v>43531.738180250693</v>
      </c>
      <c r="C190" s="15">
        <v>43523</v>
      </c>
      <c r="D190" s="15">
        <v>43531.738180250693</v>
      </c>
      <c r="E190" t="s">
        <v>43</v>
      </c>
      <c r="F190" t="s">
        <v>32</v>
      </c>
      <c r="G190" s="13" t="s">
        <v>469</v>
      </c>
      <c r="H190" s="16">
        <v>2674</v>
      </c>
      <c r="I190">
        <f>IF(TbRegistrosSaídas[[#This Row],[Data do Caixa Realizado]]="",0,MONTH(TbRegistrosSaídas[[#This Row],[Data do Caixa Realizado]]))</f>
        <v>3</v>
      </c>
      <c r="J190">
        <f>IF(TbRegistrosSaídas[[#This Row],[Data do Caixa Realizado]]="",0,YEAR(TbRegistrosSaídas[[#This Row],[Data do Caixa Realizado]]))</f>
        <v>2019</v>
      </c>
      <c r="K190">
        <f>IF(TbRegistrosSaídas[[#This Row],[Data da Competência]]="",0,MONTH(TbRegistrosSaídas[[#This Row],[Data da Competência]]))</f>
        <v>2</v>
      </c>
      <c r="L190">
        <f>IF(TbRegistrosSaídas[[#This Row],[Data da Competência]]="",0,YEAR(TbRegistrosSaídas[[#This Row],[Data da Competência]]))</f>
        <v>2019</v>
      </c>
      <c r="M190" s="40">
        <f>IF(TbRegistrosSaídas[[#This Row],[Data do Caixa Previsto]]="",0,MONTH(TbRegistrosSaídas[[#This Row],[Data do Caixa Previsto]]))</f>
        <v>3</v>
      </c>
      <c r="N190" s="40">
        <f>IF(TbRegistrosSaídas[[#This Row],[Data do Caixa Previsto]]="",0,YEAR(TbRegistrosSaídas[[#This Row],[Data do Caixa Previsto]]))</f>
        <v>2019</v>
      </c>
      <c r="O19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1" spans="2:15" x14ac:dyDescent="0.25">
      <c r="B191" s="15">
        <v>43569.835590824536</v>
      </c>
      <c r="C191" s="15">
        <v>43526</v>
      </c>
      <c r="D191" s="15">
        <v>43569.835590824536</v>
      </c>
      <c r="E191" t="s">
        <v>43</v>
      </c>
      <c r="F191" t="s">
        <v>30</v>
      </c>
      <c r="G191" s="13" t="s">
        <v>470</v>
      </c>
      <c r="H191" s="16">
        <v>1720</v>
      </c>
      <c r="I191">
        <f>IF(TbRegistrosSaídas[[#This Row],[Data do Caixa Realizado]]="",0,MONTH(TbRegistrosSaídas[[#This Row],[Data do Caixa Realizado]]))</f>
        <v>4</v>
      </c>
      <c r="J191">
        <f>IF(TbRegistrosSaídas[[#This Row],[Data do Caixa Realizado]]="",0,YEAR(TbRegistrosSaídas[[#This Row],[Data do Caixa Realizado]]))</f>
        <v>2019</v>
      </c>
      <c r="K191">
        <f>IF(TbRegistrosSaídas[[#This Row],[Data da Competência]]="",0,MONTH(TbRegistrosSaídas[[#This Row],[Data da Competência]]))</f>
        <v>3</v>
      </c>
      <c r="L191">
        <f>IF(TbRegistrosSaídas[[#This Row],[Data da Competência]]="",0,YEAR(TbRegistrosSaídas[[#This Row],[Data da Competência]]))</f>
        <v>2019</v>
      </c>
      <c r="M191" s="40">
        <f>IF(TbRegistrosSaídas[[#This Row],[Data do Caixa Previsto]]="",0,MONTH(TbRegistrosSaídas[[#This Row],[Data do Caixa Previsto]]))</f>
        <v>4</v>
      </c>
      <c r="N191" s="40">
        <f>IF(TbRegistrosSaídas[[#This Row],[Data do Caixa Previsto]]="",0,YEAR(TbRegistrosSaídas[[#This Row],[Data do Caixa Previsto]]))</f>
        <v>2019</v>
      </c>
      <c r="O19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2" spans="2:15" x14ac:dyDescent="0.25">
      <c r="B192" s="15">
        <v>43567.757979105008</v>
      </c>
      <c r="C192" s="15">
        <v>43530</v>
      </c>
      <c r="D192" s="15">
        <v>43567.757979105008</v>
      </c>
      <c r="E192" t="s">
        <v>43</v>
      </c>
      <c r="F192" t="s">
        <v>30</v>
      </c>
      <c r="G192" s="13" t="s">
        <v>471</v>
      </c>
      <c r="H192" s="16">
        <v>1854</v>
      </c>
      <c r="I192">
        <f>IF(TbRegistrosSaídas[[#This Row],[Data do Caixa Realizado]]="",0,MONTH(TbRegistrosSaídas[[#This Row],[Data do Caixa Realizado]]))</f>
        <v>4</v>
      </c>
      <c r="J192">
        <f>IF(TbRegistrosSaídas[[#This Row],[Data do Caixa Realizado]]="",0,YEAR(TbRegistrosSaídas[[#This Row],[Data do Caixa Realizado]]))</f>
        <v>2019</v>
      </c>
      <c r="K192">
        <f>IF(TbRegistrosSaídas[[#This Row],[Data da Competência]]="",0,MONTH(TbRegistrosSaídas[[#This Row],[Data da Competência]]))</f>
        <v>3</v>
      </c>
      <c r="L192">
        <f>IF(TbRegistrosSaídas[[#This Row],[Data da Competência]]="",0,YEAR(TbRegistrosSaídas[[#This Row],[Data da Competência]]))</f>
        <v>2019</v>
      </c>
      <c r="M192" s="40">
        <f>IF(TbRegistrosSaídas[[#This Row],[Data do Caixa Previsto]]="",0,MONTH(TbRegistrosSaídas[[#This Row],[Data do Caixa Previsto]]))</f>
        <v>4</v>
      </c>
      <c r="N192" s="40">
        <f>IF(TbRegistrosSaídas[[#This Row],[Data do Caixa Previsto]]="",0,YEAR(TbRegistrosSaídas[[#This Row],[Data do Caixa Previsto]]))</f>
        <v>2019</v>
      </c>
      <c r="O19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3" spans="2:15" x14ac:dyDescent="0.25">
      <c r="B193" s="15">
        <v>43535.079288493936</v>
      </c>
      <c r="C193" s="15">
        <v>43532</v>
      </c>
      <c r="D193" s="15">
        <v>43535.079288493936</v>
      </c>
      <c r="E193" t="s">
        <v>43</v>
      </c>
      <c r="F193" t="s">
        <v>44</v>
      </c>
      <c r="G193" s="13" t="s">
        <v>472</v>
      </c>
      <c r="H193" s="16">
        <v>2568</v>
      </c>
      <c r="I193">
        <f>IF(TbRegistrosSaídas[[#This Row],[Data do Caixa Realizado]]="",0,MONTH(TbRegistrosSaídas[[#This Row],[Data do Caixa Realizado]]))</f>
        <v>3</v>
      </c>
      <c r="J193">
        <f>IF(TbRegistrosSaídas[[#This Row],[Data do Caixa Realizado]]="",0,YEAR(TbRegistrosSaídas[[#This Row],[Data do Caixa Realizado]]))</f>
        <v>2019</v>
      </c>
      <c r="K193">
        <f>IF(TbRegistrosSaídas[[#This Row],[Data da Competência]]="",0,MONTH(TbRegistrosSaídas[[#This Row],[Data da Competência]]))</f>
        <v>3</v>
      </c>
      <c r="L193">
        <f>IF(TbRegistrosSaídas[[#This Row],[Data da Competência]]="",0,YEAR(TbRegistrosSaídas[[#This Row],[Data da Competência]]))</f>
        <v>2019</v>
      </c>
      <c r="M193" s="40">
        <f>IF(TbRegistrosSaídas[[#This Row],[Data do Caixa Previsto]]="",0,MONTH(TbRegistrosSaídas[[#This Row],[Data do Caixa Previsto]]))</f>
        <v>3</v>
      </c>
      <c r="N193" s="40">
        <f>IF(TbRegistrosSaídas[[#This Row],[Data do Caixa Previsto]]="",0,YEAR(TbRegistrosSaídas[[#This Row],[Data do Caixa Previsto]]))</f>
        <v>2019</v>
      </c>
      <c r="O19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4" spans="2:15" x14ac:dyDescent="0.25">
      <c r="B194" s="15">
        <v>43572.596134843683</v>
      </c>
      <c r="C194" s="15">
        <v>43532</v>
      </c>
      <c r="D194" s="15">
        <v>43572.596134843683</v>
      </c>
      <c r="E194" t="s">
        <v>43</v>
      </c>
      <c r="F194" t="s">
        <v>44</v>
      </c>
      <c r="G194" s="13" t="s">
        <v>473</v>
      </c>
      <c r="H194" s="16">
        <v>3690</v>
      </c>
      <c r="I194">
        <f>IF(TbRegistrosSaídas[[#This Row],[Data do Caixa Realizado]]="",0,MONTH(TbRegistrosSaídas[[#This Row],[Data do Caixa Realizado]]))</f>
        <v>4</v>
      </c>
      <c r="J194">
        <f>IF(TbRegistrosSaídas[[#This Row],[Data do Caixa Realizado]]="",0,YEAR(TbRegistrosSaídas[[#This Row],[Data do Caixa Realizado]]))</f>
        <v>2019</v>
      </c>
      <c r="K194">
        <f>IF(TbRegistrosSaídas[[#This Row],[Data da Competência]]="",0,MONTH(TbRegistrosSaídas[[#This Row],[Data da Competência]]))</f>
        <v>3</v>
      </c>
      <c r="L194">
        <f>IF(TbRegistrosSaídas[[#This Row],[Data da Competência]]="",0,YEAR(TbRegistrosSaídas[[#This Row],[Data da Competência]]))</f>
        <v>2019</v>
      </c>
      <c r="M194" s="40">
        <f>IF(TbRegistrosSaídas[[#This Row],[Data do Caixa Previsto]]="",0,MONTH(TbRegistrosSaídas[[#This Row],[Data do Caixa Previsto]]))</f>
        <v>4</v>
      </c>
      <c r="N194" s="40">
        <f>IF(TbRegistrosSaídas[[#This Row],[Data do Caixa Previsto]]="",0,YEAR(TbRegistrosSaídas[[#This Row],[Data do Caixa Previsto]]))</f>
        <v>2019</v>
      </c>
      <c r="O19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5" spans="2:15" x14ac:dyDescent="0.25">
      <c r="B195" s="15">
        <v>43621.515266358365</v>
      </c>
      <c r="C195" s="15">
        <v>43534</v>
      </c>
      <c r="D195" s="15">
        <v>43570.539022448429</v>
      </c>
      <c r="E195" t="s">
        <v>43</v>
      </c>
      <c r="F195" t="s">
        <v>34</v>
      </c>
      <c r="G195" s="13" t="s">
        <v>474</v>
      </c>
      <c r="H195" s="16">
        <v>3746</v>
      </c>
      <c r="I195">
        <f>IF(TbRegistrosSaídas[[#This Row],[Data do Caixa Realizado]]="",0,MONTH(TbRegistrosSaídas[[#This Row],[Data do Caixa Realizado]]))</f>
        <v>6</v>
      </c>
      <c r="J195">
        <f>IF(TbRegistrosSaídas[[#This Row],[Data do Caixa Realizado]]="",0,YEAR(TbRegistrosSaídas[[#This Row],[Data do Caixa Realizado]]))</f>
        <v>2019</v>
      </c>
      <c r="K195">
        <f>IF(TbRegistrosSaídas[[#This Row],[Data da Competência]]="",0,MONTH(TbRegistrosSaídas[[#This Row],[Data da Competência]]))</f>
        <v>3</v>
      </c>
      <c r="L195">
        <f>IF(TbRegistrosSaídas[[#This Row],[Data da Competência]]="",0,YEAR(TbRegistrosSaídas[[#This Row],[Data da Competência]]))</f>
        <v>2019</v>
      </c>
      <c r="M195" s="40">
        <f>IF(TbRegistrosSaídas[[#This Row],[Data do Caixa Previsto]]="",0,MONTH(TbRegistrosSaídas[[#This Row],[Data do Caixa Previsto]]))</f>
        <v>4</v>
      </c>
      <c r="N195" s="40">
        <f>IF(TbRegistrosSaídas[[#This Row],[Data do Caixa Previsto]]="",0,YEAR(TbRegistrosSaídas[[#This Row],[Data do Caixa Previsto]]))</f>
        <v>2019</v>
      </c>
      <c r="O19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50.976243909935874</v>
      </c>
    </row>
    <row r="196" spans="2:15" x14ac:dyDescent="0.25">
      <c r="B196" s="15">
        <v>43571.740759038665</v>
      </c>
      <c r="C196" s="15">
        <v>43536</v>
      </c>
      <c r="D196" s="15">
        <v>43571.740759038665</v>
      </c>
      <c r="E196" t="s">
        <v>43</v>
      </c>
      <c r="F196" t="s">
        <v>30</v>
      </c>
      <c r="G196" s="13" t="s">
        <v>475</v>
      </c>
      <c r="H196" s="16">
        <v>4360</v>
      </c>
      <c r="I196">
        <f>IF(TbRegistrosSaídas[[#This Row],[Data do Caixa Realizado]]="",0,MONTH(TbRegistrosSaídas[[#This Row],[Data do Caixa Realizado]]))</f>
        <v>4</v>
      </c>
      <c r="J196">
        <f>IF(TbRegistrosSaídas[[#This Row],[Data do Caixa Realizado]]="",0,YEAR(TbRegistrosSaídas[[#This Row],[Data do Caixa Realizado]]))</f>
        <v>2019</v>
      </c>
      <c r="K196">
        <f>IF(TbRegistrosSaídas[[#This Row],[Data da Competência]]="",0,MONTH(TbRegistrosSaídas[[#This Row],[Data da Competência]]))</f>
        <v>3</v>
      </c>
      <c r="L196">
        <f>IF(TbRegistrosSaídas[[#This Row],[Data da Competência]]="",0,YEAR(TbRegistrosSaídas[[#This Row],[Data da Competência]]))</f>
        <v>2019</v>
      </c>
      <c r="M196" s="40">
        <f>IF(TbRegistrosSaídas[[#This Row],[Data do Caixa Previsto]]="",0,MONTH(TbRegistrosSaídas[[#This Row],[Data do Caixa Previsto]]))</f>
        <v>4</v>
      </c>
      <c r="N196" s="40">
        <f>IF(TbRegistrosSaídas[[#This Row],[Data do Caixa Previsto]]="",0,YEAR(TbRegistrosSaídas[[#This Row],[Data do Caixa Previsto]]))</f>
        <v>2019</v>
      </c>
      <c r="O19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7" spans="2:15" x14ac:dyDescent="0.25">
      <c r="B197" s="15" t="s">
        <v>69</v>
      </c>
      <c r="C197" s="15">
        <v>43537</v>
      </c>
      <c r="D197" s="15">
        <v>43576.376924808807</v>
      </c>
      <c r="E197" t="s">
        <v>43</v>
      </c>
      <c r="F197" t="s">
        <v>34</v>
      </c>
      <c r="G197" s="13" t="s">
        <v>476</v>
      </c>
      <c r="H197" s="16">
        <v>1753</v>
      </c>
      <c r="I197">
        <f>IF(TbRegistrosSaídas[[#This Row],[Data do Caixa Realizado]]="",0,MONTH(TbRegistrosSaídas[[#This Row],[Data do Caixa Realizado]]))</f>
        <v>0</v>
      </c>
      <c r="J197">
        <f>IF(TbRegistrosSaídas[[#This Row],[Data do Caixa Realizado]]="",0,YEAR(TbRegistrosSaídas[[#This Row],[Data do Caixa Realizado]]))</f>
        <v>0</v>
      </c>
      <c r="K197">
        <f>IF(TbRegistrosSaídas[[#This Row],[Data da Competência]]="",0,MONTH(TbRegistrosSaídas[[#This Row],[Data da Competência]]))</f>
        <v>3</v>
      </c>
      <c r="L197">
        <f>IF(TbRegistrosSaídas[[#This Row],[Data da Competência]]="",0,YEAR(TbRegistrosSaídas[[#This Row],[Data da Competência]]))</f>
        <v>2019</v>
      </c>
      <c r="M197" s="40">
        <f>IF(TbRegistrosSaídas[[#This Row],[Data do Caixa Previsto]]="",0,MONTH(TbRegistrosSaídas[[#This Row],[Data do Caixa Previsto]]))</f>
        <v>4</v>
      </c>
      <c r="N197" s="40">
        <f>IF(TbRegistrosSaídas[[#This Row],[Data do Caixa Previsto]]="",0,YEAR(TbRegistrosSaídas[[#This Row],[Data do Caixa Previsto]]))</f>
        <v>2019</v>
      </c>
      <c r="O19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1739.6230751911935</v>
      </c>
    </row>
    <row r="198" spans="2:15" x14ac:dyDescent="0.25">
      <c r="B198" s="15">
        <v>43543.657350348039</v>
      </c>
      <c r="C198" s="15">
        <v>43540</v>
      </c>
      <c r="D198" s="15">
        <v>43543.657350348039</v>
      </c>
      <c r="E198" t="s">
        <v>43</v>
      </c>
      <c r="F198" t="s">
        <v>30</v>
      </c>
      <c r="G198" s="13" t="s">
        <v>477</v>
      </c>
      <c r="H198" s="16">
        <v>1421</v>
      </c>
      <c r="I198">
        <f>IF(TbRegistrosSaídas[[#This Row],[Data do Caixa Realizado]]="",0,MONTH(TbRegistrosSaídas[[#This Row],[Data do Caixa Realizado]]))</f>
        <v>3</v>
      </c>
      <c r="J198">
        <f>IF(TbRegistrosSaídas[[#This Row],[Data do Caixa Realizado]]="",0,YEAR(TbRegistrosSaídas[[#This Row],[Data do Caixa Realizado]]))</f>
        <v>2019</v>
      </c>
      <c r="K198">
        <f>IF(TbRegistrosSaídas[[#This Row],[Data da Competência]]="",0,MONTH(TbRegistrosSaídas[[#This Row],[Data da Competência]]))</f>
        <v>3</v>
      </c>
      <c r="L198">
        <f>IF(TbRegistrosSaídas[[#This Row],[Data da Competência]]="",0,YEAR(TbRegistrosSaídas[[#This Row],[Data da Competência]]))</f>
        <v>2019</v>
      </c>
      <c r="M198" s="40">
        <f>IF(TbRegistrosSaídas[[#This Row],[Data do Caixa Previsto]]="",0,MONTH(TbRegistrosSaídas[[#This Row],[Data do Caixa Previsto]]))</f>
        <v>3</v>
      </c>
      <c r="N198" s="40">
        <f>IF(TbRegistrosSaídas[[#This Row],[Data do Caixa Previsto]]="",0,YEAR(TbRegistrosSaídas[[#This Row],[Data do Caixa Previsto]]))</f>
        <v>2019</v>
      </c>
      <c r="O19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199" spans="2:15" x14ac:dyDescent="0.25">
      <c r="B199" s="15">
        <v>43566.33302641497</v>
      </c>
      <c r="C199" s="15">
        <v>43543</v>
      </c>
      <c r="D199" s="15">
        <v>43566.33302641497</v>
      </c>
      <c r="E199" t="s">
        <v>43</v>
      </c>
      <c r="F199" t="s">
        <v>34</v>
      </c>
      <c r="G199" s="13" t="s">
        <v>478</v>
      </c>
      <c r="H199" s="16">
        <v>3565</v>
      </c>
      <c r="I199">
        <f>IF(TbRegistrosSaídas[[#This Row],[Data do Caixa Realizado]]="",0,MONTH(TbRegistrosSaídas[[#This Row],[Data do Caixa Realizado]]))</f>
        <v>4</v>
      </c>
      <c r="J199">
        <f>IF(TbRegistrosSaídas[[#This Row],[Data do Caixa Realizado]]="",0,YEAR(TbRegistrosSaídas[[#This Row],[Data do Caixa Realizado]]))</f>
        <v>2019</v>
      </c>
      <c r="K199">
        <f>IF(TbRegistrosSaídas[[#This Row],[Data da Competência]]="",0,MONTH(TbRegistrosSaídas[[#This Row],[Data da Competência]]))</f>
        <v>3</v>
      </c>
      <c r="L199">
        <f>IF(TbRegistrosSaídas[[#This Row],[Data da Competência]]="",0,YEAR(TbRegistrosSaídas[[#This Row],[Data da Competência]]))</f>
        <v>2019</v>
      </c>
      <c r="M199" s="40">
        <f>IF(TbRegistrosSaídas[[#This Row],[Data do Caixa Previsto]]="",0,MONTH(TbRegistrosSaídas[[#This Row],[Data do Caixa Previsto]]))</f>
        <v>4</v>
      </c>
      <c r="N199" s="40">
        <f>IF(TbRegistrosSaídas[[#This Row],[Data do Caixa Previsto]]="",0,YEAR(TbRegistrosSaídas[[#This Row],[Data do Caixa Previsto]]))</f>
        <v>2019</v>
      </c>
      <c r="O19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0" spans="2:15" x14ac:dyDescent="0.25">
      <c r="B200" s="15">
        <v>43663.382687512385</v>
      </c>
      <c r="C200" s="15">
        <v>43546</v>
      </c>
      <c r="D200" s="15">
        <v>43586.481925868669</v>
      </c>
      <c r="E200" t="s">
        <v>43</v>
      </c>
      <c r="F200" t="s">
        <v>44</v>
      </c>
      <c r="G200" s="13" t="s">
        <v>479</v>
      </c>
      <c r="H200" s="16">
        <v>1961</v>
      </c>
      <c r="I200">
        <f>IF(TbRegistrosSaídas[[#This Row],[Data do Caixa Realizado]]="",0,MONTH(TbRegistrosSaídas[[#This Row],[Data do Caixa Realizado]]))</f>
        <v>7</v>
      </c>
      <c r="J200">
        <f>IF(TbRegistrosSaídas[[#This Row],[Data do Caixa Realizado]]="",0,YEAR(TbRegistrosSaídas[[#This Row],[Data do Caixa Realizado]]))</f>
        <v>2019</v>
      </c>
      <c r="K200">
        <f>IF(TbRegistrosSaídas[[#This Row],[Data da Competência]]="",0,MONTH(TbRegistrosSaídas[[#This Row],[Data da Competência]]))</f>
        <v>3</v>
      </c>
      <c r="L200">
        <f>IF(TbRegistrosSaídas[[#This Row],[Data da Competência]]="",0,YEAR(TbRegistrosSaídas[[#This Row],[Data da Competência]]))</f>
        <v>2019</v>
      </c>
      <c r="M200" s="40">
        <f>IF(TbRegistrosSaídas[[#This Row],[Data do Caixa Previsto]]="",0,MONTH(TbRegistrosSaídas[[#This Row],[Data do Caixa Previsto]]))</f>
        <v>5</v>
      </c>
      <c r="N200" s="40">
        <f>IF(TbRegistrosSaídas[[#This Row],[Data do Caixa Previsto]]="",0,YEAR(TbRegistrosSaídas[[#This Row],[Data do Caixa Previsto]]))</f>
        <v>2019</v>
      </c>
      <c r="O20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76.900761643715668</v>
      </c>
    </row>
    <row r="201" spans="2:15" x14ac:dyDescent="0.25">
      <c r="B201" s="15">
        <v>43570.097263655982</v>
      </c>
      <c r="C201" s="15">
        <v>43551</v>
      </c>
      <c r="D201" s="15">
        <v>43557.083579079888</v>
      </c>
      <c r="E201" t="s">
        <v>43</v>
      </c>
      <c r="F201" t="s">
        <v>32</v>
      </c>
      <c r="G201" s="13" t="s">
        <v>480</v>
      </c>
      <c r="H201" s="16">
        <v>4854</v>
      </c>
      <c r="I201">
        <f>IF(TbRegistrosSaídas[[#This Row],[Data do Caixa Realizado]]="",0,MONTH(TbRegistrosSaídas[[#This Row],[Data do Caixa Realizado]]))</f>
        <v>4</v>
      </c>
      <c r="J201">
        <f>IF(TbRegistrosSaídas[[#This Row],[Data do Caixa Realizado]]="",0,YEAR(TbRegistrosSaídas[[#This Row],[Data do Caixa Realizado]]))</f>
        <v>2019</v>
      </c>
      <c r="K201">
        <f>IF(TbRegistrosSaídas[[#This Row],[Data da Competência]]="",0,MONTH(TbRegistrosSaídas[[#This Row],[Data da Competência]]))</f>
        <v>3</v>
      </c>
      <c r="L201">
        <f>IF(TbRegistrosSaídas[[#This Row],[Data da Competência]]="",0,YEAR(TbRegistrosSaídas[[#This Row],[Data da Competência]]))</f>
        <v>2019</v>
      </c>
      <c r="M201" s="40">
        <f>IF(TbRegistrosSaídas[[#This Row],[Data do Caixa Previsto]]="",0,MONTH(TbRegistrosSaídas[[#This Row],[Data do Caixa Previsto]]))</f>
        <v>4</v>
      </c>
      <c r="N201" s="40">
        <f>IF(TbRegistrosSaídas[[#This Row],[Data do Caixa Previsto]]="",0,YEAR(TbRegistrosSaídas[[#This Row],[Data do Caixa Previsto]]))</f>
        <v>2019</v>
      </c>
      <c r="O20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13.01368457609351</v>
      </c>
    </row>
    <row r="202" spans="2:15" x14ac:dyDescent="0.25">
      <c r="B202" s="15">
        <v>43578.736317775256</v>
      </c>
      <c r="C202" s="15">
        <v>43557</v>
      </c>
      <c r="D202" s="15">
        <v>43578.736317775256</v>
      </c>
      <c r="E202" t="s">
        <v>43</v>
      </c>
      <c r="F202" t="s">
        <v>30</v>
      </c>
      <c r="G202" s="13" t="s">
        <v>481</v>
      </c>
      <c r="H202" s="16">
        <v>3453</v>
      </c>
      <c r="I202">
        <f>IF(TbRegistrosSaídas[[#This Row],[Data do Caixa Realizado]]="",0,MONTH(TbRegistrosSaídas[[#This Row],[Data do Caixa Realizado]]))</f>
        <v>4</v>
      </c>
      <c r="J202">
        <f>IF(TbRegistrosSaídas[[#This Row],[Data do Caixa Realizado]]="",0,YEAR(TbRegistrosSaídas[[#This Row],[Data do Caixa Realizado]]))</f>
        <v>2019</v>
      </c>
      <c r="K202">
        <f>IF(TbRegistrosSaídas[[#This Row],[Data da Competência]]="",0,MONTH(TbRegistrosSaídas[[#This Row],[Data da Competência]]))</f>
        <v>4</v>
      </c>
      <c r="L202">
        <f>IF(TbRegistrosSaídas[[#This Row],[Data da Competência]]="",0,YEAR(TbRegistrosSaídas[[#This Row],[Data da Competência]]))</f>
        <v>2019</v>
      </c>
      <c r="M202" s="40">
        <f>IF(TbRegistrosSaídas[[#This Row],[Data do Caixa Previsto]]="",0,MONTH(TbRegistrosSaídas[[#This Row],[Data do Caixa Previsto]]))</f>
        <v>4</v>
      </c>
      <c r="N202" s="40">
        <f>IF(TbRegistrosSaídas[[#This Row],[Data do Caixa Previsto]]="",0,YEAR(TbRegistrosSaídas[[#This Row],[Data do Caixa Previsto]]))</f>
        <v>2019</v>
      </c>
      <c r="O20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3" spans="2:15" x14ac:dyDescent="0.25">
      <c r="B203" s="15">
        <v>43575.110312084966</v>
      </c>
      <c r="C203" s="15">
        <v>43558</v>
      </c>
      <c r="D203" s="15">
        <v>43560.81847105785</v>
      </c>
      <c r="E203" t="s">
        <v>43</v>
      </c>
      <c r="F203" t="s">
        <v>44</v>
      </c>
      <c r="G203" s="13" t="s">
        <v>482</v>
      </c>
      <c r="H203" s="16">
        <v>3341</v>
      </c>
      <c r="I203">
        <f>IF(TbRegistrosSaídas[[#This Row],[Data do Caixa Realizado]]="",0,MONTH(TbRegistrosSaídas[[#This Row],[Data do Caixa Realizado]]))</f>
        <v>4</v>
      </c>
      <c r="J203">
        <f>IF(TbRegistrosSaídas[[#This Row],[Data do Caixa Realizado]]="",0,YEAR(TbRegistrosSaídas[[#This Row],[Data do Caixa Realizado]]))</f>
        <v>2019</v>
      </c>
      <c r="K203">
        <f>IF(TbRegistrosSaídas[[#This Row],[Data da Competência]]="",0,MONTH(TbRegistrosSaídas[[#This Row],[Data da Competência]]))</f>
        <v>4</v>
      </c>
      <c r="L203">
        <f>IF(TbRegistrosSaídas[[#This Row],[Data da Competência]]="",0,YEAR(TbRegistrosSaídas[[#This Row],[Data da Competência]]))</f>
        <v>2019</v>
      </c>
      <c r="M203" s="40">
        <f>IF(TbRegistrosSaídas[[#This Row],[Data do Caixa Previsto]]="",0,MONTH(TbRegistrosSaídas[[#This Row],[Data do Caixa Previsto]]))</f>
        <v>4</v>
      </c>
      <c r="N203" s="40">
        <f>IF(TbRegistrosSaídas[[#This Row],[Data do Caixa Previsto]]="",0,YEAR(TbRegistrosSaídas[[#This Row],[Data do Caixa Previsto]]))</f>
        <v>2019</v>
      </c>
      <c r="O20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14.291841027115879</v>
      </c>
    </row>
    <row r="204" spans="2:15" x14ac:dyDescent="0.25">
      <c r="B204" s="15">
        <v>43605.865431208142</v>
      </c>
      <c r="C204" s="15">
        <v>43561</v>
      </c>
      <c r="D204" s="15">
        <v>43605.865431208142</v>
      </c>
      <c r="E204" t="s">
        <v>43</v>
      </c>
      <c r="F204" t="s">
        <v>32</v>
      </c>
      <c r="G204" s="13" t="s">
        <v>483</v>
      </c>
      <c r="H204" s="16">
        <v>2707</v>
      </c>
      <c r="I204">
        <f>IF(TbRegistrosSaídas[[#This Row],[Data do Caixa Realizado]]="",0,MONTH(TbRegistrosSaídas[[#This Row],[Data do Caixa Realizado]]))</f>
        <v>5</v>
      </c>
      <c r="J204">
        <f>IF(TbRegistrosSaídas[[#This Row],[Data do Caixa Realizado]]="",0,YEAR(TbRegistrosSaídas[[#This Row],[Data do Caixa Realizado]]))</f>
        <v>2019</v>
      </c>
      <c r="K204">
        <f>IF(TbRegistrosSaídas[[#This Row],[Data da Competência]]="",0,MONTH(TbRegistrosSaídas[[#This Row],[Data da Competência]]))</f>
        <v>4</v>
      </c>
      <c r="L204">
        <f>IF(TbRegistrosSaídas[[#This Row],[Data da Competência]]="",0,YEAR(TbRegistrosSaídas[[#This Row],[Data da Competência]]))</f>
        <v>2019</v>
      </c>
      <c r="M204" s="40">
        <f>IF(TbRegistrosSaídas[[#This Row],[Data do Caixa Previsto]]="",0,MONTH(TbRegistrosSaídas[[#This Row],[Data do Caixa Previsto]]))</f>
        <v>5</v>
      </c>
      <c r="N204" s="40">
        <f>IF(TbRegistrosSaídas[[#This Row],[Data do Caixa Previsto]]="",0,YEAR(TbRegistrosSaídas[[#This Row],[Data do Caixa Previsto]]))</f>
        <v>2019</v>
      </c>
      <c r="O20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5" spans="2:15" x14ac:dyDescent="0.25">
      <c r="B205" s="15">
        <v>43603.683759744941</v>
      </c>
      <c r="C205" s="15">
        <v>43563</v>
      </c>
      <c r="D205" s="15">
        <v>43603.683759744941</v>
      </c>
      <c r="E205" t="s">
        <v>43</v>
      </c>
      <c r="F205" t="s">
        <v>44</v>
      </c>
      <c r="G205" s="13" t="s">
        <v>484</v>
      </c>
      <c r="H205" s="16">
        <v>1582</v>
      </c>
      <c r="I205">
        <f>IF(TbRegistrosSaídas[[#This Row],[Data do Caixa Realizado]]="",0,MONTH(TbRegistrosSaídas[[#This Row],[Data do Caixa Realizado]]))</f>
        <v>5</v>
      </c>
      <c r="J205">
        <f>IF(TbRegistrosSaídas[[#This Row],[Data do Caixa Realizado]]="",0,YEAR(TbRegistrosSaídas[[#This Row],[Data do Caixa Realizado]]))</f>
        <v>2019</v>
      </c>
      <c r="K205">
        <f>IF(TbRegistrosSaídas[[#This Row],[Data da Competência]]="",0,MONTH(TbRegistrosSaídas[[#This Row],[Data da Competência]]))</f>
        <v>4</v>
      </c>
      <c r="L205">
        <f>IF(TbRegistrosSaídas[[#This Row],[Data da Competência]]="",0,YEAR(TbRegistrosSaídas[[#This Row],[Data da Competência]]))</f>
        <v>2019</v>
      </c>
      <c r="M205" s="40">
        <f>IF(TbRegistrosSaídas[[#This Row],[Data do Caixa Previsto]]="",0,MONTH(TbRegistrosSaídas[[#This Row],[Data do Caixa Previsto]]))</f>
        <v>5</v>
      </c>
      <c r="N205" s="40">
        <f>IF(TbRegistrosSaídas[[#This Row],[Data do Caixa Previsto]]="",0,YEAR(TbRegistrosSaídas[[#This Row],[Data do Caixa Previsto]]))</f>
        <v>2019</v>
      </c>
      <c r="O20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6" spans="2:15" x14ac:dyDescent="0.25">
      <c r="B206" s="15">
        <v>43599.508668008042</v>
      </c>
      <c r="C206" s="15">
        <v>43565</v>
      </c>
      <c r="D206" s="15">
        <v>43599.508668008042</v>
      </c>
      <c r="E206" t="s">
        <v>43</v>
      </c>
      <c r="F206" t="s">
        <v>44</v>
      </c>
      <c r="G206" s="13" t="s">
        <v>485</v>
      </c>
      <c r="H206" s="16">
        <v>3889</v>
      </c>
      <c r="I206">
        <f>IF(TbRegistrosSaídas[[#This Row],[Data do Caixa Realizado]]="",0,MONTH(TbRegistrosSaídas[[#This Row],[Data do Caixa Realizado]]))</f>
        <v>5</v>
      </c>
      <c r="J206">
        <f>IF(TbRegistrosSaídas[[#This Row],[Data do Caixa Realizado]]="",0,YEAR(TbRegistrosSaídas[[#This Row],[Data do Caixa Realizado]]))</f>
        <v>2019</v>
      </c>
      <c r="K206">
        <f>IF(TbRegistrosSaídas[[#This Row],[Data da Competência]]="",0,MONTH(TbRegistrosSaídas[[#This Row],[Data da Competência]]))</f>
        <v>4</v>
      </c>
      <c r="L206">
        <f>IF(TbRegistrosSaídas[[#This Row],[Data da Competência]]="",0,YEAR(TbRegistrosSaídas[[#This Row],[Data da Competência]]))</f>
        <v>2019</v>
      </c>
      <c r="M206" s="40">
        <f>IF(TbRegistrosSaídas[[#This Row],[Data do Caixa Previsto]]="",0,MONTH(TbRegistrosSaídas[[#This Row],[Data do Caixa Previsto]]))</f>
        <v>5</v>
      </c>
      <c r="N206" s="40">
        <f>IF(TbRegistrosSaídas[[#This Row],[Data do Caixa Previsto]]="",0,YEAR(TbRegistrosSaídas[[#This Row],[Data do Caixa Previsto]]))</f>
        <v>2019</v>
      </c>
      <c r="O20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7" spans="2:15" x14ac:dyDescent="0.25">
      <c r="B207" s="15">
        <v>43584.569223583399</v>
      </c>
      <c r="C207" s="15">
        <v>43569</v>
      </c>
      <c r="D207" s="15">
        <v>43584.569223583399</v>
      </c>
      <c r="E207" t="s">
        <v>43</v>
      </c>
      <c r="F207" t="s">
        <v>44</v>
      </c>
      <c r="G207" s="13" t="s">
        <v>486</v>
      </c>
      <c r="H207" s="16">
        <v>2303</v>
      </c>
      <c r="I207">
        <f>IF(TbRegistrosSaídas[[#This Row],[Data do Caixa Realizado]]="",0,MONTH(TbRegistrosSaídas[[#This Row],[Data do Caixa Realizado]]))</f>
        <v>4</v>
      </c>
      <c r="J207">
        <f>IF(TbRegistrosSaídas[[#This Row],[Data do Caixa Realizado]]="",0,YEAR(TbRegistrosSaídas[[#This Row],[Data do Caixa Realizado]]))</f>
        <v>2019</v>
      </c>
      <c r="K207">
        <f>IF(TbRegistrosSaídas[[#This Row],[Data da Competência]]="",0,MONTH(TbRegistrosSaídas[[#This Row],[Data da Competência]]))</f>
        <v>4</v>
      </c>
      <c r="L207">
        <f>IF(TbRegistrosSaídas[[#This Row],[Data da Competência]]="",0,YEAR(TbRegistrosSaídas[[#This Row],[Data da Competência]]))</f>
        <v>2019</v>
      </c>
      <c r="M207" s="40">
        <f>IF(TbRegistrosSaídas[[#This Row],[Data do Caixa Previsto]]="",0,MONTH(TbRegistrosSaídas[[#This Row],[Data do Caixa Previsto]]))</f>
        <v>4</v>
      </c>
      <c r="N207" s="40">
        <f>IF(TbRegistrosSaídas[[#This Row],[Data do Caixa Previsto]]="",0,YEAR(TbRegistrosSaídas[[#This Row],[Data do Caixa Previsto]]))</f>
        <v>2019</v>
      </c>
      <c r="O20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8" spans="2:15" x14ac:dyDescent="0.25">
      <c r="B208" s="15">
        <v>43604.655561438565</v>
      </c>
      <c r="C208" s="15">
        <v>43572</v>
      </c>
      <c r="D208" s="15">
        <v>43604.655561438565</v>
      </c>
      <c r="E208" t="s">
        <v>43</v>
      </c>
      <c r="F208" t="s">
        <v>31</v>
      </c>
      <c r="G208" s="13" t="s">
        <v>487</v>
      </c>
      <c r="H208" s="16">
        <v>802</v>
      </c>
      <c r="I208">
        <f>IF(TbRegistrosSaídas[[#This Row],[Data do Caixa Realizado]]="",0,MONTH(TbRegistrosSaídas[[#This Row],[Data do Caixa Realizado]]))</f>
        <v>5</v>
      </c>
      <c r="J208">
        <f>IF(TbRegistrosSaídas[[#This Row],[Data do Caixa Realizado]]="",0,YEAR(TbRegistrosSaídas[[#This Row],[Data do Caixa Realizado]]))</f>
        <v>2019</v>
      </c>
      <c r="K208">
        <f>IF(TbRegistrosSaídas[[#This Row],[Data da Competência]]="",0,MONTH(TbRegistrosSaídas[[#This Row],[Data da Competência]]))</f>
        <v>4</v>
      </c>
      <c r="L208">
        <f>IF(TbRegistrosSaídas[[#This Row],[Data da Competência]]="",0,YEAR(TbRegistrosSaídas[[#This Row],[Data da Competência]]))</f>
        <v>2019</v>
      </c>
      <c r="M208" s="40">
        <f>IF(TbRegistrosSaídas[[#This Row],[Data do Caixa Previsto]]="",0,MONTH(TbRegistrosSaídas[[#This Row],[Data do Caixa Previsto]]))</f>
        <v>5</v>
      </c>
      <c r="N208" s="40">
        <f>IF(TbRegistrosSaídas[[#This Row],[Data do Caixa Previsto]]="",0,YEAR(TbRegistrosSaídas[[#This Row],[Data do Caixa Previsto]]))</f>
        <v>2019</v>
      </c>
      <c r="O20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09" spans="2:15" x14ac:dyDescent="0.25">
      <c r="B209" s="15">
        <v>43589.233184767916</v>
      </c>
      <c r="C209" s="15">
        <v>43574</v>
      </c>
      <c r="D209" s="15">
        <v>43589.233184767916</v>
      </c>
      <c r="E209" t="s">
        <v>43</v>
      </c>
      <c r="F209" t="s">
        <v>44</v>
      </c>
      <c r="G209" s="13" t="s">
        <v>488</v>
      </c>
      <c r="H209" s="16">
        <v>4513</v>
      </c>
      <c r="I209">
        <f>IF(TbRegistrosSaídas[[#This Row],[Data do Caixa Realizado]]="",0,MONTH(TbRegistrosSaídas[[#This Row],[Data do Caixa Realizado]]))</f>
        <v>5</v>
      </c>
      <c r="J209">
        <f>IF(TbRegistrosSaídas[[#This Row],[Data do Caixa Realizado]]="",0,YEAR(TbRegistrosSaídas[[#This Row],[Data do Caixa Realizado]]))</f>
        <v>2019</v>
      </c>
      <c r="K209">
        <f>IF(TbRegistrosSaídas[[#This Row],[Data da Competência]]="",0,MONTH(TbRegistrosSaídas[[#This Row],[Data da Competência]]))</f>
        <v>4</v>
      </c>
      <c r="L209">
        <f>IF(TbRegistrosSaídas[[#This Row],[Data da Competência]]="",0,YEAR(TbRegistrosSaídas[[#This Row],[Data da Competência]]))</f>
        <v>2019</v>
      </c>
      <c r="M209" s="40">
        <f>IF(TbRegistrosSaídas[[#This Row],[Data do Caixa Previsto]]="",0,MONTH(TbRegistrosSaídas[[#This Row],[Data do Caixa Previsto]]))</f>
        <v>5</v>
      </c>
      <c r="N209" s="40">
        <f>IF(TbRegistrosSaídas[[#This Row],[Data do Caixa Previsto]]="",0,YEAR(TbRegistrosSaídas[[#This Row],[Data do Caixa Previsto]]))</f>
        <v>2019</v>
      </c>
      <c r="O20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0" spans="2:15" x14ac:dyDescent="0.25">
      <c r="B210" s="15">
        <v>43586.8659361682</v>
      </c>
      <c r="C210" s="15">
        <v>43576</v>
      </c>
      <c r="D210" s="15">
        <v>43586.8659361682</v>
      </c>
      <c r="E210" t="s">
        <v>43</v>
      </c>
      <c r="F210" t="s">
        <v>44</v>
      </c>
      <c r="G210" s="13" t="s">
        <v>489</v>
      </c>
      <c r="H210" s="16">
        <v>3908</v>
      </c>
      <c r="I210">
        <f>IF(TbRegistrosSaídas[[#This Row],[Data do Caixa Realizado]]="",0,MONTH(TbRegistrosSaídas[[#This Row],[Data do Caixa Realizado]]))</f>
        <v>5</v>
      </c>
      <c r="J210">
        <f>IF(TbRegistrosSaídas[[#This Row],[Data do Caixa Realizado]]="",0,YEAR(TbRegistrosSaídas[[#This Row],[Data do Caixa Realizado]]))</f>
        <v>2019</v>
      </c>
      <c r="K210">
        <f>IF(TbRegistrosSaídas[[#This Row],[Data da Competência]]="",0,MONTH(TbRegistrosSaídas[[#This Row],[Data da Competência]]))</f>
        <v>4</v>
      </c>
      <c r="L210">
        <f>IF(TbRegistrosSaídas[[#This Row],[Data da Competência]]="",0,YEAR(TbRegistrosSaídas[[#This Row],[Data da Competência]]))</f>
        <v>2019</v>
      </c>
      <c r="M210" s="40">
        <f>IF(TbRegistrosSaídas[[#This Row],[Data do Caixa Previsto]]="",0,MONTH(TbRegistrosSaídas[[#This Row],[Data do Caixa Previsto]]))</f>
        <v>5</v>
      </c>
      <c r="N210" s="40">
        <f>IF(TbRegistrosSaídas[[#This Row],[Data do Caixa Previsto]]="",0,YEAR(TbRegistrosSaídas[[#This Row],[Data do Caixa Previsto]]))</f>
        <v>2019</v>
      </c>
      <c r="O21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1" spans="2:15" x14ac:dyDescent="0.25">
      <c r="B211" s="15">
        <v>43641.890700157783</v>
      </c>
      <c r="C211" s="15">
        <v>43580</v>
      </c>
      <c r="D211" s="15">
        <v>43635.027119606828</v>
      </c>
      <c r="E211" t="s">
        <v>43</v>
      </c>
      <c r="F211" t="s">
        <v>44</v>
      </c>
      <c r="G211" s="13" t="s">
        <v>490</v>
      </c>
      <c r="H211" s="16">
        <v>156</v>
      </c>
      <c r="I211">
        <f>IF(TbRegistrosSaídas[[#This Row],[Data do Caixa Realizado]]="",0,MONTH(TbRegistrosSaídas[[#This Row],[Data do Caixa Realizado]]))</f>
        <v>6</v>
      </c>
      <c r="J211">
        <f>IF(TbRegistrosSaídas[[#This Row],[Data do Caixa Realizado]]="",0,YEAR(TbRegistrosSaídas[[#This Row],[Data do Caixa Realizado]]))</f>
        <v>2019</v>
      </c>
      <c r="K211">
        <f>IF(TbRegistrosSaídas[[#This Row],[Data da Competência]]="",0,MONTH(TbRegistrosSaídas[[#This Row],[Data da Competência]]))</f>
        <v>4</v>
      </c>
      <c r="L211">
        <f>IF(TbRegistrosSaídas[[#This Row],[Data da Competência]]="",0,YEAR(TbRegistrosSaídas[[#This Row],[Data da Competência]]))</f>
        <v>2019</v>
      </c>
      <c r="M211" s="40">
        <f>IF(TbRegistrosSaídas[[#This Row],[Data do Caixa Previsto]]="",0,MONTH(TbRegistrosSaídas[[#This Row],[Data do Caixa Previsto]]))</f>
        <v>6</v>
      </c>
      <c r="N211" s="40">
        <f>IF(TbRegistrosSaídas[[#This Row],[Data do Caixa Previsto]]="",0,YEAR(TbRegistrosSaídas[[#This Row],[Data do Caixa Previsto]]))</f>
        <v>2019</v>
      </c>
      <c r="O21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6.8635805509547936</v>
      </c>
    </row>
    <row r="212" spans="2:15" x14ac:dyDescent="0.25">
      <c r="B212" s="15">
        <v>43622.113483825102</v>
      </c>
      <c r="C212" s="15">
        <v>43582</v>
      </c>
      <c r="D212" s="15">
        <v>43622.113483825102</v>
      </c>
      <c r="E212" t="s">
        <v>43</v>
      </c>
      <c r="F212" t="s">
        <v>31</v>
      </c>
      <c r="G212" s="13" t="s">
        <v>491</v>
      </c>
      <c r="H212" s="16">
        <v>457</v>
      </c>
      <c r="I212">
        <f>IF(TbRegistrosSaídas[[#This Row],[Data do Caixa Realizado]]="",0,MONTH(TbRegistrosSaídas[[#This Row],[Data do Caixa Realizado]]))</f>
        <v>6</v>
      </c>
      <c r="J212">
        <f>IF(TbRegistrosSaídas[[#This Row],[Data do Caixa Realizado]]="",0,YEAR(TbRegistrosSaídas[[#This Row],[Data do Caixa Realizado]]))</f>
        <v>2019</v>
      </c>
      <c r="K212">
        <f>IF(TbRegistrosSaídas[[#This Row],[Data da Competência]]="",0,MONTH(TbRegistrosSaídas[[#This Row],[Data da Competência]]))</f>
        <v>4</v>
      </c>
      <c r="L212">
        <f>IF(TbRegistrosSaídas[[#This Row],[Data da Competência]]="",0,YEAR(TbRegistrosSaídas[[#This Row],[Data da Competência]]))</f>
        <v>2019</v>
      </c>
      <c r="M212" s="40">
        <f>IF(TbRegistrosSaídas[[#This Row],[Data do Caixa Previsto]]="",0,MONTH(TbRegistrosSaídas[[#This Row],[Data do Caixa Previsto]]))</f>
        <v>6</v>
      </c>
      <c r="N212" s="40">
        <f>IF(TbRegistrosSaídas[[#This Row],[Data do Caixa Previsto]]="",0,YEAR(TbRegistrosSaídas[[#This Row],[Data do Caixa Previsto]]))</f>
        <v>2019</v>
      </c>
      <c r="O21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3" spans="2:15" x14ac:dyDescent="0.25">
      <c r="B213" s="15">
        <v>43624.026611669258</v>
      </c>
      <c r="C213" s="15">
        <v>43588</v>
      </c>
      <c r="D213" s="15">
        <v>43624.026611669258</v>
      </c>
      <c r="E213" t="s">
        <v>43</v>
      </c>
      <c r="F213" t="s">
        <v>44</v>
      </c>
      <c r="G213" s="13" t="s">
        <v>492</v>
      </c>
      <c r="H213" s="16">
        <v>3536</v>
      </c>
      <c r="I213">
        <f>IF(TbRegistrosSaídas[[#This Row],[Data do Caixa Realizado]]="",0,MONTH(TbRegistrosSaídas[[#This Row],[Data do Caixa Realizado]]))</f>
        <v>6</v>
      </c>
      <c r="J213">
        <f>IF(TbRegistrosSaídas[[#This Row],[Data do Caixa Realizado]]="",0,YEAR(TbRegistrosSaídas[[#This Row],[Data do Caixa Realizado]]))</f>
        <v>2019</v>
      </c>
      <c r="K213">
        <f>IF(TbRegistrosSaídas[[#This Row],[Data da Competência]]="",0,MONTH(TbRegistrosSaídas[[#This Row],[Data da Competência]]))</f>
        <v>5</v>
      </c>
      <c r="L213">
        <f>IF(TbRegistrosSaídas[[#This Row],[Data da Competência]]="",0,YEAR(TbRegistrosSaídas[[#This Row],[Data da Competência]]))</f>
        <v>2019</v>
      </c>
      <c r="M213" s="40">
        <f>IF(TbRegistrosSaídas[[#This Row],[Data do Caixa Previsto]]="",0,MONTH(TbRegistrosSaídas[[#This Row],[Data do Caixa Previsto]]))</f>
        <v>6</v>
      </c>
      <c r="N213" s="40">
        <f>IF(TbRegistrosSaídas[[#This Row],[Data do Caixa Previsto]]="",0,YEAR(TbRegistrosSaídas[[#This Row],[Data do Caixa Previsto]]))</f>
        <v>2019</v>
      </c>
      <c r="O21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4" spans="2:15" x14ac:dyDescent="0.25">
      <c r="B214" s="15">
        <v>43595.700139752473</v>
      </c>
      <c r="C214" s="15">
        <v>43590</v>
      </c>
      <c r="D214" s="15">
        <v>43595.700139752473</v>
      </c>
      <c r="E214" t="s">
        <v>43</v>
      </c>
      <c r="F214" t="s">
        <v>44</v>
      </c>
      <c r="G214" s="13" t="s">
        <v>493</v>
      </c>
      <c r="H214" s="16">
        <v>1809</v>
      </c>
      <c r="I214">
        <f>IF(TbRegistrosSaídas[[#This Row],[Data do Caixa Realizado]]="",0,MONTH(TbRegistrosSaídas[[#This Row],[Data do Caixa Realizado]]))</f>
        <v>5</v>
      </c>
      <c r="J214">
        <f>IF(TbRegistrosSaídas[[#This Row],[Data do Caixa Realizado]]="",0,YEAR(TbRegistrosSaídas[[#This Row],[Data do Caixa Realizado]]))</f>
        <v>2019</v>
      </c>
      <c r="K214">
        <f>IF(TbRegistrosSaídas[[#This Row],[Data da Competência]]="",0,MONTH(TbRegistrosSaídas[[#This Row],[Data da Competência]]))</f>
        <v>5</v>
      </c>
      <c r="L214">
        <f>IF(TbRegistrosSaídas[[#This Row],[Data da Competência]]="",0,YEAR(TbRegistrosSaídas[[#This Row],[Data da Competência]]))</f>
        <v>2019</v>
      </c>
      <c r="M214" s="40">
        <f>IF(TbRegistrosSaídas[[#This Row],[Data do Caixa Previsto]]="",0,MONTH(TbRegistrosSaídas[[#This Row],[Data do Caixa Previsto]]))</f>
        <v>5</v>
      </c>
      <c r="N214" s="40">
        <f>IF(TbRegistrosSaídas[[#This Row],[Data do Caixa Previsto]]="",0,YEAR(TbRegistrosSaídas[[#This Row],[Data do Caixa Previsto]]))</f>
        <v>2019</v>
      </c>
      <c r="O21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5" spans="2:15" x14ac:dyDescent="0.25">
      <c r="B215" s="15">
        <v>43613.712962366597</v>
      </c>
      <c r="C215" s="15">
        <v>43591</v>
      </c>
      <c r="D215" s="15">
        <v>43613.712962366597</v>
      </c>
      <c r="E215" t="s">
        <v>43</v>
      </c>
      <c r="F215" t="s">
        <v>31</v>
      </c>
      <c r="G215" s="13" t="s">
        <v>494</v>
      </c>
      <c r="H215" s="16">
        <v>4172</v>
      </c>
      <c r="I215">
        <f>IF(TbRegistrosSaídas[[#This Row],[Data do Caixa Realizado]]="",0,MONTH(TbRegistrosSaídas[[#This Row],[Data do Caixa Realizado]]))</f>
        <v>5</v>
      </c>
      <c r="J215">
        <f>IF(TbRegistrosSaídas[[#This Row],[Data do Caixa Realizado]]="",0,YEAR(TbRegistrosSaídas[[#This Row],[Data do Caixa Realizado]]))</f>
        <v>2019</v>
      </c>
      <c r="K215">
        <f>IF(TbRegistrosSaídas[[#This Row],[Data da Competência]]="",0,MONTH(TbRegistrosSaídas[[#This Row],[Data da Competência]]))</f>
        <v>5</v>
      </c>
      <c r="L215">
        <f>IF(TbRegistrosSaídas[[#This Row],[Data da Competência]]="",0,YEAR(TbRegistrosSaídas[[#This Row],[Data da Competência]]))</f>
        <v>2019</v>
      </c>
      <c r="M215" s="40">
        <f>IF(TbRegistrosSaídas[[#This Row],[Data do Caixa Previsto]]="",0,MONTH(TbRegistrosSaídas[[#This Row],[Data do Caixa Previsto]]))</f>
        <v>5</v>
      </c>
      <c r="N215" s="40">
        <f>IF(TbRegistrosSaídas[[#This Row],[Data do Caixa Previsto]]="",0,YEAR(TbRegistrosSaídas[[#This Row],[Data do Caixa Previsto]]))</f>
        <v>2019</v>
      </c>
      <c r="O21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6" spans="2:15" x14ac:dyDescent="0.25">
      <c r="B216" s="15">
        <v>43623.498752151929</v>
      </c>
      <c r="C216" s="15">
        <v>43592</v>
      </c>
      <c r="D216" s="15">
        <v>43623.498752151929</v>
      </c>
      <c r="E216" t="s">
        <v>43</v>
      </c>
      <c r="F216" t="s">
        <v>31</v>
      </c>
      <c r="G216" s="13" t="s">
        <v>495</v>
      </c>
      <c r="H216" s="16">
        <v>3827</v>
      </c>
      <c r="I216">
        <f>IF(TbRegistrosSaídas[[#This Row],[Data do Caixa Realizado]]="",0,MONTH(TbRegistrosSaídas[[#This Row],[Data do Caixa Realizado]]))</f>
        <v>6</v>
      </c>
      <c r="J216">
        <f>IF(TbRegistrosSaídas[[#This Row],[Data do Caixa Realizado]]="",0,YEAR(TbRegistrosSaídas[[#This Row],[Data do Caixa Realizado]]))</f>
        <v>2019</v>
      </c>
      <c r="K216">
        <f>IF(TbRegistrosSaídas[[#This Row],[Data da Competência]]="",0,MONTH(TbRegistrosSaídas[[#This Row],[Data da Competência]]))</f>
        <v>5</v>
      </c>
      <c r="L216">
        <f>IF(TbRegistrosSaídas[[#This Row],[Data da Competência]]="",0,YEAR(TbRegistrosSaídas[[#This Row],[Data da Competência]]))</f>
        <v>2019</v>
      </c>
      <c r="M216" s="40">
        <f>IF(TbRegistrosSaídas[[#This Row],[Data do Caixa Previsto]]="",0,MONTH(TbRegistrosSaídas[[#This Row],[Data do Caixa Previsto]]))</f>
        <v>6</v>
      </c>
      <c r="N216" s="40">
        <f>IF(TbRegistrosSaídas[[#This Row],[Data do Caixa Previsto]]="",0,YEAR(TbRegistrosSaídas[[#This Row],[Data do Caixa Previsto]]))</f>
        <v>2019</v>
      </c>
      <c r="O21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7" spans="2:15" x14ac:dyDescent="0.25">
      <c r="B217" s="15">
        <v>43732.354485773343</v>
      </c>
      <c r="C217" s="15">
        <v>43594</v>
      </c>
      <c r="D217" s="15">
        <v>43645.188079108193</v>
      </c>
      <c r="E217" t="s">
        <v>43</v>
      </c>
      <c r="F217" t="s">
        <v>31</v>
      </c>
      <c r="G217" s="13" t="s">
        <v>496</v>
      </c>
      <c r="H217" s="16">
        <v>1700</v>
      </c>
      <c r="I217">
        <f>IF(TbRegistrosSaídas[[#This Row],[Data do Caixa Realizado]]="",0,MONTH(TbRegistrosSaídas[[#This Row],[Data do Caixa Realizado]]))</f>
        <v>9</v>
      </c>
      <c r="J217">
        <f>IF(TbRegistrosSaídas[[#This Row],[Data do Caixa Realizado]]="",0,YEAR(TbRegistrosSaídas[[#This Row],[Data do Caixa Realizado]]))</f>
        <v>2019</v>
      </c>
      <c r="K217">
        <f>IF(TbRegistrosSaídas[[#This Row],[Data da Competência]]="",0,MONTH(TbRegistrosSaídas[[#This Row],[Data da Competência]]))</f>
        <v>5</v>
      </c>
      <c r="L217">
        <f>IF(TbRegistrosSaídas[[#This Row],[Data da Competência]]="",0,YEAR(TbRegistrosSaídas[[#This Row],[Data da Competência]]))</f>
        <v>2019</v>
      </c>
      <c r="M217" s="40">
        <f>IF(TbRegistrosSaídas[[#This Row],[Data do Caixa Previsto]]="",0,MONTH(TbRegistrosSaídas[[#This Row],[Data do Caixa Previsto]]))</f>
        <v>6</v>
      </c>
      <c r="N217" s="40">
        <f>IF(TbRegistrosSaídas[[#This Row],[Data do Caixa Previsto]]="",0,YEAR(TbRegistrosSaídas[[#This Row],[Data do Caixa Previsto]]))</f>
        <v>2019</v>
      </c>
      <c r="O21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87.166406665150134</v>
      </c>
    </row>
    <row r="218" spans="2:15" x14ac:dyDescent="0.25">
      <c r="B218" s="15">
        <v>43614.76373708652</v>
      </c>
      <c r="C218" s="15">
        <v>43595</v>
      </c>
      <c r="D218" s="15">
        <v>43614.76373708652</v>
      </c>
      <c r="E218" t="s">
        <v>43</v>
      </c>
      <c r="F218" t="s">
        <v>31</v>
      </c>
      <c r="G218" s="13" t="s">
        <v>497</v>
      </c>
      <c r="H218" s="16">
        <v>2090</v>
      </c>
      <c r="I218">
        <f>IF(TbRegistrosSaídas[[#This Row],[Data do Caixa Realizado]]="",0,MONTH(TbRegistrosSaídas[[#This Row],[Data do Caixa Realizado]]))</f>
        <v>5</v>
      </c>
      <c r="J218">
        <f>IF(TbRegistrosSaídas[[#This Row],[Data do Caixa Realizado]]="",0,YEAR(TbRegistrosSaídas[[#This Row],[Data do Caixa Realizado]]))</f>
        <v>2019</v>
      </c>
      <c r="K218">
        <f>IF(TbRegistrosSaídas[[#This Row],[Data da Competência]]="",0,MONTH(TbRegistrosSaídas[[#This Row],[Data da Competência]]))</f>
        <v>5</v>
      </c>
      <c r="L218">
        <f>IF(TbRegistrosSaídas[[#This Row],[Data da Competência]]="",0,YEAR(TbRegistrosSaídas[[#This Row],[Data da Competência]]))</f>
        <v>2019</v>
      </c>
      <c r="M218" s="40">
        <f>IF(TbRegistrosSaídas[[#This Row],[Data do Caixa Previsto]]="",0,MONTH(TbRegistrosSaídas[[#This Row],[Data do Caixa Previsto]]))</f>
        <v>5</v>
      </c>
      <c r="N218" s="40">
        <f>IF(TbRegistrosSaídas[[#This Row],[Data do Caixa Previsto]]="",0,YEAR(TbRegistrosSaídas[[#This Row],[Data do Caixa Previsto]]))</f>
        <v>2019</v>
      </c>
      <c r="O21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19" spans="2:15" x14ac:dyDescent="0.25">
      <c r="B219" s="15">
        <v>43602.13448735002</v>
      </c>
      <c r="C219" s="15">
        <v>43598</v>
      </c>
      <c r="D219" s="15">
        <v>43602.13448735002</v>
      </c>
      <c r="E219" t="s">
        <v>43</v>
      </c>
      <c r="F219" t="s">
        <v>34</v>
      </c>
      <c r="G219" s="13" t="s">
        <v>498</v>
      </c>
      <c r="H219" s="16">
        <v>3230</v>
      </c>
      <c r="I219">
        <f>IF(TbRegistrosSaídas[[#This Row],[Data do Caixa Realizado]]="",0,MONTH(TbRegistrosSaídas[[#This Row],[Data do Caixa Realizado]]))</f>
        <v>5</v>
      </c>
      <c r="J219">
        <f>IF(TbRegistrosSaídas[[#This Row],[Data do Caixa Realizado]]="",0,YEAR(TbRegistrosSaídas[[#This Row],[Data do Caixa Realizado]]))</f>
        <v>2019</v>
      </c>
      <c r="K219">
        <f>IF(TbRegistrosSaídas[[#This Row],[Data da Competência]]="",0,MONTH(TbRegistrosSaídas[[#This Row],[Data da Competência]]))</f>
        <v>5</v>
      </c>
      <c r="L219">
        <f>IF(TbRegistrosSaídas[[#This Row],[Data da Competência]]="",0,YEAR(TbRegistrosSaídas[[#This Row],[Data da Competência]]))</f>
        <v>2019</v>
      </c>
      <c r="M219" s="40">
        <f>IF(TbRegistrosSaídas[[#This Row],[Data do Caixa Previsto]]="",0,MONTH(TbRegistrosSaídas[[#This Row],[Data do Caixa Previsto]]))</f>
        <v>5</v>
      </c>
      <c r="N219" s="40">
        <f>IF(TbRegistrosSaídas[[#This Row],[Data do Caixa Previsto]]="",0,YEAR(TbRegistrosSaídas[[#This Row],[Data do Caixa Previsto]]))</f>
        <v>2019</v>
      </c>
      <c r="O21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20" spans="2:15" x14ac:dyDescent="0.25">
      <c r="B220" s="15">
        <v>43618.94333879678</v>
      </c>
      <c r="C220" s="15">
        <v>43601</v>
      </c>
      <c r="D220" s="15">
        <v>43618.94333879678</v>
      </c>
      <c r="E220" t="s">
        <v>43</v>
      </c>
      <c r="F220" t="s">
        <v>44</v>
      </c>
      <c r="G220" s="13" t="s">
        <v>499</v>
      </c>
      <c r="H220" s="16">
        <v>4030</v>
      </c>
      <c r="I220">
        <f>IF(TbRegistrosSaídas[[#This Row],[Data do Caixa Realizado]]="",0,MONTH(TbRegistrosSaídas[[#This Row],[Data do Caixa Realizado]]))</f>
        <v>6</v>
      </c>
      <c r="J220">
        <f>IF(TbRegistrosSaídas[[#This Row],[Data do Caixa Realizado]]="",0,YEAR(TbRegistrosSaídas[[#This Row],[Data do Caixa Realizado]]))</f>
        <v>2019</v>
      </c>
      <c r="K220">
        <f>IF(TbRegistrosSaídas[[#This Row],[Data da Competência]]="",0,MONTH(TbRegistrosSaídas[[#This Row],[Data da Competência]]))</f>
        <v>5</v>
      </c>
      <c r="L220">
        <f>IF(TbRegistrosSaídas[[#This Row],[Data da Competência]]="",0,YEAR(TbRegistrosSaídas[[#This Row],[Data da Competência]]))</f>
        <v>2019</v>
      </c>
      <c r="M220" s="40">
        <f>IF(TbRegistrosSaídas[[#This Row],[Data do Caixa Previsto]]="",0,MONTH(TbRegistrosSaídas[[#This Row],[Data do Caixa Previsto]]))</f>
        <v>6</v>
      </c>
      <c r="N220" s="40">
        <f>IF(TbRegistrosSaídas[[#This Row],[Data do Caixa Previsto]]="",0,YEAR(TbRegistrosSaídas[[#This Row],[Data do Caixa Previsto]]))</f>
        <v>2019</v>
      </c>
      <c r="O22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21" spans="2:15" x14ac:dyDescent="0.25">
      <c r="B221" s="15">
        <v>43703.895777057623</v>
      </c>
      <c r="C221" s="15">
        <v>43604</v>
      </c>
      <c r="D221" s="15">
        <v>43615.96984606648</v>
      </c>
      <c r="E221" t="s">
        <v>43</v>
      </c>
      <c r="F221" t="s">
        <v>34</v>
      </c>
      <c r="G221" s="13" t="s">
        <v>500</v>
      </c>
      <c r="H221" s="16">
        <v>1367</v>
      </c>
      <c r="I221">
        <f>IF(TbRegistrosSaídas[[#This Row],[Data do Caixa Realizado]]="",0,MONTH(TbRegistrosSaídas[[#This Row],[Data do Caixa Realizado]]))</f>
        <v>8</v>
      </c>
      <c r="J221">
        <f>IF(TbRegistrosSaídas[[#This Row],[Data do Caixa Realizado]]="",0,YEAR(TbRegistrosSaídas[[#This Row],[Data do Caixa Realizado]]))</f>
        <v>2019</v>
      </c>
      <c r="K221">
        <f>IF(TbRegistrosSaídas[[#This Row],[Data da Competência]]="",0,MONTH(TbRegistrosSaídas[[#This Row],[Data da Competência]]))</f>
        <v>5</v>
      </c>
      <c r="L221">
        <f>IF(TbRegistrosSaídas[[#This Row],[Data da Competência]]="",0,YEAR(TbRegistrosSaídas[[#This Row],[Data da Competência]]))</f>
        <v>2019</v>
      </c>
      <c r="M221" s="40">
        <f>IF(TbRegistrosSaídas[[#This Row],[Data do Caixa Previsto]]="",0,MONTH(TbRegistrosSaídas[[#This Row],[Data do Caixa Previsto]]))</f>
        <v>5</v>
      </c>
      <c r="N221" s="40">
        <f>IF(TbRegistrosSaídas[[#This Row],[Data do Caixa Previsto]]="",0,YEAR(TbRegistrosSaídas[[#This Row],[Data do Caixa Previsto]]))</f>
        <v>2019</v>
      </c>
      <c r="O22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87.925930991143105</v>
      </c>
    </row>
    <row r="222" spans="2:15" x14ac:dyDescent="0.25">
      <c r="B222" s="15">
        <v>43626.228578403905</v>
      </c>
      <c r="C222" s="15">
        <v>43607</v>
      </c>
      <c r="D222" s="15">
        <v>43626.228578403905</v>
      </c>
      <c r="E222" t="s">
        <v>43</v>
      </c>
      <c r="F222" t="s">
        <v>44</v>
      </c>
      <c r="G222" s="13" t="s">
        <v>501</v>
      </c>
      <c r="H222" s="16">
        <v>3945</v>
      </c>
      <c r="I222">
        <f>IF(TbRegistrosSaídas[[#This Row],[Data do Caixa Realizado]]="",0,MONTH(TbRegistrosSaídas[[#This Row],[Data do Caixa Realizado]]))</f>
        <v>6</v>
      </c>
      <c r="J222">
        <f>IF(TbRegistrosSaídas[[#This Row],[Data do Caixa Realizado]]="",0,YEAR(TbRegistrosSaídas[[#This Row],[Data do Caixa Realizado]]))</f>
        <v>2019</v>
      </c>
      <c r="K222">
        <f>IF(TbRegistrosSaídas[[#This Row],[Data da Competência]]="",0,MONTH(TbRegistrosSaídas[[#This Row],[Data da Competência]]))</f>
        <v>5</v>
      </c>
      <c r="L222">
        <f>IF(TbRegistrosSaídas[[#This Row],[Data da Competência]]="",0,YEAR(TbRegistrosSaídas[[#This Row],[Data da Competência]]))</f>
        <v>2019</v>
      </c>
      <c r="M222" s="40">
        <f>IF(TbRegistrosSaídas[[#This Row],[Data do Caixa Previsto]]="",0,MONTH(TbRegistrosSaídas[[#This Row],[Data do Caixa Previsto]]))</f>
        <v>6</v>
      </c>
      <c r="N222" s="40">
        <f>IF(TbRegistrosSaídas[[#This Row],[Data do Caixa Previsto]]="",0,YEAR(TbRegistrosSaídas[[#This Row],[Data do Caixa Previsto]]))</f>
        <v>2019</v>
      </c>
      <c r="O22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23" spans="2:15" x14ac:dyDescent="0.25">
      <c r="B223" s="15">
        <v>43643.772479924686</v>
      </c>
      <c r="C223" s="15">
        <v>43610</v>
      </c>
      <c r="D223" s="15">
        <v>43641.740590364629</v>
      </c>
      <c r="E223" t="s">
        <v>43</v>
      </c>
      <c r="F223" t="s">
        <v>30</v>
      </c>
      <c r="G223" s="13" t="s">
        <v>502</v>
      </c>
      <c r="H223" s="16">
        <v>4518</v>
      </c>
      <c r="I223">
        <f>IF(TbRegistrosSaídas[[#This Row],[Data do Caixa Realizado]]="",0,MONTH(TbRegistrosSaídas[[#This Row],[Data do Caixa Realizado]]))</f>
        <v>6</v>
      </c>
      <c r="J223">
        <f>IF(TbRegistrosSaídas[[#This Row],[Data do Caixa Realizado]]="",0,YEAR(TbRegistrosSaídas[[#This Row],[Data do Caixa Realizado]]))</f>
        <v>2019</v>
      </c>
      <c r="K223">
        <f>IF(TbRegistrosSaídas[[#This Row],[Data da Competência]]="",0,MONTH(TbRegistrosSaídas[[#This Row],[Data da Competência]]))</f>
        <v>5</v>
      </c>
      <c r="L223">
        <f>IF(TbRegistrosSaídas[[#This Row],[Data da Competência]]="",0,YEAR(TbRegistrosSaídas[[#This Row],[Data da Competência]]))</f>
        <v>2019</v>
      </c>
      <c r="M223" s="40">
        <f>IF(TbRegistrosSaídas[[#This Row],[Data do Caixa Previsto]]="",0,MONTH(TbRegistrosSaídas[[#This Row],[Data do Caixa Previsto]]))</f>
        <v>6</v>
      </c>
      <c r="N223" s="40">
        <f>IF(TbRegistrosSaídas[[#This Row],[Data do Caixa Previsto]]="",0,YEAR(TbRegistrosSaídas[[#This Row],[Data do Caixa Previsto]]))</f>
        <v>2019</v>
      </c>
      <c r="O223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2.031889560057607</v>
      </c>
    </row>
    <row r="224" spans="2:15" x14ac:dyDescent="0.25">
      <c r="B224" s="15">
        <v>43673.934978004319</v>
      </c>
      <c r="C224" s="15">
        <v>43614</v>
      </c>
      <c r="D224" s="15">
        <v>43645.508154061761</v>
      </c>
      <c r="E224" t="s">
        <v>43</v>
      </c>
      <c r="F224" t="s">
        <v>44</v>
      </c>
      <c r="G224" s="13" t="s">
        <v>346</v>
      </c>
      <c r="H224" s="16">
        <v>3086</v>
      </c>
      <c r="I224">
        <f>IF(TbRegistrosSaídas[[#This Row],[Data do Caixa Realizado]]="",0,MONTH(TbRegistrosSaídas[[#This Row],[Data do Caixa Realizado]]))</f>
        <v>7</v>
      </c>
      <c r="J224">
        <f>IF(TbRegistrosSaídas[[#This Row],[Data do Caixa Realizado]]="",0,YEAR(TbRegistrosSaídas[[#This Row],[Data do Caixa Realizado]]))</f>
        <v>2019</v>
      </c>
      <c r="K224">
        <f>IF(TbRegistrosSaídas[[#This Row],[Data da Competência]]="",0,MONTH(TbRegistrosSaídas[[#This Row],[Data da Competência]]))</f>
        <v>5</v>
      </c>
      <c r="L224">
        <f>IF(TbRegistrosSaídas[[#This Row],[Data da Competência]]="",0,YEAR(TbRegistrosSaídas[[#This Row],[Data da Competência]]))</f>
        <v>2019</v>
      </c>
      <c r="M224" s="40">
        <f>IF(TbRegistrosSaídas[[#This Row],[Data do Caixa Previsto]]="",0,MONTH(TbRegistrosSaídas[[#This Row],[Data do Caixa Previsto]]))</f>
        <v>6</v>
      </c>
      <c r="N224" s="40">
        <f>IF(TbRegistrosSaídas[[#This Row],[Data do Caixa Previsto]]="",0,YEAR(TbRegistrosSaídas[[#This Row],[Data do Caixa Previsto]]))</f>
        <v>2019</v>
      </c>
      <c r="O224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28.426823942558258</v>
      </c>
    </row>
    <row r="225" spans="2:15" x14ac:dyDescent="0.25">
      <c r="B225" s="15">
        <v>43628.969362987358</v>
      </c>
      <c r="C225" s="15">
        <v>43619</v>
      </c>
      <c r="D225" s="15">
        <v>43628.969362987358</v>
      </c>
      <c r="E225" t="s">
        <v>43</v>
      </c>
      <c r="F225" t="s">
        <v>31</v>
      </c>
      <c r="G225" s="13" t="s">
        <v>503</v>
      </c>
      <c r="H225" s="16">
        <v>297</v>
      </c>
      <c r="I225">
        <f>IF(TbRegistrosSaídas[[#This Row],[Data do Caixa Realizado]]="",0,MONTH(TbRegistrosSaídas[[#This Row],[Data do Caixa Realizado]]))</f>
        <v>6</v>
      </c>
      <c r="J225">
        <f>IF(TbRegistrosSaídas[[#This Row],[Data do Caixa Realizado]]="",0,YEAR(TbRegistrosSaídas[[#This Row],[Data do Caixa Realizado]]))</f>
        <v>2019</v>
      </c>
      <c r="K225">
        <f>IF(TbRegistrosSaídas[[#This Row],[Data da Competência]]="",0,MONTH(TbRegistrosSaídas[[#This Row],[Data da Competência]]))</f>
        <v>6</v>
      </c>
      <c r="L225">
        <f>IF(TbRegistrosSaídas[[#This Row],[Data da Competência]]="",0,YEAR(TbRegistrosSaídas[[#This Row],[Data da Competência]]))</f>
        <v>2019</v>
      </c>
      <c r="M225" s="40">
        <f>IF(TbRegistrosSaídas[[#This Row],[Data do Caixa Previsto]]="",0,MONTH(TbRegistrosSaídas[[#This Row],[Data do Caixa Previsto]]))</f>
        <v>6</v>
      </c>
      <c r="N225" s="40">
        <f>IF(TbRegistrosSaídas[[#This Row],[Data do Caixa Previsto]]="",0,YEAR(TbRegistrosSaídas[[#This Row],[Data do Caixa Previsto]]))</f>
        <v>2019</v>
      </c>
      <c r="O225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26" spans="2:15" x14ac:dyDescent="0.25">
      <c r="B226" s="15">
        <v>43639.192651531121</v>
      </c>
      <c r="C226" s="15">
        <v>43623</v>
      </c>
      <c r="D226" s="15">
        <v>43639.192651531121</v>
      </c>
      <c r="E226" t="s">
        <v>43</v>
      </c>
      <c r="F226" t="s">
        <v>34</v>
      </c>
      <c r="G226" s="13" t="s">
        <v>504</v>
      </c>
      <c r="H226" s="16">
        <v>3226</v>
      </c>
      <c r="I226">
        <f>IF(TbRegistrosSaídas[[#This Row],[Data do Caixa Realizado]]="",0,MONTH(TbRegistrosSaídas[[#This Row],[Data do Caixa Realizado]]))</f>
        <v>6</v>
      </c>
      <c r="J226">
        <f>IF(TbRegistrosSaídas[[#This Row],[Data do Caixa Realizado]]="",0,YEAR(TbRegistrosSaídas[[#This Row],[Data do Caixa Realizado]]))</f>
        <v>2019</v>
      </c>
      <c r="K226">
        <f>IF(TbRegistrosSaídas[[#This Row],[Data da Competência]]="",0,MONTH(TbRegistrosSaídas[[#This Row],[Data da Competência]]))</f>
        <v>6</v>
      </c>
      <c r="L226">
        <f>IF(TbRegistrosSaídas[[#This Row],[Data da Competência]]="",0,YEAR(TbRegistrosSaídas[[#This Row],[Data da Competência]]))</f>
        <v>2019</v>
      </c>
      <c r="M226" s="40">
        <f>IF(TbRegistrosSaídas[[#This Row],[Data do Caixa Previsto]]="",0,MONTH(TbRegistrosSaídas[[#This Row],[Data do Caixa Previsto]]))</f>
        <v>6</v>
      </c>
      <c r="N226" s="40">
        <f>IF(TbRegistrosSaídas[[#This Row],[Data do Caixa Previsto]]="",0,YEAR(TbRegistrosSaídas[[#This Row],[Data do Caixa Previsto]]))</f>
        <v>2019</v>
      </c>
      <c r="O226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27" spans="2:15" x14ac:dyDescent="0.25">
      <c r="B227" s="15" t="s">
        <v>69</v>
      </c>
      <c r="C227" s="15">
        <v>43625</v>
      </c>
      <c r="D227" s="15">
        <v>43672.670884183579</v>
      </c>
      <c r="E227" t="s">
        <v>43</v>
      </c>
      <c r="F227" t="s">
        <v>44</v>
      </c>
      <c r="G227" s="13" t="s">
        <v>505</v>
      </c>
      <c r="H227" s="16">
        <v>2338</v>
      </c>
      <c r="I227">
        <f>IF(TbRegistrosSaídas[[#This Row],[Data do Caixa Realizado]]="",0,MONTH(TbRegistrosSaídas[[#This Row],[Data do Caixa Realizado]]))</f>
        <v>0</v>
      </c>
      <c r="J227">
        <f>IF(TbRegistrosSaídas[[#This Row],[Data do Caixa Realizado]]="",0,YEAR(TbRegistrosSaídas[[#This Row],[Data do Caixa Realizado]]))</f>
        <v>0</v>
      </c>
      <c r="K227">
        <f>IF(TbRegistrosSaídas[[#This Row],[Data da Competência]]="",0,MONTH(TbRegistrosSaídas[[#This Row],[Data da Competência]]))</f>
        <v>6</v>
      </c>
      <c r="L227">
        <f>IF(TbRegistrosSaídas[[#This Row],[Data da Competência]]="",0,YEAR(TbRegistrosSaídas[[#This Row],[Data da Competência]]))</f>
        <v>2019</v>
      </c>
      <c r="M227" s="40">
        <f>IF(TbRegistrosSaídas[[#This Row],[Data do Caixa Previsto]]="",0,MONTH(TbRegistrosSaídas[[#This Row],[Data do Caixa Previsto]]))</f>
        <v>7</v>
      </c>
      <c r="N227" s="40">
        <f>IF(TbRegistrosSaídas[[#This Row],[Data do Caixa Previsto]]="",0,YEAR(TbRegistrosSaídas[[#This Row],[Data do Caixa Previsto]]))</f>
        <v>2019</v>
      </c>
      <c r="O227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1643.3291158164211</v>
      </c>
    </row>
    <row r="228" spans="2:15" x14ac:dyDescent="0.25">
      <c r="B228" s="15">
        <v>43741.508211497443</v>
      </c>
      <c r="C228" s="15">
        <v>43632</v>
      </c>
      <c r="D228" s="15">
        <v>43664.662454163976</v>
      </c>
      <c r="E228" t="s">
        <v>43</v>
      </c>
      <c r="F228" t="s">
        <v>34</v>
      </c>
      <c r="G228" s="13" t="s">
        <v>506</v>
      </c>
      <c r="H228" s="16">
        <v>3773</v>
      </c>
      <c r="I228">
        <f>IF(TbRegistrosSaídas[[#This Row],[Data do Caixa Realizado]]="",0,MONTH(TbRegistrosSaídas[[#This Row],[Data do Caixa Realizado]]))</f>
        <v>10</v>
      </c>
      <c r="J228">
        <f>IF(TbRegistrosSaídas[[#This Row],[Data do Caixa Realizado]]="",0,YEAR(TbRegistrosSaídas[[#This Row],[Data do Caixa Realizado]]))</f>
        <v>2019</v>
      </c>
      <c r="K228">
        <f>IF(TbRegistrosSaídas[[#This Row],[Data da Competência]]="",0,MONTH(TbRegistrosSaídas[[#This Row],[Data da Competência]]))</f>
        <v>6</v>
      </c>
      <c r="L228">
        <f>IF(TbRegistrosSaídas[[#This Row],[Data da Competência]]="",0,YEAR(TbRegistrosSaídas[[#This Row],[Data da Competência]]))</f>
        <v>2019</v>
      </c>
      <c r="M228" s="40">
        <f>IF(TbRegistrosSaídas[[#This Row],[Data do Caixa Previsto]]="",0,MONTH(TbRegistrosSaídas[[#This Row],[Data do Caixa Previsto]]))</f>
        <v>7</v>
      </c>
      <c r="N228" s="40">
        <f>IF(TbRegistrosSaídas[[#This Row],[Data do Caixa Previsto]]="",0,YEAR(TbRegistrosSaídas[[#This Row],[Data do Caixa Previsto]]))</f>
        <v>2019</v>
      </c>
      <c r="O228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76.845757333467191</v>
      </c>
    </row>
    <row r="229" spans="2:15" x14ac:dyDescent="0.25">
      <c r="B229" s="15" t="s">
        <v>69</v>
      </c>
      <c r="C229" s="15">
        <v>43635</v>
      </c>
      <c r="D229" s="15">
        <v>43686.085509883509</v>
      </c>
      <c r="E229" t="s">
        <v>43</v>
      </c>
      <c r="F229" t="s">
        <v>34</v>
      </c>
      <c r="G229" s="13" t="s">
        <v>507</v>
      </c>
      <c r="H229" s="16">
        <v>2759</v>
      </c>
      <c r="I229">
        <f>IF(TbRegistrosSaídas[[#This Row],[Data do Caixa Realizado]]="",0,MONTH(TbRegistrosSaídas[[#This Row],[Data do Caixa Realizado]]))</f>
        <v>0</v>
      </c>
      <c r="J229">
        <f>IF(TbRegistrosSaídas[[#This Row],[Data do Caixa Realizado]]="",0,YEAR(TbRegistrosSaídas[[#This Row],[Data do Caixa Realizado]]))</f>
        <v>0</v>
      </c>
      <c r="K229">
        <f>IF(TbRegistrosSaídas[[#This Row],[Data da Competência]]="",0,MONTH(TbRegistrosSaídas[[#This Row],[Data da Competência]]))</f>
        <v>6</v>
      </c>
      <c r="L229">
        <f>IF(TbRegistrosSaídas[[#This Row],[Data da Competência]]="",0,YEAR(TbRegistrosSaídas[[#This Row],[Data da Competência]]))</f>
        <v>2019</v>
      </c>
      <c r="M229" s="40">
        <f>IF(TbRegistrosSaídas[[#This Row],[Data do Caixa Previsto]]="",0,MONTH(TbRegistrosSaídas[[#This Row],[Data do Caixa Previsto]]))</f>
        <v>8</v>
      </c>
      <c r="N229" s="40">
        <f>IF(TbRegistrosSaídas[[#This Row],[Data do Caixa Previsto]]="",0,YEAR(TbRegistrosSaídas[[#This Row],[Data do Caixa Previsto]]))</f>
        <v>2019</v>
      </c>
      <c r="O229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1629.9144901164909</v>
      </c>
    </row>
    <row r="230" spans="2:15" x14ac:dyDescent="0.25">
      <c r="B230" s="15">
        <v>43682.520022083132</v>
      </c>
      <c r="C230" s="15">
        <v>43637</v>
      </c>
      <c r="D230" s="15">
        <v>43682.520022083132</v>
      </c>
      <c r="E230" t="s">
        <v>43</v>
      </c>
      <c r="F230" t="s">
        <v>34</v>
      </c>
      <c r="G230" s="13" t="s">
        <v>508</v>
      </c>
      <c r="H230" s="16">
        <v>1425</v>
      </c>
      <c r="I230">
        <f>IF(TbRegistrosSaídas[[#This Row],[Data do Caixa Realizado]]="",0,MONTH(TbRegistrosSaídas[[#This Row],[Data do Caixa Realizado]]))</f>
        <v>8</v>
      </c>
      <c r="J230">
        <f>IF(TbRegistrosSaídas[[#This Row],[Data do Caixa Realizado]]="",0,YEAR(TbRegistrosSaídas[[#This Row],[Data do Caixa Realizado]]))</f>
        <v>2019</v>
      </c>
      <c r="K230">
        <f>IF(TbRegistrosSaídas[[#This Row],[Data da Competência]]="",0,MONTH(TbRegistrosSaídas[[#This Row],[Data da Competência]]))</f>
        <v>6</v>
      </c>
      <c r="L230">
        <f>IF(TbRegistrosSaídas[[#This Row],[Data da Competência]]="",0,YEAR(TbRegistrosSaídas[[#This Row],[Data da Competência]]))</f>
        <v>2019</v>
      </c>
      <c r="M230" s="40">
        <f>IF(TbRegistrosSaídas[[#This Row],[Data do Caixa Previsto]]="",0,MONTH(TbRegistrosSaídas[[#This Row],[Data do Caixa Previsto]]))</f>
        <v>8</v>
      </c>
      <c r="N230" s="40">
        <f>IF(TbRegistrosSaídas[[#This Row],[Data do Caixa Previsto]]="",0,YEAR(TbRegistrosSaídas[[#This Row],[Data do Caixa Previsto]]))</f>
        <v>2019</v>
      </c>
      <c r="O230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31" spans="2:15" x14ac:dyDescent="0.25">
      <c r="B231" s="15">
        <v>43697.929033863591</v>
      </c>
      <c r="C231" s="15">
        <v>43639</v>
      </c>
      <c r="D231" s="15">
        <v>43697.929033863591</v>
      </c>
      <c r="E231" t="s">
        <v>43</v>
      </c>
      <c r="F231" t="s">
        <v>34</v>
      </c>
      <c r="G231" s="13" t="s">
        <v>509</v>
      </c>
      <c r="H231" s="16">
        <v>332</v>
      </c>
      <c r="I231">
        <f>IF(TbRegistrosSaídas[[#This Row],[Data do Caixa Realizado]]="",0,MONTH(TbRegistrosSaídas[[#This Row],[Data do Caixa Realizado]]))</f>
        <v>8</v>
      </c>
      <c r="J231">
        <f>IF(TbRegistrosSaídas[[#This Row],[Data do Caixa Realizado]]="",0,YEAR(TbRegistrosSaídas[[#This Row],[Data do Caixa Realizado]]))</f>
        <v>2019</v>
      </c>
      <c r="K231">
        <f>IF(TbRegistrosSaídas[[#This Row],[Data da Competência]]="",0,MONTH(TbRegistrosSaídas[[#This Row],[Data da Competência]]))</f>
        <v>6</v>
      </c>
      <c r="L231">
        <f>IF(TbRegistrosSaídas[[#This Row],[Data da Competência]]="",0,YEAR(TbRegistrosSaídas[[#This Row],[Data da Competência]]))</f>
        <v>2019</v>
      </c>
      <c r="M231" s="40">
        <f>IF(TbRegistrosSaídas[[#This Row],[Data do Caixa Previsto]]="",0,MONTH(TbRegistrosSaídas[[#This Row],[Data do Caixa Previsto]]))</f>
        <v>8</v>
      </c>
      <c r="N231" s="40">
        <f>IF(TbRegistrosSaídas[[#This Row],[Data do Caixa Previsto]]="",0,YEAR(TbRegistrosSaídas[[#This Row],[Data do Caixa Previsto]]))</f>
        <v>2019</v>
      </c>
      <c r="O231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  <row r="232" spans="2:15" x14ac:dyDescent="0.25">
      <c r="B232" s="15">
        <v>43653.195660130521</v>
      </c>
      <c r="C232" s="15">
        <v>43646</v>
      </c>
      <c r="D232" s="15">
        <v>43653.195660130521</v>
      </c>
      <c r="E232" t="s">
        <v>43</v>
      </c>
      <c r="F232" t="s">
        <v>44</v>
      </c>
      <c r="G232" s="13" t="s">
        <v>510</v>
      </c>
      <c r="H232" s="16">
        <v>2819</v>
      </c>
      <c r="I232">
        <f>IF(TbRegistrosSaídas[[#This Row],[Data do Caixa Realizado]]="",0,MONTH(TbRegistrosSaídas[[#This Row],[Data do Caixa Realizado]]))</f>
        <v>7</v>
      </c>
      <c r="J232">
        <f>IF(TbRegistrosSaídas[[#This Row],[Data do Caixa Realizado]]="",0,YEAR(TbRegistrosSaídas[[#This Row],[Data do Caixa Realizado]]))</f>
        <v>2019</v>
      </c>
      <c r="K232">
        <f>IF(TbRegistrosSaídas[[#This Row],[Data da Competência]]="",0,MONTH(TbRegistrosSaídas[[#This Row],[Data da Competência]]))</f>
        <v>6</v>
      </c>
      <c r="L232">
        <f>IF(TbRegistrosSaídas[[#This Row],[Data da Competência]]="",0,YEAR(TbRegistrosSaídas[[#This Row],[Data da Competência]]))</f>
        <v>2019</v>
      </c>
      <c r="M232" s="40">
        <f>IF(TbRegistrosSaídas[[#This Row],[Data do Caixa Previsto]]="",0,MONTH(TbRegistrosSaídas[[#This Row],[Data do Caixa Previsto]]))</f>
        <v>7</v>
      </c>
      <c r="N232" s="40">
        <f>IF(TbRegistrosSaídas[[#This Row],[Data do Caixa Previsto]]="",0,YEAR(TbRegistrosSaídas[[#This Row],[Data do Caixa Previsto]]))</f>
        <v>2019</v>
      </c>
      <c r="O232" s="40">
        <f ca="1">IF(TbRegistrosSaídas[[#This Row],[Data do Caixa Realizado]]&lt;&gt;"",IF(TbRegistrosSaídas[[#This Row],[Data do Caixa Realizado]]&gt;TbRegistrosSaídas[[#This Row],[Data do Caixa Previsto]],TbRegistrosSaídas[[#This Row],[Data do Caixa Realizado]]-TbRegistrosSaídas[[#This Row],[Data do Caixa Previsto]],0),IF(TODAY()&gt;TbRegistrosSaídas[[#This Row],[Data do Caixa Previsto]],TODAY()-TbRegistrosSaídas[[#This Row],[Data do Caixa Previsto]],0))</f>
        <v>0</v>
      </c>
    </row>
  </sheetData>
  <dataValidations count="2">
    <dataValidation type="list" showInputMessage="1" showErrorMessage="1" errorTitle="Erro" error="A conta inserida não está cadastrada, favor cadastrar ou inserir uma que já possua cadastro." promptTitle="Conta de Saída Nível 1" prompt="Favor inserir a classificação de contas de saída nível 1." sqref="E4:E232">
      <formula1>PCSaídasN1</formula1>
    </dataValidation>
    <dataValidation type="list" showInputMessage="1" showErrorMessage="1" errorTitle="Erro" error="A conta inserida não está cadastrada, favor cadastrar ou inserir uma que já possua cadastro." promptTitle="Conta de Saída Nível 2" prompt="Favor inserir a classificação de contas de saída nível 2." sqref="F4:F232">
      <formula1>OFFSET(PCSaídasN2_2,MATCH(E4,PCSaídasN2_1,0)-1,0,COUNTIF(PCSaídasN2_1,E4))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showGridLines="0" workbookViewId="0">
      <selection activeCell="B1" sqref="B1"/>
    </sheetView>
  </sheetViews>
  <sheetFormatPr defaultColWidth="0" defaultRowHeight="15" x14ac:dyDescent="0.25"/>
  <cols>
    <col min="1" max="1" width="2.85546875" customWidth="1"/>
    <col min="2" max="2" width="25.42578125" customWidth="1"/>
    <col min="3" max="14" width="14.7109375" customWidth="1"/>
    <col min="15" max="15" width="2.85546875" customWidth="1"/>
    <col min="16" max="16384" width="9.140625" hidden="1"/>
  </cols>
  <sheetData>
    <row r="1" spans="2:14" ht="39.950000000000003" customHeight="1" x14ac:dyDescent="0.25">
      <c r="B1" s="3"/>
      <c r="C1" s="1"/>
      <c r="D1" s="1"/>
      <c r="E1" s="1"/>
      <c r="F1" s="1"/>
      <c r="G1" s="1"/>
      <c r="H1" s="1"/>
      <c r="I1" s="6"/>
      <c r="J1" s="131" t="s">
        <v>12</v>
      </c>
      <c r="K1" s="131"/>
      <c r="L1" s="131"/>
      <c r="M1" s="131"/>
      <c r="N1" s="131"/>
    </row>
    <row r="2" spans="2:14" ht="39.950000000000003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2:14" ht="20.100000000000001" customHeight="1" x14ac:dyDescent="0.25">
      <c r="B3" s="20" t="s">
        <v>511</v>
      </c>
      <c r="C3" s="18">
        <v>2019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2:14" ht="20.100000000000001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20.100000000000001" customHeight="1" x14ac:dyDescent="0.25">
      <c r="B6" s="19" t="s">
        <v>512</v>
      </c>
    </row>
    <row r="7" spans="2:14" ht="20.100000000000001" customHeight="1" x14ac:dyDescent="0.25">
      <c r="B7" s="23" t="s">
        <v>513</v>
      </c>
      <c r="C7" s="21" t="s">
        <v>517</v>
      </c>
      <c r="D7" s="21" t="s">
        <v>518</v>
      </c>
      <c r="E7" s="21" t="s">
        <v>519</v>
      </c>
      <c r="F7" s="21" t="s">
        <v>520</v>
      </c>
      <c r="G7" s="21" t="s">
        <v>521</v>
      </c>
      <c r="H7" s="21" t="s">
        <v>522</v>
      </c>
      <c r="I7" s="21" t="s">
        <v>523</v>
      </c>
      <c r="J7" s="21" t="s">
        <v>524</v>
      </c>
      <c r="K7" s="21" t="s">
        <v>525</v>
      </c>
      <c r="L7" s="21" t="s">
        <v>526</v>
      </c>
      <c r="M7" s="21" t="s">
        <v>527</v>
      </c>
      <c r="N7" s="22" t="s">
        <v>528</v>
      </c>
    </row>
    <row r="8" spans="2:14" ht="20.100000000000001" customHeight="1" x14ac:dyDescent="0.25">
      <c r="B8" s="29" t="s">
        <v>529</v>
      </c>
      <c r="C8" s="24">
        <f>SUMIFS(TbRegistrosEntradas[Valor],TbRegistrosEntradas[Ano Caixa],"&lt;"&amp;$C$3,TbRegistrosEntradas[Ano Caixa],"&lt;&gt;0")-SUMIFS(TbRegistrosSaídas[Valor],TbRegistrosSaídas[Ano Caixa],"&lt;"&amp;$C$3,TbRegistrosSaídas[Ano Caixa],"&lt;&gt;0")</f>
        <v>14746</v>
      </c>
      <c r="D8" s="24">
        <f>C11</f>
        <v>16188</v>
      </c>
      <c r="E8" s="24">
        <f t="shared" ref="E8:N8" si="0">D11</f>
        <v>21863</v>
      </c>
      <c r="F8" s="24">
        <f t="shared" si="0"/>
        <v>23864</v>
      </c>
      <c r="G8" s="24">
        <f t="shared" si="0"/>
        <v>12147</v>
      </c>
      <c r="H8" s="24">
        <f t="shared" si="0"/>
        <v>10954</v>
      </c>
      <c r="I8" s="24">
        <f t="shared" si="0"/>
        <v>-2743</v>
      </c>
      <c r="J8" s="24">
        <f t="shared" si="0"/>
        <v>-2189</v>
      </c>
      <c r="K8" s="24">
        <f t="shared" si="0"/>
        <v>-2976</v>
      </c>
      <c r="L8" s="24">
        <f t="shared" si="0"/>
        <v>-1230</v>
      </c>
      <c r="M8" s="24">
        <f t="shared" si="0"/>
        <v>-3097</v>
      </c>
      <c r="N8" s="25">
        <f t="shared" si="0"/>
        <v>-3097</v>
      </c>
    </row>
    <row r="9" spans="2:14" ht="20.100000000000001" customHeight="1" x14ac:dyDescent="0.25">
      <c r="B9" s="29" t="s">
        <v>514</v>
      </c>
      <c r="C9" s="24">
        <f>SUMIFS(TbRegistrosEntradas[Valor],TbRegistrosEntradas[Mês Caixa],"="&amp;C$5,TbRegistrosEntradas[Ano Caixa],$C$3,TbRegistrosEntradas[Ano Caixa],"&lt;&gt;0")</f>
        <v>20033</v>
      </c>
      <c r="D9" s="24">
        <f>SUMIFS(TbRegistrosEntradas[Valor],TbRegistrosEntradas[Mês Caixa],"="&amp;D$5,TbRegistrosEntradas[Ano Caixa],$C$3,TbRegistrosEntradas[Ano Caixa],"&lt;&gt;0")</f>
        <v>34683</v>
      </c>
      <c r="E9" s="24">
        <f>SUMIFS(TbRegistrosEntradas[Valor],TbRegistrosEntradas[Mês Caixa],"="&amp;E$5,TbRegistrosEntradas[Ano Caixa],$C$3,TbRegistrosEntradas[Ano Caixa],"&lt;&gt;0")</f>
        <v>20323</v>
      </c>
      <c r="F9" s="24">
        <f>SUMIFS(TbRegistrosEntradas[Valor],TbRegistrosEntradas[Mês Caixa],"="&amp;F$5,TbRegistrosEntradas[Ano Caixa],$C$3,TbRegistrosEntradas[Ano Caixa],"&lt;&gt;0")</f>
        <v>25152</v>
      </c>
      <c r="G9" s="24">
        <f>SUMIFS(TbRegistrosEntradas[Valor],TbRegistrosEntradas[Mês Caixa],"="&amp;G$5,TbRegistrosEntradas[Ano Caixa],$C$3,TbRegistrosEntradas[Ano Caixa],"&lt;&gt;0")</f>
        <v>27509</v>
      </c>
      <c r="H9" s="24">
        <f>SUMIFS(TbRegistrosEntradas[Valor],TbRegistrosEntradas[Mês Caixa],"="&amp;H$5,TbRegistrosEntradas[Ano Caixa],$C$3,TbRegistrosEntradas[Ano Caixa],"&lt;&gt;0")</f>
        <v>18189</v>
      </c>
      <c r="I9" s="24">
        <f>SUMIFS(TbRegistrosEntradas[Valor],TbRegistrosEntradas[Mês Caixa],"="&amp;I$5,TbRegistrosEntradas[Ano Caixa],$C$3,TbRegistrosEntradas[Ano Caixa],"&lt;&gt;0")</f>
        <v>8420</v>
      </c>
      <c r="J9" s="24">
        <f>SUMIFS(TbRegistrosEntradas[Valor],TbRegistrosEntradas[Mês Caixa],"="&amp;J$5,TbRegistrosEntradas[Ano Caixa],$C$3,TbRegistrosEntradas[Ano Caixa],"&lt;&gt;0")</f>
        <v>2337</v>
      </c>
      <c r="K9" s="24">
        <f>SUMIFS(TbRegistrosEntradas[Valor],TbRegistrosEntradas[Mês Caixa],"="&amp;K$5,TbRegistrosEntradas[Ano Caixa],$C$3,TbRegistrosEntradas[Ano Caixa],"&lt;&gt;0")</f>
        <v>3446</v>
      </c>
      <c r="L9" s="24">
        <f>SUMIFS(TbRegistrosEntradas[Valor],TbRegistrosEntradas[Mês Caixa],"="&amp;L$5,TbRegistrosEntradas[Ano Caixa],$C$3,TbRegistrosEntradas[Ano Caixa],"&lt;&gt;0")</f>
        <v>1906</v>
      </c>
      <c r="M9" s="24">
        <f>SUMIFS(TbRegistrosEntradas[Valor],TbRegistrosEntradas[Mês Caixa],"="&amp;M$5,TbRegistrosEntradas[Ano Caixa],$C$3,TbRegistrosEntradas[Ano Caixa],"&lt;&gt;0")</f>
        <v>0</v>
      </c>
      <c r="N9" s="25">
        <f>SUMIFS(TbRegistrosEntradas[Valor],TbRegistrosEntradas[Mês Caixa],"="&amp;N$5,TbRegistrosEntradas[Ano Caixa],$C$3,TbRegistrosEntradas[Ano Caixa],"&lt;&gt;0")</f>
        <v>0</v>
      </c>
    </row>
    <row r="10" spans="2:14" ht="20.100000000000001" customHeight="1" x14ac:dyDescent="0.25">
      <c r="B10" s="29" t="s">
        <v>515</v>
      </c>
      <c r="C10" s="24">
        <f>SUMIFS(TbRegistrosSaídas[Valor],TbRegistrosSaídas[Mês Caixa],"="&amp;C$5,TbRegistrosSaídas[Ano Caixa],$C$3,TbRegistrosSaídas[Ano Caixa],"&lt;&gt;0")</f>
        <v>18591</v>
      </c>
      <c r="D10" s="24">
        <f>SUMIFS(TbRegistrosSaídas[Valor],TbRegistrosSaídas[Mês Caixa],"="&amp;D$5,TbRegistrosSaídas[Ano Caixa],$C$3,TbRegistrosSaídas[Ano Caixa],"&lt;&gt;0")</f>
        <v>29008</v>
      </c>
      <c r="E10" s="24">
        <f>SUMIFS(TbRegistrosSaídas[Valor],TbRegistrosSaídas[Mês Caixa],"="&amp;E$5,TbRegistrosSaídas[Ano Caixa],$C$3,TbRegistrosSaídas[Ano Caixa],"&lt;&gt;0")</f>
        <v>18322</v>
      </c>
      <c r="F10" s="24">
        <f>SUMIFS(TbRegistrosSaídas[Valor],TbRegistrosSaídas[Mês Caixa],"="&amp;F$5,TbRegistrosSaídas[Ano Caixa],$C$3,TbRegistrosSaídas[Ano Caixa],"&lt;&gt;0")</f>
        <v>36869</v>
      </c>
      <c r="G10" s="24">
        <f>SUMIFS(TbRegistrosSaídas[Valor],TbRegistrosSaídas[Mês Caixa],"="&amp;G$5,TbRegistrosSaídas[Ano Caixa],$C$3,TbRegistrosSaídas[Ano Caixa],"&lt;&gt;0")</f>
        <v>28702</v>
      </c>
      <c r="H10" s="24">
        <f>SUMIFS(TbRegistrosSaídas[Valor],TbRegistrosSaídas[Mês Caixa],"="&amp;H$5,TbRegistrosSaídas[Ano Caixa],$C$3,TbRegistrosSaídas[Ano Caixa],"&lt;&gt;0")</f>
        <v>31886</v>
      </c>
      <c r="I10" s="24">
        <f>SUMIFS(TbRegistrosSaídas[Valor],TbRegistrosSaídas[Mês Caixa],"="&amp;I$5,TbRegistrosSaídas[Ano Caixa],$C$3,TbRegistrosSaídas[Ano Caixa],"&lt;&gt;0")</f>
        <v>7866</v>
      </c>
      <c r="J10" s="24">
        <f>SUMIFS(TbRegistrosSaídas[Valor],TbRegistrosSaídas[Mês Caixa],"="&amp;J$5,TbRegistrosSaídas[Ano Caixa],$C$3,TbRegistrosSaídas[Ano Caixa],"&lt;&gt;0")</f>
        <v>3124</v>
      </c>
      <c r="K10" s="24">
        <f>SUMIFS(TbRegistrosSaídas[Valor],TbRegistrosSaídas[Mês Caixa],"="&amp;K$5,TbRegistrosSaídas[Ano Caixa],$C$3,TbRegistrosSaídas[Ano Caixa],"&lt;&gt;0")</f>
        <v>1700</v>
      </c>
      <c r="L10" s="24">
        <f>SUMIFS(TbRegistrosSaídas[Valor],TbRegistrosSaídas[Mês Caixa],"="&amp;L$5,TbRegistrosSaídas[Ano Caixa],$C$3,TbRegistrosSaídas[Ano Caixa],"&lt;&gt;0")</f>
        <v>3773</v>
      </c>
      <c r="M10" s="24">
        <f>SUMIFS(TbRegistrosSaídas[Valor],TbRegistrosSaídas[Mês Caixa],"="&amp;M$5,TbRegistrosSaídas[Ano Caixa],$C$3,TbRegistrosSaídas[Ano Caixa],"&lt;&gt;0")</f>
        <v>0</v>
      </c>
      <c r="N10" s="25">
        <f>SUMIFS(TbRegistrosSaídas[Valor],TbRegistrosSaídas[Mês Caixa],"="&amp;N$5,TbRegistrosSaídas[Ano Caixa],$C$3,TbRegistrosSaídas[Ano Caixa],"&lt;&gt;0")</f>
        <v>0</v>
      </c>
    </row>
    <row r="11" spans="2:14" ht="20.100000000000001" customHeight="1" x14ac:dyDescent="0.25">
      <c r="B11" s="32" t="s">
        <v>516</v>
      </c>
      <c r="C11" s="26">
        <f>C8+C9-C10</f>
        <v>16188</v>
      </c>
      <c r="D11" s="26">
        <f>D8+D9-D10</f>
        <v>21863</v>
      </c>
      <c r="E11" s="26">
        <f t="shared" ref="E11:N11" si="1">E8+E9-E10</f>
        <v>23864</v>
      </c>
      <c r="F11" s="26">
        <f t="shared" si="1"/>
        <v>12147</v>
      </c>
      <c r="G11" s="26">
        <f t="shared" si="1"/>
        <v>10954</v>
      </c>
      <c r="H11" s="26">
        <f t="shared" si="1"/>
        <v>-2743</v>
      </c>
      <c r="I11" s="26">
        <f t="shared" si="1"/>
        <v>-2189</v>
      </c>
      <c r="J11" s="26">
        <f t="shared" si="1"/>
        <v>-2976</v>
      </c>
      <c r="K11" s="26">
        <f t="shared" si="1"/>
        <v>-1230</v>
      </c>
      <c r="L11" s="26">
        <f t="shared" si="1"/>
        <v>-3097</v>
      </c>
      <c r="M11" s="26">
        <f t="shared" si="1"/>
        <v>-3097</v>
      </c>
      <c r="N11" s="27">
        <f t="shared" si="1"/>
        <v>-3097</v>
      </c>
    </row>
    <row r="12" spans="2:14" ht="20.100000000000001" customHeight="1" x14ac:dyDescent="0.25"/>
    <row r="13" spans="2:14" ht="20.100000000000001" customHeight="1" x14ac:dyDescent="0.25">
      <c r="B13" s="28" t="s">
        <v>530</v>
      </c>
    </row>
    <row r="14" spans="2:14" ht="20.100000000000001" customHeight="1" x14ac:dyDescent="0.25">
      <c r="B14" s="23" t="s">
        <v>513</v>
      </c>
      <c r="C14" s="21" t="s">
        <v>517</v>
      </c>
      <c r="D14" s="21" t="s">
        <v>518</v>
      </c>
      <c r="E14" s="21" t="s">
        <v>519</v>
      </c>
      <c r="F14" s="21" t="s">
        <v>520</v>
      </c>
      <c r="G14" s="21" t="s">
        <v>521</v>
      </c>
      <c r="H14" s="21" t="s">
        <v>522</v>
      </c>
      <c r="I14" s="21" t="s">
        <v>523</v>
      </c>
      <c r="J14" s="21" t="s">
        <v>524</v>
      </c>
      <c r="K14" s="21" t="s">
        <v>525</v>
      </c>
      <c r="L14" s="21" t="s">
        <v>526</v>
      </c>
      <c r="M14" s="21" t="s">
        <v>527</v>
      </c>
      <c r="N14" s="22" t="s">
        <v>528</v>
      </c>
    </row>
    <row r="15" spans="2:14" ht="20.100000000000001" customHeight="1" x14ac:dyDescent="0.25">
      <c r="B15" s="29" t="s">
        <v>529</v>
      </c>
      <c r="C15" s="24">
        <f>SUMIFS(TbRegistrosEntradas[Valor],TbRegistrosEntradas[Ano Competência],"&lt;"&amp;$C$3,TbRegistrosEntradas[Ano Competência],"&lt;&gt;0")-SUMIFS(TbRegistrosSaídas[Valor],TbRegistrosSaídas[Ano Competência],"&lt;"&amp;$C$3,TbRegistrosSaídas[Ano Competência],"&lt;&gt;0")</f>
        <v>42367</v>
      </c>
      <c r="D15" s="24">
        <f>C18</f>
        <v>34684</v>
      </c>
      <c r="E15" s="24">
        <f t="shared" ref="E15:N15" si="2">D18</f>
        <v>40111</v>
      </c>
      <c r="F15" s="24">
        <f t="shared" si="2"/>
        <v>27220</v>
      </c>
      <c r="G15" s="24">
        <f t="shared" si="2"/>
        <v>23048</v>
      </c>
      <c r="H15" s="24">
        <f t="shared" si="2"/>
        <v>8340</v>
      </c>
      <c r="I15" s="24">
        <f t="shared" si="2"/>
        <v>3236</v>
      </c>
      <c r="J15" s="24">
        <f t="shared" si="2"/>
        <v>3236</v>
      </c>
      <c r="K15" s="24">
        <f t="shared" si="2"/>
        <v>3236</v>
      </c>
      <c r="L15" s="24">
        <f t="shared" si="2"/>
        <v>3236</v>
      </c>
      <c r="M15" s="24">
        <f t="shared" si="2"/>
        <v>3236</v>
      </c>
      <c r="N15" s="25">
        <f t="shared" si="2"/>
        <v>3236</v>
      </c>
    </row>
    <row r="16" spans="2:14" ht="20.100000000000001" customHeight="1" x14ac:dyDescent="0.25">
      <c r="B16" s="29" t="s">
        <v>514</v>
      </c>
      <c r="C16" s="24">
        <f>SUMIFS(TbRegistrosEntradas[Valor],TbRegistrosEntradas[Mês Competência],"="&amp;C$5,TbRegistrosEntradas[Ano Competência],$C$3)</f>
        <v>22897</v>
      </c>
      <c r="D16" s="24">
        <f>SUMIFS(TbRegistrosEntradas[Valor],TbRegistrosEntradas[Mês Competência],"="&amp;D$5,TbRegistrosEntradas[Ano Competência],$C$3)</f>
        <v>31755</v>
      </c>
      <c r="E16" s="24">
        <f>SUMIFS(TbRegistrosEntradas[Valor],TbRegistrosEntradas[Mês Competência],"="&amp;E$5,TbRegistrosEntradas[Ano Competência],$C$3)</f>
        <v>18601</v>
      </c>
      <c r="F16" s="24">
        <f>SUMIFS(TbRegistrosEntradas[Valor],TbRegistrosEntradas[Mês Competência],"="&amp;F$5,TbRegistrosEntradas[Ano Competência],$C$3)</f>
        <v>22939</v>
      </c>
      <c r="G16" s="24">
        <f>SUMIFS(TbRegistrosEntradas[Valor],TbRegistrosEntradas[Mês Competência],"="&amp;G$5,TbRegistrosEntradas[Ano Competência],$C$3)</f>
        <v>22602</v>
      </c>
      <c r="H16" s="24">
        <f>SUMIFS(TbRegistrosEntradas[Valor],TbRegistrosEntradas[Mês Competência],"="&amp;H$5,TbRegistrosEntradas[Ano Competência],$C$3)</f>
        <v>11865</v>
      </c>
      <c r="I16" s="24">
        <f>SUMIFS(TbRegistrosEntradas[Valor],TbRegistrosEntradas[Mês Competência],"="&amp;I$5,TbRegistrosEntradas[Ano Competência],$C$3)</f>
        <v>0</v>
      </c>
      <c r="J16" s="24">
        <f>SUMIFS(TbRegistrosEntradas[Valor],TbRegistrosEntradas[Mês Competência],"="&amp;J$5,TbRegistrosEntradas[Ano Competência],$C$3)</f>
        <v>0</v>
      </c>
      <c r="K16" s="24">
        <f>SUMIFS(TbRegistrosEntradas[Valor],TbRegistrosEntradas[Mês Competência],"="&amp;K$5,TbRegistrosEntradas[Ano Competência],$C$3)</f>
        <v>0</v>
      </c>
      <c r="L16" s="24">
        <f>SUMIFS(TbRegistrosEntradas[Valor],TbRegistrosEntradas[Mês Competência],"="&amp;L$5,TbRegistrosEntradas[Ano Competência],$C$3)</f>
        <v>0</v>
      </c>
      <c r="M16" s="24">
        <f>SUMIFS(TbRegistrosEntradas[Valor],TbRegistrosEntradas[Mês Competência],"="&amp;M$5,TbRegistrosEntradas[Ano Competência],$C$3)</f>
        <v>0</v>
      </c>
      <c r="N16" s="25">
        <f>SUMIFS(TbRegistrosEntradas[Valor],TbRegistrosEntradas[Mês Competência],"="&amp;N$5,TbRegistrosEntradas[Ano Competência],$C$3)</f>
        <v>0</v>
      </c>
    </row>
    <row r="17" spans="2:14" ht="20.100000000000001" customHeight="1" x14ac:dyDescent="0.25">
      <c r="B17" s="29" t="s">
        <v>515</v>
      </c>
      <c r="C17" s="24">
        <f>SUMIFS(TbRegistrosSaídas[Valor],TbRegistrosSaídas[Mês Competência],"="&amp;C$5,TbRegistrosSaídas[Ano Competência],$C$3)</f>
        <v>30580</v>
      </c>
      <c r="D17" s="24">
        <f>SUMIFS(TbRegistrosSaídas[Valor],TbRegistrosSaídas[Mês Competência],"="&amp;D$5,TbRegistrosSaídas[Ano Competência],$C$3)</f>
        <v>26328</v>
      </c>
      <c r="E17" s="24">
        <f>SUMIFS(TbRegistrosSaídas[Valor],TbRegistrosSaídas[Mês Competência],"="&amp;E$5,TbRegistrosSaídas[Ano Competência],$C$3)</f>
        <v>31492</v>
      </c>
      <c r="F17" s="24">
        <f>SUMIFS(TbRegistrosSaídas[Valor],TbRegistrosSaídas[Mês Competência],"="&amp;F$5,TbRegistrosSaídas[Ano Competência],$C$3)</f>
        <v>27111</v>
      </c>
      <c r="G17" s="24">
        <f>SUMIFS(TbRegistrosSaídas[Valor],TbRegistrosSaídas[Mês Competência],"="&amp;G$5,TbRegistrosSaídas[Ano Competência],$C$3)</f>
        <v>37310</v>
      </c>
      <c r="H17" s="24">
        <f>SUMIFS(TbRegistrosSaídas[Valor],TbRegistrosSaídas[Mês Competência],"="&amp;H$5,TbRegistrosSaídas[Ano Competência],$C$3)</f>
        <v>16969</v>
      </c>
      <c r="I17" s="24">
        <f>SUMIFS(TbRegistrosSaídas[Valor],TbRegistrosSaídas[Mês Competência],"="&amp;I$5,TbRegistrosSaídas[Ano Competência],$C$3)</f>
        <v>0</v>
      </c>
      <c r="J17" s="24">
        <f>SUMIFS(TbRegistrosSaídas[Valor],TbRegistrosSaídas[Mês Competência],"="&amp;J$5,TbRegistrosSaídas[Ano Competência],$C$3)</f>
        <v>0</v>
      </c>
      <c r="K17" s="24">
        <f>SUMIFS(TbRegistrosSaídas[Valor],TbRegistrosSaídas[Mês Competência],"="&amp;K$5,TbRegistrosSaídas[Ano Competência],$C$3)</f>
        <v>0</v>
      </c>
      <c r="L17" s="24">
        <f>SUMIFS(TbRegistrosSaídas[Valor],TbRegistrosSaídas[Mês Competência],"="&amp;L$5,TbRegistrosSaídas[Ano Competência],$C$3)</f>
        <v>0</v>
      </c>
      <c r="M17" s="24">
        <f>SUMIFS(TbRegistrosSaídas[Valor],TbRegistrosSaídas[Mês Competência],"="&amp;M$5,TbRegistrosSaídas[Ano Competência],$C$3)</f>
        <v>0</v>
      </c>
      <c r="N17" s="25">
        <f>SUMIFS(TbRegistrosSaídas[Valor],TbRegistrosSaídas[Mês Competência],"="&amp;N$5,TbRegistrosSaídas[Ano Competência],$C$3)</f>
        <v>0</v>
      </c>
    </row>
    <row r="18" spans="2:14" ht="20.100000000000001" customHeight="1" x14ac:dyDescent="0.25">
      <c r="B18" s="32" t="s">
        <v>516</v>
      </c>
      <c r="C18" s="26">
        <f>C15+C16-C17</f>
        <v>34684</v>
      </c>
      <c r="D18" s="26">
        <f>D15+D16-D17</f>
        <v>40111</v>
      </c>
      <c r="E18" s="26">
        <f t="shared" ref="E18:N18" si="3">E15+E16-E17</f>
        <v>27220</v>
      </c>
      <c r="F18" s="26">
        <f t="shared" si="3"/>
        <v>23048</v>
      </c>
      <c r="G18" s="26">
        <f t="shared" si="3"/>
        <v>8340</v>
      </c>
      <c r="H18" s="26">
        <f t="shared" si="3"/>
        <v>3236</v>
      </c>
      <c r="I18" s="26">
        <f t="shared" si="3"/>
        <v>3236</v>
      </c>
      <c r="J18" s="26">
        <f t="shared" si="3"/>
        <v>3236</v>
      </c>
      <c r="K18" s="26">
        <f t="shared" si="3"/>
        <v>3236</v>
      </c>
      <c r="L18" s="26">
        <f t="shared" si="3"/>
        <v>3236</v>
      </c>
      <c r="M18" s="26">
        <f t="shared" si="3"/>
        <v>3236</v>
      </c>
      <c r="N18" s="27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8" t="s">
        <v>531</v>
      </c>
    </row>
    <row r="21" spans="2:14" ht="20.100000000000001" customHeight="1" x14ac:dyDescent="0.25">
      <c r="B21" s="23" t="s">
        <v>513</v>
      </c>
      <c r="C21" s="21" t="s">
        <v>517</v>
      </c>
      <c r="D21" s="21" t="s">
        <v>518</v>
      </c>
      <c r="E21" s="21" t="s">
        <v>519</v>
      </c>
      <c r="F21" s="21" t="s">
        <v>520</v>
      </c>
      <c r="G21" s="21" t="s">
        <v>521</v>
      </c>
      <c r="H21" s="21" t="s">
        <v>522</v>
      </c>
      <c r="I21" s="21" t="s">
        <v>523</v>
      </c>
      <c r="J21" s="21" t="s">
        <v>524</v>
      </c>
      <c r="K21" s="21" t="s">
        <v>525</v>
      </c>
      <c r="L21" s="21" t="s">
        <v>526</v>
      </c>
      <c r="M21" s="21" t="s">
        <v>527</v>
      </c>
      <c r="N21" s="22" t="s">
        <v>528</v>
      </c>
    </row>
    <row r="22" spans="2:14" ht="20.100000000000001" customHeight="1" x14ac:dyDescent="0.25">
      <c r="B22" s="29" t="s">
        <v>532</v>
      </c>
      <c r="C22" s="24">
        <f>C16</f>
        <v>22897</v>
      </c>
      <c r="D22" s="24">
        <f t="shared" ref="D22:N22" si="4">D16</f>
        <v>31755</v>
      </c>
      <c r="E22" s="24">
        <f t="shared" si="4"/>
        <v>18601</v>
      </c>
      <c r="F22" s="24">
        <f t="shared" si="4"/>
        <v>22939</v>
      </c>
      <c r="G22" s="24">
        <f t="shared" si="4"/>
        <v>22602</v>
      </c>
      <c r="H22" s="24">
        <f t="shared" si="4"/>
        <v>11865</v>
      </c>
      <c r="I22" s="24">
        <f t="shared" si="4"/>
        <v>0</v>
      </c>
      <c r="J22" s="24">
        <f t="shared" si="4"/>
        <v>0</v>
      </c>
      <c r="K22" s="24">
        <f t="shared" si="4"/>
        <v>0</v>
      </c>
      <c r="L22" s="24">
        <f t="shared" si="4"/>
        <v>0</v>
      </c>
      <c r="M22" s="24">
        <f t="shared" si="4"/>
        <v>0</v>
      </c>
      <c r="N22" s="25">
        <f t="shared" si="4"/>
        <v>0</v>
      </c>
    </row>
    <row r="23" spans="2:14" ht="20.100000000000001" customHeight="1" x14ac:dyDescent="0.25">
      <c r="B23" s="29" t="s">
        <v>533</v>
      </c>
      <c r="C23" s="24">
        <f>C17</f>
        <v>30580</v>
      </c>
      <c r="D23" s="24">
        <f t="shared" ref="D23:N23" si="5">D17</f>
        <v>26328</v>
      </c>
      <c r="E23" s="24">
        <f t="shared" si="5"/>
        <v>31492</v>
      </c>
      <c r="F23" s="24">
        <f t="shared" si="5"/>
        <v>27111</v>
      </c>
      <c r="G23" s="24">
        <f t="shared" si="5"/>
        <v>37310</v>
      </c>
      <c r="H23" s="24">
        <f t="shared" si="5"/>
        <v>16969</v>
      </c>
      <c r="I23" s="24">
        <f t="shared" si="5"/>
        <v>0</v>
      </c>
      <c r="J23" s="24">
        <f t="shared" si="5"/>
        <v>0</v>
      </c>
      <c r="K23" s="24">
        <f t="shared" si="5"/>
        <v>0</v>
      </c>
      <c r="L23" s="24">
        <f t="shared" si="5"/>
        <v>0</v>
      </c>
      <c r="M23" s="24">
        <f t="shared" si="5"/>
        <v>0</v>
      </c>
      <c r="N23" s="25">
        <f t="shared" si="5"/>
        <v>0</v>
      </c>
    </row>
    <row r="24" spans="2:14" ht="20.100000000000001" customHeight="1" x14ac:dyDescent="0.25">
      <c r="B24" s="30" t="s">
        <v>534</v>
      </c>
      <c r="C24" s="33">
        <f>IF((C22-C23)&lt;0,0,C22-C23)</f>
        <v>0</v>
      </c>
      <c r="D24" s="33">
        <f t="shared" ref="D24:N24" si="6">IF((D22-D23)&lt;0,0,D22-D23)</f>
        <v>5427</v>
      </c>
      <c r="E24" s="33">
        <f t="shared" si="6"/>
        <v>0</v>
      </c>
      <c r="F24" s="33">
        <f t="shared" si="6"/>
        <v>0</v>
      </c>
      <c r="G24" s="33">
        <f t="shared" si="6"/>
        <v>0</v>
      </c>
      <c r="H24" s="33">
        <f t="shared" si="6"/>
        <v>0</v>
      </c>
      <c r="I24" s="33">
        <f t="shared" si="6"/>
        <v>0</v>
      </c>
      <c r="J24" s="33">
        <f t="shared" si="6"/>
        <v>0</v>
      </c>
      <c r="K24" s="33">
        <f t="shared" si="6"/>
        <v>0</v>
      </c>
      <c r="L24" s="33">
        <f t="shared" si="6"/>
        <v>0</v>
      </c>
      <c r="M24" s="33">
        <f t="shared" si="6"/>
        <v>0</v>
      </c>
      <c r="N24" s="34">
        <f t="shared" si="6"/>
        <v>0</v>
      </c>
    </row>
    <row r="25" spans="2:14" ht="20.100000000000001" customHeight="1" x14ac:dyDescent="0.25">
      <c r="B25" s="31" t="s">
        <v>535</v>
      </c>
      <c r="C25" s="35">
        <f>IF((C22-C23)&gt;0,0,C22-C23)</f>
        <v>-7683</v>
      </c>
      <c r="D25" s="35">
        <f t="shared" ref="D25:N25" si="7">IF((D22-D23)&gt;0,0,D22-D23)</f>
        <v>0</v>
      </c>
      <c r="E25" s="35">
        <f t="shared" si="7"/>
        <v>-12891</v>
      </c>
      <c r="F25" s="35">
        <f t="shared" si="7"/>
        <v>-4172</v>
      </c>
      <c r="G25" s="35">
        <f t="shared" si="7"/>
        <v>-14708</v>
      </c>
      <c r="H25" s="35">
        <f t="shared" si="7"/>
        <v>-5104</v>
      </c>
      <c r="I25" s="35">
        <f t="shared" si="7"/>
        <v>0</v>
      </c>
      <c r="J25" s="35">
        <f t="shared" si="7"/>
        <v>0</v>
      </c>
      <c r="K25" s="35">
        <f t="shared" si="7"/>
        <v>0</v>
      </c>
      <c r="L25" s="35">
        <f t="shared" si="7"/>
        <v>0</v>
      </c>
      <c r="M25" s="35">
        <f t="shared" si="7"/>
        <v>0</v>
      </c>
      <c r="N25" s="36">
        <f t="shared" si="7"/>
        <v>0</v>
      </c>
    </row>
    <row r="26" spans="2:14" ht="20.100000000000001" customHeight="1" x14ac:dyDescent="0.25">
      <c r="B26" s="31" t="s">
        <v>536</v>
      </c>
      <c r="C26" s="35">
        <f>C22-C23</f>
        <v>-7683</v>
      </c>
      <c r="D26" s="35">
        <f>D22-D23+C26</f>
        <v>-2256</v>
      </c>
      <c r="E26" s="35">
        <f t="shared" ref="E26:N26" si="8">E22-E23+D26</f>
        <v>-15147</v>
      </c>
      <c r="F26" s="35">
        <f t="shared" si="8"/>
        <v>-19319</v>
      </c>
      <c r="G26" s="35">
        <f t="shared" si="8"/>
        <v>-34027</v>
      </c>
      <c r="H26" s="35">
        <f t="shared" si="8"/>
        <v>-39131</v>
      </c>
      <c r="I26" s="35">
        <f t="shared" si="8"/>
        <v>-39131</v>
      </c>
      <c r="J26" s="35">
        <f t="shared" si="8"/>
        <v>-39131</v>
      </c>
      <c r="K26" s="35">
        <f t="shared" si="8"/>
        <v>-39131</v>
      </c>
      <c r="L26" s="35">
        <f t="shared" si="8"/>
        <v>-39131</v>
      </c>
      <c r="M26" s="35">
        <f t="shared" si="8"/>
        <v>-39131</v>
      </c>
      <c r="N26" s="36">
        <f t="shared" si="8"/>
        <v>-39131</v>
      </c>
    </row>
    <row r="27" spans="2:14" ht="20.100000000000001" customHeight="1" x14ac:dyDescent="0.25"/>
  </sheetData>
  <mergeCells count="1">
    <mergeCell ref="J1:N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47</vt:i4>
      </vt:variant>
    </vt:vector>
  </HeadingPairs>
  <TitlesOfParts>
    <vt:vector size="65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DashBoardFinanceiroAtualD</vt:lpstr>
      <vt:lpstr>DashBoardFinanceiroAnual</vt:lpstr>
      <vt:lpstr>DashBoardFinanceiroAnualD</vt:lpstr>
      <vt:lpstr>ContasPagar!PCEntradasN1</vt:lpstr>
      <vt:lpstr>ContasReceber!PCEntradasN1</vt:lpstr>
      <vt:lpstr>ContasReceberVencidas!PCEntradasN1</vt:lpstr>
      <vt:lpstr>DashBoardFinanceiroAtual!PCEntradasN1</vt:lpstr>
      <vt:lpstr>DashBoardFinanceiroAtualD!PCEntradasN1</vt:lpstr>
      <vt:lpstr>DetalhaDespesa!PCEntradasN1</vt:lpstr>
      <vt:lpstr>PCSaídasN2!PCEntradasN1</vt:lpstr>
      <vt:lpstr>RegistroSaídas!PCEntradasN1</vt:lpstr>
      <vt:lpstr>PCEntradasN1</vt:lpstr>
      <vt:lpstr>ContasPagar!PCEntradasN2_1</vt:lpstr>
      <vt:lpstr>ContasReceber!PCEntradasN2_1</vt:lpstr>
      <vt:lpstr>ContasReceberVencidas!PCEntradasN2_1</vt:lpstr>
      <vt:lpstr>DashBoardFinanceiroAtual!PCEntradasN2_1</vt:lpstr>
      <vt:lpstr>DashBoardFinanceiroAtualD!PCEntradasN2_1</vt:lpstr>
      <vt:lpstr>DetalhaDespesa!PCEntradasN2_1</vt:lpstr>
      <vt:lpstr>RegistroSaídas!PCEntradasN2_1</vt:lpstr>
      <vt:lpstr>PCEntradasN2_1</vt:lpstr>
      <vt:lpstr>ContasPagar!PCEntradasN2_2</vt:lpstr>
      <vt:lpstr>ContasReceber!PCEntradasN2_2</vt:lpstr>
      <vt:lpstr>ContasReceberVencidas!PCEntradasN2_2</vt:lpstr>
      <vt:lpstr>DashBoardFinanceiroAtual!PCEntradasN2_2</vt:lpstr>
      <vt:lpstr>DashBoardFinanceiroAtualD!PCEntradasN2_2</vt:lpstr>
      <vt:lpstr>DetalhaDespesa!PCEntradasN2_2</vt:lpstr>
      <vt:lpstr>RegistroSaídas!PCEntradasN2_2</vt:lpstr>
      <vt:lpstr>PCEntradasN2_2</vt:lpstr>
      <vt:lpstr>ContasPagar!PCSaídasN1</vt:lpstr>
      <vt:lpstr>ContasReceber!PCSaídasN1</vt:lpstr>
      <vt:lpstr>ContasReceberVencidas!PCSaídasN1</vt:lpstr>
      <vt:lpstr>DashBoardFinanceiroAtual!PCSaídasN1</vt:lpstr>
      <vt:lpstr>DashBoardFinanceiroAtualD!PCSaídasN1</vt:lpstr>
      <vt:lpstr>DetalhaDespesa!PCSaídasN1</vt:lpstr>
      <vt:lpstr>RegistroSaídas!PCSaídasN1</vt:lpstr>
      <vt:lpstr>PCSaídasN1</vt:lpstr>
      <vt:lpstr>ContasPagar!PCSaídasN2_1</vt:lpstr>
      <vt:lpstr>ContasReceber!PCSaídasN2_1</vt:lpstr>
      <vt:lpstr>ContasReceberVencidas!PCSaídasN2_1</vt:lpstr>
      <vt:lpstr>DashBoardFinanceiroAtual!PCSaídasN2_1</vt:lpstr>
      <vt:lpstr>DashBoardFinanceiroAtualD!PCSaídasN2_1</vt:lpstr>
      <vt:lpstr>DetalhaDespesa!PCSaídasN2_1</vt:lpstr>
      <vt:lpstr>PCSaídasN2_1</vt:lpstr>
      <vt:lpstr>ContasPagar!PCSaídasN2_2</vt:lpstr>
      <vt:lpstr>ContasReceber!PCSaídasN2_2</vt:lpstr>
      <vt:lpstr>ContasReceberVencidas!PCSaídasN2_2</vt:lpstr>
      <vt:lpstr>DashBoardFinanceiroAtual!PCSaídasN2_2</vt:lpstr>
      <vt:lpstr>DashBoardFinanceiroAtualD!PCSaídasN2_2</vt:lpstr>
      <vt:lpstr>DetalhaDespesa!PCSaídasN2_2</vt:lpstr>
      <vt:lpstr>PCSaídasN2_2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Rausch Dias</dc:creator>
  <cp:lastModifiedBy>Daniel Rausch Dias</cp:lastModifiedBy>
  <dcterms:created xsi:type="dcterms:W3CDTF">2024-01-18T17:11:16Z</dcterms:created>
  <dcterms:modified xsi:type="dcterms:W3CDTF">2024-01-25T18:16:55Z</dcterms:modified>
</cp:coreProperties>
</file>