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<sst xmlns="http://schemas.openxmlformats.org/spreadsheetml/2006/main" count="2014" uniqueCount="1034">
  <si>
    <t>Company Name</t>
  </si>
  <si>
    <t>Industry</t>
  </si>
  <si>
    <t>Symbol</t>
  </si>
  <si>
    <t>Cash/FNO</t>
  </si>
  <si>
    <t>Price</t>
  </si>
  <si>
    <t>Change Absolute</t>
  </si>
  <si>
    <t>Change %</t>
  </si>
  <si>
    <t>Market Cap</t>
  </si>
  <si>
    <t>Nifty</t>
  </si>
  <si>
    <t>Nifty %</t>
  </si>
  <si>
    <t>3M India Ltd.</t>
  </si>
  <si>
    <t>CONSUMER GOODS</t>
  </si>
  <si>
    <t>NSE:3MINDIA</t>
  </si>
  <si>
    <t>CASH ONLY</t>
  </si>
  <si>
    <t>ABB India Ltd.</t>
  </si>
  <si>
    <t>INDUSTRIAL MANUFACTURING</t>
  </si>
  <si>
    <t>NSE:ABB</t>
  </si>
  <si>
    <t>ABB Power Products and Systems India Ltd.</t>
  </si>
  <si>
    <t>NSE:POWERINDIA</t>
  </si>
  <si>
    <t>ACC Ltd.</t>
  </si>
  <si>
    <t>CEMENT &amp; CEMENT PRODUCTS</t>
  </si>
  <si>
    <t>NSE:ACC</t>
  </si>
  <si>
    <t>FNO</t>
  </si>
  <si>
    <t>AIA Engineering Ltd.</t>
  </si>
  <si>
    <t>NSE:AIAENG</t>
  </si>
  <si>
    <t>APL Apollo Tubes Ltd.</t>
  </si>
  <si>
    <t>METALS</t>
  </si>
  <si>
    <t>NSE:APLAPOLLO</t>
  </si>
  <si>
    <t>AU Small Finance Bank Ltd.</t>
  </si>
  <si>
    <t>FINANCIAL SERVICES</t>
  </si>
  <si>
    <t>NSE:AUBANK</t>
  </si>
  <si>
    <t>Aarti Drugs Ltd.</t>
  </si>
  <si>
    <t>PHARMA</t>
  </si>
  <si>
    <t>NSE:AARTIDRUGS</t>
  </si>
  <si>
    <t>Aarti Industries Ltd.</t>
  </si>
  <si>
    <t>CHEMICALS</t>
  </si>
  <si>
    <t>NSE:AARTIIND</t>
  </si>
  <si>
    <t>Aavas Financiers Ltd.</t>
  </si>
  <si>
    <t>NSE:AAVAS</t>
  </si>
  <si>
    <t>Abbott India Ltd.</t>
  </si>
  <si>
    <t>NSE:ABBOTINDIA</t>
  </si>
  <si>
    <t>Adani Enterprises Ltd.</t>
  </si>
  <si>
    <t>NSE:ADANIENT</t>
  </si>
  <si>
    <t>Adani Green Energy Ltd.</t>
  </si>
  <si>
    <t>POWER</t>
  </si>
  <si>
    <t>NSE:ADANIGREEN</t>
  </si>
  <si>
    <t>Adani Ports and Special Economic Zone Ltd.</t>
  </si>
  <si>
    <t>SERVICES</t>
  </si>
  <si>
    <t>NSE:ADANIPORTS</t>
  </si>
  <si>
    <t>Adani Total Gas Ltd.</t>
  </si>
  <si>
    <t>OIL &amp; GAS</t>
  </si>
  <si>
    <t>NSE:ATGL</t>
  </si>
  <si>
    <t>Adani Transmission Ltd.</t>
  </si>
  <si>
    <t>NSE:ADANITRANS</t>
  </si>
  <si>
    <t>Aditya Birla Capital Ltd.</t>
  </si>
  <si>
    <t>NSE:ABCAPITAL</t>
  </si>
  <si>
    <t>Aditya Birla Fashion and Retail Ltd.</t>
  </si>
  <si>
    <t>CONSUMER SERVICES</t>
  </si>
  <si>
    <t>NSE:ABFRL</t>
  </si>
  <si>
    <t>Advanced Enzyme Tech Ltd.</t>
  </si>
  <si>
    <t>NSE:ADVENZYMES</t>
  </si>
  <si>
    <t>Aegis Logistics Ltd.</t>
  </si>
  <si>
    <t>NSE:AEGISCHEM</t>
  </si>
  <si>
    <t>Affle (India) Ltd.</t>
  </si>
  <si>
    <t>IT</t>
  </si>
  <si>
    <t>NSE:AFFLE</t>
  </si>
  <si>
    <t>Ajanta Pharmaceuticals Ltd.</t>
  </si>
  <si>
    <t>NSE:AJANTPHARM</t>
  </si>
  <si>
    <t>Akzo Nobel India Ltd.</t>
  </si>
  <si>
    <t>NSE:AKZOINDIA</t>
  </si>
  <si>
    <t>Alembic Ltd.</t>
  </si>
  <si>
    <t>NSE:ALEMBICLTD</t>
  </si>
  <si>
    <t>Alembic Pharmaceuticals Ltd.</t>
  </si>
  <si>
    <t>NSE:APLLTD</t>
  </si>
  <si>
    <t>Alkem Laboratories Ltd.</t>
  </si>
  <si>
    <t>NSE:ALKEM</t>
  </si>
  <si>
    <t>Alkyl Amines Chemicals Ltd.</t>
  </si>
  <si>
    <t>NSE:ALKYLAMINE</t>
  </si>
  <si>
    <t>Alok Industries Ltd.</t>
  </si>
  <si>
    <t>TEXTILES</t>
  </si>
  <si>
    <t>NSE:ALOKINDS</t>
  </si>
  <si>
    <t>Amara Raja Batteries Ltd.</t>
  </si>
  <si>
    <t>AUTOMOBILE</t>
  </si>
  <si>
    <t>NSE:AMARAJABAT</t>
  </si>
  <si>
    <t>Amber Enterprises India Ltd.</t>
  </si>
  <si>
    <t>NSE:AMBER</t>
  </si>
  <si>
    <t>Ambuja Cements Ltd.</t>
  </si>
  <si>
    <t>NSE:AMBUJACEM</t>
  </si>
  <si>
    <t>Angel Broking Ltd.</t>
  </si>
  <si>
    <t>NSE:ANGELBRKG</t>
  </si>
  <si>
    <t>Apollo Hospitals Enterprise Ltd.</t>
  </si>
  <si>
    <t>HEALTHCARE SERVICES</t>
  </si>
  <si>
    <t>NSE:APOLLOHOSP</t>
  </si>
  <si>
    <t>Apollo Tyres Ltd.</t>
  </si>
  <si>
    <t>NSE:APOLLOTYRE</t>
  </si>
  <si>
    <t>Asahi India Glass Ltd.</t>
  </si>
  <si>
    <t>NSE:ASAHIINDIA</t>
  </si>
  <si>
    <t>Ashok Leyland Ltd.</t>
  </si>
  <si>
    <t>NSE:ASHOKLEY</t>
  </si>
  <si>
    <t>Ashoka Buildcon Ltd.</t>
  </si>
  <si>
    <t>CONSTRUCTION</t>
  </si>
  <si>
    <t>NSE:ASHOKA</t>
  </si>
  <si>
    <t>Asian Paints Ltd.</t>
  </si>
  <si>
    <t>NSE:ASIANPAINT</t>
  </si>
  <si>
    <t>Aster DM Healthcare Ltd.</t>
  </si>
  <si>
    <t>NSE:ASTERDM</t>
  </si>
  <si>
    <t>AstraZenca Pharma India Ltd.</t>
  </si>
  <si>
    <t>NSE:ASTRAZEN</t>
  </si>
  <si>
    <t>Astral Ltd.</t>
  </si>
  <si>
    <t>NSE:ASTRAL</t>
  </si>
  <si>
    <t>Atul Ltd.</t>
  </si>
  <si>
    <t>NSE:ATUL</t>
  </si>
  <si>
    <t>Aurobindo Pharma Ltd.</t>
  </si>
  <si>
    <t>NSE:AUROPHARMA</t>
  </si>
  <si>
    <t>Avanti Feeds Ltd.</t>
  </si>
  <si>
    <t>NSE:AVANTIFEED</t>
  </si>
  <si>
    <t>Avenue Supermarts Ltd.</t>
  </si>
  <si>
    <t>NSE:DMART</t>
  </si>
  <si>
    <t>Axis Bank Ltd.</t>
  </si>
  <si>
    <t>NSE:AXISBANK</t>
  </si>
  <si>
    <t>BASF India Ltd.</t>
  </si>
  <si>
    <t>NSE:BASF</t>
  </si>
  <si>
    <t>BEML Ltd.</t>
  </si>
  <si>
    <t>NSE:BEML</t>
  </si>
  <si>
    <t>BSE Ltd.</t>
  </si>
  <si>
    <t>NSE:BSE</t>
  </si>
  <si>
    <t>Bajaj Auto Ltd.</t>
  </si>
  <si>
    <t>NSE:BAJAJ-AUTO</t>
  </si>
  <si>
    <t>Bajaj Consumer Care Ltd.</t>
  </si>
  <si>
    <t>NSE:BAJAJCON</t>
  </si>
  <si>
    <t>Bajaj Electricals Ltd</t>
  </si>
  <si>
    <t>NSE:BAJAJELEC</t>
  </si>
  <si>
    <t>Bajaj Finance Ltd.</t>
  </si>
  <si>
    <t>NSE:BAJFINANCE</t>
  </si>
  <si>
    <t>Bajaj Finserv Ltd.</t>
  </si>
  <si>
    <t>NSE:BAJAJFINSV</t>
  </si>
  <si>
    <t>Bajaj Holdings &amp; Investment Ltd.</t>
  </si>
  <si>
    <t>NSE:BAJAJHLDNG</t>
  </si>
  <si>
    <t>Balaji Amines Ltd.</t>
  </si>
  <si>
    <t>NSE:BALAMINES</t>
  </si>
  <si>
    <t>Balkrishna Industries Ltd.</t>
  </si>
  <si>
    <t>NSE:BALKRISIND</t>
  </si>
  <si>
    <t>Balmer Lawrie &amp; Co. Ltd.</t>
  </si>
  <si>
    <t>NSE:BALMLAWRIE</t>
  </si>
  <si>
    <t>Balrampur Chini Mills Ltd.</t>
  </si>
  <si>
    <t>NSE:BALRAMCHIN</t>
  </si>
  <si>
    <t>Bandhan Bank Ltd.</t>
  </si>
  <si>
    <t>NSE:BANDHANBNK</t>
  </si>
  <si>
    <t>Bank of Baroda</t>
  </si>
  <si>
    <t>NSE:BANKBARODA</t>
  </si>
  <si>
    <t>Bank of India</t>
  </si>
  <si>
    <t>NSE:BANKINDIA</t>
  </si>
  <si>
    <t>Bank of Maharashtra.</t>
  </si>
  <si>
    <t>NSE:MAHABANK</t>
  </si>
  <si>
    <t>Bata India Ltd.</t>
  </si>
  <si>
    <t>NSE:BATAINDIA</t>
  </si>
  <si>
    <t>Bayer Cropscience Ltd.</t>
  </si>
  <si>
    <t>FERTILISERS &amp; PESTICIDES</t>
  </si>
  <si>
    <t>NSE:BAYERCROP</t>
  </si>
  <si>
    <t>Berger Paints India Ltd.</t>
  </si>
  <si>
    <t>NSE:BERGEPAINT</t>
  </si>
  <si>
    <t>Bharat Dynamics Ltd.</t>
  </si>
  <si>
    <t>NSE:BDL</t>
  </si>
  <si>
    <t>Bharat Electronics Ltd.</t>
  </si>
  <si>
    <t>NSE:BEL</t>
  </si>
  <si>
    <t>Bharat Forge Ltd.</t>
  </si>
  <si>
    <t>NSE:BHARATFORG</t>
  </si>
  <si>
    <t>Bharat Heavy Electricals Ltd.</t>
  </si>
  <si>
    <t>NSE:BHEL</t>
  </si>
  <si>
    <t>Bharat Petroleum Corporation Ltd.</t>
  </si>
  <si>
    <t>NSE:BPCL</t>
  </si>
  <si>
    <t>Bharat Rasayan Ltd.</t>
  </si>
  <si>
    <t>NSE:BHARATRAS</t>
  </si>
  <si>
    <t>Bharti Airtel Ltd.</t>
  </si>
  <si>
    <t>TELECOM</t>
  </si>
  <si>
    <t>NSE:BHARTIARTL</t>
  </si>
  <si>
    <t>Biocon Ltd.</t>
  </si>
  <si>
    <t>NSE:BIOCON</t>
  </si>
  <si>
    <t>Birla Corporation Ltd.</t>
  </si>
  <si>
    <t>NSE:BIRLACORPN</t>
  </si>
  <si>
    <t>Birlasoft Ltd.</t>
  </si>
  <si>
    <t>NSE:BSOFT</t>
  </si>
  <si>
    <t>Bliss GVS Pharma Ltd.</t>
  </si>
  <si>
    <t>NSE:BLISSGVS</t>
  </si>
  <si>
    <t>Blue Dart Express Ltd.</t>
  </si>
  <si>
    <t>NSE:BLUEDART</t>
  </si>
  <si>
    <t>Blue Star Ltd.</t>
  </si>
  <si>
    <t>NSE:BLUESTARCO</t>
  </si>
  <si>
    <t>Bombay Burmah Trading Corporation Ltd.</t>
  </si>
  <si>
    <t>NSE:BBTC</t>
  </si>
  <si>
    <t>Bosch Ltd.</t>
  </si>
  <si>
    <t>NSE:BOSCHLTD</t>
  </si>
  <si>
    <t>Brigade Enterprises Ltd.</t>
  </si>
  <si>
    <t>NSE:BRIGADE</t>
  </si>
  <si>
    <t>Britannia Industries Ltd.</t>
  </si>
  <si>
    <t>NSE:BRITANNIA</t>
  </si>
  <si>
    <t>Burger King India Ltd.</t>
  </si>
  <si>
    <t>NSE:BURGERKING</t>
  </si>
  <si>
    <t>CCL Products (I) Ltd.</t>
  </si>
  <si>
    <t>NSE:CCL</t>
  </si>
  <si>
    <t>CESC Ltd.</t>
  </si>
  <si>
    <t>NSE:CESC</t>
  </si>
  <si>
    <t>CRISIL Ltd.</t>
  </si>
  <si>
    <t>NSE:CRISIL</t>
  </si>
  <si>
    <t>CSB Bank Ltd.</t>
  </si>
  <si>
    <t>NSE:CSBBANK</t>
  </si>
  <si>
    <t>Cadila Healthcare Ltd.</t>
  </si>
  <si>
    <t>NSE:CADILAHC</t>
  </si>
  <si>
    <t>Can Fin Homes Ltd.</t>
  </si>
  <si>
    <t>NSE:CANFINHOME</t>
  </si>
  <si>
    <t>Canara Bank</t>
  </si>
  <si>
    <t>NSE:CANBK</t>
  </si>
  <si>
    <t>Caplin Point Laboratories Ltd.</t>
  </si>
  <si>
    <t>NSE:CAPLIPOINT</t>
  </si>
  <si>
    <t>Capri Global Capital Ltd.</t>
  </si>
  <si>
    <t>NSE:CGCL</t>
  </si>
  <si>
    <t>Carborundum Universal Ltd.</t>
  </si>
  <si>
    <t>NSE:CARBORUNIV</t>
  </si>
  <si>
    <t>Castrol India Ltd.</t>
  </si>
  <si>
    <t>NSE:CASTROLIND</t>
  </si>
  <si>
    <t>Ceat Ltd.</t>
  </si>
  <si>
    <t>NSE:CEATLTD</t>
  </si>
  <si>
    <t>Central Bank of India</t>
  </si>
  <si>
    <t>NSE:CENTRALBK</t>
  </si>
  <si>
    <t>Central Depository Services (India) Ltd.</t>
  </si>
  <si>
    <t>NSE:CDSL</t>
  </si>
  <si>
    <t>Century Plyboards (India) Ltd.</t>
  </si>
  <si>
    <t>NSE:CENTURYPLY</t>
  </si>
  <si>
    <t>Century Textile &amp; Industries Ltd.</t>
  </si>
  <si>
    <t>PAPER AND JUTE</t>
  </si>
  <si>
    <t>NSE:CENTURYTEX</t>
  </si>
  <si>
    <t>Cera Sanitaryware Ltd</t>
  </si>
  <si>
    <t>NSE:CERA</t>
  </si>
  <si>
    <t>Chalet Hotels Ltd.</t>
  </si>
  <si>
    <t>NSE:CHALET</t>
  </si>
  <si>
    <t>Chambal Fertilizers &amp; Chemicals Ltd.</t>
  </si>
  <si>
    <t>NSE:CHAMBLFERT</t>
  </si>
  <si>
    <t>Cholamandalam Financial Holdings Ltd.</t>
  </si>
  <si>
    <t>NSE:CHOLAHLDNG</t>
  </si>
  <si>
    <t>Cholamandalam Investment and Finance Company Ltd.</t>
  </si>
  <si>
    <t>NSE:CHOLAFIN</t>
  </si>
  <si>
    <t>Cipla Ltd.</t>
  </si>
  <si>
    <t>NSE:CIPLA</t>
  </si>
  <si>
    <t>City Union Bank Ltd.</t>
  </si>
  <si>
    <t>NSE:CUB</t>
  </si>
  <si>
    <t>Coal India Ltd.</t>
  </si>
  <si>
    <t>NSE:COALINDIA</t>
  </si>
  <si>
    <t>Cochin Shipyard Ltd.</t>
  </si>
  <si>
    <t>NSE:COCHINSHIP</t>
  </si>
  <si>
    <t>Coforge Ltd.</t>
  </si>
  <si>
    <t>NSE:COFORGE</t>
  </si>
  <si>
    <t>Colgate Palmolive (India) Ltd.</t>
  </si>
  <si>
    <t>NSE:COLPAL</t>
  </si>
  <si>
    <t>Computer Age Management Services Ltd.</t>
  </si>
  <si>
    <t>NSE:CAMS</t>
  </si>
  <si>
    <t>Container Corporation of India Ltd.</t>
  </si>
  <si>
    <t>NSE:CONCOR</t>
  </si>
  <si>
    <t>Coromandel International Ltd.</t>
  </si>
  <si>
    <t>NSE:COROMANDEL</t>
  </si>
  <si>
    <t>CreditAccess Grameen Ltd.</t>
  </si>
  <si>
    <t>NSE:CREDITACC</t>
  </si>
  <si>
    <t>Crompton Greaves Consumer Electricals Ltd.</t>
  </si>
  <si>
    <t>NSE:CROMPTON</t>
  </si>
  <si>
    <t>Cummins India Ltd.</t>
  </si>
  <si>
    <t>NSE:CUMMINSIND</t>
  </si>
  <si>
    <t>Cyient Ltd.</t>
  </si>
  <si>
    <t>NSE:CYIENT</t>
  </si>
  <si>
    <t>DCB Bank Ltd.</t>
  </si>
  <si>
    <t>NSE:DCBBANK</t>
  </si>
  <si>
    <t>DCM Shriram Ltd.</t>
  </si>
  <si>
    <t>NSE:DCMSHRIRAM</t>
  </si>
  <si>
    <t>DLF Ltd.</t>
  </si>
  <si>
    <t>NSE:DLF</t>
  </si>
  <si>
    <t>Dabur India Ltd.</t>
  </si>
  <si>
    <t>NSE:DABUR</t>
  </si>
  <si>
    <t>Dalmia Bharat Ltd.</t>
  </si>
  <si>
    <t>NSE:DALBHARAT</t>
  </si>
  <si>
    <t>Deepak Nitrite Ltd.</t>
  </si>
  <si>
    <t>NSE:DEEPAKNTR</t>
  </si>
  <si>
    <t>Delta Corp Ltd.</t>
  </si>
  <si>
    <t>NSE:DELTACORP</t>
  </si>
  <si>
    <t>Dhani Services Ltd.</t>
  </si>
  <si>
    <t>NSE:DHANI</t>
  </si>
  <si>
    <t>Dhanuka Agritech Ltd.</t>
  </si>
  <si>
    <t>NSE:DHANUKA</t>
  </si>
  <si>
    <t>Dilip Buildcon Ltd.</t>
  </si>
  <si>
    <t>NSE:DBL</t>
  </si>
  <si>
    <t>Dish TV India Ltd.</t>
  </si>
  <si>
    <t>MEDIA ENTERTAINMENT &amp; PUBLICATION</t>
  </si>
  <si>
    <t>NSE:DISHTV</t>
  </si>
  <si>
    <t>Dishman Carbogen Amcis Ltd.</t>
  </si>
  <si>
    <t>NSE:DCAL</t>
  </si>
  <si>
    <t>Divi's Laboratories Ltd.</t>
  </si>
  <si>
    <t>NSE:DIVISLAB</t>
  </si>
  <si>
    <t>Dixon Technologies (India) Ltd.</t>
  </si>
  <si>
    <t>NSE:DIXON</t>
  </si>
  <si>
    <t>Dr. Lal Path Labs Ltd.</t>
  </si>
  <si>
    <t>NSE:LALPATHLAB</t>
  </si>
  <si>
    <t>Dr. Reddy's Laboratories Ltd.</t>
  </si>
  <si>
    <t>NSE:DRREDDY</t>
  </si>
  <si>
    <t>E.I.D. Parry (India) Ltd.</t>
  </si>
  <si>
    <t>NSE:EIDPARRY</t>
  </si>
  <si>
    <t>EIH Ltd.</t>
  </si>
  <si>
    <t>NSE:EIHOTEL</t>
  </si>
  <si>
    <t>EPL Ltd.</t>
  </si>
  <si>
    <t>NSE:EPL</t>
  </si>
  <si>
    <t>Edelweiss Financial Services Ltd.</t>
  </si>
  <si>
    <t>NSE:EDELWEISS</t>
  </si>
  <si>
    <t>Eicher Motors Ltd.</t>
  </si>
  <si>
    <t>NSE:EICHERMOT</t>
  </si>
  <si>
    <t>Elgi Equipments Ltd.</t>
  </si>
  <si>
    <t>NSE:ELGIEQUIP</t>
  </si>
  <si>
    <t>Emami Ltd.</t>
  </si>
  <si>
    <t>NSE:EMAMILTD</t>
  </si>
  <si>
    <t>Endurance Technologies Ltd.</t>
  </si>
  <si>
    <t>NSE:ENDURANCE</t>
  </si>
  <si>
    <t>Engineers India Ltd.</t>
  </si>
  <si>
    <t>NSE:ENGINERSIN</t>
  </si>
  <si>
    <t>Equitas Holdings Ltd.</t>
  </si>
  <si>
    <t>NSE:EQUITAS</t>
  </si>
  <si>
    <t>Eris Lifesciences Ltd.</t>
  </si>
  <si>
    <t>NSE:ERIS</t>
  </si>
  <si>
    <t>Escorts Ltd.</t>
  </si>
  <si>
    <t>NSE:ESCORTS</t>
  </si>
  <si>
    <t>Exide Industries Ltd.</t>
  </si>
  <si>
    <t>NSE:EXIDEIND</t>
  </si>
  <si>
    <t>FDC Ltd.</t>
  </si>
  <si>
    <t>NSE:FDC</t>
  </si>
  <si>
    <t>Federal Bank Ltd.</t>
  </si>
  <si>
    <t>NSE:FEDERALBNK</t>
  </si>
  <si>
    <t>Fine Organic Industries Ltd.</t>
  </si>
  <si>
    <t>NSE:FINEORG</t>
  </si>
  <si>
    <t>Finolex Cables Ltd.</t>
  </si>
  <si>
    <t>NSE:FINCABLES</t>
  </si>
  <si>
    <t>Finolex Industries Ltd.</t>
  </si>
  <si>
    <t>NSE:FINPIPE</t>
  </si>
  <si>
    <t>Firstsource Solutions Ltd.</t>
  </si>
  <si>
    <t>NSE:FSL</t>
  </si>
  <si>
    <t>Fortis Healthcare Ltd.</t>
  </si>
  <si>
    <t>NSE:FORTIS</t>
  </si>
  <si>
    <t>Future Consumer Ltd.</t>
  </si>
  <si>
    <t>NSE:FCONSUMER</t>
  </si>
  <si>
    <t>Future Retail Ltd.</t>
  </si>
  <si>
    <t>NSE:FRETAIL</t>
  </si>
  <si>
    <t>GAIL (India) Ltd.</t>
  </si>
  <si>
    <t>NSE:GAIL</t>
  </si>
  <si>
    <t>GE Power India Ltd.</t>
  </si>
  <si>
    <t>NSE:GEPIL</t>
  </si>
  <si>
    <t>GMM Pfaudler Ltd.</t>
  </si>
  <si>
    <t>NSE:GMMPFAUDLR</t>
  </si>
  <si>
    <t>GMR Infrastructure Ltd.</t>
  </si>
  <si>
    <t>NSE:GMRINFRA</t>
  </si>
  <si>
    <t>Galaxy Surfactants Ltd.</t>
  </si>
  <si>
    <t>NSE:GALAXYSURF</t>
  </si>
  <si>
    <t>Garden Reach Shipbuilders &amp; Engineers Ltd.</t>
  </si>
  <si>
    <t>NSE:GRSE</t>
  </si>
  <si>
    <t>Garware Technical Fibres Ltd.</t>
  </si>
  <si>
    <t>NSE:GARFIBRES</t>
  </si>
  <si>
    <t>General Insurance Corporation of India</t>
  </si>
  <si>
    <t>NSE:GICRE</t>
  </si>
  <si>
    <t>Gillette India Ltd.</t>
  </si>
  <si>
    <t>NSE:GILLETTE</t>
  </si>
  <si>
    <t>Glaxosmithkline Pharmaceuticals Ltd.</t>
  </si>
  <si>
    <t>NSE:GLAXO</t>
  </si>
  <si>
    <t>Glenmark Pharmaceuticals Ltd.</t>
  </si>
  <si>
    <t>NSE:GLENMARK</t>
  </si>
  <si>
    <t>Godfrey Phillips India Ltd.</t>
  </si>
  <si>
    <t>NSE:GODFRYPHLP</t>
  </si>
  <si>
    <t>Godrej Agrovet Ltd.</t>
  </si>
  <si>
    <t>NSE:GODREJAGRO</t>
  </si>
  <si>
    <t>Godrej Consumer Products Ltd.</t>
  </si>
  <si>
    <t>NSE:GODREJCP</t>
  </si>
  <si>
    <t>Godrej Industries Ltd.</t>
  </si>
  <si>
    <t>NSE:GODREJIND</t>
  </si>
  <si>
    <t>Godrej Properties Ltd.</t>
  </si>
  <si>
    <t>NSE:GODREJPROP</t>
  </si>
  <si>
    <t>Granules India Ltd.</t>
  </si>
  <si>
    <t>NSE:GRANULES</t>
  </si>
  <si>
    <t>Graphite India Ltd.</t>
  </si>
  <si>
    <t>NSE:GRAPHITE</t>
  </si>
  <si>
    <t>Grasim Industries Ltd.</t>
  </si>
  <si>
    <t>NSE:GRASIM</t>
  </si>
  <si>
    <t>Great Eastern Shipping Co. Ltd.</t>
  </si>
  <si>
    <t>NSE:GESHIP</t>
  </si>
  <si>
    <t>Greaves Cotton Ltd.</t>
  </si>
  <si>
    <t>NSE:GREAVESCOT</t>
  </si>
  <si>
    <t>Grindwell Norton Ltd.</t>
  </si>
  <si>
    <t>NSE:GRINDWELL</t>
  </si>
  <si>
    <t>Gujarat Alkalies &amp; Chemicals Ltd.</t>
  </si>
  <si>
    <t>NSE:GUJALKALI</t>
  </si>
  <si>
    <t>Gujarat Ambuja Exports Ltd.</t>
  </si>
  <si>
    <t>NSE:GAEL</t>
  </si>
  <si>
    <t>Gujarat Fluorochemicals Ltd.</t>
  </si>
  <si>
    <t>NSE:FLUOROCHEM</t>
  </si>
  <si>
    <t>Gujarat Gas Ltd.</t>
  </si>
  <si>
    <t>NSE:GUJGASLTD</t>
  </si>
  <si>
    <t>Gujarat Narmada Valley Fertilizers and Chemicals Ltd.</t>
  </si>
  <si>
    <t>NSE:GNFC</t>
  </si>
  <si>
    <t>Gujarat Pipavav Port Ltd.</t>
  </si>
  <si>
    <t>NSE:GPPL</t>
  </si>
  <si>
    <t>Gujarat State Fertilizers &amp; Chemicals Ltd.</t>
  </si>
  <si>
    <t>NSE:GSFC</t>
  </si>
  <si>
    <t>Gujarat State Petronet Ltd.</t>
  </si>
  <si>
    <t>NSE:GSPL</t>
  </si>
  <si>
    <t>Gulf Oil Lubricants India Ltd.</t>
  </si>
  <si>
    <t>NSE:GULFOILLUB</t>
  </si>
  <si>
    <t>H.E.G. Ltd.</t>
  </si>
  <si>
    <t>NSE:HEG</t>
  </si>
  <si>
    <t>HCL Technologies Ltd.</t>
  </si>
  <si>
    <t>NSE:HCLTECH</t>
  </si>
  <si>
    <t>HDFC Asset Management Company Ltd.</t>
  </si>
  <si>
    <t>NSE:HDFCAMC</t>
  </si>
  <si>
    <t>HDFC Bank Ltd.</t>
  </si>
  <si>
    <t>NSE:HDFCBANK</t>
  </si>
  <si>
    <t>HDFC Life Insurance Company Ltd.</t>
  </si>
  <si>
    <t>NSE:HDFCLIFE</t>
  </si>
  <si>
    <t>HFCL Ltd.</t>
  </si>
  <si>
    <t>NSE:HFCL</t>
  </si>
  <si>
    <t>Happiest Minds Technologies Ltd.</t>
  </si>
  <si>
    <t>NSE:HAPPSTMNDS</t>
  </si>
  <si>
    <t>Hatsun Agro Product Ltd.</t>
  </si>
  <si>
    <t>NSE:HATSUN</t>
  </si>
  <si>
    <t>Havells India Ltd.</t>
  </si>
  <si>
    <t>NSE:HAVELLS</t>
  </si>
  <si>
    <t>HeidelbergCement India Ltd.</t>
  </si>
  <si>
    <t>NSE:HEIDELBERG</t>
  </si>
  <si>
    <t>Hemisphere Properties India Ltd.</t>
  </si>
  <si>
    <t>NSE:HEMIPROP</t>
  </si>
  <si>
    <t>Hero MotoCorp Ltd.</t>
  </si>
  <si>
    <t>NSE:HEROMOTOCO</t>
  </si>
  <si>
    <t>Himadri Speciality Chemical Ltd.</t>
  </si>
  <si>
    <t>NSE:HSCL</t>
  </si>
  <si>
    <t>Hindalco Industries Ltd.</t>
  </si>
  <si>
    <t>NSE:HINDALCO</t>
  </si>
  <si>
    <t>Hindustan Aeronautics Ltd.</t>
  </si>
  <si>
    <t>NSE:HAL</t>
  </si>
  <si>
    <t>Hindustan Copper Ltd.</t>
  </si>
  <si>
    <t>NSE:HINDCOPPER</t>
  </si>
  <si>
    <t>Hindustan Petroleum Corporation Ltd.</t>
  </si>
  <si>
    <t>NSE:HINDPETRO</t>
  </si>
  <si>
    <t>Hindustan Unilever Ltd.</t>
  </si>
  <si>
    <t>NSE:HINDUNILVR</t>
  </si>
  <si>
    <t>Hindustan Zinc Ltd.</t>
  </si>
  <si>
    <t>NSE:HINDZINC</t>
  </si>
  <si>
    <t>Honeywell Automation India Ltd.</t>
  </si>
  <si>
    <t>NSE:HONAUT</t>
  </si>
  <si>
    <t>Housing &amp; Urban Development Corporation Ltd.</t>
  </si>
  <si>
    <t>NSE:HUDCO</t>
  </si>
  <si>
    <t>Housing Development Finance Corporation Ltd.</t>
  </si>
  <si>
    <t>NSE:HDFC</t>
  </si>
  <si>
    <t>Huhtamaki India Ltd.</t>
  </si>
  <si>
    <t>NSE:HUHTAMAKI</t>
  </si>
  <si>
    <t>ICICI Bank Ltd.</t>
  </si>
  <si>
    <t>NSE:ICICIBANK</t>
  </si>
  <si>
    <t>ICICI Lombard General Insurance Company Ltd.</t>
  </si>
  <si>
    <t>NSE:ICICIGI</t>
  </si>
  <si>
    <t>ICICI Prudential Life Insurance Company Ltd.</t>
  </si>
  <si>
    <t>NSE:ICICIPRULI</t>
  </si>
  <si>
    <t>ICICI Securities Ltd.</t>
  </si>
  <si>
    <t>NSE:ISEC</t>
  </si>
  <si>
    <t>IDBI Bank Ltd.</t>
  </si>
  <si>
    <t>NSE:IDBI</t>
  </si>
  <si>
    <t>IDFC First Bank Ltd.</t>
  </si>
  <si>
    <t>NSE:IDFCFIRSTB</t>
  </si>
  <si>
    <t>IDFC Ltd.</t>
  </si>
  <si>
    <t>NSE:IDFC</t>
  </si>
  <si>
    <t>IFB Industries Ltd.</t>
  </si>
  <si>
    <t>NSE:IFBIND</t>
  </si>
  <si>
    <t>IIFL Finance Ltd.</t>
  </si>
  <si>
    <t>NSE:IIFL</t>
  </si>
  <si>
    <t>IIFL Wealth Management Ltd.</t>
  </si>
  <si>
    <t>NSE:IIFLWAM</t>
  </si>
  <si>
    <t>IOL Chem and Pharma Ltd.</t>
  </si>
  <si>
    <t>NSE:IOLCP</t>
  </si>
  <si>
    <t>IRB Infrastructure Developers Ltd.</t>
  </si>
  <si>
    <t>NSE:IRB</t>
  </si>
  <si>
    <t>IRCON International Ltd.</t>
  </si>
  <si>
    <t>NSE:IRCON</t>
  </si>
  <si>
    <t>ITC Ltd.</t>
  </si>
  <si>
    <t>NSE:ITC</t>
  </si>
  <si>
    <t>ITI Ltd.</t>
  </si>
  <si>
    <t>NSE:ITI</t>
  </si>
  <si>
    <t>India Cements Ltd.</t>
  </si>
  <si>
    <t>NSE:INDIACEM</t>
  </si>
  <si>
    <t>Indiabulls Housing Finance Ltd.</t>
  </si>
  <si>
    <t>NSE:IBULHSGFIN</t>
  </si>
  <si>
    <t>Indiabulls Real Estate Ltd.</t>
  </si>
  <si>
    <t>NSE:IBREALEST</t>
  </si>
  <si>
    <t>Indiamart Intermesh Ltd.</t>
  </si>
  <si>
    <t>NSE:INDIAMART</t>
  </si>
  <si>
    <t>Indian Bank</t>
  </si>
  <si>
    <t>NSE:INDIANB</t>
  </si>
  <si>
    <t>Indian Energy Exchange Ltd.</t>
  </si>
  <si>
    <t>NSE:IEX</t>
  </si>
  <si>
    <t>Indian Hotels Co. Ltd.</t>
  </si>
  <si>
    <t>NSE:INDHOTEL</t>
  </si>
  <si>
    <t>Indian Oil Corporation Ltd.</t>
  </si>
  <si>
    <t>NSE:IOC</t>
  </si>
  <si>
    <t>Indian Overseas Bank</t>
  </si>
  <si>
    <t>NSE:IOB</t>
  </si>
  <si>
    <t>Indian Railway Catering And Tourism Corporation Ltd.</t>
  </si>
  <si>
    <t>NSE:IRCTC</t>
  </si>
  <si>
    <t>Indo Count Industries Ltd.</t>
  </si>
  <si>
    <t>NSE:ICIL</t>
  </si>
  <si>
    <t>Indoco Remedies Ltd.</t>
  </si>
  <si>
    <t>NSE:INDOCO</t>
  </si>
  <si>
    <t>Indraprastha Gas Ltd.</t>
  </si>
  <si>
    <t>NSE:IGL</t>
  </si>
  <si>
    <t>Indus Towers Ltd.</t>
  </si>
  <si>
    <t>NSE:INDUSTOWER</t>
  </si>
  <si>
    <t>IndusInd Bank Ltd.</t>
  </si>
  <si>
    <t>NSE:INDUSINDBK</t>
  </si>
  <si>
    <t>Infibeam Avenues Ltd.</t>
  </si>
  <si>
    <t>NSE:INFIBEAM</t>
  </si>
  <si>
    <t>Info Edge (India) Ltd.</t>
  </si>
  <si>
    <t>NSE:NAUKRI</t>
  </si>
  <si>
    <t>Infosys Ltd.</t>
  </si>
  <si>
    <t>NSE:INFY</t>
  </si>
  <si>
    <t>Ingersoll Rand (India) Ltd.</t>
  </si>
  <si>
    <t>NSE:INGERRAND</t>
  </si>
  <si>
    <t>Inox Leisure Ltd.</t>
  </si>
  <si>
    <t>NSE:INOXLEISUR</t>
  </si>
  <si>
    <t>Intellect Design Arena Ltd.</t>
  </si>
  <si>
    <t>NSE:INTELLECT</t>
  </si>
  <si>
    <t>InterGlobe Aviation Ltd.</t>
  </si>
  <si>
    <t>NSE:INDIGO</t>
  </si>
  <si>
    <t>Ipca Laboratories Ltd.</t>
  </si>
  <si>
    <t>NSE:IPCALAB</t>
  </si>
  <si>
    <t>J.B. Chemicals &amp; Pharmaceuticals Ltd.</t>
  </si>
  <si>
    <t>NSE:JBCHEPHARM</t>
  </si>
  <si>
    <t>J.K. Cement Ltd.</t>
  </si>
  <si>
    <t>NSE:JKCEMENT</t>
  </si>
  <si>
    <t>JK Lakshmi Cement Ltd.</t>
  </si>
  <si>
    <t>NSE:JKLAKSHMI</t>
  </si>
  <si>
    <t>JK Paper Ltd.</t>
  </si>
  <si>
    <t>NSE:JKPAPER</t>
  </si>
  <si>
    <t>JK Tyre &amp; Industries Ltd.</t>
  </si>
  <si>
    <t>NSE:JKTYRE</t>
  </si>
  <si>
    <t>JM Financial Ltd.</t>
  </si>
  <si>
    <t>NSE:JMFINANCIL</t>
  </si>
  <si>
    <t>JSW Energy Ltd.</t>
  </si>
  <si>
    <t>NSE:JSWENERGY</t>
  </si>
  <si>
    <t>JSW Steel Ltd.</t>
  </si>
  <si>
    <t>NSE:JSWSTEEL</t>
  </si>
  <si>
    <t>JTEKT India Ltd.</t>
  </si>
  <si>
    <t>NSE:JTEKTINDIA</t>
  </si>
  <si>
    <t>Jamna Auto Industries Ltd.</t>
  </si>
  <si>
    <t>NSE:JAMNAAUTO</t>
  </si>
  <si>
    <t>Jindal Saw Ltd.</t>
  </si>
  <si>
    <t>NSE:JINDALSAW</t>
  </si>
  <si>
    <t>Jindal Stainless (Hisar) Ltd.</t>
  </si>
  <si>
    <t>NSE:JSLHISAR</t>
  </si>
  <si>
    <t>Jindal Stainless Ltd.</t>
  </si>
  <si>
    <t>NSE:JSL</t>
  </si>
  <si>
    <t>Jindal Steel &amp; Power Ltd.</t>
  </si>
  <si>
    <t>NSE:JINDALSTEL</t>
  </si>
  <si>
    <t>Johnson Controls - Hitachi Air Conditioning India Ltd.</t>
  </si>
  <si>
    <t>NSE:JCHAC</t>
  </si>
  <si>
    <t>Jubilant Foodworks Ltd.</t>
  </si>
  <si>
    <t>NSE:JUBLFOOD</t>
  </si>
  <si>
    <t>Justdial Ltd.</t>
  </si>
  <si>
    <t>NSE:JUSTDIAL</t>
  </si>
  <si>
    <t>Jyothy Labs Ltd.</t>
  </si>
  <si>
    <t>NSE:JYOTHYLAB</t>
  </si>
  <si>
    <t>K.P.R. Mill Ltd.</t>
  </si>
  <si>
    <t>NSE:KPRMILL</t>
  </si>
  <si>
    <t>KEI Industries Ltd.</t>
  </si>
  <si>
    <t>NSE:KEI</t>
  </si>
  <si>
    <t>KNR Constructions Ltd.</t>
  </si>
  <si>
    <t>NSE:KNRCON</t>
  </si>
  <si>
    <t>KPIT Technologies Ltd.</t>
  </si>
  <si>
    <t>NSE:KPITTECH</t>
  </si>
  <si>
    <t>KRBL Ltd.</t>
  </si>
  <si>
    <t>NSE:KRBL</t>
  </si>
  <si>
    <t>KSB Ltd.</t>
  </si>
  <si>
    <t>NSE:KSB</t>
  </si>
  <si>
    <t>Kajaria Ceramics Ltd.</t>
  </si>
  <si>
    <t>NSE:KAJARIACER</t>
  </si>
  <si>
    <t>Kalpataru Power Transmission Ltd.</t>
  </si>
  <si>
    <t>NSE:KALPATPOWR</t>
  </si>
  <si>
    <t>Kansai Nerolac Paints Ltd.</t>
  </si>
  <si>
    <t>NSE:KANSAINER</t>
  </si>
  <si>
    <t>Karur Vysya Bank Ltd.</t>
  </si>
  <si>
    <t>NSE:KARURVYSYA</t>
  </si>
  <si>
    <t>Kaveri Seed Company Ltd.</t>
  </si>
  <si>
    <t>NSE:KSCL</t>
  </si>
  <si>
    <t>Kec International Ltd.</t>
  </si>
  <si>
    <t>NSE:KEC</t>
  </si>
  <si>
    <t>Kotak Mahindra Bank Ltd.</t>
  </si>
  <si>
    <t>NSE:KOTAKBANK</t>
  </si>
  <si>
    <t>L&amp;T Finance Holdings Ltd.</t>
  </si>
  <si>
    <t>NSE:L&amp;TFH</t>
  </si>
  <si>
    <t>L&amp;T Technology Services Ltd.</t>
  </si>
  <si>
    <t>NSE:LTTS</t>
  </si>
  <si>
    <t>LIC Housing Finance Ltd.</t>
  </si>
  <si>
    <t>NSE:LICHSGFIN</t>
  </si>
  <si>
    <t>La Opala RG Ltd.</t>
  </si>
  <si>
    <t>NSE:LAOPALA</t>
  </si>
  <si>
    <t>Lakshmi Machine Works Ltd.</t>
  </si>
  <si>
    <t>NSE:LAXMIMACH</t>
  </si>
  <si>
    <t>Larsen &amp; Toubro Infotech Ltd.</t>
  </si>
  <si>
    <t>NSE:LTI</t>
  </si>
  <si>
    <t>Larsen &amp; Toubro Ltd.</t>
  </si>
  <si>
    <t>NSE:LT</t>
  </si>
  <si>
    <t>Laurus Labs Ltd.</t>
  </si>
  <si>
    <t>NSE:LAURUSLABS</t>
  </si>
  <si>
    <t>Lemon Tree Hotels Ltd.</t>
  </si>
  <si>
    <t>NSE:LEMONTREE</t>
  </si>
  <si>
    <t>Linde India Ltd.</t>
  </si>
  <si>
    <t>NSE:LINDEINDIA</t>
  </si>
  <si>
    <t>Lupin Ltd.</t>
  </si>
  <si>
    <t>NSE:LUPIN</t>
  </si>
  <si>
    <t>Lux Industries Ltd.</t>
  </si>
  <si>
    <t>NSE:LUXIND</t>
  </si>
  <si>
    <t>MAS Financial Services Ltd.</t>
  </si>
  <si>
    <t>NSE:MASFIN</t>
  </si>
  <si>
    <t>MMTC Ltd.</t>
  </si>
  <si>
    <t>NSE:MMTC</t>
  </si>
  <si>
    <t>MOIL Ltd.</t>
  </si>
  <si>
    <t>NSE:MOIL</t>
  </si>
  <si>
    <t>MRF Ltd.</t>
  </si>
  <si>
    <t>NSE:MRF</t>
  </si>
  <si>
    <t>Mahanagar Gas Ltd.</t>
  </si>
  <si>
    <t>NSE:MGL</t>
  </si>
  <si>
    <t>Maharashtra Scooters Ltd.</t>
  </si>
  <si>
    <t>NSE:MAHSCOOTER</t>
  </si>
  <si>
    <t>Maharashtra Seamless Ltd.</t>
  </si>
  <si>
    <t>NSE:MAHSEAMLES</t>
  </si>
  <si>
    <t>Mahindra &amp; Mahindra Financial Services Ltd.</t>
  </si>
  <si>
    <t>NSE:M&amp;MFIN</t>
  </si>
  <si>
    <t>Mahindra &amp; Mahindra Ltd.</t>
  </si>
  <si>
    <t>NSE:M&amp;M</t>
  </si>
  <si>
    <t>Mahindra CIE Automotive Ltd.</t>
  </si>
  <si>
    <t>NSE:MAHINDCIE</t>
  </si>
  <si>
    <t>Mahindra Holidays &amp; Resorts India Ltd.</t>
  </si>
  <si>
    <t>NSE:MHRIL</t>
  </si>
  <si>
    <t>Mahindra Logistics Ltd.</t>
  </si>
  <si>
    <t>NSE:MAHLOG</t>
  </si>
  <si>
    <t>Manappuram Finance Ltd.</t>
  </si>
  <si>
    <t>NSE:MANAPPURAM</t>
  </si>
  <si>
    <t>Mangalore Refinery &amp; Petrochemicals Ltd.</t>
  </si>
  <si>
    <t>NSE:MRPL</t>
  </si>
  <si>
    <t>Marico Ltd.</t>
  </si>
  <si>
    <t>NSE:MARICO</t>
  </si>
  <si>
    <t>Maruti Suzuki India Ltd.</t>
  </si>
  <si>
    <t>NSE:MARUTI</t>
  </si>
  <si>
    <t>Max Financial Services Ltd.</t>
  </si>
  <si>
    <t>NSE:MFSL</t>
  </si>
  <si>
    <t>Max Healthcare Institute Ltd.</t>
  </si>
  <si>
    <t>NSE:MAXHEALTH</t>
  </si>
  <si>
    <t>Mazagoan Dock Shipbuilders Ltd.</t>
  </si>
  <si>
    <t>NSE:MAZDOCK</t>
  </si>
  <si>
    <t>Metropolis Healthcare Ltd.</t>
  </si>
  <si>
    <t>NSE:METROPOLIS</t>
  </si>
  <si>
    <t>MindTree Ltd.</t>
  </si>
  <si>
    <t>NSE:MINDTREE</t>
  </si>
  <si>
    <t>Minda Corporation Ltd.</t>
  </si>
  <si>
    <t>NSE:MINDACORP</t>
  </si>
  <si>
    <t>Minda Industries Ltd.</t>
  </si>
  <si>
    <t>NSE:MINDAIND</t>
  </si>
  <si>
    <t>Mishra Dhatu Nigam Ltd.</t>
  </si>
  <si>
    <t>NSE:MIDHANI</t>
  </si>
  <si>
    <t>Motherson Sumi Systems Ltd.</t>
  </si>
  <si>
    <t>NSE:MOTHERSUMI</t>
  </si>
  <si>
    <t>Motilal Oswal Financial Services Ltd.</t>
  </si>
  <si>
    <t>NSE:MOTILALOFS</t>
  </si>
  <si>
    <t>MphasiS Ltd.</t>
  </si>
  <si>
    <t>NSE:MPHASIS</t>
  </si>
  <si>
    <t>Multi Commodity Exchange of India Ltd.</t>
  </si>
  <si>
    <t>NSE:MCX</t>
  </si>
  <si>
    <t>Muthoot Finance Ltd.</t>
  </si>
  <si>
    <t>NSE:MUTHOOTFIN</t>
  </si>
  <si>
    <t>NATCO Pharma Ltd.</t>
  </si>
  <si>
    <t>NSE:NATCOPHARM</t>
  </si>
  <si>
    <t>NBCC (India) Ltd.</t>
  </si>
  <si>
    <t>NSE:NBCC</t>
  </si>
  <si>
    <t>NCC Ltd.</t>
  </si>
  <si>
    <t>NSE:NCC</t>
  </si>
  <si>
    <t>NESCO Ltd.</t>
  </si>
  <si>
    <t>NSE:NESCO</t>
  </si>
  <si>
    <t>NHPC Ltd.</t>
  </si>
  <si>
    <t>NSE:NHPC</t>
  </si>
  <si>
    <t>NLC India Ltd.</t>
  </si>
  <si>
    <t>NSE:NLCINDIA</t>
  </si>
  <si>
    <t>NMDC Ltd.</t>
  </si>
  <si>
    <t>NSE:NMDC</t>
  </si>
  <si>
    <t>NOCIL Ltd.</t>
  </si>
  <si>
    <t>NSE:NOCIL</t>
  </si>
  <si>
    <t>NTPC Ltd.</t>
  </si>
  <si>
    <t>NSE:NTPC</t>
  </si>
  <si>
    <t>Narayana Hrudayalaya Ltd.</t>
  </si>
  <si>
    <t>NSE:NH</t>
  </si>
  <si>
    <t>National Aluminium Co. Ltd.</t>
  </si>
  <si>
    <t>NSE:NATIONALUM</t>
  </si>
  <si>
    <t>National Fertilizers Ltd.</t>
  </si>
  <si>
    <t>NSE:NFL</t>
  </si>
  <si>
    <t>Navin Fluorine International Ltd.</t>
  </si>
  <si>
    <t>NSE:NAVINFLUOR</t>
  </si>
  <si>
    <t>Nestle India Ltd.</t>
  </si>
  <si>
    <t>NSE:NESTLEIND</t>
  </si>
  <si>
    <t>Network18 Media &amp; Investments Ltd.</t>
  </si>
  <si>
    <t>NSE:NETWORK18</t>
  </si>
  <si>
    <t>Nilkamal Ltd.</t>
  </si>
  <si>
    <t>NSE:NILKAMAL</t>
  </si>
  <si>
    <t>Nippon Life India Asset Management Ltd.</t>
  </si>
  <si>
    <t>NSE:NAM-INDIA</t>
  </si>
  <si>
    <t>Oberoi Realty Ltd.</t>
  </si>
  <si>
    <t>NSE:OBEROIRLTY</t>
  </si>
  <si>
    <t>Oil &amp; Natural Gas Corporation Ltd.</t>
  </si>
  <si>
    <t>NSE:ONGC</t>
  </si>
  <si>
    <t>Oil India Ltd.</t>
  </si>
  <si>
    <t>NSE:OIL</t>
  </si>
  <si>
    <t>Oracle Financial Services Software Ltd.</t>
  </si>
  <si>
    <t>NSE:OFSS</t>
  </si>
  <si>
    <t>Orient Electric Ltd.</t>
  </si>
  <si>
    <t>NSE:ORIENTELEC</t>
  </si>
  <si>
    <t>Orient Refractories Ltd.</t>
  </si>
  <si>
    <t>NSE:ORIENTREF</t>
  </si>
  <si>
    <t>PI Industries Ltd.</t>
  </si>
  <si>
    <t>NSE:PIIND</t>
  </si>
  <si>
    <t>PNB Housing Finance Ltd.</t>
  </si>
  <si>
    <t>NSE:PNBHOUSING</t>
  </si>
  <si>
    <t>PNC Infratech Ltd.</t>
  </si>
  <si>
    <t>NSE:PNCINFRA</t>
  </si>
  <si>
    <t>PVR Ltd.</t>
  </si>
  <si>
    <t>NSE:PVR</t>
  </si>
  <si>
    <t>Page Industries Ltd.</t>
  </si>
  <si>
    <t>NSE:PAGEIND</t>
  </si>
  <si>
    <t>Persistent Systems Ltd.</t>
  </si>
  <si>
    <t>NSE:PERSISTENT</t>
  </si>
  <si>
    <t>Petronet LNG Ltd.</t>
  </si>
  <si>
    <t>NSE:PETRONET</t>
  </si>
  <si>
    <t>Pfizer Ltd.</t>
  </si>
  <si>
    <t>NSE:PFIZER</t>
  </si>
  <si>
    <t>Phillips Carbon Black Ltd.</t>
  </si>
  <si>
    <t>NSE:PHILIPCARB</t>
  </si>
  <si>
    <t>Phoenix Mills Ltd.</t>
  </si>
  <si>
    <t>NSE:PHOENIXLTD</t>
  </si>
  <si>
    <t>Pidilite Industries Ltd.</t>
  </si>
  <si>
    <t>NSE:PIDILITIND</t>
  </si>
  <si>
    <t>Piramal Enterprises Ltd.</t>
  </si>
  <si>
    <t>NSE:PEL</t>
  </si>
  <si>
    <t>Poly Medicure Ltd.</t>
  </si>
  <si>
    <t>NSE:POLYMED</t>
  </si>
  <si>
    <t>Polycab India Ltd.</t>
  </si>
  <si>
    <t>NSE:POLYCAB</t>
  </si>
  <si>
    <t>Polyplex Corporation Ltd.</t>
  </si>
  <si>
    <t>NSE:POLYPLEX</t>
  </si>
  <si>
    <t>Power Finance Corporation Ltd.</t>
  </si>
  <si>
    <t>NSE:PFC</t>
  </si>
  <si>
    <t>Power Grid Corporation of India Ltd.</t>
  </si>
  <si>
    <t>NSE:POWERGRID</t>
  </si>
  <si>
    <t>Prestige Estates Projects Ltd.</t>
  </si>
  <si>
    <t>NSE:PRESTIGE</t>
  </si>
  <si>
    <t>Prince Pipes and Fittings Ltd.</t>
  </si>
  <si>
    <t>NSE:PRINCEPIPE</t>
  </si>
  <si>
    <t>Prism Johnson Ltd.</t>
  </si>
  <si>
    <t>NSE:PRSMJOHNSN</t>
  </si>
  <si>
    <t>Procter &amp; Gamble Health Ltd.</t>
  </si>
  <si>
    <t>NSE:PGHL</t>
  </si>
  <si>
    <t>Procter &amp; Gamble Hygiene &amp; Health Care Ltd.</t>
  </si>
  <si>
    <t>NSE:PGHH</t>
  </si>
  <si>
    <t>Punjab National Bank</t>
  </si>
  <si>
    <t>NSE:PNB</t>
  </si>
  <si>
    <t>Quess Corp Ltd.</t>
  </si>
  <si>
    <t>NSE:QUESS</t>
  </si>
  <si>
    <t>RBL Bank Ltd.</t>
  </si>
  <si>
    <t>NSE:RBLBANK</t>
  </si>
  <si>
    <t>REC Ltd.</t>
  </si>
  <si>
    <t>NSE:RECLTD</t>
  </si>
  <si>
    <t>RITES Ltd.</t>
  </si>
  <si>
    <t>NSE:RITES</t>
  </si>
  <si>
    <t>Radico Khaitan Ltd</t>
  </si>
  <si>
    <t>NSE:RADICO</t>
  </si>
  <si>
    <t>Rail Vikas Nigam Ltd.</t>
  </si>
  <si>
    <t>NSE:RVNL</t>
  </si>
  <si>
    <t>Rain Industries Ltd</t>
  </si>
  <si>
    <t>NSE:RAIN</t>
  </si>
  <si>
    <t>Rajesh Exports Ltd.</t>
  </si>
  <si>
    <t>NSE:RAJESHEXPO</t>
  </si>
  <si>
    <t>Rallis India Ltd.</t>
  </si>
  <si>
    <t>NSE:RALLIS</t>
  </si>
  <si>
    <t>Rashtriya Chemicals &amp; Fertilizers Ltd.</t>
  </si>
  <si>
    <t>NSE:RCF</t>
  </si>
  <si>
    <t>Ratnamani Metals &amp; Tubes Ltd.</t>
  </si>
  <si>
    <t>NSE:RATNAMANI</t>
  </si>
  <si>
    <t>Raymond Ltd.</t>
  </si>
  <si>
    <t>NSE:RAYMOND</t>
  </si>
  <si>
    <t>Redington (India) Ltd.</t>
  </si>
  <si>
    <t>NSE:REDINGTON</t>
  </si>
  <si>
    <t>Relaxo Footwears Ltd.</t>
  </si>
  <si>
    <t>NSE:RELAXO</t>
  </si>
  <si>
    <t>Reliance Industries Ltd.</t>
  </si>
  <si>
    <t>NSE:RELIANCE</t>
  </si>
  <si>
    <t>Responsive Industries Ltd.</t>
  </si>
  <si>
    <t>NSE:RESPONIND</t>
  </si>
  <si>
    <t>Rossari Biotech Ltd.</t>
  </si>
  <si>
    <t>NSE:ROSSARI</t>
  </si>
  <si>
    <t>Route Mobile Ltd.</t>
  </si>
  <si>
    <t>NSE:ROUTE</t>
  </si>
  <si>
    <t>SBI Cards and Payment Services Ltd.</t>
  </si>
  <si>
    <t>NSE:SBICARD</t>
  </si>
  <si>
    <t>SBI Life Insurance Company Ltd.</t>
  </si>
  <si>
    <t>NSE:SBILIFE</t>
  </si>
  <si>
    <t>SIS Ltd.</t>
  </si>
  <si>
    <t>NSE:SIS</t>
  </si>
  <si>
    <t>SJVN Ltd.</t>
  </si>
  <si>
    <t>NSE:SJVN</t>
  </si>
  <si>
    <t>SKF India Ltd.</t>
  </si>
  <si>
    <t>NSE:SKFINDIA</t>
  </si>
  <si>
    <t>SRF Ltd.</t>
  </si>
  <si>
    <t>NSE:SRF</t>
  </si>
  <si>
    <t>Sanofi India Ltd.</t>
  </si>
  <si>
    <t>NSE:SANOFI</t>
  </si>
  <si>
    <t>Schaeffler India Ltd.</t>
  </si>
  <si>
    <t>NSE:SCHAEFFLER</t>
  </si>
  <si>
    <t>Schneider Electric Infrastructure Ltd.</t>
  </si>
  <si>
    <t>NSE:SCHNEIDER</t>
  </si>
  <si>
    <t>Sequent Scientific Ltd.</t>
  </si>
  <si>
    <t>NSE:SEQUENT</t>
  </si>
  <si>
    <t>Sharda Cropchem Ltd.</t>
  </si>
  <si>
    <t>NSE:SHARDACROP</t>
  </si>
  <si>
    <t>Sheela Foam Ltd.</t>
  </si>
  <si>
    <t>NSE:SFL</t>
  </si>
  <si>
    <t>Shilpa Medicare Ltd.</t>
  </si>
  <si>
    <t>NSE:SHILPAMED</t>
  </si>
  <si>
    <t>Shipping Corporation of India Ltd.</t>
  </si>
  <si>
    <t>NSE:SCI</t>
  </si>
  <si>
    <t>Shoppers Stop Ltd.</t>
  </si>
  <si>
    <t>NSE:SHOPERSTOP</t>
  </si>
  <si>
    <t>Shree Cement Ltd.</t>
  </si>
  <si>
    <t>NSE:SHREECEM</t>
  </si>
  <si>
    <t>Shriram City Union Finance Ltd.</t>
  </si>
  <si>
    <t>NSE:SHRIRAMCIT</t>
  </si>
  <si>
    <t>Shriram Transport Finance Co. Ltd.</t>
  </si>
  <si>
    <t>NSE:SRTRANSFIN</t>
  </si>
  <si>
    <t>Siemens Ltd.</t>
  </si>
  <si>
    <t>NSE:SIEMENS</t>
  </si>
  <si>
    <t>Sobha Ltd.</t>
  </si>
  <si>
    <t>NSE:SOBHA</t>
  </si>
  <si>
    <t>Solar Industries India Ltd.</t>
  </si>
  <si>
    <t>NSE:SOLARINDS</t>
  </si>
  <si>
    <t>Solara Active Pharma Sciences Ltd.</t>
  </si>
  <si>
    <t>NSE:SOLARA</t>
  </si>
  <si>
    <t>Sonata Software Ltd.</t>
  </si>
  <si>
    <t>NSE:SONATSOFTW</t>
  </si>
  <si>
    <t>Spandana Sphoorty Financial Ltd.</t>
  </si>
  <si>
    <t>NSE:SPANDANA</t>
  </si>
  <si>
    <t>Spicejet Ltd.</t>
  </si>
  <si>
    <t>NSE:SPICEJET</t>
  </si>
  <si>
    <t>Star Cement Ltd.</t>
  </si>
  <si>
    <t>NSE:STARCEMENT</t>
  </si>
  <si>
    <t>State Bank of India</t>
  </si>
  <si>
    <t>NSE:SBIN</t>
  </si>
  <si>
    <t>Steel Authority of India Ltd.</t>
  </si>
  <si>
    <t>NSE:SAIL</t>
  </si>
  <si>
    <t>Sterling And Wilson Solar Ltd.</t>
  </si>
  <si>
    <t>NSE:SWSOLAR</t>
  </si>
  <si>
    <t>Sterlite Technologies Ltd.</t>
  </si>
  <si>
    <t>NSE:STLTECH</t>
  </si>
  <si>
    <t>Strides Pharma Science Ltd.</t>
  </si>
  <si>
    <t>NSE:STAR</t>
  </si>
  <si>
    <t>Sudarshan Chemical Industries Ltd.</t>
  </si>
  <si>
    <t>NSE:SUDARSCHEM</t>
  </si>
  <si>
    <t>Sumitomo Chemical India Ltd.</t>
  </si>
  <si>
    <t>NSE:SUMICHEM</t>
  </si>
  <si>
    <t>Sun Pharma Advanced Research Company Ltd.</t>
  </si>
  <si>
    <t>NSE:SPARC</t>
  </si>
  <si>
    <t>Sun Pharmaceutical Industries Ltd.</t>
  </si>
  <si>
    <t>NSE:SUNPHARMA</t>
  </si>
  <si>
    <t>Sun TV Network Ltd.</t>
  </si>
  <si>
    <t>NSE:SUNTV</t>
  </si>
  <si>
    <t>Sundaram Clayton Ltd.</t>
  </si>
  <si>
    <t>NSE:SUNCLAYLTD</t>
  </si>
  <si>
    <t>Sundaram Finance Ltd.</t>
  </si>
  <si>
    <t>NSE:SUNDARMFIN</t>
  </si>
  <si>
    <t>Sundram Fasteners Ltd.</t>
  </si>
  <si>
    <t>NSE:SUNDRMFAST</t>
  </si>
  <si>
    <t>Sunteck Realty Ltd.</t>
  </si>
  <si>
    <t>NSE:SUNTECK</t>
  </si>
  <si>
    <t>Suprajit Engineering Ltd.</t>
  </si>
  <si>
    <t>NSE:SUPRAJIT</t>
  </si>
  <si>
    <t>Supreme Industries Ltd.</t>
  </si>
  <si>
    <t>NSE:SUPREMEIND</t>
  </si>
  <si>
    <t>Supreme Petrochem Ltd.</t>
  </si>
  <si>
    <t>NSE:SUPPETRO</t>
  </si>
  <si>
    <t>Suven Pharmaceuticals Ltd.</t>
  </si>
  <si>
    <t>NSE:SUVENPHAR</t>
  </si>
  <si>
    <t>Suzlon Energy Ltd.</t>
  </si>
  <si>
    <t>NSE:SUZLON</t>
  </si>
  <si>
    <t>Swan Energy Ltd.</t>
  </si>
  <si>
    <t>NSE:SWANENERGY</t>
  </si>
  <si>
    <t>Symphony Ltd.</t>
  </si>
  <si>
    <t>NSE:SYMPHONY</t>
  </si>
  <si>
    <t>Syngene International Ltd.</t>
  </si>
  <si>
    <t>NSE:SYNGENE</t>
  </si>
  <si>
    <t>TCI Express Ltd.</t>
  </si>
  <si>
    <t>NSE:TCIEXP</t>
  </si>
  <si>
    <t>TCNS Clothing Co. Ltd.</t>
  </si>
  <si>
    <t>NSE:TCNSBRANDS</t>
  </si>
  <si>
    <t>TTK Prestige Ltd.</t>
  </si>
  <si>
    <t>NSE:TTKPRESTIG</t>
  </si>
  <si>
    <t>TV18 Broadcast Ltd.</t>
  </si>
  <si>
    <t>NSE:TV18BRDCST</t>
  </si>
  <si>
    <t>TVS Motor Company Ltd.</t>
  </si>
  <si>
    <t>NSE:TVSMOTOR</t>
  </si>
  <si>
    <t>Tanla Platforms Ltd.</t>
  </si>
  <si>
    <t>NSE:TANLA</t>
  </si>
  <si>
    <t>Tasty Bite Eatables Ltd.</t>
  </si>
  <si>
    <t>NSE:TASTYBITE</t>
  </si>
  <si>
    <t>Tata Chemicals Ltd.</t>
  </si>
  <si>
    <t>NSE:TATACHEM</t>
  </si>
  <si>
    <t>Tata Coffee Ltd.</t>
  </si>
  <si>
    <t>NSE:TATACOFFEE</t>
  </si>
  <si>
    <t>Tata Communications Ltd.</t>
  </si>
  <si>
    <t>NSE:TATACOMM</t>
  </si>
  <si>
    <t>Tata Consultancy Services Ltd.</t>
  </si>
  <si>
    <t>NSE:TCS</t>
  </si>
  <si>
    <t>Tata Consumer Products Ltd.</t>
  </si>
  <si>
    <t>NSE:TATACONSUM</t>
  </si>
  <si>
    <t>Tata Elxsi Ltd.</t>
  </si>
  <si>
    <t>NSE:TATAELXSI</t>
  </si>
  <si>
    <t>Tata Investment Corporation Ltd.</t>
  </si>
  <si>
    <t>NSE:TATAINVEST</t>
  </si>
  <si>
    <t>Tata Motors Ltd DVR</t>
  </si>
  <si>
    <t>NSE:TATAMTRDVR</t>
  </si>
  <si>
    <t>Tata Motors Ltd.</t>
  </si>
  <si>
    <t>NSE:TATAMOTORS</t>
  </si>
  <si>
    <t>Tata Power Co. Ltd.</t>
  </si>
  <si>
    <t>NSE:TATAPOWER</t>
  </si>
  <si>
    <t>Tata Steel Ltd.</t>
  </si>
  <si>
    <t>NSE:TATASTEEL</t>
  </si>
  <si>
    <t>Teamlease Services Ltd.</t>
  </si>
  <si>
    <t>NSE:TEAMLEASE</t>
  </si>
  <si>
    <t>Tech Mahindra Ltd.</t>
  </si>
  <si>
    <t>NSE:TECHM</t>
  </si>
  <si>
    <t>The New India Assurance Company Ltd.</t>
  </si>
  <si>
    <t>NSE:NIACL</t>
  </si>
  <si>
    <t>The Ramco Cements Ltd.</t>
  </si>
  <si>
    <t>NSE:RAMCOCEM</t>
  </si>
  <si>
    <t>Thermax Ltd.</t>
  </si>
  <si>
    <t>NSE:THERMAX</t>
  </si>
  <si>
    <t>Thyrocare Technologies Ltd.</t>
  </si>
  <si>
    <t>NSE:THYROCARE</t>
  </si>
  <si>
    <t>Timken India Ltd.</t>
  </si>
  <si>
    <t>NSE:TIMKEN</t>
  </si>
  <si>
    <t>Titan Company Ltd.</t>
  </si>
  <si>
    <t>NSE:TITAN</t>
  </si>
  <si>
    <t>Torrent Pharmaceuticals Ltd.</t>
  </si>
  <si>
    <t>NSE:TORNTPHARM</t>
  </si>
  <si>
    <t>Torrent Power Ltd.</t>
  </si>
  <si>
    <t>NSE:TORNTPOWER</t>
  </si>
  <si>
    <t>Trent Ltd.</t>
  </si>
  <si>
    <t>NSE:TRENT</t>
  </si>
  <si>
    <t>Trident Ltd.</t>
  </si>
  <si>
    <t>NSE:TRIDENT</t>
  </si>
  <si>
    <t>Triveni Turbine Ltd.</t>
  </si>
  <si>
    <t>NSE:TRITURBINE</t>
  </si>
  <si>
    <t>Tube Investments of India Ltd.</t>
  </si>
  <si>
    <t>NSE:TIINDIA</t>
  </si>
  <si>
    <t>UCO Bank</t>
  </si>
  <si>
    <t>NSE:UCOBANK</t>
  </si>
  <si>
    <t>UFLEX Ltd.</t>
  </si>
  <si>
    <t>NSE:UFLEX</t>
  </si>
  <si>
    <t>UPL Ltd.</t>
  </si>
  <si>
    <t>NSE:UPL</t>
  </si>
  <si>
    <t>UTI Asset Management Company Ltd.</t>
  </si>
  <si>
    <t>NSE:UTIAMC</t>
  </si>
  <si>
    <t>Ujjivan Financial Services Ltd.</t>
  </si>
  <si>
    <t>NSE:UJJIVAN</t>
  </si>
  <si>
    <t>Ujjivan Small Finance Bank Ltd.</t>
  </si>
  <si>
    <t>NSE:UJJIVANSFB</t>
  </si>
  <si>
    <t>UltraTech Cement Ltd.</t>
  </si>
  <si>
    <t>NSE:ULTRACEMCO</t>
  </si>
  <si>
    <t>Union Bank of India</t>
  </si>
  <si>
    <t>NSE:UNIONBANK</t>
  </si>
  <si>
    <t>United Breweries Ltd.</t>
  </si>
  <si>
    <t>NSE:UBL</t>
  </si>
  <si>
    <t>United Spirits Ltd.</t>
  </si>
  <si>
    <t>NSE:MCDOWELL-N</t>
  </si>
  <si>
    <t>V-Guard Industries Ltd.</t>
  </si>
  <si>
    <t>NSE:VGUARD</t>
  </si>
  <si>
    <t>V-Mart Retail Ltd.</t>
  </si>
  <si>
    <t>NSE:VMART</t>
  </si>
  <si>
    <t>V.I.P. Industries Ltd.</t>
  </si>
  <si>
    <t>NSE:VIPIND</t>
  </si>
  <si>
    <t>VST Industries Ltd.</t>
  </si>
  <si>
    <t>NSE:VSTIND</t>
  </si>
  <si>
    <t>Vaibhav Global Ltd.</t>
  </si>
  <si>
    <t>NSE:VAIBHAVGBL</t>
  </si>
  <si>
    <t>Vakrangee Ltd.</t>
  </si>
  <si>
    <t>NSE:VAKRANGEE</t>
  </si>
  <si>
    <t>Valiant Organics Ltd.</t>
  </si>
  <si>
    <t>NSE:VALIANTORG</t>
  </si>
  <si>
    <t>Vardhman Textiles Ltd.</t>
  </si>
  <si>
    <t>NSE:VTL</t>
  </si>
  <si>
    <t>Varroc Engineering Ltd.</t>
  </si>
  <si>
    <t>NSE:VARROC</t>
  </si>
  <si>
    <t>Varun Beverages Ltd.</t>
  </si>
  <si>
    <t>NSE:VBL</t>
  </si>
  <si>
    <t>Vedanta Ltd.</t>
  </si>
  <si>
    <t>NSE:VEDL</t>
  </si>
  <si>
    <t>Venky's (India) Ltd.</t>
  </si>
  <si>
    <t>NSE:VENKEYS</t>
  </si>
  <si>
    <t>Vinati Organics Ltd.</t>
  </si>
  <si>
    <t>NSE:VINATIORGA</t>
  </si>
  <si>
    <t>Vodafone Idea Ltd.</t>
  </si>
  <si>
    <t>NSE:IDEA</t>
  </si>
  <si>
    <t>Voltas Ltd.</t>
  </si>
  <si>
    <t>NSE:VOLTAS</t>
  </si>
  <si>
    <t>WABCO India Ltd.</t>
  </si>
  <si>
    <t>NSE:WABCOINDIA</t>
  </si>
  <si>
    <t>Welspun Corp Ltd.</t>
  </si>
  <si>
    <t>NSE:WELCORP</t>
  </si>
  <si>
    <t>Welspun India Ltd.</t>
  </si>
  <si>
    <t>NSE:WELSPUNIND</t>
  </si>
  <si>
    <t>Westlife Development Ltd.</t>
  </si>
  <si>
    <t>NSE:WESTLIFE</t>
  </si>
  <si>
    <t>Whirlpool of India Ltd.</t>
  </si>
  <si>
    <t>NSE:WHIRLPOOL</t>
  </si>
  <si>
    <t>Wipro Ltd.</t>
  </si>
  <si>
    <t>NSE:WIPRO</t>
  </si>
  <si>
    <t>Wockhardt Ltd.</t>
  </si>
  <si>
    <t>NSE:WOCKPHARMA</t>
  </si>
  <si>
    <t>Yes Bank Ltd.</t>
  </si>
  <si>
    <t>NSE:YESBANK</t>
  </si>
  <si>
    <t>Zee Entertainment Enterprises Ltd.</t>
  </si>
  <si>
    <t>NSE:ZEEL</t>
  </si>
  <si>
    <t>Zensar Technolgies Ltd.</t>
  </si>
  <si>
    <t>NSE:ZENSARTECH</t>
  </si>
  <si>
    <t>Zydus Wellness Ltd.</t>
  </si>
  <si>
    <t>NSE:ZYDUSWELL</t>
  </si>
  <si>
    <t>eClerx Services Ltd.</t>
  </si>
  <si>
    <t>NSE:ECLERX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</si>
</sst>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10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7.86"/>
    <col customWidth="1" min="2" max="2" width="35.86"/>
    <col customWidth="1" min="3" max="3" width="18.29"/>
    <col customWidth="1" min="6" max="6" width="15.71"/>
    <col customWidth="1" min="11" max="11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tr">
        <f>IFERROR(__xludf.DUMMYFUNCTION("googlefinance(""INDEXNSE:NIFTY_50"",""all"", ""01/01/2020"",Today(),""weekly"")"),"Date")</f>
        <v>Date</v>
      </c>
      <c r="L1" s="3" t="str">
        <f>IFERROR(__xludf.DUMMYFUNCTION("""COMPUTED_VALUE"""),"Open")</f>
        <v>Open</v>
      </c>
      <c r="M1" s="3" t="str">
        <f>IFERROR(__xludf.DUMMYFUNCTION("""COMPUTED_VALUE"""),"High")</f>
        <v>High</v>
      </c>
      <c r="N1" s="3" t="str">
        <f>IFERROR(__xludf.DUMMYFUNCTION("""COMPUTED_VALUE"""),"Low")</f>
        <v>Low</v>
      </c>
      <c r="O1" s="3" t="str">
        <f>IFERROR(__xludf.DUMMYFUNCTION("""COMPUTED_VALUE"""),"Close")</f>
        <v>Close</v>
      </c>
      <c r="P1" s="3" t="str">
        <f>IFERROR(__xludf.DUMMYFUNCTION("""COMPUTED_VALUE"""),"Volume")</f>
        <v>Volume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5">
        <f>IFERROR(__xludf.DUMMYFUNCTION("GOOGLEFINANCE(C2,""price"")"),25864.35)</f>
        <v>25864.35</v>
      </c>
      <c r="F2" s="5">
        <f>IFERROR(__xludf.DUMMYFUNCTION("GOOGLEFINANCE(C2,""change"")"),-19.0)</f>
        <v>-19</v>
      </c>
      <c r="G2" s="6">
        <f>IFERROR(__xludf.DUMMYFUNCTION("GOOGLEFINANCE(C2, ""changepct"")/100"),-7.000000000000001E-4)</f>
        <v>-0.0007</v>
      </c>
      <c r="H2" s="5">
        <f>IFERROR(__xludf.DUMMYFUNCTION("GOOGLEFINANCE(C2, ""marketcap"")"),2.9136345021E11)</f>
        <v>291363450210</v>
      </c>
      <c r="I2" s="5">
        <f>IFERROR(__xludf.DUMMYFUNCTION("googlefinance(""INDEXNSE:NIFTY_50"",""price"")"),15877.2)</f>
        <v>15877.2</v>
      </c>
      <c r="J2" s="6">
        <f>IFERROR(__xludf.DUMMYFUNCTION("googlefinance(""INDEXNSE:NIFTY_50"",""changepct"")/100"),0.0040999999999999995)</f>
        <v>0.0041</v>
      </c>
      <c r="K2" s="7">
        <f>IFERROR(__xludf.DUMMYFUNCTION("""COMPUTED_VALUE"""),43833.64583333333)</f>
        <v>43833.64583</v>
      </c>
      <c r="L2" s="5">
        <f>IFERROR(__xludf.DUMMYFUNCTION("""COMPUTED_VALUE"""),12274.9)</f>
        <v>12274.9</v>
      </c>
      <c r="M2" s="5">
        <f>IFERROR(__xludf.DUMMYFUNCTION("""COMPUTED_VALUE"""),12289.9)</f>
        <v>12289.9</v>
      </c>
      <c r="N2" s="5">
        <f>IFERROR(__xludf.DUMMYFUNCTION("""COMPUTED_VALUE"""),12151.8)</f>
        <v>12151.8</v>
      </c>
      <c r="O2" s="5">
        <f>IFERROR(__xludf.DUMMYFUNCTION("""COMPUTED_VALUE"""),12226.65)</f>
        <v>12226.65</v>
      </c>
      <c r="P2" s="5">
        <f>IFERROR(__xludf.DUMMYFUNCTION("""COMPUTED_VALUE"""),0.0)</f>
        <v>0</v>
      </c>
    </row>
    <row r="3">
      <c r="A3" s="4" t="s">
        <v>14</v>
      </c>
      <c r="B3" s="4" t="s">
        <v>15</v>
      </c>
      <c r="C3" s="4" t="s">
        <v>16</v>
      </c>
      <c r="D3" s="4" t="s">
        <v>13</v>
      </c>
      <c r="E3" s="5">
        <f>IFERROR(__xludf.DUMMYFUNCTION("GOOGLEFINANCE(C3,""price"")"),1685.65)</f>
        <v>1685.65</v>
      </c>
      <c r="F3" s="5">
        <f>IFERROR(__xludf.DUMMYFUNCTION("GOOGLEFINANCE(C3,""change"")"),25.05)</f>
        <v>25.05</v>
      </c>
      <c r="G3" s="6">
        <f>IFERROR(__xludf.DUMMYFUNCTION("GOOGLEFINANCE(C3, ""changepct"")/100"),0.0151)</f>
        <v>0.0151</v>
      </c>
      <c r="H3" s="5">
        <f>IFERROR(__xludf.DUMMYFUNCTION("GOOGLEFINANCE(C3, ""marketcap"")"),3.57203399633E11)</f>
        <v>357203399633</v>
      </c>
      <c r="K3" s="7">
        <f>IFERROR(__xludf.DUMMYFUNCTION("""COMPUTED_VALUE"""),43840.64583333333)</f>
        <v>43840.64583</v>
      </c>
      <c r="L3" s="5">
        <f>IFERROR(__xludf.DUMMYFUNCTION("""COMPUTED_VALUE"""),12170.6)</f>
        <v>12170.6</v>
      </c>
      <c r="M3" s="5">
        <f>IFERROR(__xludf.DUMMYFUNCTION("""COMPUTED_VALUE"""),12311.2)</f>
        <v>12311.2</v>
      </c>
      <c r="N3" s="5">
        <f>IFERROR(__xludf.DUMMYFUNCTION("""COMPUTED_VALUE"""),11929.6)</f>
        <v>11929.6</v>
      </c>
      <c r="O3" s="5">
        <f>IFERROR(__xludf.DUMMYFUNCTION("""COMPUTED_VALUE"""),12256.8)</f>
        <v>12256.8</v>
      </c>
      <c r="P3" s="5">
        <f>IFERROR(__xludf.DUMMYFUNCTION("""COMPUTED_VALUE"""),0.0)</f>
        <v>0</v>
      </c>
    </row>
    <row r="4">
      <c r="A4" s="4" t="s">
        <v>17</v>
      </c>
      <c r="B4" s="4" t="s">
        <v>15</v>
      </c>
      <c r="C4" s="4" t="s">
        <v>18</v>
      </c>
      <c r="D4" s="4" t="s">
        <v>13</v>
      </c>
      <c r="E4" s="5">
        <f>IFERROR(__xludf.DUMMYFUNCTION("GOOGLEFINANCE(C4,""price"")"),1837.25)</f>
        <v>1837.25</v>
      </c>
      <c r="F4" s="5">
        <f>IFERROR(__xludf.DUMMYFUNCTION("GOOGLEFINANCE(C4,""change"")"),-1.8)</f>
        <v>-1.8</v>
      </c>
      <c r="G4" s="6">
        <f>IFERROR(__xludf.DUMMYFUNCTION("GOOGLEFINANCE(C4, ""changepct"")/100"),-0.001)</f>
        <v>-0.001</v>
      </c>
      <c r="H4" s="5">
        <f>IFERROR(__xludf.DUMMYFUNCTION("GOOGLEFINANCE(C4, ""marketcap"")"),7.7884792889E10)</f>
        <v>77884792889</v>
      </c>
      <c r="K4" s="7">
        <f>IFERROR(__xludf.DUMMYFUNCTION("""COMPUTED_VALUE"""),43847.64583333333)</f>
        <v>43847.64583</v>
      </c>
      <c r="L4" s="5">
        <f>IFERROR(__xludf.DUMMYFUNCTION("""COMPUTED_VALUE"""),12296.7)</f>
        <v>12296.7</v>
      </c>
      <c r="M4" s="5">
        <f>IFERROR(__xludf.DUMMYFUNCTION("""COMPUTED_VALUE"""),12389.05)</f>
        <v>12389.05</v>
      </c>
      <c r="N4" s="5">
        <f>IFERROR(__xludf.DUMMYFUNCTION("""COMPUTED_VALUE"""),12278.75)</f>
        <v>12278.75</v>
      </c>
      <c r="O4" s="5">
        <f>IFERROR(__xludf.DUMMYFUNCTION("""COMPUTED_VALUE"""),12352.35)</f>
        <v>12352.35</v>
      </c>
      <c r="P4" s="5">
        <f>IFERROR(__xludf.DUMMYFUNCTION("""COMPUTED_VALUE"""),0.0)</f>
        <v>0</v>
      </c>
    </row>
    <row r="5">
      <c r="A5" s="4" t="s">
        <v>19</v>
      </c>
      <c r="B5" s="4" t="s">
        <v>20</v>
      </c>
      <c r="C5" s="4" t="s">
        <v>21</v>
      </c>
      <c r="D5" s="4" t="s">
        <v>22</v>
      </c>
      <c r="E5" s="5">
        <f>IFERROR(__xludf.DUMMYFUNCTION("GOOGLEFINANCE(C5,""price"")"),2050.05)</f>
        <v>2050.05</v>
      </c>
      <c r="F5" s="5">
        <f>IFERROR(__xludf.DUMMYFUNCTION("GOOGLEFINANCE(C5,""change"")"),9.5)</f>
        <v>9.5</v>
      </c>
      <c r="G5" s="6">
        <f>IFERROR(__xludf.DUMMYFUNCTION("GOOGLEFINANCE(C5, ""changepct"")/100"),0.004699999999999999)</f>
        <v>0.0047</v>
      </c>
      <c r="H5" s="5">
        <f>IFERROR(__xludf.DUMMYFUNCTION("GOOGLEFINANCE(C5, ""marketcap"")"),3.84973158529E11)</f>
        <v>384973158529</v>
      </c>
      <c r="K5" s="7">
        <f>IFERROR(__xludf.DUMMYFUNCTION("""COMPUTED_VALUE"""),43854.64583333333)</f>
        <v>43854.64583</v>
      </c>
      <c r="L5" s="5">
        <f>IFERROR(__xludf.DUMMYFUNCTION("""COMPUTED_VALUE"""),12430.5)</f>
        <v>12430.5</v>
      </c>
      <c r="M5" s="5">
        <f>IFERROR(__xludf.DUMMYFUNCTION("""COMPUTED_VALUE"""),12430.5)</f>
        <v>12430.5</v>
      </c>
      <c r="N5" s="5">
        <f>IFERROR(__xludf.DUMMYFUNCTION("""COMPUTED_VALUE"""),12087.9)</f>
        <v>12087.9</v>
      </c>
      <c r="O5" s="5">
        <f>IFERROR(__xludf.DUMMYFUNCTION("""COMPUTED_VALUE"""),12248.25)</f>
        <v>12248.25</v>
      </c>
      <c r="P5" s="5">
        <f>IFERROR(__xludf.DUMMYFUNCTION("""COMPUTED_VALUE"""),0.0)</f>
        <v>0</v>
      </c>
    </row>
    <row r="6">
      <c r="A6" s="4" t="s">
        <v>23</v>
      </c>
      <c r="B6" s="4" t="s">
        <v>15</v>
      </c>
      <c r="C6" s="4" t="s">
        <v>24</v>
      </c>
      <c r="D6" s="4" t="s">
        <v>13</v>
      </c>
      <c r="E6" s="5">
        <f>IFERROR(__xludf.DUMMYFUNCTION("GOOGLEFINANCE(C6,""price"")"),1968.15)</f>
        <v>1968.15</v>
      </c>
      <c r="F6" s="5">
        <f>IFERROR(__xludf.DUMMYFUNCTION("GOOGLEFINANCE(C6,""change"")"),4.3)</f>
        <v>4.3</v>
      </c>
      <c r="G6" s="6">
        <f>IFERROR(__xludf.DUMMYFUNCTION("GOOGLEFINANCE(C6, ""changepct"")/100"),0.0022)</f>
        <v>0.0022</v>
      </c>
      <c r="H6" s="5">
        <f>IFERROR(__xludf.DUMMYFUNCTION("GOOGLEFINANCE(C6, ""marketcap"")"),1.85896644176E11)</f>
        <v>185896644176</v>
      </c>
      <c r="K6" s="7">
        <f>IFERROR(__xludf.DUMMYFUNCTION("""COMPUTED_VALUE"""),43862.70833333333)</f>
        <v>43862.70833</v>
      </c>
      <c r="L6" s="5">
        <f>IFERROR(__xludf.DUMMYFUNCTION("""COMPUTED_VALUE"""),12197.1)</f>
        <v>12197.1</v>
      </c>
      <c r="M6" s="5">
        <f>IFERROR(__xludf.DUMMYFUNCTION("""COMPUTED_VALUE"""),12216.6)</f>
        <v>12216.6</v>
      </c>
      <c r="N6" s="5">
        <f>IFERROR(__xludf.DUMMYFUNCTION("""COMPUTED_VALUE"""),11633.3)</f>
        <v>11633.3</v>
      </c>
      <c r="O6" s="5">
        <f>IFERROR(__xludf.DUMMYFUNCTION("""COMPUTED_VALUE"""),11641.25)</f>
        <v>11641.25</v>
      </c>
      <c r="P6" s="5">
        <f>IFERROR(__xludf.DUMMYFUNCTION("""COMPUTED_VALUE"""),0.0)</f>
        <v>0</v>
      </c>
    </row>
    <row r="7">
      <c r="A7" s="4" t="s">
        <v>25</v>
      </c>
      <c r="B7" s="4" t="s">
        <v>26</v>
      </c>
      <c r="C7" s="4" t="s">
        <v>27</v>
      </c>
      <c r="D7" s="4" t="s">
        <v>13</v>
      </c>
      <c r="E7" s="5">
        <f>IFERROR(__xludf.DUMMYFUNCTION("GOOGLEFINANCE(C7,""price"")"),1498.9)</f>
        <v>1498.9</v>
      </c>
      <c r="F7" s="5">
        <f>IFERROR(__xludf.DUMMYFUNCTION("GOOGLEFINANCE(C7,""change"")"),52.75)</f>
        <v>52.75</v>
      </c>
      <c r="G7" s="6">
        <f>IFERROR(__xludf.DUMMYFUNCTION("GOOGLEFINANCE(C7, ""changepct"")/100"),0.0365)</f>
        <v>0.0365</v>
      </c>
      <c r="H7" s="5">
        <f>IFERROR(__xludf.DUMMYFUNCTION("GOOGLEFINANCE(C7, ""marketcap"")"),1.8720036655E11)</f>
        <v>187200366550</v>
      </c>
      <c r="K7" s="7">
        <f>IFERROR(__xludf.DUMMYFUNCTION("""COMPUTED_VALUE"""),43868.64583333333)</f>
        <v>43868.64583</v>
      </c>
      <c r="L7" s="5">
        <f>IFERROR(__xludf.DUMMYFUNCTION("""COMPUTED_VALUE"""),11627.45)</f>
        <v>11627.45</v>
      </c>
      <c r="M7" s="5">
        <f>IFERROR(__xludf.DUMMYFUNCTION("""COMPUTED_VALUE"""),12160.6)</f>
        <v>12160.6</v>
      </c>
      <c r="N7" s="5">
        <f>IFERROR(__xludf.DUMMYFUNCTION("""COMPUTED_VALUE"""),11614.5)</f>
        <v>11614.5</v>
      </c>
      <c r="O7" s="5">
        <f>IFERROR(__xludf.DUMMYFUNCTION("""COMPUTED_VALUE"""),12098.35)</f>
        <v>12098.35</v>
      </c>
      <c r="P7" s="5">
        <f>IFERROR(__xludf.DUMMYFUNCTION("""COMPUTED_VALUE"""),0.0)</f>
        <v>0</v>
      </c>
    </row>
    <row r="8">
      <c r="A8" s="4" t="s">
        <v>28</v>
      </c>
      <c r="B8" s="4" t="s">
        <v>29</v>
      </c>
      <c r="C8" s="4" t="s">
        <v>30</v>
      </c>
      <c r="D8" s="4" t="s">
        <v>22</v>
      </c>
      <c r="E8" s="5">
        <f>IFERROR(__xludf.DUMMYFUNCTION("GOOGLEFINANCE(C8,""price"")"),1067.85)</f>
        <v>1067.85</v>
      </c>
      <c r="F8" s="5">
        <f>IFERROR(__xludf.DUMMYFUNCTION("GOOGLEFINANCE(C8,""change"")"),-2.15)</f>
        <v>-2.15</v>
      </c>
      <c r="G8" s="6">
        <f>IFERROR(__xludf.DUMMYFUNCTION("GOOGLEFINANCE(C8, ""changepct"")/100"),-0.002)</f>
        <v>-0.002</v>
      </c>
      <c r="H8" s="5">
        <f>IFERROR(__xludf.DUMMYFUNCTION("GOOGLEFINANCE(C8, ""marketcap"")"),3.34047819342E11)</f>
        <v>334047819342</v>
      </c>
      <c r="K8" s="7">
        <f>IFERROR(__xludf.DUMMYFUNCTION("""COMPUTED_VALUE"""),43875.64583333333)</f>
        <v>43875.64583</v>
      </c>
      <c r="L8" s="5">
        <f>IFERROR(__xludf.DUMMYFUNCTION("""COMPUTED_VALUE"""),12102.35)</f>
        <v>12102.35</v>
      </c>
      <c r="M8" s="5">
        <f>IFERROR(__xludf.DUMMYFUNCTION("""COMPUTED_VALUE"""),12246.7)</f>
        <v>12246.7</v>
      </c>
      <c r="N8" s="5">
        <f>IFERROR(__xludf.DUMMYFUNCTION("""COMPUTED_VALUE"""),11990.75)</f>
        <v>11990.75</v>
      </c>
      <c r="O8" s="5">
        <f>IFERROR(__xludf.DUMMYFUNCTION("""COMPUTED_VALUE"""),12113.45)</f>
        <v>12113.45</v>
      </c>
      <c r="P8" s="5">
        <f>IFERROR(__xludf.DUMMYFUNCTION("""COMPUTED_VALUE"""),0.0)</f>
        <v>0</v>
      </c>
    </row>
    <row r="9">
      <c r="A9" s="4" t="s">
        <v>31</v>
      </c>
      <c r="B9" s="4" t="s">
        <v>32</v>
      </c>
      <c r="C9" s="4" t="s">
        <v>33</v>
      </c>
      <c r="D9" s="4" t="s">
        <v>13</v>
      </c>
      <c r="E9" s="5">
        <f>IFERROR(__xludf.DUMMYFUNCTION("GOOGLEFINANCE(C9,""price"")"),738.0)</f>
        <v>738</v>
      </c>
      <c r="F9" s="5">
        <f>IFERROR(__xludf.DUMMYFUNCTION("GOOGLEFINANCE(C9,""change"")"),12.1)</f>
        <v>12.1</v>
      </c>
      <c r="G9" s="6">
        <f>IFERROR(__xludf.DUMMYFUNCTION("GOOGLEFINANCE(C9, ""changepct"")/100"),0.0167)</f>
        <v>0.0167</v>
      </c>
      <c r="H9" s="5">
        <f>IFERROR(__xludf.DUMMYFUNCTION("GOOGLEFINANCE(C9, ""marketcap"")"),6.83388E10)</f>
        <v>68338800000</v>
      </c>
      <c r="K9" s="7">
        <f>IFERROR(__xludf.DUMMYFUNCTION("""COMPUTED_VALUE"""),43881.64583333333)</f>
        <v>43881.64583</v>
      </c>
      <c r="L9" s="5">
        <f>IFERROR(__xludf.DUMMYFUNCTION("""COMPUTED_VALUE"""),12131.8)</f>
        <v>12131.8</v>
      </c>
      <c r="M9" s="5">
        <f>IFERROR(__xludf.DUMMYFUNCTION("""COMPUTED_VALUE"""),12159.6)</f>
        <v>12159.6</v>
      </c>
      <c r="N9" s="5">
        <f>IFERROR(__xludf.DUMMYFUNCTION("""COMPUTED_VALUE"""),11908.05)</f>
        <v>11908.05</v>
      </c>
      <c r="O9" s="5">
        <f>IFERROR(__xludf.DUMMYFUNCTION("""COMPUTED_VALUE"""),12080.85)</f>
        <v>12080.85</v>
      </c>
      <c r="P9" s="5">
        <f>IFERROR(__xludf.DUMMYFUNCTION("""COMPUTED_VALUE"""),0.0)</f>
        <v>0</v>
      </c>
    </row>
    <row r="10">
      <c r="A10" s="4" t="s">
        <v>34</v>
      </c>
      <c r="B10" s="4" t="s">
        <v>35</v>
      </c>
      <c r="C10" s="4" t="s">
        <v>36</v>
      </c>
      <c r="D10" s="4" t="s">
        <v>22</v>
      </c>
      <c r="E10" s="5">
        <f>IFERROR(__xludf.DUMMYFUNCTION("GOOGLEFINANCE(C10,""price"")"),1838.5)</f>
        <v>1838.5</v>
      </c>
      <c r="F10" s="5">
        <f>IFERROR(__xludf.DUMMYFUNCTION("GOOGLEFINANCE(C10,""change"")"),-3.5)</f>
        <v>-3.5</v>
      </c>
      <c r="G10" s="6">
        <f>IFERROR(__xludf.DUMMYFUNCTION("GOOGLEFINANCE(C10, ""changepct"")/100"),-0.0019)</f>
        <v>-0.0019</v>
      </c>
      <c r="H10" s="5">
        <f>IFERROR(__xludf.DUMMYFUNCTION("GOOGLEFINANCE(C10, ""marketcap"")"),3.20348776652E11)</f>
        <v>320348776652</v>
      </c>
      <c r="K10" s="7">
        <f>IFERROR(__xludf.DUMMYFUNCTION("""COMPUTED_VALUE"""),43889.64583333333)</f>
        <v>43889.64583</v>
      </c>
      <c r="L10" s="5">
        <f>IFERROR(__xludf.DUMMYFUNCTION("""COMPUTED_VALUE"""),12012.55)</f>
        <v>12012.55</v>
      </c>
      <c r="M10" s="5">
        <f>IFERROR(__xludf.DUMMYFUNCTION("""COMPUTED_VALUE"""),12012.55)</f>
        <v>12012.55</v>
      </c>
      <c r="N10" s="5">
        <f>IFERROR(__xludf.DUMMYFUNCTION("""COMPUTED_VALUE"""),11175.05)</f>
        <v>11175.05</v>
      </c>
      <c r="O10" s="5">
        <f>IFERROR(__xludf.DUMMYFUNCTION("""COMPUTED_VALUE"""),11201.75)</f>
        <v>11201.75</v>
      </c>
      <c r="P10" s="5">
        <f>IFERROR(__xludf.DUMMYFUNCTION("""COMPUTED_VALUE"""),0.0)</f>
        <v>0</v>
      </c>
    </row>
    <row r="11">
      <c r="A11" s="4" t="s">
        <v>37</v>
      </c>
      <c r="B11" s="4" t="s">
        <v>29</v>
      </c>
      <c r="C11" s="4" t="s">
        <v>38</v>
      </c>
      <c r="D11" s="4" t="s">
        <v>13</v>
      </c>
      <c r="E11" s="5">
        <f>IFERROR(__xludf.DUMMYFUNCTION("GOOGLEFINANCE(C11,""price"")"),2545.0)</f>
        <v>2545</v>
      </c>
      <c r="F11" s="5">
        <f>IFERROR(__xludf.DUMMYFUNCTION("GOOGLEFINANCE(C11,""change"")"),24.45)</f>
        <v>24.45</v>
      </c>
      <c r="G11" s="6">
        <f>IFERROR(__xludf.DUMMYFUNCTION("GOOGLEFINANCE(C11, ""changepct"")/100"),0.0097)</f>
        <v>0.0097</v>
      </c>
      <c r="H11" s="5">
        <f>IFERROR(__xludf.DUMMYFUNCTION("GOOGLEFINANCE(C11, ""marketcap"")"),1.998151269E11)</f>
        <v>199815126900</v>
      </c>
      <c r="K11" s="7">
        <f>IFERROR(__xludf.DUMMYFUNCTION("""COMPUTED_VALUE"""),43896.64583333333)</f>
        <v>43896.64583</v>
      </c>
      <c r="L11" s="5">
        <f>IFERROR(__xludf.DUMMYFUNCTION("""COMPUTED_VALUE"""),11387.35)</f>
        <v>11387.35</v>
      </c>
      <c r="M11" s="5">
        <f>IFERROR(__xludf.DUMMYFUNCTION("""COMPUTED_VALUE"""),11433.0)</f>
        <v>11433</v>
      </c>
      <c r="N11" s="5">
        <f>IFERROR(__xludf.DUMMYFUNCTION("""COMPUTED_VALUE"""),10827.4)</f>
        <v>10827.4</v>
      </c>
      <c r="O11" s="5">
        <f>IFERROR(__xludf.DUMMYFUNCTION("""COMPUTED_VALUE"""),10989.45)</f>
        <v>10989.45</v>
      </c>
      <c r="P11" s="5">
        <f>IFERROR(__xludf.DUMMYFUNCTION("""COMPUTED_VALUE"""),0.0)</f>
        <v>0</v>
      </c>
    </row>
    <row r="12">
      <c r="A12" s="4" t="s">
        <v>39</v>
      </c>
      <c r="B12" s="4" t="s">
        <v>32</v>
      </c>
      <c r="C12" s="4" t="s">
        <v>40</v>
      </c>
      <c r="D12" s="4" t="s">
        <v>13</v>
      </c>
      <c r="E12" s="5">
        <f>IFERROR(__xludf.DUMMYFUNCTION("GOOGLEFINANCE(C12,""price"")"),16384.05)</f>
        <v>16384.05</v>
      </c>
      <c r="F12" s="5">
        <f>IFERROR(__xludf.DUMMYFUNCTION("GOOGLEFINANCE(C12,""change"")"),93.35)</f>
        <v>93.35</v>
      </c>
      <c r="G12" s="6">
        <f>IFERROR(__xludf.DUMMYFUNCTION("GOOGLEFINANCE(C12, ""changepct"")/100"),0.005699999999999999)</f>
        <v>0.0057</v>
      </c>
      <c r="H12" s="5">
        <f>IFERROR(__xludf.DUMMYFUNCTION("GOOGLEFINANCE(C12, ""marketcap"")"),3.48063534E11)</f>
        <v>348063534000</v>
      </c>
      <c r="K12" s="7">
        <f>IFERROR(__xludf.DUMMYFUNCTION("""COMPUTED_VALUE"""),43903.64583333333)</f>
        <v>43903.64583</v>
      </c>
      <c r="L12" s="5">
        <f>IFERROR(__xludf.DUMMYFUNCTION("""COMPUTED_VALUE"""),10742.05)</f>
        <v>10742.05</v>
      </c>
      <c r="M12" s="5">
        <f>IFERROR(__xludf.DUMMYFUNCTION("""COMPUTED_VALUE"""),10751.55)</f>
        <v>10751.55</v>
      </c>
      <c r="N12" s="5">
        <f>IFERROR(__xludf.DUMMYFUNCTION("""COMPUTED_VALUE"""),8555.15)</f>
        <v>8555.15</v>
      </c>
      <c r="O12" s="5">
        <f>IFERROR(__xludf.DUMMYFUNCTION("""COMPUTED_VALUE"""),9955.2)</f>
        <v>9955.2</v>
      </c>
      <c r="P12" s="5">
        <f>IFERROR(__xludf.DUMMYFUNCTION("""COMPUTED_VALUE"""),0.0)</f>
        <v>0</v>
      </c>
    </row>
    <row r="13">
      <c r="A13" s="4" t="s">
        <v>41</v>
      </c>
      <c r="B13" s="4" t="s">
        <v>26</v>
      </c>
      <c r="C13" s="4" t="s">
        <v>42</v>
      </c>
      <c r="D13" s="4" t="s">
        <v>22</v>
      </c>
      <c r="E13" s="5">
        <f>IFERROR(__xludf.DUMMYFUNCTION("GOOGLEFINANCE(C13,""price"")"),1513.0)</f>
        <v>1513</v>
      </c>
      <c r="F13" s="5">
        <f>IFERROR(__xludf.DUMMYFUNCTION("GOOGLEFINANCE(C13,""change"")"),11.55)</f>
        <v>11.55</v>
      </c>
      <c r="G13" s="6">
        <f>IFERROR(__xludf.DUMMYFUNCTION("GOOGLEFINANCE(C13, ""changepct"")/100"),0.0077)</f>
        <v>0.0077</v>
      </c>
      <c r="H13" s="5">
        <f>IFERROR(__xludf.DUMMYFUNCTION("GOOGLEFINANCE(C13, ""marketcap"")"),1.662362815E12)</f>
        <v>1662362815000</v>
      </c>
      <c r="K13" s="7">
        <f>IFERROR(__xludf.DUMMYFUNCTION("""COMPUTED_VALUE"""),43910.64583333333)</f>
        <v>43910.64583</v>
      </c>
      <c r="L13" s="5">
        <f>IFERROR(__xludf.DUMMYFUNCTION("""COMPUTED_VALUE"""),9587.8)</f>
        <v>9587.8</v>
      </c>
      <c r="M13" s="5">
        <f>IFERROR(__xludf.DUMMYFUNCTION("""COMPUTED_VALUE"""),9602.2)</f>
        <v>9602.2</v>
      </c>
      <c r="N13" s="5">
        <f>IFERROR(__xludf.DUMMYFUNCTION("""COMPUTED_VALUE"""),7832.55)</f>
        <v>7832.55</v>
      </c>
      <c r="O13" s="5">
        <f>IFERROR(__xludf.DUMMYFUNCTION("""COMPUTED_VALUE"""),8745.45)</f>
        <v>8745.45</v>
      </c>
      <c r="P13" s="5">
        <f>IFERROR(__xludf.DUMMYFUNCTION("""COMPUTED_VALUE"""),0.0)</f>
        <v>0</v>
      </c>
    </row>
    <row r="14">
      <c r="A14" s="4" t="s">
        <v>43</v>
      </c>
      <c r="B14" s="4" t="s">
        <v>44</v>
      </c>
      <c r="C14" s="4" t="s">
        <v>45</v>
      </c>
      <c r="D14" s="4" t="s">
        <v>13</v>
      </c>
      <c r="E14" s="5">
        <f>IFERROR(__xludf.DUMMYFUNCTION("GOOGLEFINANCE(C14,""price"")"),1205.0)</f>
        <v>1205</v>
      </c>
      <c r="F14" s="5">
        <f>IFERROR(__xludf.DUMMYFUNCTION("GOOGLEFINANCE(C14,""change"")"),-7.9)</f>
        <v>-7.9</v>
      </c>
      <c r="G14" s="6">
        <f>IFERROR(__xludf.DUMMYFUNCTION("GOOGLEFINANCE(C14, ""changepct"")/100"),-0.006500000000000001)</f>
        <v>-0.0065</v>
      </c>
      <c r="H14" s="5">
        <f>IFERROR(__xludf.DUMMYFUNCTION("GOOGLEFINANCE(C14, ""marketcap"")"),1.867780206E12)</f>
        <v>1867780206000</v>
      </c>
      <c r="K14" s="7">
        <f>IFERROR(__xludf.DUMMYFUNCTION("""COMPUTED_VALUE"""),43917.64583333333)</f>
        <v>43917.64583</v>
      </c>
      <c r="L14" s="5">
        <f>IFERROR(__xludf.DUMMYFUNCTION("""COMPUTED_VALUE"""),7945.7)</f>
        <v>7945.7</v>
      </c>
      <c r="M14" s="5">
        <f>IFERROR(__xludf.DUMMYFUNCTION("""COMPUTED_VALUE"""),9038.9)</f>
        <v>9038.9</v>
      </c>
      <c r="N14" s="5">
        <f>IFERROR(__xludf.DUMMYFUNCTION("""COMPUTED_VALUE"""),7511.1)</f>
        <v>7511.1</v>
      </c>
      <c r="O14" s="5">
        <f>IFERROR(__xludf.DUMMYFUNCTION("""COMPUTED_VALUE"""),8660.25)</f>
        <v>8660.25</v>
      </c>
      <c r="P14" s="5">
        <f>IFERROR(__xludf.DUMMYFUNCTION("""COMPUTED_VALUE"""),0.0)</f>
        <v>0</v>
      </c>
    </row>
    <row r="15">
      <c r="A15" s="4" t="s">
        <v>46</v>
      </c>
      <c r="B15" s="4" t="s">
        <v>47</v>
      </c>
      <c r="C15" s="4" t="s">
        <v>48</v>
      </c>
      <c r="D15" s="4" t="s">
        <v>22</v>
      </c>
      <c r="E15" s="5">
        <f>IFERROR(__xludf.DUMMYFUNCTION("GOOGLEFINANCE(C15,""price"")"),764.95)</f>
        <v>764.95</v>
      </c>
      <c r="F15" s="5">
        <f>IFERROR(__xludf.DUMMYFUNCTION("GOOGLEFINANCE(C15,""change"")"),-3.5)</f>
        <v>-3.5</v>
      </c>
      <c r="G15" s="6">
        <f>IFERROR(__xludf.DUMMYFUNCTION("GOOGLEFINANCE(C15, ""changepct"")/100"),-0.0046)</f>
        <v>-0.0046</v>
      </c>
      <c r="H15" s="5">
        <f>IFERROR(__xludf.DUMMYFUNCTION("GOOGLEFINANCE(C15, ""marketcap"")"),1.561020702126E12)</f>
        <v>1561020702126</v>
      </c>
      <c r="K15" s="7">
        <f>IFERROR(__xludf.DUMMYFUNCTION("""COMPUTED_VALUE"""),43924.64583333333)</f>
        <v>43924.64583</v>
      </c>
      <c r="L15" s="5">
        <f>IFERROR(__xludf.DUMMYFUNCTION("""COMPUTED_VALUE"""),8385.95)</f>
        <v>8385.95</v>
      </c>
      <c r="M15" s="5">
        <f>IFERROR(__xludf.DUMMYFUNCTION("""COMPUTED_VALUE"""),8678.3)</f>
        <v>8678.3</v>
      </c>
      <c r="N15" s="5">
        <f>IFERROR(__xludf.DUMMYFUNCTION("""COMPUTED_VALUE"""),8055.8)</f>
        <v>8055.8</v>
      </c>
      <c r="O15" s="5">
        <f>IFERROR(__xludf.DUMMYFUNCTION("""COMPUTED_VALUE"""),8083.8)</f>
        <v>8083.8</v>
      </c>
      <c r="P15" s="5">
        <f>IFERROR(__xludf.DUMMYFUNCTION("""COMPUTED_VALUE"""),0.0)</f>
        <v>0</v>
      </c>
    </row>
    <row r="16">
      <c r="A16" s="4" t="s">
        <v>49</v>
      </c>
      <c r="B16" s="4" t="s">
        <v>50</v>
      </c>
      <c r="C16" s="4" t="s">
        <v>51</v>
      </c>
      <c r="D16" s="4" t="s">
        <v>13</v>
      </c>
      <c r="E16" s="5">
        <f>IFERROR(__xludf.DUMMYFUNCTION("GOOGLEFINANCE(C16,""price"")"),1467.7)</f>
        <v>1467.7</v>
      </c>
      <c r="F16" s="5">
        <f>IFERROR(__xludf.DUMMYFUNCTION("GOOGLEFINANCE(C16,""change"")"),-77.2)</f>
        <v>-77.2</v>
      </c>
      <c r="G16" s="6">
        <f>IFERROR(__xludf.DUMMYFUNCTION("GOOGLEFINANCE(C16, ""changepct"")/100"),-0.05)</f>
        <v>-0.05</v>
      </c>
      <c r="H16" s="5">
        <f>IFERROR(__xludf.DUMMYFUNCTION("GOOGLEFINANCE(C16, ""marketcap"")"),1.614189615598E12)</f>
        <v>1614189615598</v>
      </c>
      <c r="K16" s="7">
        <f>IFERROR(__xludf.DUMMYFUNCTION("""COMPUTED_VALUE"""),43930.64583333333)</f>
        <v>43930.64583</v>
      </c>
      <c r="L16" s="5">
        <f>IFERROR(__xludf.DUMMYFUNCTION("""COMPUTED_VALUE"""),8446.3)</f>
        <v>8446.3</v>
      </c>
      <c r="M16" s="5">
        <f>IFERROR(__xludf.DUMMYFUNCTION("""COMPUTED_VALUE"""),9131.7)</f>
        <v>9131.7</v>
      </c>
      <c r="N16" s="5">
        <f>IFERROR(__xludf.DUMMYFUNCTION("""COMPUTED_VALUE"""),8360.95)</f>
        <v>8360.95</v>
      </c>
      <c r="O16" s="5">
        <f>IFERROR(__xludf.DUMMYFUNCTION("""COMPUTED_VALUE"""),9111.9)</f>
        <v>9111.9</v>
      </c>
      <c r="P16" s="5">
        <f>IFERROR(__xludf.DUMMYFUNCTION("""COMPUTED_VALUE"""),0.0)</f>
        <v>0</v>
      </c>
    </row>
    <row r="17">
      <c r="A17" s="4" t="s">
        <v>52</v>
      </c>
      <c r="B17" s="4" t="s">
        <v>44</v>
      </c>
      <c r="C17" s="4" t="s">
        <v>53</v>
      </c>
      <c r="D17" s="4" t="s">
        <v>13</v>
      </c>
      <c r="E17" s="5">
        <f>IFERROR(__xludf.DUMMYFUNCTION("GOOGLEFINANCE(C17,""price"")"),1446.4)</f>
        <v>1446.4</v>
      </c>
      <c r="F17" s="5">
        <f>IFERROR(__xludf.DUMMYFUNCTION("GOOGLEFINANCE(C17,""change"")"),-76.1)</f>
        <v>-76.1</v>
      </c>
      <c r="G17" s="6">
        <f>IFERROR(__xludf.DUMMYFUNCTION("GOOGLEFINANCE(C17, ""changepct"")/100"),-0.05)</f>
        <v>-0.05</v>
      </c>
      <c r="H17" s="5">
        <f>IFERROR(__xludf.DUMMYFUNCTION("GOOGLEFINANCE(C17, ""marketcap"")"),1.590724742743E12)</f>
        <v>1590724742743</v>
      </c>
      <c r="K17" s="7">
        <f>IFERROR(__xludf.DUMMYFUNCTION("""COMPUTED_VALUE"""),43938.64583333333)</f>
        <v>43938.64583</v>
      </c>
      <c r="L17" s="5">
        <f>IFERROR(__xludf.DUMMYFUNCTION("""COMPUTED_VALUE"""),9103.95)</f>
        <v>9103.95</v>
      </c>
      <c r="M17" s="5">
        <f>IFERROR(__xludf.DUMMYFUNCTION("""COMPUTED_VALUE"""),9324.0)</f>
        <v>9324</v>
      </c>
      <c r="N17" s="5">
        <f>IFERROR(__xludf.DUMMYFUNCTION("""COMPUTED_VALUE"""),8821.9)</f>
        <v>8821.9</v>
      </c>
      <c r="O17" s="5">
        <f>IFERROR(__xludf.DUMMYFUNCTION("""COMPUTED_VALUE"""),9266.75)</f>
        <v>9266.75</v>
      </c>
      <c r="P17" s="5">
        <f>IFERROR(__xludf.DUMMYFUNCTION("""COMPUTED_VALUE"""),0.0)</f>
        <v>0</v>
      </c>
    </row>
    <row r="18">
      <c r="A18" s="4" t="s">
        <v>54</v>
      </c>
      <c r="B18" s="4" t="s">
        <v>29</v>
      </c>
      <c r="C18" s="4" t="s">
        <v>55</v>
      </c>
      <c r="D18" s="4" t="s">
        <v>13</v>
      </c>
      <c r="E18" s="5">
        <f>IFERROR(__xludf.DUMMYFUNCTION("GOOGLEFINANCE(C18,""price"")"),125.85)</f>
        <v>125.85</v>
      </c>
      <c r="F18" s="5">
        <f>IFERROR(__xludf.DUMMYFUNCTION("GOOGLEFINANCE(C18,""change"")"),2.15)</f>
        <v>2.15</v>
      </c>
      <c r="G18" s="6">
        <f>IFERROR(__xludf.DUMMYFUNCTION("GOOGLEFINANCE(C18, ""changepct"")/100"),0.0174)</f>
        <v>0.0174</v>
      </c>
      <c r="H18" s="5">
        <f>IFERROR(__xludf.DUMMYFUNCTION("GOOGLEFINANCE(C18, ""marketcap"")"),3.03862485171E11)</f>
        <v>303862485171</v>
      </c>
      <c r="K18" s="7">
        <f>IFERROR(__xludf.DUMMYFUNCTION("""COMPUTED_VALUE"""),43945.64583333333)</f>
        <v>43945.64583</v>
      </c>
      <c r="L18" s="5">
        <f>IFERROR(__xludf.DUMMYFUNCTION("""COMPUTED_VALUE"""),9390.2)</f>
        <v>9390.2</v>
      </c>
      <c r="M18" s="5">
        <f>IFERROR(__xludf.DUMMYFUNCTION("""COMPUTED_VALUE"""),9390.85)</f>
        <v>9390.85</v>
      </c>
      <c r="N18" s="5">
        <f>IFERROR(__xludf.DUMMYFUNCTION("""COMPUTED_VALUE"""),8909.4)</f>
        <v>8909.4</v>
      </c>
      <c r="O18" s="5">
        <f>IFERROR(__xludf.DUMMYFUNCTION("""COMPUTED_VALUE"""),9154.4)</f>
        <v>9154.4</v>
      </c>
      <c r="P18" s="5">
        <f>IFERROR(__xludf.DUMMYFUNCTION("""COMPUTED_VALUE"""),0.0)</f>
        <v>0</v>
      </c>
    </row>
    <row r="19">
      <c r="A19" s="4" t="s">
        <v>56</v>
      </c>
      <c r="B19" s="4" t="s">
        <v>57</v>
      </c>
      <c r="C19" s="4" t="s">
        <v>58</v>
      </c>
      <c r="D19" s="4" t="s">
        <v>13</v>
      </c>
      <c r="E19" s="5">
        <f>IFERROR(__xludf.DUMMYFUNCTION("GOOGLEFINANCE(C19,""price"")"),208.5)</f>
        <v>208.5</v>
      </c>
      <c r="F19" s="5">
        <f>IFERROR(__xludf.DUMMYFUNCTION("GOOGLEFINANCE(C19,""change"")"),2.65)</f>
        <v>2.65</v>
      </c>
      <c r="G19" s="6">
        <f>IFERROR(__xludf.DUMMYFUNCTION("GOOGLEFINANCE(C19, ""changepct"")/100"),0.0129)</f>
        <v>0.0129</v>
      </c>
      <c r="H19" s="5">
        <f>IFERROR(__xludf.DUMMYFUNCTION("GOOGLEFINANCE(C19, ""marketcap"")"),1.91386946363E11)</f>
        <v>191386946363</v>
      </c>
      <c r="K19" s="7">
        <f>IFERROR(__xludf.DUMMYFUNCTION("""COMPUTED_VALUE"""),43951.64583333333)</f>
        <v>43951.64583</v>
      </c>
      <c r="L19" s="5">
        <f>IFERROR(__xludf.DUMMYFUNCTION("""COMPUTED_VALUE"""),9259.7)</f>
        <v>9259.7</v>
      </c>
      <c r="M19" s="5">
        <f>IFERROR(__xludf.DUMMYFUNCTION("""COMPUTED_VALUE"""),9889.05)</f>
        <v>9889.05</v>
      </c>
      <c r="N19" s="5">
        <f>IFERROR(__xludf.DUMMYFUNCTION("""COMPUTED_VALUE"""),9250.35)</f>
        <v>9250.35</v>
      </c>
      <c r="O19" s="5">
        <f>IFERROR(__xludf.DUMMYFUNCTION("""COMPUTED_VALUE"""),9859.9)</f>
        <v>9859.9</v>
      </c>
      <c r="P19" s="5">
        <f>IFERROR(__xludf.DUMMYFUNCTION("""COMPUTED_VALUE"""),0.0)</f>
        <v>0</v>
      </c>
    </row>
    <row r="20">
      <c r="A20" s="4" t="s">
        <v>59</v>
      </c>
      <c r="B20" s="4" t="s">
        <v>11</v>
      </c>
      <c r="C20" s="4" t="s">
        <v>60</v>
      </c>
      <c r="D20" s="4" t="s">
        <v>13</v>
      </c>
      <c r="E20" s="5">
        <f>IFERROR(__xludf.DUMMYFUNCTION("GOOGLEFINANCE(C20,""price"")"),413.0)</f>
        <v>413</v>
      </c>
      <c r="F20" s="5">
        <f>IFERROR(__xludf.DUMMYFUNCTION("GOOGLEFINANCE(C20,""change"")"),1.55)</f>
        <v>1.55</v>
      </c>
      <c r="G20" s="6">
        <f>IFERROR(__xludf.DUMMYFUNCTION("GOOGLEFINANCE(C20, ""changepct"")/100"),0.0038)</f>
        <v>0.0038</v>
      </c>
      <c r="H20" s="5">
        <f>IFERROR(__xludf.DUMMYFUNCTION("GOOGLEFINANCE(C20, ""marketcap"")"),4.6142039595E10)</f>
        <v>46142039595</v>
      </c>
      <c r="K20" s="7">
        <f>IFERROR(__xludf.DUMMYFUNCTION("""COMPUTED_VALUE"""),43959.64583333333)</f>
        <v>43959.64583</v>
      </c>
      <c r="L20" s="5">
        <f>IFERROR(__xludf.DUMMYFUNCTION("""COMPUTED_VALUE"""),9533.5)</f>
        <v>9533.5</v>
      </c>
      <c r="M20" s="5">
        <f>IFERROR(__xludf.DUMMYFUNCTION("""COMPUTED_VALUE"""),9533.5)</f>
        <v>9533.5</v>
      </c>
      <c r="N20" s="5">
        <f>IFERROR(__xludf.DUMMYFUNCTION("""COMPUTED_VALUE"""),9116.5)</f>
        <v>9116.5</v>
      </c>
      <c r="O20" s="5">
        <f>IFERROR(__xludf.DUMMYFUNCTION("""COMPUTED_VALUE"""),9251.5)</f>
        <v>9251.5</v>
      </c>
      <c r="P20" s="5">
        <f>IFERROR(__xludf.DUMMYFUNCTION("""COMPUTED_VALUE"""),0.0)</f>
        <v>0</v>
      </c>
    </row>
    <row r="21">
      <c r="A21" s="4" t="s">
        <v>61</v>
      </c>
      <c r="B21" s="4" t="s">
        <v>47</v>
      </c>
      <c r="C21" s="4" t="s">
        <v>62</v>
      </c>
      <c r="D21" s="4" t="s">
        <v>13</v>
      </c>
      <c r="E21" s="5">
        <f>IFERROR(__xludf.DUMMYFUNCTION("GOOGLEFINANCE(C21,""price"")"),369.2)</f>
        <v>369.2</v>
      </c>
      <c r="F21" s="5">
        <f>IFERROR(__xludf.DUMMYFUNCTION("GOOGLEFINANCE(C21,""change"")"),4.2)</f>
        <v>4.2</v>
      </c>
      <c r="G21" s="6">
        <f>IFERROR(__xludf.DUMMYFUNCTION("GOOGLEFINANCE(C21, ""changepct"")/100"),0.0115)</f>
        <v>0.0115</v>
      </c>
      <c r="H21" s="5">
        <f>IFERROR(__xludf.DUMMYFUNCTION("GOOGLEFINANCE(C21, ""marketcap"")"),1.29729639102E11)</f>
        <v>129729639102</v>
      </c>
      <c r="K21" s="7">
        <f>IFERROR(__xludf.DUMMYFUNCTION("""COMPUTED_VALUE"""),43966.64583333333)</f>
        <v>43966.64583</v>
      </c>
      <c r="L21" s="5">
        <f>IFERROR(__xludf.DUMMYFUNCTION("""COMPUTED_VALUE"""),9348.15)</f>
        <v>9348.15</v>
      </c>
      <c r="M21" s="5">
        <f>IFERROR(__xludf.DUMMYFUNCTION("""COMPUTED_VALUE"""),9584.5)</f>
        <v>9584.5</v>
      </c>
      <c r="N21" s="5">
        <f>IFERROR(__xludf.DUMMYFUNCTION("""COMPUTED_VALUE"""),9043.95)</f>
        <v>9043.95</v>
      </c>
      <c r="O21" s="5">
        <f>IFERROR(__xludf.DUMMYFUNCTION("""COMPUTED_VALUE"""),9136.85)</f>
        <v>9136.85</v>
      </c>
      <c r="P21" s="5">
        <f>IFERROR(__xludf.DUMMYFUNCTION("""COMPUTED_VALUE"""),0.0)</f>
        <v>0</v>
      </c>
    </row>
    <row r="22">
      <c r="A22" s="4" t="s">
        <v>63</v>
      </c>
      <c r="B22" s="4" t="s">
        <v>64</v>
      </c>
      <c r="C22" s="4" t="s">
        <v>65</v>
      </c>
      <c r="D22" s="4" t="s">
        <v>13</v>
      </c>
      <c r="E22" s="5">
        <f>IFERROR(__xludf.DUMMYFUNCTION("GOOGLEFINANCE(C22,""price"")"),5170.0)</f>
        <v>5170</v>
      </c>
      <c r="F22" s="5">
        <f>IFERROR(__xludf.DUMMYFUNCTION("GOOGLEFINANCE(C22,""change"")"),-30.6)</f>
        <v>-30.6</v>
      </c>
      <c r="G22" s="6">
        <f>IFERROR(__xludf.DUMMYFUNCTION("GOOGLEFINANCE(C22, ""changepct"")/100"),-0.0059)</f>
        <v>-0.0059</v>
      </c>
      <c r="H22" s="5">
        <f>IFERROR(__xludf.DUMMYFUNCTION("GOOGLEFINANCE(C22, ""marketcap"")"),1.37296546672E11)</f>
        <v>137296546672</v>
      </c>
      <c r="K22" s="7">
        <f>IFERROR(__xludf.DUMMYFUNCTION("""COMPUTED_VALUE"""),43973.64583333333)</f>
        <v>43973.64583</v>
      </c>
      <c r="L22" s="5">
        <f>IFERROR(__xludf.DUMMYFUNCTION("""COMPUTED_VALUE"""),9158.3)</f>
        <v>9158.3</v>
      </c>
      <c r="M22" s="5">
        <f>IFERROR(__xludf.DUMMYFUNCTION("""COMPUTED_VALUE"""),9178.55)</f>
        <v>9178.55</v>
      </c>
      <c r="N22" s="5">
        <f>IFERROR(__xludf.DUMMYFUNCTION("""COMPUTED_VALUE"""),8806.75)</f>
        <v>8806.75</v>
      </c>
      <c r="O22" s="5">
        <f>IFERROR(__xludf.DUMMYFUNCTION("""COMPUTED_VALUE"""),9039.25)</f>
        <v>9039.25</v>
      </c>
      <c r="P22" s="5">
        <f>IFERROR(__xludf.DUMMYFUNCTION("""COMPUTED_VALUE"""),0.0)</f>
        <v>0</v>
      </c>
    </row>
    <row r="23">
      <c r="A23" s="4" t="s">
        <v>66</v>
      </c>
      <c r="B23" s="4" t="s">
        <v>32</v>
      </c>
      <c r="C23" s="4" t="s">
        <v>67</v>
      </c>
      <c r="D23" s="4" t="s">
        <v>13</v>
      </c>
      <c r="E23" s="5">
        <f>IFERROR(__xludf.DUMMYFUNCTION("GOOGLEFINANCE(C23,""price"")"),1986.25)</f>
        <v>1986.25</v>
      </c>
      <c r="F23" s="5">
        <f>IFERROR(__xludf.DUMMYFUNCTION("GOOGLEFINANCE(C23,""change"")"),47.3)</f>
        <v>47.3</v>
      </c>
      <c r="G23" s="6">
        <f>IFERROR(__xludf.DUMMYFUNCTION("GOOGLEFINANCE(C23, ""changepct"")/100"),0.024399999999999998)</f>
        <v>0.0244</v>
      </c>
      <c r="H23" s="5">
        <f>IFERROR(__xludf.DUMMYFUNCTION("GOOGLEFINANCE(C23, ""marketcap"")"),1.71873668575E11)</f>
        <v>171873668575</v>
      </c>
      <c r="K23" s="7">
        <f>IFERROR(__xludf.DUMMYFUNCTION("""COMPUTED_VALUE"""),43980.64583333333)</f>
        <v>43980.64583</v>
      </c>
      <c r="L23" s="5">
        <f>IFERROR(__xludf.DUMMYFUNCTION("""COMPUTED_VALUE"""),9099.75)</f>
        <v>9099.75</v>
      </c>
      <c r="M23" s="5">
        <f>IFERROR(__xludf.DUMMYFUNCTION("""COMPUTED_VALUE"""),9598.85)</f>
        <v>9598.85</v>
      </c>
      <c r="N23" s="5">
        <f>IFERROR(__xludf.DUMMYFUNCTION("""COMPUTED_VALUE"""),8996.65)</f>
        <v>8996.65</v>
      </c>
      <c r="O23" s="5">
        <f>IFERROR(__xludf.DUMMYFUNCTION("""COMPUTED_VALUE"""),9580.3)</f>
        <v>9580.3</v>
      </c>
      <c r="P23" s="5">
        <f>IFERROR(__xludf.DUMMYFUNCTION("""COMPUTED_VALUE"""),0.0)</f>
        <v>0</v>
      </c>
    </row>
    <row r="24">
      <c r="A24" s="4" t="s">
        <v>68</v>
      </c>
      <c r="B24" s="4" t="s">
        <v>11</v>
      </c>
      <c r="C24" s="4" t="s">
        <v>69</v>
      </c>
      <c r="D24" s="4" t="s">
        <v>13</v>
      </c>
      <c r="E24" s="5">
        <f>IFERROR(__xludf.DUMMYFUNCTION("GOOGLEFINANCE(C24,""price"")"),2324.0)</f>
        <v>2324</v>
      </c>
      <c r="F24" s="5">
        <f>IFERROR(__xludf.DUMMYFUNCTION("GOOGLEFINANCE(C24,""change"")"),20.45)</f>
        <v>20.45</v>
      </c>
      <c r="G24" s="6">
        <f>IFERROR(__xludf.DUMMYFUNCTION("GOOGLEFINANCE(C24, ""changepct"")/100"),0.0089)</f>
        <v>0.0089</v>
      </c>
      <c r="H24" s="5">
        <f>IFERROR(__xludf.DUMMYFUNCTION("GOOGLEFINANCE(C24, ""marketcap"")"),1.058356572E11)</f>
        <v>105835657200</v>
      </c>
      <c r="K24" s="7">
        <f>IFERROR(__xludf.DUMMYFUNCTION("""COMPUTED_VALUE"""),43987.64583333333)</f>
        <v>43987.64583</v>
      </c>
      <c r="L24" s="5">
        <f>IFERROR(__xludf.DUMMYFUNCTION("""COMPUTED_VALUE"""),9726.85)</f>
        <v>9726.85</v>
      </c>
      <c r="M24" s="5">
        <f>IFERROR(__xludf.DUMMYFUNCTION("""COMPUTED_VALUE"""),10177.8)</f>
        <v>10177.8</v>
      </c>
      <c r="N24" s="5">
        <f>IFERROR(__xludf.DUMMYFUNCTION("""COMPUTED_VALUE"""),9706.95)</f>
        <v>9706.95</v>
      </c>
      <c r="O24" s="5">
        <f>IFERROR(__xludf.DUMMYFUNCTION("""COMPUTED_VALUE"""),10142.15)</f>
        <v>10142.15</v>
      </c>
      <c r="P24" s="5">
        <f>IFERROR(__xludf.DUMMYFUNCTION("""COMPUTED_VALUE"""),0.0)</f>
        <v>0</v>
      </c>
    </row>
    <row r="25">
      <c r="A25" s="4" t="s">
        <v>70</v>
      </c>
      <c r="B25" s="4" t="s">
        <v>32</v>
      </c>
      <c r="C25" s="4" t="s">
        <v>71</v>
      </c>
      <c r="D25" s="4" t="s">
        <v>13</v>
      </c>
      <c r="E25" s="5">
        <f>IFERROR(__xludf.DUMMYFUNCTION("GOOGLEFINANCE(C25,""price"")"),130.3)</f>
        <v>130.3</v>
      </c>
      <c r="F25" s="5">
        <f>IFERROR(__xludf.DUMMYFUNCTION("GOOGLEFINANCE(C25,""change"")"),0.9)</f>
        <v>0.9</v>
      </c>
      <c r="G25" s="6">
        <f>IFERROR(__xludf.DUMMYFUNCTION("GOOGLEFINANCE(C25, ""changepct"")/100"),0.006999999999999999)</f>
        <v>0.007</v>
      </c>
      <c r="H25" s="5">
        <f>IFERROR(__xludf.DUMMYFUNCTION("GOOGLEFINANCE(C25, ""marketcap"")"),3.3471509197E10)</f>
        <v>33471509197</v>
      </c>
      <c r="K25" s="7">
        <f>IFERROR(__xludf.DUMMYFUNCTION("""COMPUTED_VALUE"""),43994.64583333333)</f>
        <v>43994.64583</v>
      </c>
      <c r="L25" s="5">
        <f>IFERROR(__xludf.DUMMYFUNCTION("""COMPUTED_VALUE"""),10326.75)</f>
        <v>10326.75</v>
      </c>
      <c r="M25" s="5">
        <f>IFERROR(__xludf.DUMMYFUNCTION("""COMPUTED_VALUE"""),10328.5)</f>
        <v>10328.5</v>
      </c>
      <c r="N25" s="5">
        <f>IFERROR(__xludf.DUMMYFUNCTION("""COMPUTED_VALUE"""),9544.35)</f>
        <v>9544.35</v>
      </c>
      <c r="O25" s="5">
        <f>IFERROR(__xludf.DUMMYFUNCTION("""COMPUTED_VALUE"""),9972.9)</f>
        <v>9972.9</v>
      </c>
      <c r="P25" s="5">
        <f>IFERROR(__xludf.DUMMYFUNCTION("""COMPUTED_VALUE"""),0.0)</f>
        <v>0</v>
      </c>
    </row>
    <row r="26">
      <c r="A26" s="4" t="s">
        <v>72</v>
      </c>
      <c r="B26" s="4" t="s">
        <v>32</v>
      </c>
      <c r="C26" s="4" t="s">
        <v>73</v>
      </c>
      <c r="D26" s="4" t="s">
        <v>22</v>
      </c>
      <c r="E26" s="5">
        <f>IFERROR(__xludf.DUMMYFUNCTION("GOOGLEFINANCE(C26,""price"")"),992.9)</f>
        <v>992.9</v>
      </c>
      <c r="F26" s="5">
        <f>IFERROR(__xludf.DUMMYFUNCTION("GOOGLEFINANCE(C26,""change"")"),-1.7)</f>
        <v>-1.7</v>
      </c>
      <c r="G26" s="6">
        <f>IFERROR(__xludf.DUMMYFUNCTION("GOOGLEFINANCE(C26, ""changepct"")/100"),-0.0017000000000000001)</f>
        <v>-0.0017</v>
      </c>
      <c r="H26" s="5">
        <f>IFERROR(__xludf.DUMMYFUNCTION("GOOGLEFINANCE(C26, ""marketcap"")"),1.95167407498E11)</f>
        <v>195167407498</v>
      </c>
      <c r="K26" s="7">
        <f>IFERROR(__xludf.DUMMYFUNCTION("""COMPUTED_VALUE"""),44001.64583333333)</f>
        <v>44001.64583</v>
      </c>
      <c r="L26" s="5">
        <f>IFERROR(__xludf.DUMMYFUNCTION("""COMPUTED_VALUE"""),9919.35)</f>
        <v>9919.35</v>
      </c>
      <c r="M26" s="5">
        <f>IFERROR(__xludf.DUMMYFUNCTION("""COMPUTED_VALUE"""),10272.4)</f>
        <v>10272.4</v>
      </c>
      <c r="N26" s="5">
        <f>IFERROR(__xludf.DUMMYFUNCTION("""COMPUTED_VALUE"""),9726.35)</f>
        <v>9726.35</v>
      </c>
      <c r="O26" s="5">
        <f>IFERROR(__xludf.DUMMYFUNCTION("""COMPUTED_VALUE"""),10244.4)</f>
        <v>10244.4</v>
      </c>
      <c r="P26" s="5">
        <f>IFERROR(__xludf.DUMMYFUNCTION("""COMPUTED_VALUE"""),0.0)</f>
        <v>0</v>
      </c>
    </row>
    <row r="27">
      <c r="A27" s="4" t="s">
        <v>74</v>
      </c>
      <c r="B27" s="4" t="s">
        <v>32</v>
      </c>
      <c r="C27" s="4" t="s">
        <v>75</v>
      </c>
      <c r="D27" s="4" t="s">
        <v>22</v>
      </c>
      <c r="E27" s="5">
        <f>IFERROR(__xludf.DUMMYFUNCTION("GOOGLEFINANCE(C27,""price"")"),3198.6)</f>
        <v>3198.6</v>
      </c>
      <c r="F27" s="5">
        <f>IFERROR(__xludf.DUMMYFUNCTION("GOOGLEFINANCE(C27,""change"")"),-24.9)</f>
        <v>-24.9</v>
      </c>
      <c r="G27" s="6">
        <f>IFERROR(__xludf.DUMMYFUNCTION("GOOGLEFINANCE(C27, ""changepct"")/100"),-0.0077)</f>
        <v>-0.0077</v>
      </c>
      <c r="H27" s="5">
        <f>IFERROR(__xludf.DUMMYFUNCTION("GOOGLEFINANCE(C27, ""marketcap"")"),3.82440620676E11)</f>
        <v>382440620676</v>
      </c>
      <c r="K27" s="7">
        <f>IFERROR(__xludf.DUMMYFUNCTION("""COMPUTED_VALUE"""),44008.64583333333)</f>
        <v>44008.64583</v>
      </c>
      <c r="L27" s="5">
        <f>IFERROR(__xludf.DUMMYFUNCTION("""COMPUTED_VALUE"""),10318.75)</f>
        <v>10318.75</v>
      </c>
      <c r="M27" s="5">
        <f>IFERROR(__xludf.DUMMYFUNCTION("""COMPUTED_VALUE"""),10553.15)</f>
        <v>10553.15</v>
      </c>
      <c r="N27" s="5">
        <f>IFERROR(__xludf.DUMMYFUNCTION("""COMPUTED_VALUE"""),10194.5)</f>
        <v>10194.5</v>
      </c>
      <c r="O27" s="5">
        <f>IFERROR(__xludf.DUMMYFUNCTION("""COMPUTED_VALUE"""),10383.0)</f>
        <v>10383</v>
      </c>
      <c r="P27" s="5">
        <f>IFERROR(__xludf.DUMMYFUNCTION("""COMPUTED_VALUE"""),0.0)</f>
        <v>0</v>
      </c>
    </row>
    <row r="28">
      <c r="A28" s="4" t="s">
        <v>76</v>
      </c>
      <c r="B28" s="4" t="s">
        <v>35</v>
      </c>
      <c r="C28" s="4" t="s">
        <v>77</v>
      </c>
      <c r="D28" s="4" t="s">
        <v>13</v>
      </c>
      <c r="E28" s="5">
        <f>IFERROR(__xludf.DUMMYFUNCTION("GOOGLEFINANCE(C28,""price"")"),3631.55)</f>
        <v>3631.55</v>
      </c>
      <c r="F28" s="5">
        <f>IFERROR(__xludf.DUMMYFUNCTION("GOOGLEFINANCE(C28,""change"")"),66.5)</f>
        <v>66.5</v>
      </c>
      <c r="G28" s="6">
        <f>IFERROR(__xludf.DUMMYFUNCTION("GOOGLEFINANCE(C28, ""changepct"")/100"),0.0187)</f>
        <v>0.0187</v>
      </c>
      <c r="H28" s="5">
        <f>IFERROR(__xludf.DUMMYFUNCTION("GOOGLEFINANCE(C28, ""marketcap"")"),1.8516543885E11)</f>
        <v>185165438850</v>
      </c>
      <c r="K28" s="7">
        <f>IFERROR(__xludf.DUMMYFUNCTION("""COMPUTED_VALUE"""),44015.64583333333)</f>
        <v>44015.64583</v>
      </c>
      <c r="L28" s="5">
        <f>IFERROR(__xludf.DUMMYFUNCTION("""COMPUTED_VALUE"""),10311.95)</f>
        <v>10311.95</v>
      </c>
      <c r="M28" s="5">
        <f>IFERROR(__xludf.DUMMYFUNCTION("""COMPUTED_VALUE"""),10631.3)</f>
        <v>10631.3</v>
      </c>
      <c r="N28" s="5">
        <f>IFERROR(__xludf.DUMMYFUNCTION("""COMPUTED_VALUE"""),10223.6)</f>
        <v>10223.6</v>
      </c>
      <c r="O28" s="5">
        <f>IFERROR(__xludf.DUMMYFUNCTION("""COMPUTED_VALUE"""),10607.35)</f>
        <v>10607.35</v>
      </c>
      <c r="P28" s="5">
        <f>IFERROR(__xludf.DUMMYFUNCTION("""COMPUTED_VALUE"""),0.0)</f>
        <v>0</v>
      </c>
    </row>
    <row r="29">
      <c r="A29" s="4" t="s">
        <v>78</v>
      </c>
      <c r="B29" s="4" t="s">
        <v>79</v>
      </c>
      <c r="C29" s="4" t="s">
        <v>80</v>
      </c>
      <c r="D29" s="4" t="s">
        <v>13</v>
      </c>
      <c r="E29" s="5">
        <f>IFERROR(__xludf.DUMMYFUNCTION("GOOGLEFINANCE(C29,""price"")"),30.9)</f>
        <v>30.9</v>
      </c>
      <c r="F29" s="5">
        <f>IFERROR(__xludf.DUMMYFUNCTION("GOOGLEFINANCE(C29,""change"")"),-0.15)</f>
        <v>-0.15</v>
      </c>
      <c r="G29" s="6">
        <f>IFERROR(__xludf.DUMMYFUNCTION("GOOGLEFINANCE(C29, ""changepct"")/100"),-0.0048)</f>
        <v>-0.0048</v>
      </c>
      <c r="H29" s="5">
        <f>IFERROR(__xludf.DUMMYFUNCTION("GOOGLEFINANCE(C29, ""marketcap"")"),1.53425914105E11)</f>
        <v>153425914105</v>
      </c>
      <c r="K29" s="7">
        <f>IFERROR(__xludf.DUMMYFUNCTION("""COMPUTED_VALUE"""),44022.64583333333)</f>
        <v>44022.64583</v>
      </c>
      <c r="L29" s="5">
        <f>IFERROR(__xludf.DUMMYFUNCTION("""COMPUTED_VALUE"""),10723.85)</f>
        <v>10723.85</v>
      </c>
      <c r="M29" s="5">
        <f>IFERROR(__xludf.DUMMYFUNCTION("""COMPUTED_VALUE"""),10847.85)</f>
        <v>10847.85</v>
      </c>
      <c r="N29" s="5">
        <f>IFERROR(__xludf.DUMMYFUNCTION("""COMPUTED_VALUE"""),10676.55)</f>
        <v>10676.55</v>
      </c>
      <c r="O29" s="5">
        <f>IFERROR(__xludf.DUMMYFUNCTION("""COMPUTED_VALUE"""),10768.05)</f>
        <v>10768.05</v>
      </c>
      <c r="P29" s="5">
        <f>IFERROR(__xludf.DUMMYFUNCTION("""COMPUTED_VALUE"""),0.0)</f>
        <v>0</v>
      </c>
    </row>
    <row r="30">
      <c r="A30" s="4" t="s">
        <v>81</v>
      </c>
      <c r="B30" s="4" t="s">
        <v>82</v>
      </c>
      <c r="C30" s="4" t="s">
        <v>83</v>
      </c>
      <c r="D30" s="4" t="s">
        <v>22</v>
      </c>
      <c r="E30" s="5">
        <f>IFERROR(__xludf.DUMMYFUNCTION("GOOGLEFINANCE(C30,""price"")"),777.0)</f>
        <v>777</v>
      </c>
      <c r="F30" s="5">
        <f>IFERROR(__xludf.DUMMYFUNCTION("GOOGLEFINANCE(C30,""change"")"),7.7)</f>
        <v>7.7</v>
      </c>
      <c r="G30" s="6">
        <f>IFERROR(__xludf.DUMMYFUNCTION("GOOGLEFINANCE(C30, ""changepct"")/100"),0.01)</f>
        <v>0.01</v>
      </c>
      <c r="H30" s="5">
        <f>IFERROR(__xludf.DUMMYFUNCTION("GOOGLEFINANCE(C30, ""marketcap"")"),1.32712212005E11)</f>
        <v>132712212005</v>
      </c>
      <c r="K30" s="7">
        <f>IFERROR(__xludf.DUMMYFUNCTION("""COMPUTED_VALUE"""),44029.64583333333)</f>
        <v>44029.64583</v>
      </c>
      <c r="L30" s="5">
        <f>IFERROR(__xludf.DUMMYFUNCTION("""COMPUTED_VALUE"""),10851.85)</f>
        <v>10851.85</v>
      </c>
      <c r="M30" s="5">
        <f>IFERROR(__xludf.DUMMYFUNCTION("""COMPUTED_VALUE"""),10933.45)</f>
        <v>10933.45</v>
      </c>
      <c r="N30" s="5">
        <f>IFERROR(__xludf.DUMMYFUNCTION("""COMPUTED_VALUE"""),10562.9)</f>
        <v>10562.9</v>
      </c>
      <c r="O30" s="5">
        <f>IFERROR(__xludf.DUMMYFUNCTION("""COMPUTED_VALUE"""),10901.7)</f>
        <v>10901.7</v>
      </c>
      <c r="P30" s="5">
        <f>IFERROR(__xludf.DUMMYFUNCTION("""COMPUTED_VALUE"""),0.0)</f>
        <v>0</v>
      </c>
    </row>
    <row r="31">
      <c r="A31" s="4" t="s">
        <v>84</v>
      </c>
      <c r="B31" s="4" t="s">
        <v>11</v>
      </c>
      <c r="C31" s="4" t="s">
        <v>85</v>
      </c>
      <c r="D31" s="4" t="s">
        <v>13</v>
      </c>
      <c r="E31" s="5">
        <f>IFERROR(__xludf.DUMMYFUNCTION("GOOGLEFINANCE(C31,""price"")"),2797.0)</f>
        <v>2797</v>
      </c>
      <c r="F31" s="5">
        <f>IFERROR(__xludf.DUMMYFUNCTION("GOOGLEFINANCE(C31,""change"")"),-1.95)</f>
        <v>-1.95</v>
      </c>
      <c r="G31" s="6">
        <f>IFERROR(__xludf.DUMMYFUNCTION("GOOGLEFINANCE(C31, ""changepct"")/100"),-7.000000000000001E-4)</f>
        <v>-0.0007</v>
      </c>
      <c r="H31" s="5">
        <f>IFERROR(__xludf.DUMMYFUNCTION("GOOGLEFINANCE(C31, ""marketcap"")"),9.420766908E10)</f>
        <v>94207669080</v>
      </c>
      <c r="K31" s="7">
        <f>IFERROR(__xludf.DUMMYFUNCTION("""COMPUTED_VALUE"""),44036.64583333333)</f>
        <v>44036.64583</v>
      </c>
      <c r="L31" s="5">
        <f>IFERROR(__xludf.DUMMYFUNCTION("""COMPUTED_VALUE"""),10999.45)</f>
        <v>10999.45</v>
      </c>
      <c r="M31" s="5">
        <f>IFERROR(__xludf.DUMMYFUNCTION("""COMPUTED_VALUE"""),11239.8)</f>
        <v>11239.8</v>
      </c>
      <c r="N31" s="5">
        <f>IFERROR(__xludf.DUMMYFUNCTION("""COMPUTED_VALUE"""),10953.0)</f>
        <v>10953</v>
      </c>
      <c r="O31" s="5">
        <f>IFERROR(__xludf.DUMMYFUNCTION("""COMPUTED_VALUE"""),11194.15)</f>
        <v>11194.15</v>
      </c>
      <c r="P31" s="5">
        <f>IFERROR(__xludf.DUMMYFUNCTION("""COMPUTED_VALUE"""),0.0)</f>
        <v>0</v>
      </c>
    </row>
    <row r="32">
      <c r="A32" s="4" t="s">
        <v>86</v>
      </c>
      <c r="B32" s="4" t="s">
        <v>20</v>
      </c>
      <c r="C32" s="4" t="s">
        <v>87</v>
      </c>
      <c r="D32" s="4" t="s">
        <v>22</v>
      </c>
      <c r="E32" s="5">
        <f>IFERROR(__xludf.DUMMYFUNCTION("GOOGLEFINANCE(C32,""price"")"),343.4)</f>
        <v>343.4</v>
      </c>
      <c r="F32" s="5">
        <f>IFERROR(__xludf.DUMMYFUNCTION("GOOGLEFINANCE(C32,""change"")"),3.05)</f>
        <v>3.05</v>
      </c>
      <c r="G32" s="6">
        <f>IFERROR(__xludf.DUMMYFUNCTION("GOOGLEFINANCE(C32, ""changepct"")/100"),0.009000000000000001)</f>
        <v>0.009</v>
      </c>
      <c r="H32" s="5">
        <f>IFERROR(__xludf.DUMMYFUNCTION("GOOGLEFINANCE(C32, ""marketcap"")"),6.80281989119E11)</f>
        <v>680281989119</v>
      </c>
      <c r="K32" s="7">
        <f>IFERROR(__xludf.DUMMYFUNCTION("""COMPUTED_VALUE"""),44043.64583333333)</f>
        <v>44043.64583</v>
      </c>
      <c r="L32" s="5">
        <f>IFERROR(__xludf.DUMMYFUNCTION("""COMPUTED_VALUE"""),11225.0)</f>
        <v>11225</v>
      </c>
      <c r="M32" s="5">
        <f>IFERROR(__xludf.DUMMYFUNCTION("""COMPUTED_VALUE"""),11341.4)</f>
        <v>11341.4</v>
      </c>
      <c r="N32" s="5">
        <f>IFERROR(__xludf.DUMMYFUNCTION("""COMPUTED_VALUE"""),11026.65)</f>
        <v>11026.65</v>
      </c>
      <c r="O32" s="5">
        <f>IFERROR(__xludf.DUMMYFUNCTION("""COMPUTED_VALUE"""),11073.45)</f>
        <v>11073.45</v>
      </c>
      <c r="P32" s="5">
        <f>IFERROR(__xludf.DUMMYFUNCTION("""COMPUTED_VALUE"""),0.0)</f>
        <v>0</v>
      </c>
    </row>
    <row r="33">
      <c r="A33" s="4" t="s">
        <v>88</v>
      </c>
      <c r="B33" s="4" t="s">
        <v>29</v>
      </c>
      <c r="C33" s="4" t="s">
        <v>89</v>
      </c>
      <c r="D33" s="4" t="s">
        <v>13</v>
      </c>
      <c r="E33" s="5">
        <f>IFERROR(__xludf.DUMMYFUNCTION("GOOGLEFINANCE(C33,""price"")"),856.35)</f>
        <v>856.35</v>
      </c>
      <c r="F33" s="5">
        <f>IFERROR(__xludf.DUMMYFUNCTION("GOOGLEFINANCE(C33,""change"")"),3.95)</f>
        <v>3.95</v>
      </c>
      <c r="G33" s="6">
        <f>IFERROR(__xludf.DUMMYFUNCTION("GOOGLEFINANCE(C33, ""changepct"")/100"),0.0046)</f>
        <v>0.0046</v>
      </c>
      <c r="H33" s="5">
        <f>IFERROR(__xludf.DUMMYFUNCTION("GOOGLEFINANCE(C33, ""marketcap"")"),7.0457154615E10)</f>
        <v>70457154615</v>
      </c>
      <c r="K33" s="7">
        <f>IFERROR(__xludf.DUMMYFUNCTION("""COMPUTED_VALUE"""),44050.64583333333)</f>
        <v>44050.64583</v>
      </c>
      <c r="L33" s="5">
        <f>IFERROR(__xludf.DUMMYFUNCTION("""COMPUTED_VALUE"""),11057.55)</f>
        <v>11057.55</v>
      </c>
      <c r="M33" s="5">
        <f>IFERROR(__xludf.DUMMYFUNCTION("""COMPUTED_VALUE"""),11256.8)</f>
        <v>11256.8</v>
      </c>
      <c r="N33" s="5">
        <f>IFERROR(__xludf.DUMMYFUNCTION("""COMPUTED_VALUE"""),10882.25)</f>
        <v>10882.25</v>
      </c>
      <c r="O33" s="5">
        <f>IFERROR(__xludf.DUMMYFUNCTION("""COMPUTED_VALUE"""),11214.05)</f>
        <v>11214.05</v>
      </c>
      <c r="P33" s="5">
        <f>IFERROR(__xludf.DUMMYFUNCTION("""COMPUTED_VALUE"""),0.0)</f>
        <v>0</v>
      </c>
    </row>
    <row r="34">
      <c r="A34" s="4" t="s">
        <v>90</v>
      </c>
      <c r="B34" s="4" t="s">
        <v>91</v>
      </c>
      <c r="C34" s="4" t="s">
        <v>92</v>
      </c>
      <c r="D34" s="4" t="s">
        <v>22</v>
      </c>
      <c r="E34" s="5">
        <f>IFERROR(__xludf.DUMMYFUNCTION("GOOGLEFINANCE(C34,""price"")"),3312.4)</f>
        <v>3312.4</v>
      </c>
      <c r="F34" s="5">
        <f>IFERROR(__xludf.DUMMYFUNCTION("GOOGLEFINANCE(C34,""change"")"),-37.8)</f>
        <v>-37.8</v>
      </c>
      <c r="G34" s="6">
        <f>IFERROR(__xludf.DUMMYFUNCTION("GOOGLEFINANCE(C34, ""changepct"")/100"),-0.0113)</f>
        <v>-0.0113</v>
      </c>
      <c r="H34" s="5">
        <f>IFERROR(__xludf.DUMMYFUNCTION("GOOGLEFINANCE(C34, ""marketcap"")"),4.76272094998E11)</f>
        <v>476272094998</v>
      </c>
      <c r="K34" s="7">
        <f>IFERROR(__xludf.DUMMYFUNCTION("""COMPUTED_VALUE"""),44057.64583333333)</f>
        <v>44057.64583</v>
      </c>
      <c r="L34" s="5">
        <f>IFERROR(__xludf.DUMMYFUNCTION("""COMPUTED_VALUE"""),11270.25)</f>
        <v>11270.25</v>
      </c>
      <c r="M34" s="5">
        <f>IFERROR(__xludf.DUMMYFUNCTION("""COMPUTED_VALUE"""),11373.6)</f>
        <v>11373.6</v>
      </c>
      <c r="N34" s="5">
        <f>IFERROR(__xludf.DUMMYFUNCTION("""COMPUTED_VALUE"""),11111.45)</f>
        <v>11111.45</v>
      </c>
      <c r="O34" s="5">
        <f>IFERROR(__xludf.DUMMYFUNCTION("""COMPUTED_VALUE"""),11178.4)</f>
        <v>11178.4</v>
      </c>
      <c r="P34" s="5">
        <f>IFERROR(__xludf.DUMMYFUNCTION("""COMPUTED_VALUE"""),0.0)</f>
        <v>0</v>
      </c>
    </row>
    <row r="35">
      <c r="A35" s="4" t="s">
        <v>93</v>
      </c>
      <c r="B35" s="4" t="s">
        <v>82</v>
      </c>
      <c r="C35" s="4" t="s">
        <v>94</v>
      </c>
      <c r="D35" s="4" t="s">
        <v>22</v>
      </c>
      <c r="E35" s="5">
        <f>IFERROR(__xludf.DUMMYFUNCTION("GOOGLEFINANCE(C35,""price"")"),238.0)</f>
        <v>238</v>
      </c>
      <c r="F35" s="5">
        <f>IFERROR(__xludf.DUMMYFUNCTION("GOOGLEFINANCE(C35,""change"")"),0.6)</f>
        <v>0.6</v>
      </c>
      <c r="G35" s="6">
        <f>IFERROR(__xludf.DUMMYFUNCTION("GOOGLEFINANCE(C35, ""changepct"")/100"),0.0025)</f>
        <v>0.0025</v>
      </c>
      <c r="H35" s="5">
        <f>IFERROR(__xludf.DUMMYFUNCTION("GOOGLEFINANCE(C35, ""marketcap"")"),1.511539666E11)</f>
        <v>151153966600</v>
      </c>
      <c r="K35" s="7">
        <f>IFERROR(__xludf.DUMMYFUNCTION("""COMPUTED_VALUE"""),44064.64583333333)</f>
        <v>44064.64583</v>
      </c>
      <c r="L35" s="5">
        <f>IFERROR(__xludf.DUMMYFUNCTION("""COMPUTED_VALUE"""),11248.9)</f>
        <v>11248.9</v>
      </c>
      <c r="M35" s="5">
        <f>IFERROR(__xludf.DUMMYFUNCTION("""COMPUTED_VALUE"""),11460.35)</f>
        <v>11460.35</v>
      </c>
      <c r="N35" s="5">
        <f>IFERROR(__xludf.DUMMYFUNCTION("""COMPUTED_VALUE"""),11144.5)</f>
        <v>11144.5</v>
      </c>
      <c r="O35" s="5">
        <f>IFERROR(__xludf.DUMMYFUNCTION("""COMPUTED_VALUE"""),11371.6)</f>
        <v>11371.6</v>
      </c>
      <c r="P35" s="5">
        <f>IFERROR(__xludf.DUMMYFUNCTION("""COMPUTED_VALUE"""),0.0)</f>
        <v>0</v>
      </c>
    </row>
    <row r="36">
      <c r="A36" s="4" t="s">
        <v>95</v>
      </c>
      <c r="B36" s="4" t="s">
        <v>82</v>
      </c>
      <c r="C36" s="4" t="s">
        <v>96</v>
      </c>
      <c r="D36" s="4" t="s">
        <v>13</v>
      </c>
      <c r="E36" s="5">
        <f>IFERROR(__xludf.DUMMYFUNCTION("GOOGLEFINANCE(C36,""price"")"),342.55)</f>
        <v>342.55</v>
      </c>
      <c r="F36" s="5">
        <f>IFERROR(__xludf.DUMMYFUNCTION("GOOGLEFINANCE(C36,""change"")"),4.1)</f>
        <v>4.1</v>
      </c>
      <c r="G36" s="6">
        <f>IFERROR(__xludf.DUMMYFUNCTION("GOOGLEFINANCE(C36, ""changepct"")/100"),0.0121)</f>
        <v>0.0121</v>
      </c>
      <c r="H36" s="5">
        <f>IFERROR(__xludf.DUMMYFUNCTION("GOOGLEFINANCE(C36, ""marketcap"")"),8.3270442277E10)</f>
        <v>83270442277</v>
      </c>
      <c r="K36" s="7">
        <f>IFERROR(__xludf.DUMMYFUNCTION("""COMPUTED_VALUE"""),44071.64583333333)</f>
        <v>44071.64583</v>
      </c>
      <c r="L36" s="5">
        <f>IFERROR(__xludf.DUMMYFUNCTION("""COMPUTED_VALUE"""),11412.0)</f>
        <v>11412</v>
      </c>
      <c r="M36" s="5">
        <f>IFERROR(__xludf.DUMMYFUNCTION("""COMPUTED_VALUE"""),11686.05)</f>
        <v>11686.05</v>
      </c>
      <c r="N36" s="5">
        <f>IFERROR(__xludf.DUMMYFUNCTION("""COMPUTED_VALUE"""),11410.65)</f>
        <v>11410.65</v>
      </c>
      <c r="O36" s="5">
        <f>IFERROR(__xludf.DUMMYFUNCTION("""COMPUTED_VALUE"""),11647.6)</f>
        <v>11647.6</v>
      </c>
      <c r="P36" s="5">
        <f>IFERROR(__xludf.DUMMYFUNCTION("""COMPUTED_VALUE"""),0.0)</f>
        <v>0</v>
      </c>
    </row>
    <row r="37">
      <c r="A37" s="4" t="s">
        <v>97</v>
      </c>
      <c r="B37" s="4" t="s">
        <v>82</v>
      </c>
      <c r="C37" s="4" t="s">
        <v>98</v>
      </c>
      <c r="D37" s="4" t="s">
        <v>22</v>
      </c>
      <c r="E37" s="5">
        <f>IFERROR(__xludf.DUMMYFUNCTION("GOOGLEFINANCE(C37,""price"")"),129.3)</f>
        <v>129.3</v>
      </c>
      <c r="F37" s="5">
        <f>IFERROR(__xludf.DUMMYFUNCTION("GOOGLEFINANCE(C37,""change"")"),-0.45)</f>
        <v>-0.45</v>
      </c>
      <c r="G37" s="6">
        <f>IFERROR(__xludf.DUMMYFUNCTION("GOOGLEFINANCE(C37, ""changepct"")/100"),-0.0034999999999999996)</f>
        <v>-0.0035</v>
      </c>
      <c r="H37" s="5">
        <f>IFERROR(__xludf.DUMMYFUNCTION("GOOGLEFINANCE(C37, ""marketcap"")"),3.79270079441E11)</f>
        <v>379270079441</v>
      </c>
      <c r="K37" s="7">
        <f>IFERROR(__xludf.DUMMYFUNCTION("""COMPUTED_VALUE"""),44078.64583333333)</f>
        <v>44078.64583</v>
      </c>
      <c r="L37" s="5">
        <f>IFERROR(__xludf.DUMMYFUNCTION("""COMPUTED_VALUE"""),11777.55)</f>
        <v>11777.55</v>
      </c>
      <c r="M37" s="5">
        <f>IFERROR(__xludf.DUMMYFUNCTION("""COMPUTED_VALUE"""),11794.25)</f>
        <v>11794.25</v>
      </c>
      <c r="N37" s="5">
        <f>IFERROR(__xludf.DUMMYFUNCTION("""COMPUTED_VALUE"""),11303.65)</f>
        <v>11303.65</v>
      </c>
      <c r="O37" s="5">
        <f>IFERROR(__xludf.DUMMYFUNCTION("""COMPUTED_VALUE"""),11333.85)</f>
        <v>11333.85</v>
      </c>
      <c r="P37" s="5">
        <f>IFERROR(__xludf.DUMMYFUNCTION("""COMPUTED_VALUE"""),0.0)</f>
        <v>0</v>
      </c>
    </row>
    <row r="38">
      <c r="A38" s="4" t="s">
        <v>99</v>
      </c>
      <c r="B38" s="4" t="s">
        <v>100</v>
      </c>
      <c r="C38" s="4" t="s">
        <v>101</v>
      </c>
      <c r="D38" s="4" t="s">
        <v>13</v>
      </c>
      <c r="E38" s="5">
        <f>IFERROR(__xludf.DUMMYFUNCTION("GOOGLEFINANCE(C38,""price"")"),100.95)</f>
        <v>100.95</v>
      </c>
      <c r="F38" s="5">
        <f>IFERROR(__xludf.DUMMYFUNCTION("GOOGLEFINANCE(C38,""change"")"),2.15)</f>
        <v>2.15</v>
      </c>
      <c r="G38" s="6">
        <f>IFERROR(__xludf.DUMMYFUNCTION("GOOGLEFINANCE(C38, ""changepct"")/100"),0.0218)</f>
        <v>0.0218</v>
      </c>
      <c r="H38" s="5">
        <f>IFERROR(__xludf.DUMMYFUNCTION("GOOGLEFINANCE(C38, ""marketcap"")"),2.8339006183E10)</f>
        <v>28339006183</v>
      </c>
      <c r="K38" s="7">
        <f>IFERROR(__xludf.DUMMYFUNCTION("""COMPUTED_VALUE"""),44085.64583333333)</f>
        <v>44085.64583</v>
      </c>
      <c r="L38" s="5">
        <f>IFERROR(__xludf.DUMMYFUNCTION("""COMPUTED_VALUE"""),11359.6)</f>
        <v>11359.6</v>
      </c>
      <c r="M38" s="5">
        <f>IFERROR(__xludf.DUMMYFUNCTION("""COMPUTED_VALUE"""),11493.5)</f>
        <v>11493.5</v>
      </c>
      <c r="N38" s="5">
        <f>IFERROR(__xludf.DUMMYFUNCTION("""COMPUTED_VALUE"""),11185.15)</f>
        <v>11185.15</v>
      </c>
      <c r="O38" s="5">
        <f>IFERROR(__xludf.DUMMYFUNCTION("""COMPUTED_VALUE"""),11464.45)</f>
        <v>11464.45</v>
      </c>
      <c r="P38" s="5">
        <f>IFERROR(__xludf.DUMMYFUNCTION("""COMPUTED_VALUE"""),0.0)</f>
        <v>0</v>
      </c>
    </row>
    <row r="39">
      <c r="A39" s="4" t="s">
        <v>102</v>
      </c>
      <c r="B39" s="4" t="s">
        <v>11</v>
      </c>
      <c r="C39" s="4" t="s">
        <v>103</v>
      </c>
      <c r="D39" s="4" t="s">
        <v>22</v>
      </c>
      <c r="E39" s="5">
        <f>IFERROR(__xludf.DUMMYFUNCTION("GOOGLEFINANCE(C39,""price"")"),3018.95)</f>
        <v>3018.95</v>
      </c>
      <c r="F39" s="5">
        <f>IFERROR(__xludf.DUMMYFUNCTION("GOOGLEFINANCE(C39,""change"")"),69.05)</f>
        <v>69.05</v>
      </c>
      <c r="G39" s="6">
        <f>IFERROR(__xludf.DUMMYFUNCTION("GOOGLEFINANCE(C39, ""changepct"")/100"),0.023399999999999997)</f>
        <v>0.0234</v>
      </c>
      <c r="H39" s="5">
        <f>IFERROR(__xludf.DUMMYFUNCTION("GOOGLEFINANCE(C39, ""marketcap"")"),2.895626667355E12)</f>
        <v>2895626667355</v>
      </c>
      <c r="K39" s="7">
        <f>IFERROR(__xludf.DUMMYFUNCTION("""COMPUTED_VALUE"""),44092.64583333333)</f>
        <v>44092.64583</v>
      </c>
      <c r="L39" s="5">
        <f>IFERROR(__xludf.DUMMYFUNCTION("""COMPUTED_VALUE"""),11540.15)</f>
        <v>11540.15</v>
      </c>
      <c r="M39" s="5">
        <f>IFERROR(__xludf.DUMMYFUNCTION("""COMPUTED_VALUE"""),11618.1)</f>
        <v>11618.1</v>
      </c>
      <c r="N39" s="5">
        <f>IFERROR(__xludf.DUMMYFUNCTION("""COMPUTED_VALUE"""),11383.55)</f>
        <v>11383.55</v>
      </c>
      <c r="O39" s="5">
        <f>IFERROR(__xludf.DUMMYFUNCTION("""COMPUTED_VALUE"""),11504.95)</f>
        <v>11504.95</v>
      </c>
      <c r="P39" s="5">
        <f>IFERROR(__xludf.DUMMYFUNCTION("""COMPUTED_VALUE"""),0.0)</f>
        <v>0</v>
      </c>
    </row>
    <row r="40">
      <c r="A40" s="4" t="s">
        <v>104</v>
      </c>
      <c r="B40" s="4" t="s">
        <v>91</v>
      </c>
      <c r="C40" s="4" t="s">
        <v>105</v>
      </c>
      <c r="D40" s="4" t="s">
        <v>13</v>
      </c>
      <c r="E40" s="5">
        <f>IFERROR(__xludf.DUMMYFUNCTION("GOOGLEFINANCE(C40,""price"")"),159.75)</f>
        <v>159.75</v>
      </c>
      <c r="F40" s="5">
        <f>IFERROR(__xludf.DUMMYFUNCTION("GOOGLEFINANCE(C40,""change"")"),-2.25)</f>
        <v>-2.25</v>
      </c>
      <c r="G40" s="6">
        <f>IFERROR(__xludf.DUMMYFUNCTION("GOOGLEFINANCE(C40, ""changepct"")/100"),-0.0139)</f>
        <v>-0.0139</v>
      </c>
      <c r="H40" s="5">
        <f>IFERROR(__xludf.DUMMYFUNCTION("GOOGLEFINANCE(C40, ""marketcap"")"),7.9299845661E10)</f>
        <v>79299845661</v>
      </c>
      <c r="K40" s="7">
        <f>IFERROR(__xludf.DUMMYFUNCTION("""COMPUTED_VALUE"""),44099.64583333333)</f>
        <v>44099.64583</v>
      </c>
      <c r="L40" s="5">
        <f>IFERROR(__xludf.DUMMYFUNCTION("""COMPUTED_VALUE"""),11503.8)</f>
        <v>11503.8</v>
      </c>
      <c r="M40" s="5">
        <f>IFERROR(__xludf.DUMMYFUNCTION("""COMPUTED_VALUE"""),11535.25)</f>
        <v>11535.25</v>
      </c>
      <c r="N40" s="5">
        <f>IFERROR(__xludf.DUMMYFUNCTION("""COMPUTED_VALUE"""),10790.2)</f>
        <v>10790.2</v>
      </c>
      <c r="O40" s="5">
        <f>IFERROR(__xludf.DUMMYFUNCTION("""COMPUTED_VALUE"""),11050.25)</f>
        <v>11050.25</v>
      </c>
      <c r="P40" s="5">
        <f>IFERROR(__xludf.DUMMYFUNCTION("""COMPUTED_VALUE"""),0.0)</f>
        <v>0</v>
      </c>
    </row>
    <row r="41">
      <c r="A41" s="4" t="s">
        <v>106</v>
      </c>
      <c r="B41" s="4" t="s">
        <v>32</v>
      </c>
      <c r="C41" s="4" t="s">
        <v>107</v>
      </c>
      <c r="D41" s="4" t="s">
        <v>13</v>
      </c>
      <c r="E41" s="5">
        <f>IFERROR(__xludf.DUMMYFUNCTION("GOOGLEFINANCE(C41,""price"")"),3817.85)</f>
        <v>3817.85</v>
      </c>
      <c r="F41" s="5">
        <f>IFERROR(__xludf.DUMMYFUNCTION("GOOGLEFINANCE(C41,""change"")"),4.25)</f>
        <v>4.25</v>
      </c>
      <c r="G41" s="6">
        <f>IFERROR(__xludf.DUMMYFUNCTION("GOOGLEFINANCE(C41, ""changepct"")/100"),0.0011)</f>
        <v>0.0011</v>
      </c>
      <c r="H41" s="5">
        <f>IFERROR(__xludf.DUMMYFUNCTION("GOOGLEFINANCE(C41, ""marketcap"")"),9.538125E10)</f>
        <v>95381250000</v>
      </c>
      <c r="K41" s="7">
        <f>IFERROR(__xludf.DUMMYFUNCTION("""COMPUTED_VALUE"""),44105.64583333333)</f>
        <v>44105.64583</v>
      </c>
      <c r="L41" s="5">
        <f>IFERROR(__xludf.DUMMYFUNCTION("""COMPUTED_VALUE"""),11140.85)</f>
        <v>11140.85</v>
      </c>
      <c r="M41" s="5">
        <f>IFERROR(__xludf.DUMMYFUNCTION("""COMPUTED_VALUE"""),11428.6)</f>
        <v>11428.6</v>
      </c>
      <c r="N41" s="5">
        <f>IFERROR(__xludf.DUMMYFUNCTION("""COMPUTED_VALUE"""),11099.85)</f>
        <v>11099.85</v>
      </c>
      <c r="O41" s="5">
        <f>IFERROR(__xludf.DUMMYFUNCTION("""COMPUTED_VALUE"""),11416.95)</f>
        <v>11416.95</v>
      </c>
      <c r="P41" s="5">
        <f>IFERROR(__xludf.DUMMYFUNCTION("""COMPUTED_VALUE"""),0.0)</f>
        <v>0</v>
      </c>
    </row>
    <row r="42">
      <c r="A42" s="4" t="s">
        <v>108</v>
      </c>
      <c r="B42" s="4" t="s">
        <v>15</v>
      </c>
      <c r="C42" s="4" t="s">
        <v>109</v>
      </c>
      <c r="D42" s="4" t="s">
        <v>13</v>
      </c>
      <c r="E42" s="5">
        <f>IFERROR(__xludf.DUMMYFUNCTION("GOOGLEFINANCE(C42,""price"")"),1958.2)</f>
        <v>1958.2</v>
      </c>
      <c r="F42" s="5">
        <f>IFERROR(__xludf.DUMMYFUNCTION("GOOGLEFINANCE(C42,""change"")"),9.65)</f>
        <v>9.65</v>
      </c>
      <c r="G42" s="6">
        <f>IFERROR(__xludf.DUMMYFUNCTION("GOOGLEFINANCE(C42, ""changepct"")/100"),0.005)</f>
        <v>0.005</v>
      </c>
      <c r="H42" s="5">
        <f>IFERROR(__xludf.DUMMYFUNCTION("GOOGLEFINANCE(C42, ""marketcap"")"),3.93457644584E11)</f>
        <v>393457644584</v>
      </c>
      <c r="K42" s="7">
        <f>IFERROR(__xludf.DUMMYFUNCTION("""COMPUTED_VALUE"""),44113.64583333333)</f>
        <v>44113.64583</v>
      </c>
      <c r="L42" s="5">
        <f>IFERROR(__xludf.DUMMYFUNCTION("""COMPUTED_VALUE"""),11487.8)</f>
        <v>11487.8</v>
      </c>
      <c r="M42" s="5">
        <f>IFERROR(__xludf.DUMMYFUNCTION("""COMPUTED_VALUE"""),11938.6)</f>
        <v>11938.6</v>
      </c>
      <c r="N42" s="5">
        <f>IFERROR(__xludf.DUMMYFUNCTION("""COMPUTED_VALUE"""),11452.3)</f>
        <v>11452.3</v>
      </c>
      <c r="O42" s="5">
        <f>IFERROR(__xludf.DUMMYFUNCTION("""COMPUTED_VALUE"""),11914.2)</f>
        <v>11914.2</v>
      </c>
      <c r="P42" s="5">
        <f>IFERROR(__xludf.DUMMYFUNCTION("""COMPUTED_VALUE"""),0.0)</f>
        <v>0</v>
      </c>
    </row>
    <row r="43">
      <c r="A43" s="4" t="s">
        <v>110</v>
      </c>
      <c r="B43" s="4" t="s">
        <v>35</v>
      </c>
      <c r="C43" s="4" t="s">
        <v>111</v>
      </c>
      <c r="D43" s="4" t="s">
        <v>13</v>
      </c>
      <c r="E43" s="5">
        <f>IFERROR(__xludf.DUMMYFUNCTION("GOOGLEFINANCE(C43,""price"")"),8945.85)</f>
        <v>8945.85</v>
      </c>
      <c r="F43" s="5">
        <f>IFERROR(__xludf.DUMMYFUNCTION("GOOGLEFINANCE(C43,""change"")"),51.15)</f>
        <v>51.15</v>
      </c>
      <c r="G43" s="6">
        <f>IFERROR(__xludf.DUMMYFUNCTION("GOOGLEFINANCE(C43, ""changepct"")/100"),0.0058)</f>
        <v>0.0058</v>
      </c>
      <c r="H43" s="5">
        <f>IFERROR(__xludf.DUMMYFUNCTION("GOOGLEFINANCE(C43, ""marketcap"")"),2.6470696985E11)</f>
        <v>264706969850</v>
      </c>
      <c r="K43" s="7">
        <f>IFERROR(__xludf.DUMMYFUNCTION("""COMPUTED_VALUE"""),44120.64583333333)</f>
        <v>44120.64583</v>
      </c>
      <c r="L43" s="5">
        <f>IFERROR(__xludf.DUMMYFUNCTION("""COMPUTED_VALUE"""),11973.55)</f>
        <v>11973.55</v>
      </c>
      <c r="M43" s="5">
        <f>IFERROR(__xludf.DUMMYFUNCTION("""COMPUTED_VALUE"""),12025.45)</f>
        <v>12025.45</v>
      </c>
      <c r="N43" s="5">
        <f>IFERROR(__xludf.DUMMYFUNCTION("""COMPUTED_VALUE"""),11661.3)</f>
        <v>11661.3</v>
      </c>
      <c r="O43" s="5">
        <f>IFERROR(__xludf.DUMMYFUNCTION("""COMPUTED_VALUE"""),11762.45)</f>
        <v>11762.45</v>
      </c>
      <c r="P43" s="5">
        <f>IFERROR(__xludf.DUMMYFUNCTION("""COMPUTED_VALUE"""),0.0)</f>
        <v>0</v>
      </c>
    </row>
    <row r="44">
      <c r="A44" s="4" t="s">
        <v>112</v>
      </c>
      <c r="B44" s="4" t="s">
        <v>32</v>
      </c>
      <c r="C44" s="4" t="s">
        <v>113</v>
      </c>
      <c r="D44" s="4" t="s">
        <v>22</v>
      </c>
      <c r="E44" s="5">
        <f>IFERROR(__xludf.DUMMYFUNCTION("GOOGLEFINANCE(C44,""price"")"),1001.5)</f>
        <v>1001.5</v>
      </c>
      <c r="F44" s="5">
        <f>IFERROR(__xludf.DUMMYFUNCTION("GOOGLEFINANCE(C44,""change"")"),7.2)</f>
        <v>7.2</v>
      </c>
      <c r="G44" s="6">
        <f>IFERROR(__xludf.DUMMYFUNCTION("GOOGLEFINANCE(C44, ""changepct"")/100"),0.0072)</f>
        <v>0.0072</v>
      </c>
      <c r="H44" s="5">
        <f>IFERROR(__xludf.DUMMYFUNCTION("GOOGLEFINANCE(C44, ""marketcap"")"),5.868175079E11)</f>
        <v>586817507900</v>
      </c>
      <c r="K44" s="7">
        <f>IFERROR(__xludf.DUMMYFUNCTION("""COMPUTED_VALUE"""),44127.64583333333)</f>
        <v>44127.64583</v>
      </c>
      <c r="L44" s="5">
        <f>IFERROR(__xludf.DUMMYFUNCTION("""COMPUTED_VALUE"""),11879.2)</f>
        <v>11879.2</v>
      </c>
      <c r="M44" s="5">
        <f>IFERROR(__xludf.DUMMYFUNCTION("""COMPUTED_VALUE"""),12018.65)</f>
        <v>12018.65</v>
      </c>
      <c r="N44" s="5">
        <f>IFERROR(__xludf.DUMMYFUNCTION("""COMPUTED_VALUE"""),11775.75)</f>
        <v>11775.75</v>
      </c>
      <c r="O44" s="5">
        <f>IFERROR(__xludf.DUMMYFUNCTION("""COMPUTED_VALUE"""),11930.35)</f>
        <v>11930.35</v>
      </c>
      <c r="P44" s="5">
        <f>IFERROR(__xludf.DUMMYFUNCTION("""COMPUTED_VALUE"""),0.0)</f>
        <v>0</v>
      </c>
    </row>
    <row r="45">
      <c r="A45" s="4" t="s">
        <v>114</v>
      </c>
      <c r="B45" s="4" t="s">
        <v>11</v>
      </c>
      <c r="C45" s="4" t="s">
        <v>115</v>
      </c>
      <c r="D45" s="4" t="s">
        <v>13</v>
      </c>
      <c r="E45" s="5">
        <f>IFERROR(__xludf.DUMMYFUNCTION("GOOGLEFINANCE(C45,""price"")"),585.0)</f>
        <v>585</v>
      </c>
      <c r="F45" s="5">
        <f>IFERROR(__xludf.DUMMYFUNCTION("GOOGLEFINANCE(C45,""change"")"),8.25)</f>
        <v>8.25</v>
      </c>
      <c r="G45" s="6">
        <f>IFERROR(__xludf.DUMMYFUNCTION("GOOGLEFINANCE(C45, ""changepct"")/100"),0.0143)</f>
        <v>0.0143</v>
      </c>
      <c r="H45" s="5">
        <f>IFERROR(__xludf.DUMMYFUNCTION("GOOGLEFINANCE(C45, ""marketcap"")"),7.97951115E10)</f>
        <v>79795111500</v>
      </c>
      <c r="K45" s="7">
        <f>IFERROR(__xludf.DUMMYFUNCTION("""COMPUTED_VALUE"""),44134.64583333333)</f>
        <v>44134.64583</v>
      </c>
      <c r="L45" s="5">
        <f>IFERROR(__xludf.DUMMYFUNCTION("""COMPUTED_VALUE"""),11937.4)</f>
        <v>11937.4</v>
      </c>
      <c r="M45" s="5">
        <f>IFERROR(__xludf.DUMMYFUNCTION("""COMPUTED_VALUE"""),11942.85)</f>
        <v>11942.85</v>
      </c>
      <c r="N45" s="5">
        <f>IFERROR(__xludf.DUMMYFUNCTION("""COMPUTED_VALUE"""),11535.45)</f>
        <v>11535.45</v>
      </c>
      <c r="O45" s="5">
        <f>IFERROR(__xludf.DUMMYFUNCTION("""COMPUTED_VALUE"""),11642.4)</f>
        <v>11642.4</v>
      </c>
      <c r="P45" s="5">
        <f>IFERROR(__xludf.DUMMYFUNCTION("""COMPUTED_VALUE"""),0.0)</f>
        <v>0</v>
      </c>
    </row>
    <row r="46">
      <c r="A46" s="4" t="s">
        <v>116</v>
      </c>
      <c r="B46" s="4" t="s">
        <v>57</v>
      </c>
      <c r="C46" s="4" t="s">
        <v>117</v>
      </c>
      <c r="D46" s="4" t="s">
        <v>13</v>
      </c>
      <c r="E46" s="5">
        <f>IFERROR(__xludf.DUMMYFUNCTION("GOOGLEFINANCE(C46,""price"")"),3379.85)</f>
        <v>3379.85</v>
      </c>
      <c r="F46" s="5">
        <f>IFERROR(__xludf.DUMMYFUNCTION("GOOGLEFINANCE(C46,""change"")"),105.75)</f>
        <v>105.75</v>
      </c>
      <c r="G46" s="6">
        <f>IFERROR(__xludf.DUMMYFUNCTION("GOOGLEFINANCE(C46, ""changepct"")/100"),0.0323)</f>
        <v>0.0323</v>
      </c>
      <c r="H46" s="5">
        <f>IFERROR(__xludf.DUMMYFUNCTION("GOOGLEFINANCE(C46, ""marketcap"")"),2.189478486E12)</f>
        <v>2189478486000</v>
      </c>
      <c r="K46" s="7">
        <f>IFERROR(__xludf.DUMMYFUNCTION("""COMPUTED_VALUE"""),44141.64583333333)</f>
        <v>44141.64583</v>
      </c>
      <c r="L46" s="5">
        <f>IFERROR(__xludf.DUMMYFUNCTION("""COMPUTED_VALUE"""),11697.35)</f>
        <v>11697.35</v>
      </c>
      <c r="M46" s="5">
        <f>IFERROR(__xludf.DUMMYFUNCTION("""COMPUTED_VALUE"""),12280.4)</f>
        <v>12280.4</v>
      </c>
      <c r="N46" s="5">
        <f>IFERROR(__xludf.DUMMYFUNCTION("""COMPUTED_VALUE"""),11557.4)</f>
        <v>11557.4</v>
      </c>
      <c r="O46" s="5">
        <f>IFERROR(__xludf.DUMMYFUNCTION("""COMPUTED_VALUE"""),12263.55)</f>
        <v>12263.55</v>
      </c>
      <c r="P46" s="5">
        <f>IFERROR(__xludf.DUMMYFUNCTION("""COMPUTED_VALUE"""),0.0)</f>
        <v>0</v>
      </c>
    </row>
    <row r="47">
      <c r="A47" s="4" t="s">
        <v>118</v>
      </c>
      <c r="B47" s="4" t="s">
        <v>29</v>
      </c>
      <c r="C47" s="4" t="s">
        <v>119</v>
      </c>
      <c r="D47" s="4" t="s">
        <v>22</v>
      </c>
      <c r="E47" s="5">
        <f>IFERROR(__xludf.DUMMYFUNCTION("GOOGLEFINANCE(C47,""price"")"),746.65)</f>
        <v>746.65</v>
      </c>
      <c r="F47" s="5">
        <f>IFERROR(__xludf.DUMMYFUNCTION("GOOGLEFINANCE(C47,""change"")"),10.4)</f>
        <v>10.4</v>
      </c>
      <c r="G47" s="6">
        <f>IFERROR(__xludf.DUMMYFUNCTION("GOOGLEFINANCE(C47, ""changepct"")/100"),0.0141)</f>
        <v>0.0141</v>
      </c>
      <c r="H47" s="5">
        <f>IFERROR(__xludf.DUMMYFUNCTION("GOOGLEFINANCE(C47, ""marketcap"")"),2.288501737729E12)</f>
        <v>2288501737729</v>
      </c>
      <c r="K47" s="7">
        <f>IFERROR(__xludf.DUMMYFUNCTION("""COMPUTED_VALUE"""),44148.64583333333)</f>
        <v>44148.64583</v>
      </c>
      <c r="L47" s="5">
        <f>IFERROR(__xludf.DUMMYFUNCTION("""COMPUTED_VALUE"""),12399.4)</f>
        <v>12399.4</v>
      </c>
      <c r="M47" s="5">
        <f>IFERROR(__xludf.DUMMYFUNCTION("""COMPUTED_VALUE"""),12769.75)</f>
        <v>12769.75</v>
      </c>
      <c r="N47" s="5">
        <f>IFERROR(__xludf.DUMMYFUNCTION("""COMPUTED_VALUE"""),12367.35)</f>
        <v>12367.35</v>
      </c>
      <c r="O47" s="5">
        <f>IFERROR(__xludf.DUMMYFUNCTION("""COMPUTED_VALUE"""),12719.95)</f>
        <v>12719.95</v>
      </c>
      <c r="P47" s="5">
        <f>IFERROR(__xludf.DUMMYFUNCTION("""COMPUTED_VALUE"""),0.0)</f>
        <v>0</v>
      </c>
    </row>
    <row r="48">
      <c r="A48" s="4" t="s">
        <v>120</v>
      </c>
      <c r="B48" s="4" t="s">
        <v>35</v>
      </c>
      <c r="C48" s="4" t="s">
        <v>121</v>
      </c>
      <c r="D48" s="4" t="s">
        <v>13</v>
      </c>
      <c r="E48" s="5">
        <f>IFERROR(__xludf.DUMMYFUNCTION("GOOGLEFINANCE(C48,""price"")"),2563.85)</f>
        <v>2563.85</v>
      </c>
      <c r="F48" s="5">
        <f>IFERROR(__xludf.DUMMYFUNCTION("GOOGLEFINANCE(C48,""change"")"),33.65)</f>
        <v>33.65</v>
      </c>
      <c r="G48" s="6">
        <f>IFERROR(__xludf.DUMMYFUNCTION("GOOGLEFINANCE(C48, ""changepct"")/100"),0.013300000000000001)</f>
        <v>0.0133</v>
      </c>
      <c r="H48" s="5">
        <f>IFERROR(__xludf.DUMMYFUNCTION("GOOGLEFINANCE(C48, ""marketcap"")"),1.11226733379E11)</f>
        <v>111226733379</v>
      </c>
      <c r="K48" s="7">
        <f>IFERROR(__xludf.DUMMYFUNCTION("""COMPUTED_VALUE"""),44155.64583333333)</f>
        <v>44155.64583</v>
      </c>
      <c r="L48" s="5">
        <f>IFERROR(__xludf.DUMMYFUNCTION("""COMPUTED_VALUE"""),12932.5)</f>
        <v>12932.5</v>
      </c>
      <c r="M48" s="5">
        <f>IFERROR(__xludf.DUMMYFUNCTION("""COMPUTED_VALUE"""),12963.0)</f>
        <v>12963</v>
      </c>
      <c r="N48" s="5">
        <f>IFERROR(__xludf.DUMMYFUNCTION("""COMPUTED_VALUE"""),12730.25)</f>
        <v>12730.25</v>
      </c>
      <c r="O48" s="5">
        <f>IFERROR(__xludf.DUMMYFUNCTION("""COMPUTED_VALUE"""),12859.05)</f>
        <v>12859.05</v>
      </c>
      <c r="P48" s="5">
        <f>IFERROR(__xludf.DUMMYFUNCTION("""COMPUTED_VALUE"""),0.0)</f>
        <v>0</v>
      </c>
    </row>
    <row r="49">
      <c r="A49" s="4" t="s">
        <v>122</v>
      </c>
      <c r="B49" s="4" t="s">
        <v>15</v>
      </c>
      <c r="C49" s="4" t="s">
        <v>123</v>
      </c>
      <c r="D49" s="4" t="s">
        <v>13</v>
      </c>
      <c r="E49" s="5">
        <f>IFERROR(__xludf.DUMMYFUNCTION("GOOGLEFINANCE(C49,""price"")"),1353.8)</f>
        <v>1353.8</v>
      </c>
      <c r="F49" s="5">
        <f>IFERROR(__xludf.DUMMYFUNCTION("GOOGLEFINANCE(C49,""change"")"),-16.85)</f>
        <v>-16.85</v>
      </c>
      <c r="G49" s="6">
        <f>IFERROR(__xludf.DUMMYFUNCTION("GOOGLEFINANCE(C49, ""changepct"")/100"),-0.0123)</f>
        <v>-0.0123</v>
      </c>
      <c r="H49" s="5">
        <f>IFERROR(__xludf.DUMMYFUNCTION("GOOGLEFINANCE(C49, ""marketcap"")"),5.6378312595E10)</f>
        <v>56378312595</v>
      </c>
      <c r="K49" s="7">
        <f>IFERROR(__xludf.DUMMYFUNCTION("""COMPUTED_VALUE"""),44162.64583333333)</f>
        <v>44162.64583</v>
      </c>
      <c r="L49" s="5">
        <f>IFERROR(__xludf.DUMMYFUNCTION("""COMPUTED_VALUE"""),12960.3)</f>
        <v>12960.3</v>
      </c>
      <c r="M49" s="5">
        <f>IFERROR(__xludf.DUMMYFUNCTION("""COMPUTED_VALUE"""),13145.85)</f>
        <v>13145.85</v>
      </c>
      <c r="N49" s="5">
        <f>IFERROR(__xludf.DUMMYFUNCTION("""COMPUTED_VALUE"""),12790.4)</f>
        <v>12790.4</v>
      </c>
      <c r="O49" s="5">
        <f>IFERROR(__xludf.DUMMYFUNCTION("""COMPUTED_VALUE"""),12968.95)</f>
        <v>12968.95</v>
      </c>
      <c r="P49" s="5">
        <f>IFERROR(__xludf.DUMMYFUNCTION("""COMPUTED_VALUE"""),0.0)</f>
        <v>0</v>
      </c>
    </row>
    <row r="50">
      <c r="A50" s="4" t="s">
        <v>124</v>
      </c>
      <c r="B50" s="4" t="s">
        <v>29</v>
      </c>
      <c r="C50" s="4" t="s">
        <v>125</v>
      </c>
      <c r="D50" s="4" t="s">
        <v>13</v>
      </c>
      <c r="E50" s="5">
        <f>IFERROR(__xludf.DUMMYFUNCTION("GOOGLEFINANCE(C50,""price"")"),947.0)</f>
        <v>947</v>
      </c>
      <c r="F50" s="5">
        <f>IFERROR(__xludf.DUMMYFUNCTION("GOOGLEFINANCE(C50,""change"")"),16.4)</f>
        <v>16.4</v>
      </c>
      <c r="G50" s="6">
        <f>IFERROR(__xludf.DUMMYFUNCTION("GOOGLEFINANCE(C50, ""changepct"")/100"),0.0176)</f>
        <v>0.0176</v>
      </c>
      <c r="H50" s="5">
        <f>IFERROR(__xludf.DUMMYFUNCTION("GOOGLEFINANCE(C50, ""marketcap"")"),4.2617750615E10)</f>
        <v>42617750615</v>
      </c>
      <c r="K50" s="7">
        <f>IFERROR(__xludf.DUMMYFUNCTION("""COMPUTED_VALUE"""),44169.64583333333)</f>
        <v>44169.64583</v>
      </c>
      <c r="L50" s="5">
        <f>IFERROR(__xludf.DUMMYFUNCTION("""COMPUTED_VALUE"""),13062.2)</f>
        <v>13062.2</v>
      </c>
      <c r="M50" s="5">
        <f>IFERROR(__xludf.DUMMYFUNCTION("""COMPUTED_VALUE"""),13280.05)</f>
        <v>13280.05</v>
      </c>
      <c r="N50" s="5">
        <f>IFERROR(__xludf.DUMMYFUNCTION("""COMPUTED_VALUE"""),12962.8)</f>
        <v>12962.8</v>
      </c>
      <c r="O50" s="5">
        <f>IFERROR(__xludf.DUMMYFUNCTION("""COMPUTED_VALUE"""),13258.55)</f>
        <v>13258.55</v>
      </c>
      <c r="P50" s="5">
        <f>IFERROR(__xludf.DUMMYFUNCTION("""COMPUTED_VALUE"""),0.0)</f>
        <v>0</v>
      </c>
    </row>
    <row r="51">
      <c r="A51" s="4" t="s">
        <v>126</v>
      </c>
      <c r="B51" s="4" t="s">
        <v>82</v>
      </c>
      <c r="C51" s="4" t="s">
        <v>127</v>
      </c>
      <c r="D51" s="4" t="s">
        <v>22</v>
      </c>
      <c r="E51" s="5">
        <f>IFERROR(__xludf.DUMMYFUNCTION("GOOGLEFINANCE(C51,""price"")"),4144.4)</f>
        <v>4144.4</v>
      </c>
      <c r="F51" s="5">
        <f>IFERROR(__xludf.DUMMYFUNCTION("GOOGLEFINANCE(C51,""change"")"),-2.1)</f>
        <v>-2.1</v>
      </c>
      <c r="G51" s="6">
        <f>IFERROR(__xludf.DUMMYFUNCTION("GOOGLEFINANCE(C51, ""changepct"")/100"),-5.0E-4)</f>
        <v>-0.0005</v>
      </c>
      <c r="H51" s="5">
        <f>IFERROR(__xludf.DUMMYFUNCTION("GOOGLEFINANCE(C51, ""marketcap"")"),1.199339461416E12)</f>
        <v>1199339461416</v>
      </c>
      <c r="K51" s="7">
        <f>IFERROR(__xludf.DUMMYFUNCTION("""COMPUTED_VALUE"""),44176.64583333333)</f>
        <v>44176.64583</v>
      </c>
      <c r="L51" s="5">
        <f>IFERROR(__xludf.DUMMYFUNCTION("""COMPUTED_VALUE"""),13264.85)</f>
        <v>13264.85</v>
      </c>
      <c r="M51" s="5">
        <f>IFERROR(__xludf.DUMMYFUNCTION("""COMPUTED_VALUE"""),13579.35)</f>
        <v>13579.35</v>
      </c>
      <c r="N51" s="5">
        <f>IFERROR(__xludf.DUMMYFUNCTION("""COMPUTED_VALUE"""),13241.95)</f>
        <v>13241.95</v>
      </c>
      <c r="O51" s="5">
        <f>IFERROR(__xludf.DUMMYFUNCTION("""COMPUTED_VALUE"""),13513.85)</f>
        <v>13513.85</v>
      </c>
      <c r="P51" s="5">
        <f>IFERROR(__xludf.DUMMYFUNCTION("""COMPUTED_VALUE"""),0.0)</f>
        <v>0</v>
      </c>
    </row>
    <row r="52">
      <c r="A52" s="4" t="s">
        <v>128</v>
      </c>
      <c r="B52" s="4" t="s">
        <v>11</v>
      </c>
      <c r="C52" s="4" t="s">
        <v>129</v>
      </c>
      <c r="D52" s="4" t="s">
        <v>13</v>
      </c>
      <c r="E52" s="5">
        <f>IFERROR(__xludf.DUMMYFUNCTION("GOOGLEFINANCE(C52,""price"")"),294.4)</f>
        <v>294.4</v>
      </c>
      <c r="F52" s="5">
        <f>IFERROR(__xludf.DUMMYFUNCTION("GOOGLEFINANCE(C52,""change"")"),0.45)</f>
        <v>0.45</v>
      </c>
      <c r="G52" s="6">
        <f>IFERROR(__xludf.DUMMYFUNCTION("GOOGLEFINANCE(C52, ""changepct"")/100"),0.0015)</f>
        <v>0.0015</v>
      </c>
      <c r="H52" s="5">
        <f>IFERROR(__xludf.DUMMYFUNCTION("GOOGLEFINANCE(C52, ""marketcap"")"),4.3457934653E10)</f>
        <v>43457934653</v>
      </c>
      <c r="K52" s="7">
        <f>IFERROR(__xludf.DUMMYFUNCTION("""COMPUTED_VALUE"""),44183.64583333333)</f>
        <v>44183.64583</v>
      </c>
      <c r="L52" s="5">
        <f>IFERROR(__xludf.DUMMYFUNCTION("""COMPUTED_VALUE"""),13571.45)</f>
        <v>13571.45</v>
      </c>
      <c r="M52" s="5">
        <f>IFERROR(__xludf.DUMMYFUNCTION("""COMPUTED_VALUE"""),13773.25)</f>
        <v>13773.25</v>
      </c>
      <c r="N52" s="5">
        <f>IFERROR(__xludf.DUMMYFUNCTION("""COMPUTED_VALUE"""),13447.05)</f>
        <v>13447.05</v>
      </c>
      <c r="O52" s="5">
        <f>IFERROR(__xludf.DUMMYFUNCTION("""COMPUTED_VALUE"""),13760.55)</f>
        <v>13760.55</v>
      </c>
      <c r="P52" s="5">
        <f>IFERROR(__xludf.DUMMYFUNCTION("""COMPUTED_VALUE"""),0.0)</f>
        <v>0</v>
      </c>
    </row>
    <row r="53">
      <c r="A53" s="4" t="s">
        <v>130</v>
      </c>
      <c r="B53" s="4" t="s">
        <v>11</v>
      </c>
      <c r="C53" s="4" t="s">
        <v>131</v>
      </c>
      <c r="D53" s="4" t="s">
        <v>13</v>
      </c>
      <c r="E53" s="5">
        <f>IFERROR(__xludf.DUMMYFUNCTION("GOOGLEFINANCE(C53,""price"")"),1047.35)</f>
        <v>1047.35</v>
      </c>
      <c r="F53" s="5">
        <f>IFERROR(__xludf.DUMMYFUNCTION("GOOGLEFINANCE(C53,""change"")"),0.3)</f>
        <v>0.3</v>
      </c>
      <c r="G53" s="6">
        <f>IFERROR(__xludf.DUMMYFUNCTION("GOOGLEFINANCE(C53, ""changepct"")/100"),3.0E-4)</f>
        <v>0.0003</v>
      </c>
      <c r="H53" s="5">
        <f>IFERROR(__xludf.DUMMYFUNCTION("GOOGLEFINANCE(C53, ""marketcap"")"),1.20249734292E11)</f>
        <v>120249734292</v>
      </c>
      <c r="K53" s="7">
        <f>IFERROR(__xludf.DUMMYFUNCTION("""COMPUTED_VALUE"""),44189.64583333333)</f>
        <v>44189.64583</v>
      </c>
      <c r="L53" s="5">
        <f>IFERROR(__xludf.DUMMYFUNCTION("""COMPUTED_VALUE"""),13741.9)</f>
        <v>13741.9</v>
      </c>
      <c r="M53" s="5">
        <f>IFERROR(__xludf.DUMMYFUNCTION("""COMPUTED_VALUE"""),13777.5)</f>
        <v>13777.5</v>
      </c>
      <c r="N53" s="5">
        <f>IFERROR(__xludf.DUMMYFUNCTION("""COMPUTED_VALUE"""),13131.45)</f>
        <v>13131.45</v>
      </c>
      <c r="O53" s="5">
        <f>IFERROR(__xludf.DUMMYFUNCTION("""COMPUTED_VALUE"""),13749.25)</f>
        <v>13749.25</v>
      </c>
      <c r="P53" s="5">
        <f>IFERROR(__xludf.DUMMYFUNCTION("""COMPUTED_VALUE"""),0.0)</f>
        <v>0</v>
      </c>
    </row>
    <row r="54">
      <c r="A54" s="4" t="s">
        <v>132</v>
      </c>
      <c r="B54" s="4" t="s">
        <v>29</v>
      </c>
      <c r="C54" s="4" t="s">
        <v>133</v>
      </c>
      <c r="D54" s="4" t="s">
        <v>22</v>
      </c>
      <c r="E54" s="5">
        <f>IFERROR(__xludf.DUMMYFUNCTION("GOOGLEFINANCE(C54,""price"")"),6171.65)</f>
        <v>6171.65</v>
      </c>
      <c r="F54" s="5">
        <f>IFERROR(__xludf.DUMMYFUNCTION("GOOGLEFINANCE(C54,""change"")"),-22.5)</f>
        <v>-22.5</v>
      </c>
      <c r="G54" s="6">
        <f>IFERROR(__xludf.DUMMYFUNCTION("GOOGLEFINANCE(C54, ""changepct"")/100"),-0.0036)</f>
        <v>-0.0036</v>
      </c>
      <c r="H54" s="5">
        <f>IFERROR(__xludf.DUMMYFUNCTION("GOOGLEFINANCE(C54, ""marketcap"")"),3.71886774511E12)</f>
        <v>3718867745110</v>
      </c>
      <c r="K54" s="7">
        <f>IFERROR(__xludf.DUMMYFUNCTION("""COMPUTED_VALUE"""),44197.64583333333)</f>
        <v>44197.64583</v>
      </c>
      <c r="L54" s="5">
        <f>IFERROR(__xludf.DUMMYFUNCTION("""COMPUTED_VALUE"""),13815.15)</f>
        <v>13815.15</v>
      </c>
      <c r="M54" s="5">
        <f>IFERROR(__xludf.DUMMYFUNCTION("""COMPUTED_VALUE"""),14049.85)</f>
        <v>14049.85</v>
      </c>
      <c r="N54" s="5">
        <f>IFERROR(__xludf.DUMMYFUNCTION("""COMPUTED_VALUE"""),13811.55)</f>
        <v>13811.55</v>
      </c>
      <c r="O54" s="5">
        <f>IFERROR(__xludf.DUMMYFUNCTION("""COMPUTED_VALUE"""),14018.5)</f>
        <v>14018.5</v>
      </c>
      <c r="P54" s="5">
        <f>IFERROR(__xludf.DUMMYFUNCTION("""COMPUTED_VALUE"""),0.0)</f>
        <v>0</v>
      </c>
    </row>
    <row r="55">
      <c r="A55" s="4" t="s">
        <v>134</v>
      </c>
      <c r="B55" s="4" t="s">
        <v>29</v>
      </c>
      <c r="C55" s="4" t="s">
        <v>135</v>
      </c>
      <c r="D55" s="4" t="s">
        <v>22</v>
      </c>
      <c r="E55" s="5">
        <f>IFERROR(__xludf.DUMMYFUNCTION("GOOGLEFINANCE(C55,""price"")"),11840.0)</f>
        <v>11840</v>
      </c>
      <c r="F55" s="5">
        <f>IFERROR(__xludf.DUMMYFUNCTION("GOOGLEFINANCE(C55,""change"")"),-86.15)</f>
        <v>-86.15</v>
      </c>
      <c r="G55" s="6">
        <f>IFERROR(__xludf.DUMMYFUNCTION("GOOGLEFINANCE(C55, ""changepct"")/100"),-0.0072)</f>
        <v>-0.0072</v>
      </c>
      <c r="H55" s="5">
        <f>IFERROR(__xludf.DUMMYFUNCTION("GOOGLEFINANCE(C55, ""marketcap"")"),1.881656873745E12)</f>
        <v>1881656873745</v>
      </c>
      <c r="K55" s="7">
        <f>IFERROR(__xludf.DUMMYFUNCTION("""COMPUTED_VALUE"""),44204.64583333333)</f>
        <v>44204.64583</v>
      </c>
      <c r="L55" s="5">
        <f>IFERROR(__xludf.DUMMYFUNCTION("""COMPUTED_VALUE"""),14104.35)</f>
        <v>14104.35</v>
      </c>
      <c r="M55" s="5">
        <f>IFERROR(__xludf.DUMMYFUNCTION("""COMPUTED_VALUE"""),14367.3)</f>
        <v>14367.3</v>
      </c>
      <c r="N55" s="5">
        <f>IFERROR(__xludf.DUMMYFUNCTION("""COMPUTED_VALUE"""),13953.75)</f>
        <v>13953.75</v>
      </c>
      <c r="O55" s="5">
        <f>IFERROR(__xludf.DUMMYFUNCTION("""COMPUTED_VALUE"""),14347.25)</f>
        <v>14347.25</v>
      </c>
      <c r="P55" s="5">
        <f>IFERROR(__xludf.DUMMYFUNCTION("""COMPUTED_VALUE"""),0.0)</f>
        <v>0</v>
      </c>
    </row>
    <row r="56">
      <c r="A56" s="4" t="s">
        <v>136</v>
      </c>
      <c r="B56" s="4" t="s">
        <v>29</v>
      </c>
      <c r="C56" s="4" t="s">
        <v>137</v>
      </c>
      <c r="D56" s="4" t="s">
        <v>13</v>
      </c>
      <c r="E56" s="5">
        <f>IFERROR(__xludf.DUMMYFUNCTION("GOOGLEFINANCE(C56,""price"")"),3513.6)</f>
        <v>3513.6</v>
      </c>
      <c r="F56" s="5">
        <f>IFERROR(__xludf.DUMMYFUNCTION("GOOGLEFINANCE(C56,""change"")"),15.1)</f>
        <v>15.1</v>
      </c>
      <c r="G56" s="6">
        <f>IFERROR(__xludf.DUMMYFUNCTION("GOOGLEFINANCE(C56, ""changepct"")/100"),0.0043)</f>
        <v>0.0043</v>
      </c>
      <c r="H56" s="5">
        <f>IFERROR(__xludf.DUMMYFUNCTION("GOOGLEFINANCE(C56, ""marketcap"")"),3.91018572031E11)</f>
        <v>391018572031</v>
      </c>
      <c r="K56" s="7">
        <f>IFERROR(__xludf.DUMMYFUNCTION("""COMPUTED_VALUE"""),44211.64583333333)</f>
        <v>44211.64583</v>
      </c>
      <c r="L56" s="5">
        <f>IFERROR(__xludf.DUMMYFUNCTION("""COMPUTED_VALUE"""),14474.05)</f>
        <v>14474.05</v>
      </c>
      <c r="M56" s="5">
        <f>IFERROR(__xludf.DUMMYFUNCTION("""COMPUTED_VALUE"""),14653.35)</f>
        <v>14653.35</v>
      </c>
      <c r="N56" s="5">
        <f>IFERROR(__xludf.DUMMYFUNCTION("""COMPUTED_VALUE"""),14357.85)</f>
        <v>14357.85</v>
      </c>
      <c r="O56" s="5">
        <f>IFERROR(__xludf.DUMMYFUNCTION("""COMPUTED_VALUE"""),14433.7)</f>
        <v>14433.7</v>
      </c>
      <c r="P56" s="5">
        <f>IFERROR(__xludf.DUMMYFUNCTION("""COMPUTED_VALUE"""),0.0)</f>
        <v>0</v>
      </c>
    </row>
    <row r="57">
      <c r="A57" s="4" t="s">
        <v>138</v>
      </c>
      <c r="B57" s="4" t="s">
        <v>35</v>
      </c>
      <c r="C57" s="4" t="s">
        <v>139</v>
      </c>
      <c r="D57" s="4" t="s">
        <v>13</v>
      </c>
      <c r="E57" s="5">
        <f>IFERROR(__xludf.DUMMYFUNCTION("GOOGLEFINANCE(C57,""price"")"),2689.5)</f>
        <v>2689.5</v>
      </c>
      <c r="F57" s="5">
        <f>IFERROR(__xludf.DUMMYFUNCTION("GOOGLEFINANCE(C57,""change"")"),25.3)</f>
        <v>25.3</v>
      </c>
      <c r="G57" s="6">
        <f>IFERROR(__xludf.DUMMYFUNCTION("GOOGLEFINANCE(C57, ""changepct"")/100"),0.0095)</f>
        <v>0.0095</v>
      </c>
      <c r="H57" s="5">
        <f>IFERROR(__xludf.DUMMYFUNCTION("GOOGLEFINANCE(C57, ""marketcap"")"),8.7142462605E10)</f>
        <v>87142462605</v>
      </c>
      <c r="K57" s="7">
        <f>IFERROR(__xludf.DUMMYFUNCTION("""COMPUTED_VALUE"""),44218.64583333333)</f>
        <v>44218.64583</v>
      </c>
      <c r="L57" s="5">
        <f>IFERROR(__xludf.DUMMYFUNCTION("""COMPUTED_VALUE"""),14453.3)</f>
        <v>14453.3</v>
      </c>
      <c r="M57" s="5">
        <f>IFERROR(__xludf.DUMMYFUNCTION("""COMPUTED_VALUE"""),14753.55)</f>
        <v>14753.55</v>
      </c>
      <c r="N57" s="5">
        <f>IFERROR(__xludf.DUMMYFUNCTION("""COMPUTED_VALUE"""),14222.8)</f>
        <v>14222.8</v>
      </c>
      <c r="O57" s="5">
        <f>IFERROR(__xludf.DUMMYFUNCTION("""COMPUTED_VALUE"""),14371.9)</f>
        <v>14371.9</v>
      </c>
      <c r="P57" s="5">
        <f>IFERROR(__xludf.DUMMYFUNCTION("""COMPUTED_VALUE"""),0.0)</f>
        <v>0</v>
      </c>
    </row>
    <row r="58">
      <c r="A58" s="4" t="s">
        <v>140</v>
      </c>
      <c r="B58" s="4" t="s">
        <v>82</v>
      </c>
      <c r="C58" s="4" t="s">
        <v>141</v>
      </c>
      <c r="D58" s="4" t="s">
        <v>22</v>
      </c>
      <c r="E58" s="5">
        <f>IFERROR(__xludf.DUMMYFUNCTION("GOOGLEFINANCE(C58,""price"")"),2262.0)</f>
        <v>2262</v>
      </c>
      <c r="F58" s="5">
        <f>IFERROR(__xludf.DUMMYFUNCTION("GOOGLEFINANCE(C58,""change"")"),-10.5)</f>
        <v>-10.5</v>
      </c>
      <c r="G58" s="6">
        <f>IFERROR(__xludf.DUMMYFUNCTION("GOOGLEFINANCE(C58, ""changepct"")/100"),-0.0046)</f>
        <v>-0.0046</v>
      </c>
      <c r="H58" s="5">
        <f>IFERROR(__xludf.DUMMYFUNCTION("GOOGLEFINANCE(C58, ""marketcap"")"),4.37155725E11)</f>
        <v>437155725000</v>
      </c>
      <c r="K58" s="7">
        <f>IFERROR(__xludf.DUMMYFUNCTION("""COMPUTED_VALUE"""),44225.64583333333)</f>
        <v>44225.64583</v>
      </c>
      <c r="L58" s="5">
        <f>IFERROR(__xludf.DUMMYFUNCTION("""COMPUTED_VALUE"""),14477.8)</f>
        <v>14477.8</v>
      </c>
      <c r="M58" s="5">
        <f>IFERROR(__xludf.DUMMYFUNCTION("""COMPUTED_VALUE"""),14491.1)</f>
        <v>14491.1</v>
      </c>
      <c r="N58" s="5">
        <f>IFERROR(__xludf.DUMMYFUNCTION("""COMPUTED_VALUE"""),13596.75)</f>
        <v>13596.75</v>
      </c>
      <c r="O58" s="5">
        <f>IFERROR(__xludf.DUMMYFUNCTION("""COMPUTED_VALUE"""),13634.6)</f>
        <v>13634.6</v>
      </c>
      <c r="P58" s="5">
        <f>IFERROR(__xludf.DUMMYFUNCTION("""COMPUTED_VALUE"""),0.0)</f>
        <v>0</v>
      </c>
    </row>
    <row r="59">
      <c r="A59" s="4" t="s">
        <v>142</v>
      </c>
      <c r="B59" s="4" t="s">
        <v>15</v>
      </c>
      <c r="C59" s="4" t="s">
        <v>143</v>
      </c>
      <c r="D59" s="4" t="s">
        <v>13</v>
      </c>
      <c r="E59" s="5">
        <f>IFERROR(__xludf.DUMMYFUNCTION("GOOGLEFINANCE(C59,""price"")"),145.0)</f>
        <v>145</v>
      </c>
      <c r="F59" s="5">
        <f>IFERROR(__xludf.DUMMYFUNCTION("GOOGLEFINANCE(C59,""change"")"),5.15)</f>
        <v>5.15</v>
      </c>
      <c r="G59" s="6">
        <f>IFERROR(__xludf.DUMMYFUNCTION("GOOGLEFINANCE(C59, ""changepct"")/100"),0.0368)</f>
        <v>0.0368</v>
      </c>
      <c r="H59" s="5">
        <f>IFERROR(__xludf.DUMMYFUNCTION("GOOGLEFINANCE(C59, ""marketcap"")"),2.4787000288E10)</f>
        <v>24787000288</v>
      </c>
      <c r="K59" s="7">
        <f>IFERROR(__xludf.DUMMYFUNCTION("""COMPUTED_VALUE"""),44232.64583333333)</f>
        <v>44232.64583</v>
      </c>
      <c r="L59" s="5">
        <f>IFERROR(__xludf.DUMMYFUNCTION("""COMPUTED_VALUE"""),13758.6)</f>
        <v>13758.6</v>
      </c>
      <c r="M59" s="5">
        <f>IFERROR(__xludf.DUMMYFUNCTION("""COMPUTED_VALUE"""),15014.65)</f>
        <v>15014.65</v>
      </c>
      <c r="N59" s="5">
        <f>IFERROR(__xludf.DUMMYFUNCTION("""COMPUTED_VALUE"""),13661.75)</f>
        <v>13661.75</v>
      </c>
      <c r="O59" s="5">
        <f>IFERROR(__xludf.DUMMYFUNCTION("""COMPUTED_VALUE"""),14924.25)</f>
        <v>14924.25</v>
      </c>
      <c r="P59" s="5">
        <f>IFERROR(__xludf.DUMMYFUNCTION("""COMPUTED_VALUE"""),0.0)</f>
        <v>0</v>
      </c>
    </row>
    <row r="60">
      <c r="A60" s="4" t="s">
        <v>144</v>
      </c>
      <c r="B60" s="4" t="s">
        <v>11</v>
      </c>
      <c r="C60" s="4" t="s">
        <v>145</v>
      </c>
      <c r="D60" s="4" t="s">
        <v>13</v>
      </c>
      <c r="E60" s="5">
        <f>IFERROR(__xludf.DUMMYFUNCTION("GOOGLEFINANCE(C60,""price"")"),353.0)</f>
        <v>353</v>
      </c>
      <c r="F60" s="5">
        <f>IFERROR(__xludf.DUMMYFUNCTION("GOOGLEFINANCE(C60,""change"")"),-3.75)</f>
        <v>-3.75</v>
      </c>
      <c r="G60" s="6">
        <f>IFERROR(__xludf.DUMMYFUNCTION("GOOGLEFINANCE(C60, ""changepct"")/100"),-0.0105)</f>
        <v>-0.0105</v>
      </c>
      <c r="H60" s="5">
        <f>IFERROR(__xludf.DUMMYFUNCTION("GOOGLEFINANCE(C60, ""marketcap"")"),7.4192997436E10)</f>
        <v>74192997436</v>
      </c>
      <c r="K60" s="7">
        <f>IFERROR(__xludf.DUMMYFUNCTION("""COMPUTED_VALUE"""),44239.64583333333)</f>
        <v>44239.64583</v>
      </c>
      <c r="L60" s="5">
        <f>IFERROR(__xludf.DUMMYFUNCTION("""COMPUTED_VALUE"""),15064.3)</f>
        <v>15064.3</v>
      </c>
      <c r="M60" s="5">
        <f>IFERROR(__xludf.DUMMYFUNCTION("""COMPUTED_VALUE"""),15257.1)</f>
        <v>15257.1</v>
      </c>
      <c r="N60" s="5">
        <f>IFERROR(__xludf.DUMMYFUNCTION("""COMPUTED_VALUE"""),14977.2)</f>
        <v>14977.2</v>
      </c>
      <c r="O60" s="5">
        <f>IFERROR(__xludf.DUMMYFUNCTION("""COMPUTED_VALUE"""),15163.3)</f>
        <v>15163.3</v>
      </c>
      <c r="P60" s="5">
        <f>IFERROR(__xludf.DUMMYFUNCTION("""COMPUTED_VALUE"""),0.0)</f>
        <v>0</v>
      </c>
    </row>
    <row r="61">
      <c r="A61" s="4" t="s">
        <v>146</v>
      </c>
      <c r="B61" s="4" t="s">
        <v>29</v>
      </c>
      <c r="C61" s="4" t="s">
        <v>147</v>
      </c>
      <c r="D61" s="4" t="s">
        <v>22</v>
      </c>
      <c r="E61" s="5">
        <f>IFERROR(__xludf.DUMMYFUNCTION("GOOGLEFINANCE(C61,""price"")"),322.15)</f>
        <v>322.15</v>
      </c>
      <c r="F61" s="5">
        <f>IFERROR(__xludf.DUMMYFUNCTION("GOOGLEFINANCE(C61,""change"")"),5.3)</f>
        <v>5.3</v>
      </c>
      <c r="G61" s="6">
        <f>IFERROR(__xludf.DUMMYFUNCTION("GOOGLEFINANCE(C61, ""changepct"")/100"),0.0167)</f>
        <v>0.0167</v>
      </c>
      <c r="H61" s="5">
        <f>IFERROR(__xludf.DUMMYFUNCTION("GOOGLEFINANCE(C61, ""marketcap"")"),5.18859290269E11)</f>
        <v>518859290269</v>
      </c>
      <c r="K61" s="7">
        <f>IFERROR(__xludf.DUMMYFUNCTION("""COMPUTED_VALUE"""),44246.64583333333)</f>
        <v>44246.64583</v>
      </c>
      <c r="L61" s="5">
        <f>IFERROR(__xludf.DUMMYFUNCTION("""COMPUTED_VALUE"""),15270.3)</f>
        <v>15270.3</v>
      </c>
      <c r="M61" s="5">
        <f>IFERROR(__xludf.DUMMYFUNCTION("""COMPUTED_VALUE"""),15431.75)</f>
        <v>15431.75</v>
      </c>
      <c r="N61" s="5">
        <f>IFERROR(__xludf.DUMMYFUNCTION("""COMPUTED_VALUE"""),14898.2)</f>
        <v>14898.2</v>
      </c>
      <c r="O61" s="5">
        <f>IFERROR(__xludf.DUMMYFUNCTION("""COMPUTED_VALUE"""),14981.75)</f>
        <v>14981.75</v>
      </c>
      <c r="P61" s="5">
        <f>IFERROR(__xludf.DUMMYFUNCTION("""COMPUTED_VALUE"""),0.0)</f>
        <v>0</v>
      </c>
    </row>
    <row r="62">
      <c r="A62" s="4" t="s">
        <v>148</v>
      </c>
      <c r="B62" s="4" t="s">
        <v>29</v>
      </c>
      <c r="C62" s="4" t="s">
        <v>149</v>
      </c>
      <c r="D62" s="4" t="s">
        <v>22</v>
      </c>
      <c r="E62" s="5">
        <f>IFERROR(__xludf.DUMMYFUNCTION("GOOGLEFINANCE(C62,""price"")"),85.35)</f>
        <v>85.35</v>
      </c>
      <c r="F62" s="5">
        <f>IFERROR(__xludf.DUMMYFUNCTION("GOOGLEFINANCE(C62,""change"")"),0.4)</f>
        <v>0.4</v>
      </c>
      <c r="G62" s="6">
        <f>IFERROR(__xludf.DUMMYFUNCTION("GOOGLEFINANCE(C62, ""changepct"")/100"),0.004699999999999999)</f>
        <v>0.0047</v>
      </c>
      <c r="H62" s="5">
        <f>IFERROR(__xludf.DUMMYFUNCTION("GOOGLEFINANCE(C62, ""marketcap"")"),4.41375653459E11)</f>
        <v>441375653459</v>
      </c>
      <c r="K62" s="7">
        <f>IFERROR(__xludf.DUMMYFUNCTION("""COMPUTED_VALUE"""),44253.64583333333)</f>
        <v>44253.64583</v>
      </c>
      <c r="L62" s="5">
        <f>IFERROR(__xludf.DUMMYFUNCTION("""COMPUTED_VALUE"""),14999.05)</f>
        <v>14999.05</v>
      </c>
      <c r="M62" s="5">
        <f>IFERROR(__xludf.DUMMYFUNCTION("""COMPUTED_VALUE"""),15176.5)</f>
        <v>15176.5</v>
      </c>
      <c r="N62" s="5">
        <f>IFERROR(__xludf.DUMMYFUNCTION("""COMPUTED_VALUE"""),14467.75)</f>
        <v>14467.75</v>
      </c>
      <c r="O62" s="5">
        <f>IFERROR(__xludf.DUMMYFUNCTION("""COMPUTED_VALUE"""),14529.15)</f>
        <v>14529.15</v>
      </c>
      <c r="P62" s="5">
        <f>IFERROR(__xludf.DUMMYFUNCTION("""COMPUTED_VALUE"""),0.0)</f>
        <v>0</v>
      </c>
    </row>
    <row r="63">
      <c r="A63" s="4" t="s">
        <v>150</v>
      </c>
      <c r="B63" s="4" t="s">
        <v>29</v>
      </c>
      <c r="C63" s="4" t="s">
        <v>151</v>
      </c>
      <c r="D63" s="4" t="s">
        <v>13</v>
      </c>
      <c r="E63" s="5">
        <f>IFERROR(__xludf.DUMMYFUNCTION("GOOGLEFINANCE(C63,""price"")"),79.85)</f>
        <v>79.85</v>
      </c>
      <c r="F63" s="5">
        <f>IFERROR(__xludf.DUMMYFUNCTION("GOOGLEFINANCE(C63,""change"")"),0.65)</f>
        <v>0.65</v>
      </c>
      <c r="G63" s="6">
        <f>IFERROR(__xludf.DUMMYFUNCTION("GOOGLEFINANCE(C63, ""changepct"")/100"),0.008199999999999999)</f>
        <v>0.0082</v>
      </c>
      <c r="H63" s="5">
        <f>IFERROR(__xludf.DUMMYFUNCTION("GOOGLEFINANCE(C63, ""marketcap"")"),2.614983856E11)</f>
        <v>261498385600</v>
      </c>
      <c r="K63" s="7">
        <f>IFERROR(__xludf.DUMMYFUNCTION("""COMPUTED_VALUE"""),44260.64583333333)</f>
        <v>44260.64583</v>
      </c>
      <c r="L63" s="5">
        <f>IFERROR(__xludf.DUMMYFUNCTION("""COMPUTED_VALUE"""),14702.5)</f>
        <v>14702.5</v>
      </c>
      <c r="M63" s="5">
        <f>IFERROR(__xludf.DUMMYFUNCTION("""COMPUTED_VALUE"""),15273.15)</f>
        <v>15273.15</v>
      </c>
      <c r="N63" s="5">
        <f>IFERROR(__xludf.DUMMYFUNCTION("""COMPUTED_VALUE"""),14638.55)</f>
        <v>14638.55</v>
      </c>
      <c r="O63" s="5">
        <f>IFERROR(__xludf.DUMMYFUNCTION("""COMPUTED_VALUE"""),14938.1)</f>
        <v>14938.1</v>
      </c>
      <c r="P63" s="5">
        <f>IFERROR(__xludf.DUMMYFUNCTION("""COMPUTED_VALUE"""),0.0)</f>
        <v>0</v>
      </c>
    </row>
    <row r="64">
      <c r="A64" s="4" t="s">
        <v>152</v>
      </c>
      <c r="B64" s="4" t="s">
        <v>29</v>
      </c>
      <c r="C64" s="4" t="s">
        <v>153</v>
      </c>
      <c r="D64" s="4" t="s">
        <v>13</v>
      </c>
      <c r="E64" s="5">
        <f>IFERROR(__xludf.DUMMYFUNCTION("GOOGLEFINANCE(C64,""price"")"),26.3)</f>
        <v>26.3</v>
      </c>
      <c r="F64" s="5">
        <f>IFERROR(__xludf.DUMMYFUNCTION("GOOGLEFINANCE(C64,""change"")"),0.1)</f>
        <v>0.1</v>
      </c>
      <c r="G64" s="6">
        <f>IFERROR(__xludf.DUMMYFUNCTION("GOOGLEFINANCE(C64, ""changepct"")/100"),0.0038)</f>
        <v>0.0038</v>
      </c>
      <c r="H64" s="5">
        <f>IFERROR(__xludf.DUMMYFUNCTION("GOOGLEFINANCE(C64, ""marketcap"")"),1.72532150394E11)</f>
        <v>172532150394</v>
      </c>
      <c r="K64" s="7">
        <f>IFERROR(__xludf.DUMMYFUNCTION("""COMPUTED_VALUE"""),44267.64583333333)</f>
        <v>44267.64583</v>
      </c>
      <c r="L64" s="5">
        <f>IFERROR(__xludf.DUMMYFUNCTION("""COMPUTED_VALUE"""),15002.45)</f>
        <v>15002.45</v>
      </c>
      <c r="M64" s="5">
        <f>IFERROR(__xludf.DUMMYFUNCTION("""COMPUTED_VALUE"""),15336.3)</f>
        <v>15336.3</v>
      </c>
      <c r="N64" s="5">
        <f>IFERROR(__xludf.DUMMYFUNCTION("""COMPUTED_VALUE"""),14919.9)</f>
        <v>14919.9</v>
      </c>
      <c r="O64" s="5">
        <f>IFERROR(__xludf.DUMMYFUNCTION("""COMPUTED_VALUE"""),15030.95)</f>
        <v>15030.95</v>
      </c>
      <c r="P64" s="5">
        <f>IFERROR(__xludf.DUMMYFUNCTION("""COMPUTED_VALUE"""),0.0)</f>
        <v>0</v>
      </c>
    </row>
    <row r="65">
      <c r="A65" s="4" t="s">
        <v>154</v>
      </c>
      <c r="B65" s="4" t="s">
        <v>11</v>
      </c>
      <c r="C65" s="4" t="s">
        <v>155</v>
      </c>
      <c r="D65" s="4" t="s">
        <v>22</v>
      </c>
      <c r="E65" s="5">
        <f>IFERROR(__xludf.DUMMYFUNCTION("GOOGLEFINANCE(C65,""price"")"),1642.0)</f>
        <v>1642</v>
      </c>
      <c r="F65" s="5">
        <f>IFERROR(__xludf.DUMMYFUNCTION("GOOGLEFINANCE(C65,""change"")"),0.75)</f>
        <v>0.75</v>
      </c>
      <c r="G65" s="6">
        <f>IFERROR(__xludf.DUMMYFUNCTION("GOOGLEFINANCE(C65, ""changepct"")/100"),5.0E-4)</f>
        <v>0.0005</v>
      </c>
      <c r="H65" s="5">
        <f>IFERROR(__xludf.DUMMYFUNCTION("GOOGLEFINANCE(C65, ""marketcap"")"),2.10958608987E11)</f>
        <v>210958608987</v>
      </c>
      <c r="K65" s="7">
        <f>IFERROR(__xludf.DUMMYFUNCTION("""COMPUTED_VALUE"""),44274.64583333333)</f>
        <v>44274.64583</v>
      </c>
      <c r="L65" s="5">
        <f>IFERROR(__xludf.DUMMYFUNCTION("""COMPUTED_VALUE"""),15048.4)</f>
        <v>15048.4</v>
      </c>
      <c r="M65" s="5">
        <f>IFERROR(__xludf.DUMMYFUNCTION("""COMPUTED_VALUE"""),15051.6)</f>
        <v>15051.6</v>
      </c>
      <c r="N65" s="5">
        <f>IFERROR(__xludf.DUMMYFUNCTION("""COMPUTED_VALUE"""),14350.1)</f>
        <v>14350.1</v>
      </c>
      <c r="O65" s="5">
        <f>IFERROR(__xludf.DUMMYFUNCTION("""COMPUTED_VALUE"""),14744.0)</f>
        <v>14744</v>
      </c>
      <c r="P65" s="5">
        <f>IFERROR(__xludf.DUMMYFUNCTION("""COMPUTED_VALUE"""),0.0)</f>
        <v>0</v>
      </c>
    </row>
    <row r="66">
      <c r="A66" s="4" t="s">
        <v>156</v>
      </c>
      <c r="B66" s="4" t="s">
        <v>157</v>
      </c>
      <c r="C66" s="4" t="s">
        <v>158</v>
      </c>
      <c r="D66" s="4" t="s">
        <v>13</v>
      </c>
      <c r="E66" s="5">
        <f>IFERROR(__xludf.DUMMYFUNCTION("GOOGLEFINANCE(C66,""price"")"),5586.8)</f>
        <v>5586.8</v>
      </c>
      <c r="F66" s="5">
        <f>IFERROR(__xludf.DUMMYFUNCTION("GOOGLEFINANCE(C66,""change"")"),-6.9)</f>
        <v>-6.9</v>
      </c>
      <c r="G66" s="6">
        <f>IFERROR(__xludf.DUMMYFUNCTION("GOOGLEFINANCE(C66, ""changepct"")/100"),-0.0012)</f>
        <v>-0.0012</v>
      </c>
      <c r="H66" s="5">
        <f>IFERROR(__xludf.DUMMYFUNCTION("GOOGLEFINANCE(C66, ""marketcap"")"),2.512262831E11)</f>
        <v>251226283100</v>
      </c>
      <c r="K66" s="7">
        <f>IFERROR(__xludf.DUMMYFUNCTION("""COMPUTED_VALUE"""),44281.64583333333)</f>
        <v>44281.64583</v>
      </c>
      <c r="L66" s="5">
        <f>IFERROR(__xludf.DUMMYFUNCTION("""COMPUTED_VALUE"""),14736.3)</f>
        <v>14736.3</v>
      </c>
      <c r="M66" s="5">
        <f>IFERROR(__xludf.DUMMYFUNCTION("""COMPUTED_VALUE"""),14878.6)</f>
        <v>14878.6</v>
      </c>
      <c r="N66" s="5">
        <f>IFERROR(__xludf.DUMMYFUNCTION("""COMPUTED_VALUE"""),14264.4)</f>
        <v>14264.4</v>
      </c>
      <c r="O66" s="5">
        <f>IFERROR(__xludf.DUMMYFUNCTION("""COMPUTED_VALUE"""),14507.3)</f>
        <v>14507.3</v>
      </c>
      <c r="P66" s="5">
        <f>IFERROR(__xludf.DUMMYFUNCTION("""COMPUTED_VALUE"""),0.0)</f>
        <v>0</v>
      </c>
    </row>
    <row r="67">
      <c r="A67" s="4" t="s">
        <v>159</v>
      </c>
      <c r="B67" s="4" t="s">
        <v>11</v>
      </c>
      <c r="C67" s="4" t="s">
        <v>160</v>
      </c>
      <c r="D67" s="4" t="s">
        <v>22</v>
      </c>
      <c r="E67" s="5">
        <f>IFERROR(__xludf.DUMMYFUNCTION("GOOGLEFINANCE(C67,""price"")"),824.8)</f>
        <v>824.8</v>
      </c>
      <c r="F67" s="5">
        <f>IFERROR(__xludf.DUMMYFUNCTION("GOOGLEFINANCE(C67,""change"")"),15.15)</f>
        <v>15.15</v>
      </c>
      <c r="G67" s="6">
        <f>IFERROR(__xludf.DUMMYFUNCTION("GOOGLEFINANCE(C67, ""changepct"")/100"),0.0187)</f>
        <v>0.0187</v>
      </c>
      <c r="H67" s="5">
        <f>IFERROR(__xludf.DUMMYFUNCTION("GOOGLEFINANCE(C67, ""marketcap"")"),8.01124104143E11)</f>
        <v>801124104143</v>
      </c>
      <c r="K67" s="7">
        <f>IFERROR(__xludf.DUMMYFUNCTION("""COMPUTED_VALUE"""),44287.64583333333)</f>
        <v>44287.64583</v>
      </c>
      <c r="L67" s="5">
        <f>IFERROR(__xludf.DUMMYFUNCTION("""COMPUTED_VALUE"""),14628.5)</f>
        <v>14628.5</v>
      </c>
      <c r="M67" s="5">
        <f>IFERROR(__xludf.DUMMYFUNCTION("""COMPUTED_VALUE"""),14883.2)</f>
        <v>14883.2</v>
      </c>
      <c r="N67" s="5">
        <f>IFERROR(__xludf.DUMMYFUNCTION("""COMPUTED_VALUE"""),14617.6)</f>
        <v>14617.6</v>
      </c>
      <c r="O67" s="5">
        <f>IFERROR(__xludf.DUMMYFUNCTION("""COMPUTED_VALUE"""),14867.35)</f>
        <v>14867.35</v>
      </c>
      <c r="P67" s="5">
        <f>IFERROR(__xludf.DUMMYFUNCTION("""COMPUTED_VALUE"""),0.0)</f>
        <v>0</v>
      </c>
    </row>
    <row r="68">
      <c r="A68" s="4" t="s">
        <v>161</v>
      </c>
      <c r="B68" s="4" t="s">
        <v>15</v>
      </c>
      <c r="C68" s="4" t="s">
        <v>162</v>
      </c>
      <c r="D68" s="4" t="s">
        <v>13</v>
      </c>
      <c r="E68" s="5">
        <f>IFERROR(__xludf.DUMMYFUNCTION("GOOGLEFINANCE(C68,""price"")"),360.8)</f>
        <v>360.8</v>
      </c>
      <c r="F68" s="5">
        <f>IFERROR(__xludf.DUMMYFUNCTION("GOOGLEFINANCE(C68,""change"")"),1.15)</f>
        <v>1.15</v>
      </c>
      <c r="G68" s="6">
        <f>IFERROR(__xludf.DUMMYFUNCTION("GOOGLEFINANCE(C68, ""changepct"")/100"),0.0032)</f>
        <v>0.0032</v>
      </c>
      <c r="H68" s="5">
        <f>IFERROR(__xludf.DUMMYFUNCTION("GOOGLEFINANCE(C68, ""marketcap"")"),6.6127854722E10)</f>
        <v>66127854722</v>
      </c>
      <c r="K68" s="7">
        <f>IFERROR(__xludf.DUMMYFUNCTION("""COMPUTED_VALUE"""),44295.64583333333)</f>
        <v>44295.64583</v>
      </c>
      <c r="L68" s="5">
        <f>IFERROR(__xludf.DUMMYFUNCTION("""COMPUTED_VALUE"""),14837.7)</f>
        <v>14837.7</v>
      </c>
      <c r="M68" s="5">
        <f>IFERROR(__xludf.DUMMYFUNCTION("""COMPUTED_VALUE"""),14984.15)</f>
        <v>14984.15</v>
      </c>
      <c r="N68" s="5">
        <f>IFERROR(__xludf.DUMMYFUNCTION("""COMPUTED_VALUE"""),14459.5)</f>
        <v>14459.5</v>
      </c>
      <c r="O68" s="5">
        <f>IFERROR(__xludf.DUMMYFUNCTION("""COMPUTED_VALUE"""),14834.85)</f>
        <v>14834.85</v>
      </c>
      <c r="P68" s="5">
        <f>IFERROR(__xludf.DUMMYFUNCTION("""COMPUTED_VALUE"""),0.0)</f>
        <v>0</v>
      </c>
    </row>
    <row r="69">
      <c r="A69" s="4" t="s">
        <v>163</v>
      </c>
      <c r="B69" s="4" t="s">
        <v>15</v>
      </c>
      <c r="C69" s="4" t="s">
        <v>164</v>
      </c>
      <c r="D69" s="4" t="s">
        <v>22</v>
      </c>
      <c r="E69" s="5">
        <f>IFERROR(__xludf.DUMMYFUNCTION("GOOGLEFINANCE(C69,""price"")"),150.8)</f>
        <v>150.8</v>
      </c>
      <c r="F69" s="5">
        <f>IFERROR(__xludf.DUMMYFUNCTION("GOOGLEFINANCE(C69,""change"")"),-0.95)</f>
        <v>-0.95</v>
      </c>
      <c r="G69" s="6">
        <f>IFERROR(__xludf.DUMMYFUNCTION("GOOGLEFINANCE(C69, ""changepct"")/100"),-0.0063)</f>
        <v>-0.0063</v>
      </c>
      <c r="H69" s="5">
        <f>IFERROR(__xludf.DUMMYFUNCTION("GOOGLEFINANCE(C69, ""marketcap"")"),3.67438231835E11)</f>
        <v>367438231835</v>
      </c>
      <c r="K69" s="7">
        <f>IFERROR(__xludf.DUMMYFUNCTION("""COMPUTED_VALUE"""),44302.64583333333)</f>
        <v>44302.64583</v>
      </c>
      <c r="L69" s="5">
        <f>IFERROR(__xludf.DUMMYFUNCTION("""COMPUTED_VALUE"""),14644.65)</f>
        <v>14644.65</v>
      </c>
      <c r="M69" s="5">
        <f>IFERROR(__xludf.DUMMYFUNCTION("""COMPUTED_VALUE"""),14697.7)</f>
        <v>14697.7</v>
      </c>
      <c r="N69" s="5">
        <f>IFERROR(__xludf.DUMMYFUNCTION("""COMPUTED_VALUE"""),14248.7)</f>
        <v>14248.7</v>
      </c>
      <c r="O69" s="5">
        <f>IFERROR(__xludf.DUMMYFUNCTION("""COMPUTED_VALUE"""),14617.85)</f>
        <v>14617.85</v>
      </c>
      <c r="P69" s="5">
        <f>IFERROR(__xludf.DUMMYFUNCTION("""COMPUTED_VALUE"""),0.0)</f>
        <v>0</v>
      </c>
    </row>
    <row r="70">
      <c r="A70" s="4" t="s">
        <v>165</v>
      </c>
      <c r="B70" s="4" t="s">
        <v>15</v>
      </c>
      <c r="C70" s="4" t="s">
        <v>166</v>
      </c>
      <c r="D70" s="4" t="s">
        <v>22</v>
      </c>
      <c r="E70" s="5">
        <f>IFERROR(__xludf.DUMMYFUNCTION("GOOGLEFINANCE(C70,""price"")"),741.3)</f>
        <v>741.3</v>
      </c>
      <c r="F70" s="5">
        <f>IFERROR(__xludf.DUMMYFUNCTION("GOOGLEFINANCE(C70,""change"")"),0.6)</f>
        <v>0.6</v>
      </c>
      <c r="G70" s="6">
        <f>IFERROR(__xludf.DUMMYFUNCTION("GOOGLEFINANCE(C70, ""changepct"")/100"),8.0E-4)</f>
        <v>0.0008</v>
      </c>
      <c r="H70" s="5">
        <f>IFERROR(__xludf.DUMMYFUNCTION("GOOGLEFINANCE(C70, ""marketcap"")"),3.45175145685E11)</f>
        <v>345175145685</v>
      </c>
      <c r="K70" s="7">
        <f>IFERROR(__xludf.DUMMYFUNCTION("""COMPUTED_VALUE"""),44309.64583333333)</f>
        <v>44309.64583</v>
      </c>
      <c r="L70" s="5">
        <f>IFERROR(__xludf.DUMMYFUNCTION("""COMPUTED_VALUE"""),14306.6)</f>
        <v>14306.6</v>
      </c>
      <c r="M70" s="5">
        <f>IFERROR(__xludf.DUMMYFUNCTION("""COMPUTED_VALUE"""),14526.95)</f>
        <v>14526.95</v>
      </c>
      <c r="N70" s="5">
        <f>IFERROR(__xludf.DUMMYFUNCTION("""COMPUTED_VALUE"""),14151.4)</f>
        <v>14151.4</v>
      </c>
      <c r="O70" s="5">
        <f>IFERROR(__xludf.DUMMYFUNCTION("""COMPUTED_VALUE"""),14341.35)</f>
        <v>14341.35</v>
      </c>
      <c r="P70" s="5">
        <f>IFERROR(__xludf.DUMMYFUNCTION("""COMPUTED_VALUE"""),0.0)</f>
        <v>0</v>
      </c>
    </row>
    <row r="71">
      <c r="A71" s="4" t="s">
        <v>167</v>
      </c>
      <c r="B71" s="4" t="s">
        <v>15</v>
      </c>
      <c r="C71" s="4" t="s">
        <v>168</v>
      </c>
      <c r="D71" s="4" t="s">
        <v>22</v>
      </c>
      <c r="E71" s="5">
        <f>IFERROR(__xludf.DUMMYFUNCTION("GOOGLEFINANCE(C71,""price"")"),70.1)</f>
        <v>70.1</v>
      </c>
      <c r="F71" s="5">
        <f>IFERROR(__xludf.DUMMYFUNCTION("GOOGLEFINANCE(C71,""change"")"),2.7)</f>
        <v>2.7</v>
      </c>
      <c r="G71" s="6">
        <f>IFERROR(__xludf.DUMMYFUNCTION("GOOGLEFINANCE(C71, ""changepct"")/100"),0.0401)</f>
        <v>0.0401</v>
      </c>
      <c r="H71" s="5">
        <f>IFERROR(__xludf.DUMMYFUNCTION("GOOGLEFINANCE(C71, ""marketcap"")"),2.44092540886E11)</f>
        <v>244092540886</v>
      </c>
      <c r="K71" s="7">
        <f>IFERROR(__xludf.DUMMYFUNCTION("""COMPUTED_VALUE"""),44316.64583333333)</f>
        <v>44316.64583</v>
      </c>
      <c r="L71" s="5">
        <f>IFERROR(__xludf.DUMMYFUNCTION("""COMPUTED_VALUE"""),14449.45)</f>
        <v>14449.45</v>
      </c>
      <c r="M71" s="5">
        <f>IFERROR(__xludf.DUMMYFUNCTION("""COMPUTED_VALUE"""),15044.35)</f>
        <v>15044.35</v>
      </c>
      <c r="N71" s="5">
        <f>IFERROR(__xludf.DUMMYFUNCTION("""COMPUTED_VALUE"""),14421.3)</f>
        <v>14421.3</v>
      </c>
      <c r="O71" s="5">
        <f>IFERROR(__xludf.DUMMYFUNCTION("""COMPUTED_VALUE"""),14631.1)</f>
        <v>14631.1</v>
      </c>
      <c r="P71" s="5">
        <f>IFERROR(__xludf.DUMMYFUNCTION("""COMPUTED_VALUE"""),0.0)</f>
        <v>0</v>
      </c>
    </row>
    <row r="72">
      <c r="A72" s="4" t="s">
        <v>169</v>
      </c>
      <c r="B72" s="4" t="s">
        <v>50</v>
      </c>
      <c r="C72" s="4" t="s">
        <v>170</v>
      </c>
      <c r="D72" s="4" t="s">
        <v>22</v>
      </c>
      <c r="E72" s="5">
        <f>IFERROR(__xludf.DUMMYFUNCTION("GOOGLEFINANCE(C72,""price"")"),485.4)</f>
        <v>485.4</v>
      </c>
      <c r="F72" s="5">
        <f>IFERROR(__xludf.DUMMYFUNCTION("GOOGLEFINANCE(C72,""change"")"),1.7)</f>
        <v>1.7</v>
      </c>
      <c r="G72" s="6">
        <f>IFERROR(__xludf.DUMMYFUNCTION("GOOGLEFINANCE(C72, ""changepct"")/100"),0.0034999999999999996)</f>
        <v>0.0035</v>
      </c>
      <c r="H72" s="5">
        <f>IFERROR(__xludf.DUMMYFUNCTION("GOOGLEFINANCE(C72, ""marketcap"")"),1.052955392959E12)</f>
        <v>1052955392959</v>
      </c>
      <c r="K72" s="7">
        <f>IFERROR(__xludf.DUMMYFUNCTION("""COMPUTED_VALUE"""),44323.64583333333)</f>
        <v>44323.64583</v>
      </c>
      <c r="L72" s="5">
        <f>IFERROR(__xludf.DUMMYFUNCTION("""COMPUTED_VALUE"""),14481.05)</f>
        <v>14481.05</v>
      </c>
      <c r="M72" s="5">
        <f>IFERROR(__xludf.DUMMYFUNCTION("""COMPUTED_VALUE"""),14863.05)</f>
        <v>14863.05</v>
      </c>
      <c r="N72" s="5">
        <f>IFERROR(__xludf.DUMMYFUNCTION("""COMPUTED_VALUE"""),14416.25)</f>
        <v>14416.25</v>
      </c>
      <c r="O72" s="5">
        <f>IFERROR(__xludf.DUMMYFUNCTION("""COMPUTED_VALUE"""),14823.15)</f>
        <v>14823.15</v>
      </c>
      <c r="P72" s="5">
        <f>IFERROR(__xludf.DUMMYFUNCTION("""COMPUTED_VALUE"""),0.0)</f>
        <v>0</v>
      </c>
    </row>
    <row r="73">
      <c r="A73" s="4" t="s">
        <v>171</v>
      </c>
      <c r="B73" s="4" t="s">
        <v>157</v>
      </c>
      <c r="C73" s="4" t="s">
        <v>172</v>
      </c>
      <c r="D73" s="4" t="s">
        <v>13</v>
      </c>
      <c r="E73" s="5">
        <f>IFERROR(__xludf.DUMMYFUNCTION("GOOGLEFINANCE(C73,""price"")"),12630.55)</f>
        <v>12630.55</v>
      </c>
      <c r="F73" s="5">
        <f>IFERROR(__xludf.DUMMYFUNCTION("GOOGLEFINANCE(C73,""change"")"),-49.75)</f>
        <v>-49.75</v>
      </c>
      <c r="G73" s="6">
        <f>IFERROR(__xludf.DUMMYFUNCTION("GOOGLEFINANCE(C73, ""changepct"")/100"),-0.0039000000000000003)</f>
        <v>-0.0039</v>
      </c>
      <c r="H73" s="5">
        <f>IFERROR(__xludf.DUMMYFUNCTION("GOOGLEFINANCE(C73, ""marketcap"")"),5.3689887288E10)</f>
        <v>53689887288</v>
      </c>
      <c r="K73" s="7">
        <f>IFERROR(__xludf.DUMMYFUNCTION("""COMPUTED_VALUE"""),44330.64583333333)</f>
        <v>44330.64583</v>
      </c>
      <c r="L73" s="5">
        <f>IFERROR(__xludf.DUMMYFUNCTION("""COMPUTED_VALUE"""),14928.25)</f>
        <v>14928.25</v>
      </c>
      <c r="M73" s="5">
        <f>IFERROR(__xludf.DUMMYFUNCTION("""COMPUTED_VALUE"""),14966.9)</f>
        <v>14966.9</v>
      </c>
      <c r="N73" s="5">
        <f>IFERROR(__xludf.DUMMYFUNCTION("""COMPUTED_VALUE"""),14591.9)</f>
        <v>14591.9</v>
      </c>
      <c r="O73" s="5">
        <f>IFERROR(__xludf.DUMMYFUNCTION("""COMPUTED_VALUE"""),14677.8)</f>
        <v>14677.8</v>
      </c>
      <c r="P73" s="5">
        <f>IFERROR(__xludf.DUMMYFUNCTION("""COMPUTED_VALUE"""),0.0)</f>
        <v>0</v>
      </c>
    </row>
    <row r="74">
      <c r="A74" s="4" t="s">
        <v>173</v>
      </c>
      <c r="B74" s="4" t="s">
        <v>174</v>
      </c>
      <c r="C74" s="4" t="s">
        <v>175</v>
      </c>
      <c r="D74" s="4" t="s">
        <v>22</v>
      </c>
      <c r="E74" s="5">
        <f>IFERROR(__xludf.DUMMYFUNCTION("GOOGLEFINANCE(C74,""price"")"),542.2)</f>
        <v>542.2</v>
      </c>
      <c r="F74" s="5">
        <f>IFERROR(__xludf.DUMMYFUNCTION("GOOGLEFINANCE(C74,""change"")"),2.85)</f>
        <v>2.85</v>
      </c>
      <c r="G74" s="6">
        <f>IFERROR(__xludf.DUMMYFUNCTION("GOOGLEFINANCE(C74, ""changepct"")/100"),0.0053)</f>
        <v>0.0053</v>
      </c>
      <c r="H74" s="5">
        <f>IFERROR(__xludf.DUMMYFUNCTION("GOOGLEFINANCE(C74, ""marketcap"")"),2.9762356455E12)</f>
        <v>2976235645500</v>
      </c>
      <c r="K74" s="7">
        <f>IFERROR(__xludf.DUMMYFUNCTION("""COMPUTED_VALUE"""),44337.64583333333)</f>
        <v>44337.64583</v>
      </c>
      <c r="L74" s="5">
        <f>IFERROR(__xludf.DUMMYFUNCTION("""COMPUTED_VALUE"""),14756.25)</f>
        <v>14756.25</v>
      </c>
      <c r="M74" s="5">
        <f>IFERROR(__xludf.DUMMYFUNCTION("""COMPUTED_VALUE"""),15190.0)</f>
        <v>15190</v>
      </c>
      <c r="N74" s="5">
        <f>IFERROR(__xludf.DUMMYFUNCTION("""COMPUTED_VALUE"""),14725.35)</f>
        <v>14725.35</v>
      </c>
      <c r="O74" s="5">
        <f>IFERROR(__xludf.DUMMYFUNCTION("""COMPUTED_VALUE"""),15175.3)</f>
        <v>15175.3</v>
      </c>
      <c r="P74" s="5">
        <f>IFERROR(__xludf.DUMMYFUNCTION("""COMPUTED_VALUE"""),0.0)</f>
        <v>0</v>
      </c>
    </row>
    <row r="75">
      <c r="A75" s="4" t="s">
        <v>176</v>
      </c>
      <c r="B75" s="4" t="s">
        <v>32</v>
      </c>
      <c r="C75" s="4" t="s">
        <v>177</v>
      </c>
      <c r="D75" s="4" t="s">
        <v>22</v>
      </c>
      <c r="E75" s="5">
        <f>IFERROR(__xludf.DUMMYFUNCTION("GOOGLEFINANCE(C75,""price"")"),413.4)</f>
        <v>413.4</v>
      </c>
      <c r="F75" s="5">
        <f>IFERROR(__xludf.DUMMYFUNCTION("GOOGLEFINANCE(C75,""change"")"),1.35)</f>
        <v>1.35</v>
      </c>
      <c r="G75" s="6">
        <f>IFERROR(__xludf.DUMMYFUNCTION("GOOGLEFINANCE(C75, ""changepct"")/100"),0.0033)</f>
        <v>0.0033</v>
      </c>
      <c r="H75" s="5">
        <f>IFERROR(__xludf.DUMMYFUNCTION("GOOGLEFINANCE(C75, ""marketcap"")"),4.9159181778E11)</f>
        <v>491591817780</v>
      </c>
      <c r="K75" s="7">
        <f>IFERROR(__xludf.DUMMYFUNCTION("""COMPUTED_VALUE"""),44344.64583333333)</f>
        <v>44344.64583</v>
      </c>
      <c r="L75" s="5">
        <f>IFERROR(__xludf.DUMMYFUNCTION("""COMPUTED_VALUE"""),15211.35)</f>
        <v>15211.35</v>
      </c>
      <c r="M75" s="5">
        <f>IFERROR(__xludf.DUMMYFUNCTION("""COMPUTED_VALUE"""),15469.65)</f>
        <v>15469.65</v>
      </c>
      <c r="N75" s="5">
        <f>IFERROR(__xludf.DUMMYFUNCTION("""COMPUTED_VALUE"""),15145.45)</f>
        <v>15145.45</v>
      </c>
      <c r="O75" s="5">
        <f>IFERROR(__xludf.DUMMYFUNCTION("""COMPUTED_VALUE"""),15435.65)</f>
        <v>15435.65</v>
      </c>
      <c r="P75" s="5">
        <f>IFERROR(__xludf.DUMMYFUNCTION("""COMPUTED_VALUE"""),0.0)</f>
        <v>0</v>
      </c>
    </row>
    <row r="76">
      <c r="A76" s="4" t="s">
        <v>178</v>
      </c>
      <c r="B76" s="4" t="s">
        <v>20</v>
      </c>
      <c r="C76" s="4" t="s">
        <v>179</v>
      </c>
      <c r="D76" s="4" t="s">
        <v>13</v>
      </c>
      <c r="E76" s="5">
        <f>IFERROR(__xludf.DUMMYFUNCTION("GOOGLEFINANCE(C76,""price"")"),1238.2)</f>
        <v>1238.2</v>
      </c>
      <c r="F76" s="5">
        <f>IFERROR(__xludf.DUMMYFUNCTION("GOOGLEFINANCE(C76,""change"")"),7.75)</f>
        <v>7.75</v>
      </c>
      <c r="G76" s="6">
        <f>IFERROR(__xludf.DUMMYFUNCTION("GOOGLEFINANCE(C76, ""changepct"")/100"),0.0063)</f>
        <v>0.0063</v>
      </c>
      <c r="H76" s="5">
        <f>IFERROR(__xludf.DUMMYFUNCTION("GOOGLEFINANCE(C76, ""marketcap"")"),9.5367259562E10)</f>
        <v>95367259562</v>
      </c>
      <c r="K76" s="7">
        <f>IFERROR(__xludf.DUMMYFUNCTION("""COMPUTED_VALUE"""),44351.64583333333)</f>
        <v>44351.64583</v>
      </c>
      <c r="L76" s="5">
        <f>IFERROR(__xludf.DUMMYFUNCTION("""COMPUTED_VALUE"""),15437.75)</f>
        <v>15437.75</v>
      </c>
      <c r="M76" s="5">
        <f>IFERROR(__xludf.DUMMYFUNCTION("""COMPUTED_VALUE"""),15733.6)</f>
        <v>15733.6</v>
      </c>
      <c r="N76" s="5">
        <f>IFERROR(__xludf.DUMMYFUNCTION("""COMPUTED_VALUE"""),15374.0)</f>
        <v>15374</v>
      </c>
      <c r="O76" s="5">
        <f>IFERROR(__xludf.DUMMYFUNCTION("""COMPUTED_VALUE"""),15670.25)</f>
        <v>15670.25</v>
      </c>
      <c r="P76" s="5">
        <f>IFERROR(__xludf.DUMMYFUNCTION("""COMPUTED_VALUE"""),0.0)</f>
        <v>0</v>
      </c>
    </row>
    <row r="77">
      <c r="A77" s="4" t="s">
        <v>180</v>
      </c>
      <c r="B77" s="4" t="s">
        <v>64</v>
      </c>
      <c r="C77" s="4" t="s">
        <v>181</v>
      </c>
      <c r="D77" s="4" t="s">
        <v>13</v>
      </c>
      <c r="E77" s="5">
        <f>IFERROR(__xludf.DUMMYFUNCTION("GOOGLEFINANCE(C77,""price"")"),400.05)</f>
        <v>400.05</v>
      </c>
      <c r="F77" s="5">
        <f>IFERROR(__xludf.DUMMYFUNCTION("GOOGLEFINANCE(C77,""change"")"),2.3)</f>
        <v>2.3</v>
      </c>
      <c r="G77" s="6">
        <f>IFERROR(__xludf.DUMMYFUNCTION("GOOGLEFINANCE(C77, ""changepct"")/100"),0.0058)</f>
        <v>0.0058</v>
      </c>
      <c r="H77" s="5">
        <f>IFERROR(__xludf.DUMMYFUNCTION("GOOGLEFINANCE(C77, ""marketcap"")"),1.10693351562E11)</f>
        <v>110693351562</v>
      </c>
      <c r="K77" s="7">
        <f>IFERROR(__xludf.DUMMYFUNCTION("""COMPUTED_VALUE"""),44358.64583333333)</f>
        <v>44358.64583</v>
      </c>
      <c r="L77" s="5">
        <f>IFERROR(__xludf.DUMMYFUNCTION("""COMPUTED_VALUE"""),15725.1)</f>
        <v>15725.1</v>
      </c>
      <c r="M77" s="5">
        <f>IFERROR(__xludf.DUMMYFUNCTION("""COMPUTED_VALUE"""),15835.55)</f>
        <v>15835.55</v>
      </c>
      <c r="N77" s="5">
        <f>IFERROR(__xludf.DUMMYFUNCTION("""COMPUTED_VALUE"""),15566.9)</f>
        <v>15566.9</v>
      </c>
      <c r="O77" s="5">
        <f>IFERROR(__xludf.DUMMYFUNCTION("""COMPUTED_VALUE"""),15799.35)</f>
        <v>15799.35</v>
      </c>
      <c r="P77" s="5">
        <f>IFERROR(__xludf.DUMMYFUNCTION("""COMPUTED_VALUE"""),0.0)</f>
        <v>0</v>
      </c>
    </row>
    <row r="78">
      <c r="A78" s="4" t="s">
        <v>182</v>
      </c>
      <c r="B78" s="4" t="s">
        <v>32</v>
      </c>
      <c r="C78" s="4" t="s">
        <v>183</v>
      </c>
      <c r="D78" s="4" t="s">
        <v>13</v>
      </c>
      <c r="E78" s="5">
        <f>IFERROR(__xludf.DUMMYFUNCTION("GOOGLEFINANCE(C78,""price"")"),114.95)</f>
        <v>114.95</v>
      </c>
      <c r="F78" s="5">
        <f>IFERROR(__xludf.DUMMYFUNCTION("GOOGLEFINANCE(C78,""change"")"),0.85)</f>
        <v>0.85</v>
      </c>
      <c r="G78" s="6">
        <f>IFERROR(__xludf.DUMMYFUNCTION("GOOGLEFINANCE(C78, ""changepct"")/100"),0.0074)</f>
        <v>0.0074</v>
      </c>
      <c r="H78" s="5">
        <f>IFERROR(__xludf.DUMMYFUNCTION("GOOGLEFINANCE(C78, ""marketcap"")"),1.1880898329E10)</f>
        <v>11880898329</v>
      </c>
    </row>
    <row r="79">
      <c r="A79" s="4" t="s">
        <v>184</v>
      </c>
      <c r="B79" s="4" t="s">
        <v>47</v>
      </c>
      <c r="C79" s="4" t="s">
        <v>185</v>
      </c>
      <c r="D79" s="4" t="s">
        <v>13</v>
      </c>
      <c r="E79" s="5">
        <f>IFERROR(__xludf.DUMMYFUNCTION("GOOGLEFINANCE(C79,""price"")"),5825.25)</f>
        <v>5825.25</v>
      </c>
      <c r="F79" s="5">
        <f>IFERROR(__xludf.DUMMYFUNCTION("GOOGLEFINANCE(C79,""change"")"),-11.75)</f>
        <v>-11.75</v>
      </c>
      <c r="G79" s="6">
        <f>IFERROR(__xludf.DUMMYFUNCTION("GOOGLEFINANCE(C79, ""changepct"")/100"),-0.002)</f>
        <v>-0.002</v>
      </c>
      <c r="H79" s="5">
        <f>IFERROR(__xludf.DUMMYFUNCTION("GOOGLEFINANCE(C79, ""marketcap"")"),1.38233124247E11)</f>
        <v>138233124247</v>
      </c>
    </row>
    <row r="80">
      <c r="A80" s="4" t="s">
        <v>186</v>
      </c>
      <c r="B80" s="4" t="s">
        <v>11</v>
      </c>
      <c r="C80" s="4" t="s">
        <v>187</v>
      </c>
      <c r="D80" s="4" t="s">
        <v>13</v>
      </c>
      <c r="E80" s="5">
        <f>IFERROR(__xludf.DUMMYFUNCTION("GOOGLEFINANCE(C80,""price"")"),816.6)</f>
        <v>816.6</v>
      </c>
      <c r="F80" s="5">
        <f>IFERROR(__xludf.DUMMYFUNCTION("GOOGLEFINANCE(C80,""change"")"),-3.9)</f>
        <v>-3.9</v>
      </c>
      <c r="G80" s="6">
        <f>IFERROR(__xludf.DUMMYFUNCTION("GOOGLEFINANCE(C80, ""changepct"")/100"),-0.0048)</f>
        <v>-0.0048</v>
      </c>
      <c r="H80" s="5">
        <f>IFERROR(__xludf.DUMMYFUNCTION("GOOGLEFINANCE(C80, ""marketcap"")"),7.8649912056E10)</f>
        <v>78649912056</v>
      </c>
    </row>
    <row r="81">
      <c r="A81" s="4" t="s">
        <v>188</v>
      </c>
      <c r="B81" s="4" t="s">
        <v>11</v>
      </c>
      <c r="C81" s="4" t="s">
        <v>189</v>
      </c>
      <c r="D81" s="4" t="s">
        <v>13</v>
      </c>
      <c r="E81" s="5">
        <f>IFERROR(__xludf.DUMMYFUNCTION("GOOGLEFINANCE(C81,""price"")"),1395.95)</f>
        <v>1395.95</v>
      </c>
      <c r="F81" s="5">
        <f>IFERROR(__xludf.DUMMYFUNCTION("GOOGLEFINANCE(C81,""change"")"),49.05)</f>
        <v>49.05</v>
      </c>
      <c r="G81" s="6">
        <f>IFERROR(__xludf.DUMMYFUNCTION("GOOGLEFINANCE(C81, ""changepct"")/100"),0.0364)</f>
        <v>0.0364</v>
      </c>
      <c r="H81" s="5">
        <f>IFERROR(__xludf.DUMMYFUNCTION("GOOGLEFINANCE(C81, ""marketcap"")"),9.7366672495E10)</f>
        <v>97366672495</v>
      </c>
    </row>
    <row r="82">
      <c r="A82" s="4" t="s">
        <v>190</v>
      </c>
      <c r="B82" s="4" t="s">
        <v>82</v>
      </c>
      <c r="C82" s="4" t="s">
        <v>191</v>
      </c>
      <c r="D82" s="4" t="s">
        <v>22</v>
      </c>
      <c r="E82" s="5">
        <f>IFERROR(__xludf.DUMMYFUNCTION("GOOGLEFINANCE(C82,""price"")"),15914.95)</f>
        <v>15914.95</v>
      </c>
      <c r="F82" s="5">
        <f>IFERROR(__xludf.DUMMYFUNCTION("GOOGLEFINANCE(C82,""change"")"),0.35)</f>
        <v>0.35</v>
      </c>
      <c r="G82" s="6">
        <f>IFERROR(__xludf.DUMMYFUNCTION("GOOGLEFINANCE(C82, ""changepct"")/100"),0.0)</f>
        <v>0</v>
      </c>
      <c r="H82" s="5">
        <f>IFERROR(__xludf.DUMMYFUNCTION("GOOGLEFINANCE(C82, ""marketcap"")"),4.6932891498E11)</f>
        <v>469328914980</v>
      </c>
    </row>
    <row r="83">
      <c r="A83" s="4" t="s">
        <v>192</v>
      </c>
      <c r="B83" s="4" t="s">
        <v>100</v>
      </c>
      <c r="C83" s="4" t="s">
        <v>193</v>
      </c>
      <c r="D83" s="4" t="s">
        <v>13</v>
      </c>
      <c r="E83" s="5">
        <f>IFERROR(__xludf.DUMMYFUNCTION("GOOGLEFINANCE(C83,""price"")"),282.7)</f>
        <v>282.7</v>
      </c>
      <c r="F83" s="5">
        <f>IFERROR(__xludf.DUMMYFUNCTION("GOOGLEFINANCE(C83,""change"")"),1.65)</f>
        <v>1.65</v>
      </c>
      <c r="G83" s="6">
        <f>IFERROR(__xludf.DUMMYFUNCTION("GOOGLEFINANCE(C83, ""changepct"")/100"),0.0059)</f>
        <v>0.0059</v>
      </c>
      <c r="H83" s="5">
        <f>IFERROR(__xludf.DUMMYFUNCTION("GOOGLEFINANCE(C83, ""marketcap"")"),5.9638253225E10)</f>
        <v>59638253225</v>
      </c>
    </row>
    <row r="84">
      <c r="A84" s="4" t="s">
        <v>194</v>
      </c>
      <c r="B84" s="4" t="s">
        <v>11</v>
      </c>
      <c r="C84" s="4" t="s">
        <v>195</v>
      </c>
      <c r="D84" s="4" t="s">
        <v>22</v>
      </c>
      <c r="E84" s="5">
        <f>IFERROR(__xludf.DUMMYFUNCTION("GOOGLEFINANCE(C84,""price"")"),3615.95)</f>
        <v>3615.95</v>
      </c>
      <c r="F84" s="5">
        <f>IFERROR(__xludf.DUMMYFUNCTION("GOOGLEFINANCE(C84,""change"")"),24.7)</f>
        <v>24.7</v>
      </c>
      <c r="G84" s="6">
        <f>IFERROR(__xludf.DUMMYFUNCTION("GOOGLEFINANCE(C84, ""changepct"")/100"),0.0069)</f>
        <v>0.0069</v>
      </c>
      <c r="H84" s="5">
        <f>IFERROR(__xludf.DUMMYFUNCTION("GOOGLEFINANCE(C84, ""marketcap"")"),8.70967356028E11)</f>
        <v>870967356028</v>
      </c>
    </row>
    <row r="85">
      <c r="A85" s="4" t="s">
        <v>196</v>
      </c>
      <c r="B85" s="4" t="s">
        <v>57</v>
      </c>
      <c r="C85" s="4" t="s">
        <v>197</v>
      </c>
      <c r="D85" s="4" t="s">
        <v>13</v>
      </c>
      <c r="E85" s="5">
        <f>IFERROR(__xludf.DUMMYFUNCTION("GOOGLEFINANCE(C85,""price"")"),163.65)</f>
        <v>163.65</v>
      </c>
      <c r="F85" s="5">
        <f>IFERROR(__xludf.DUMMYFUNCTION("GOOGLEFINANCE(C85,""change"")"),2.3)</f>
        <v>2.3</v>
      </c>
      <c r="G85" s="6">
        <f>IFERROR(__xludf.DUMMYFUNCTION("GOOGLEFINANCE(C85, ""changepct"")/100"),0.0143)</f>
        <v>0.0143</v>
      </c>
      <c r="H85" s="5">
        <f>IFERROR(__xludf.DUMMYFUNCTION("GOOGLEFINANCE(C85, ""marketcap"")"),6.2693759351E10)</f>
        <v>62693759351</v>
      </c>
    </row>
    <row r="86">
      <c r="A86" s="4" t="s">
        <v>198</v>
      </c>
      <c r="B86" s="4" t="s">
        <v>11</v>
      </c>
      <c r="C86" s="4" t="s">
        <v>199</v>
      </c>
      <c r="D86" s="4" t="s">
        <v>13</v>
      </c>
      <c r="E86" s="5">
        <f>IFERROR(__xludf.DUMMYFUNCTION("GOOGLEFINANCE(C86,""price"")"),346.8)</f>
        <v>346.8</v>
      </c>
      <c r="F86" s="5">
        <f>IFERROR(__xludf.DUMMYFUNCTION("GOOGLEFINANCE(C86,""change"")"),-2.35)</f>
        <v>-2.35</v>
      </c>
      <c r="G86" s="6">
        <f>IFERROR(__xludf.DUMMYFUNCTION("GOOGLEFINANCE(C86, ""changepct"")/100"),-0.0067)</f>
        <v>-0.0067</v>
      </c>
      <c r="H86" s="5">
        <f>IFERROR(__xludf.DUMMYFUNCTION("GOOGLEFINANCE(C86, ""marketcap"")"),4.6167331071E10)</f>
        <v>46167331071</v>
      </c>
    </row>
    <row r="87">
      <c r="A87" s="4" t="s">
        <v>200</v>
      </c>
      <c r="B87" s="4" t="s">
        <v>44</v>
      </c>
      <c r="C87" s="4" t="s">
        <v>201</v>
      </c>
      <c r="D87" s="4" t="s">
        <v>13</v>
      </c>
      <c r="E87" s="5">
        <f>IFERROR(__xludf.DUMMYFUNCTION("GOOGLEFINANCE(C87,""price"")"),783.3)</f>
        <v>783.3</v>
      </c>
      <c r="F87" s="5">
        <f>IFERROR(__xludf.DUMMYFUNCTION("GOOGLEFINANCE(C87,""change"")"),16.15)</f>
        <v>16.15</v>
      </c>
      <c r="G87" s="6">
        <f>IFERROR(__xludf.DUMMYFUNCTION("GOOGLEFINANCE(C87, ""changepct"")/100"),0.021099999999999997)</f>
        <v>0.0211</v>
      </c>
      <c r="H87" s="5">
        <f>IFERROR(__xludf.DUMMYFUNCTION("GOOGLEFINANCE(C87, ""marketcap"")"),1.037258525E11)</f>
        <v>103725852500</v>
      </c>
    </row>
    <row r="88">
      <c r="A88" s="4" t="s">
        <v>202</v>
      </c>
      <c r="B88" s="4" t="s">
        <v>29</v>
      </c>
      <c r="C88" s="4" t="s">
        <v>203</v>
      </c>
      <c r="D88" s="4" t="s">
        <v>13</v>
      </c>
      <c r="E88" s="5">
        <f>IFERROR(__xludf.DUMMYFUNCTION("GOOGLEFINANCE(C88,""price"")"),2452.0)</f>
        <v>2452</v>
      </c>
      <c r="F88" s="5">
        <f>IFERROR(__xludf.DUMMYFUNCTION("GOOGLEFINANCE(C88,""change"")"),76.0)</f>
        <v>76</v>
      </c>
      <c r="G88" s="6">
        <f>IFERROR(__xludf.DUMMYFUNCTION("GOOGLEFINANCE(C88, ""changepct"")/100"),0.032)</f>
        <v>0.032</v>
      </c>
      <c r="H88" s="5">
        <f>IFERROR(__xludf.DUMMYFUNCTION("GOOGLEFINANCE(C88, ""marketcap"")"),1.7837186792E11)</f>
        <v>178371867920</v>
      </c>
    </row>
    <row r="89">
      <c r="A89" s="4" t="s">
        <v>204</v>
      </c>
      <c r="B89" s="4" t="s">
        <v>29</v>
      </c>
      <c r="C89" s="4" t="s">
        <v>205</v>
      </c>
      <c r="D89" s="4" t="s">
        <v>13</v>
      </c>
      <c r="E89" s="5">
        <f>IFERROR(__xludf.DUMMYFUNCTION("GOOGLEFINANCE(C89,""price"")"),332.25)</f>
        <v>332.25</v>
      </c>
      <c r="F89" s="5">
        <f>IFERROR(__xludf.DUMMYFUNCTION("GOOGLEFINANCE(C89,""change"")"),-0.95)</f>
        <v>-0.95</v>
      </c>
      <c r="G89" s="6">
        <f>IFERROR(__xludf.DUMMYFUNCTION("GOOGLEFINANCE(C89, ""changepct"")/100"),-0.0029)</f>
        <v>-0.0029</v>
      </c>
      <c r="H89" s="5">
        <f>IFERROR(__xludf.DUMMYFUNCTION("GOOGLEFINANCE(C89, ""marketcap"")"),5.7658665E10)</f>
        <v>57658665000</v>
      </c>
    </row>
    <row r="90">
      <c r="A90" s="4" t="s">
        <v>206</v>
      </c>
      <c r="B90" s="4" t="s">
        <v>32</v>
      </c>
      <c r="C90" s="4" t="s">
        <v>207</v>
      </c>
      <c r="D90" s="4" t="s">
        <v>22</v>
      </c>
      <c r="E90" s="5">
        <f>IFERROR(__xludf.DUMMYFUNCTION("GOOGLEFINANCE(C90,""price"")"),650.05)</f>
        <v>650.05</v>
      </c>
      <c r="F90" s="5">
        <f>IFERROR(__xludf.DUMMYFUNCTION("GOOGLEFINANCE(C90,""change"")"),-5.35)</f>
        <v>-5.35</v>
      </c>
      <c r="G90" s="6">
        <f>IFERROR(__xludf.DUMMYFUNCTION("GOOGLEFINANCE(C90, ""changepct"")/100"),-0.008199999999999999)</f>
        <v>-0.0082</v>
      </c>
      <c r="H90" s="5">
        <f>IFERROR(__xludf.DUMMYFUNCTION("GOOGLEFINANCE(C90, ""marketcap"")"),6.66097757293E11)</f>
        <v>666097757293</v>
      </c>
    </row>
    <row r="91">
      <c r="A91" s="4" t="s">
        <v>208</v>
      </c>
      <c r="B91" s="4" t="s">
        <v>29</v>
      </c>
      <c r="C91" s="4" t="s">
        <v>209</v>
      </c>
      <c r="D91" s="4" t="s">
        <v>13</v>
      </c>
      <c r="E91" s="5">
        <f>IFERROR(__xludf.DUMMYFUNCTION("GOOGLEFINANCE(C91,""price"")"),529.0)</f>
        <v>529</v>
      </c>
      <c r="F91" s="5">
        <f>IFERROR(__xludf.DUMMYFUNCTION("GOOGLEFINANCE(C91,""change"")"),6.65)</f>
        <v>6.65</v>
      </c>
      <c r="G91" s="6">
        <f>IFERROR(__xludf.DUMMYFUNCTION("GOOGLEFINANCE(C91, ""changepct"")/100"),0.0127)</f>
        <v>0.0127</v>
      </c>
      <c r="H91" s="5">
        <f>IFERROR(__xludf.DUMMYFUNCTION("GOOGLEFINANCE(C91, ""marketcap"")"),7.04385189E10)</f>
        <v>70438518900</v>
      </c>
    </row>
    <row r="92">
      <c r="A92" s="4" t="s">
        <v>210</v>
      </c>
      <c r="B92" s="4" t="s">
        <v>29</v>
      </c>
      <c r="C92" s="4" t="s">
        <v>211</v>
      </c>
      <c r="D92" s="4" t="s">
        <v>22</v>
      </c>
      <c r="E92" s="5">
        <f>IFERROR(__xludf.DUMMYFUNCTION("GOOGLEFINANCE(C92,""price"")"),155.0)</f>
        <v>155</v>
      </c>
      <c r="F92" s="5">
        <f>IFERROR(__xludf.DUMMYFUNCTION("GOOGLEFINANCE(C92,""change"")"),0.25)</f>
        <v>0.25</v>
      </c>
      <c r="G92" s="6">
        <f>IFERROR(__xludf.DUMMYFUNCTION("GOOGLEFINANCE(C92, ""changepct"")/100"),0.0016)</f>
        <v>0.0016</v>
      </c>
      <c r="H92" s="5">
        <f>IFERROR(__xludf.DUMMYFUNCTION("GOOGLEFINANCE(C92, ""marketcap"")"),2.55079706149E11)</f>
        <v>255079706149</v>
      </c>
    </row>
    <row r="93">
      <c r="A93" s="4" t="s">
        <v>212</v>
      </c>
      <c r="B93" s="4" t="s">
        <v>32</v>
      </c>
      <c r="C93" s="4" t="s">
        <v>213</v>
      </c>
      <c r="D93" s="4" t="s">
        <v>13</v>
      </c>
      <c r="E93" s="5">
        <f>IFERROR(__xludf.DUMMYFUNCTION("GOOGLEFINANCE(C93,""price"")"),684.0)</f>
        <v>684</v>
      </c>
      <c r="F93" s="5">
        <f>IFERROR(__xludf.DUMMYFUNCTION("GOOGLEFINANCE(C93,""change"")"),9.45)</f>
        <v>9.45</v>
      </c>
      <c r="G93" s="6">
        <f>IFERROR(__xludf.DUMMYFUNCTION("GOOGLEFINANCE(C93, ""changepct"")/100"),0.013999999999999999)</f>
        <v>0.014</v>
      </c>
      <c r="H93" s="5">
        <f>IFERROR(__xludf.DUMMYFUNCTION("GOOGLEFINANCE(C93, ""marketcap"")"),5.1785017957E10)</f>
        <v>51785017957</v>
      </c>
    </row>
    <row r="94">
      <c r="A94" s="4" t="s">
        <v>214</v>
      </c>
      <c r="B94" s="4" t="s">
        <v>29</v>
      </c>
      <c r="C94" s="4" t="s">
        <v>215</v>
      </c>
      <c r="D94" s="4" t="s">
        <v>13</v>
      </c>
      <c r="E94" s="5">
        <f>IFERROR(__xludf.DUMMYFUNCTION("GOOGLEFINANCE(C94,""price"")"),529.0)</f>
        <v>529</v>
      </c>
      <c r="F94" s="5">
        <f>IFERROR(__xludf.DUMMYFUNCTION("GOOGLEFINANCE(C94,""change"")"),-1.75)</f>
        <v>-1.75</v>
      </c>
      <c r="G94" s="6">
        <f>IFERROR(__xludf.DUMMYFUNCTION("GOOGLEFINANCE(C94, ""changepct"")/100"),-0.0033)</f>
        <v>-0.0033</v>
      </c>
      <c r="H94" s="5">
        <f>IFERROR(__xludf.DUMMYFUNCTION("GOOGLEFINANCE(C94, ""marketcap"")"),9.27259237E10)</f>
        <v>92725923700</v>
      </c>
    </row>
    <row r="95">
      <c r="A95" s="4" t="s">
        <v>216</v>
      </c>
      <c r="B95" s="4" t="s">
        <v>15</v>
      </c>
      <c r="C95" s="4" t="s">
        <v>217</v>
      </c>
      <c r="D95" s="4" t="s">
        <v>13</v>
      </c>
      <c r="E95" s="5">
        <f>IFERROR(__xludf.DUMMYFUNCTION("GOOGLEFINANCE(C95,""price"")"),574.3)</f>
        <v>574.3</v>
      </c>
      <c r="F95" s="5">
        <f>IFERROR(__xludf.DUMMYFUNCTION("GOOGLEFINANCE(C95,""change"")"),4.25)</f>
        <v>4.25</v>
      </c>
      <c r="G95" s="6">
        <f>IFERROR(__xludf.DUMMYFUNCTION("GOOGLEFINANCE(C95, ""changepct"")/100"),0.0075)</f>
        <v>0.0075</v>
      </c>
      <c r="H95" s="5">
        <f>IFERROR(__xludf.DUMMYFUNCTION("GOOGLEFINANCE(C95, ""marketcap"")"),1.08893996995E11)</f>
        <v>108893996995</v>
      </c>
    </row>
    <row r="96">
      <c r="A96" s="4" t="s">
        <v>218</v>
      </c>
      <c r="B96" s="4" t="s">
        <v>50</v>
      </c>
      <c r="C96" s="4" t="s">
        <v>219</v>
      </c>
      <c r="D96" s="4" t="s">
        <v>13</v>
      </c>
      <c r="E96" s="5">
        <f>IFERROR(__xludf.DUMMYFUNCTION("GOOGLEFINANCE(C96,""price"")"),149.25)</f>
        <v>149.25</v>
      </c>
      <c r="F96" s="5">
        <f>IFERROR(__xludf.DUMMYFUNCTION("GOOGLEFINANCE(C96,""change"")"),-0.55)</f>
        <v>-0.55</v>
      </c>
      <c r="G96" s="6">
        <f>IFERROR(__xludf.DUMMYFUNCTION("GOOGLEFINANCE(C96, ""changepct"")/100"),-0.0037)</f>
        <v>-0.0037</v>
      </c>
      <c r="H96" s="5">
        <f>IFERROR(__xludf.DUMMYFUNCTION("GOOGLEFINANCE(C96, ""marketcap"")"),1.476265182E11)</f>
        <v>147626518200</v>
      </c>
    </row>
    <row r="97">
      <c r="A97" s="4" t="s">
        <v>220</v>
      </c>
      <c r="B97" s="4" t="s">
        <v>82</v>
      </c>
      <c r="C97" s="4" t="s">
        <v>221</v>
      </c>
      <c r="D97" s="4" t="s">
        <v>13</v>
      </c>
      <c r="E97" s="5">
        <f>IFERROR(__xludf.DUMMYFUNCTION("GOOGLEFINANCE(C97,""price"")"),1365.8)</f>
        <v>1365.8</v>
      </c>
      <c r="F97" s="5">
        <f>IFERROR(__xludf.DUMMYFUNCTION("GOOGLEFINANCE(C97,""change"")"),2.0)</f>
        <v>2</v>
      </c>
      <c r="G97" s="6">
        <f>IFERROR(__xludf.DUMMYFUNCTION("GOOGLEFINANCE(C97, ""changepct"")/100"),0.0015)</f>
        <v>0.0015</v>
      </c>
      <c r="H97" s="5">
        <f>IFERROR(__xludf.DUMMYFUNCTION("GOOGLEFINANCE(C97, ""marketcap"")"),5.5246734897E10)</f>
        <v>55246734897</v>
      </c>
    </row>
    <row r="98">
      <c r="A98" s="4" t="s">
        <v>222</v>
      </c>
      <c r="B98" s="4" t="s">
        <v>29</v>
      </c>
      <c r="C98" s="4" t="s">
        <v>223</v>
      </c>
      <c r="D98" s="4" t="s">
        <v>13</v>
      </c>
      <c r="E98" s="5">
        <f>IFERROR(__xludf.DUMMYFUNCTION("GOOGLEFINANCE(C98,""price"")"),20.85)</f>
        <v>20.85</v>
      </c>
      <c r="F98" s="5">
        <f>IFERROR(__xludf.DUMMYFUNCTION("GOOGLEFINANCE(C98,""change"")"),0.1)</f>
        <v>0.1</v>
      </c>
      <c r="G98" s="6">
        <f>IFERROR(__xludf.DUMMYFUNCTION("GOOGLEFINANCE(C98, ""changepct"")/100"),0.0048)</f>
        <v>0.0048</v>
      </c>
      <c r="H98" s="5">
        <f>IFERROR(__xludf.DUMMYFUNCTION("GOOGLEFINANCE(C98, ""marketcap"")"),1.80563566176E11)</f>
        <v>180563566176</v>
      </c>
    </row>
    <row r="99">
      <c r="A99" s="4" t="s">
        <v>224</v>
      </c>
      <c r="B99" s="4" t="s">
        <v>29</v>
      </c>
      <c r="C99" s="4" t="s">
        <v>225</v>
      </c>
      <c r="D99" s="4" t="s">
        <v>13</v>
      </c>
      <c r="E99" s="5">
        <f>IFERROR(__xludf.DUMMYFUNCTION("GOOGLEFINANCE(C99,""price"")"),1019.5)</f>
        <v>1019.5</v>
      </c>
      <c r="F99" s="5">
        <f>IFERROR(__xludf.DUMMYFUNCTION("GOOGLEFINANCE(C99,""change"")"),33.55)</f>
        <v>33.55</v>
      </c>
      <c r="G99" s="6">
        <f>IFERROR(__xludf.DUMMYFUNCTION("GOOGLEFINANCE(C99, ""changepct"")/100"),0.034)</f>
        <v>0.034</v>
      </c>
      <c r="H99" s="5">
        <f>IFERROR(__xludf.DUMMYFUNCTION("GOOGLEFINANCE(C99, ""marketcap"")"),1.0658467428E11)</f>
        <v>106584674280</v>
      </c>
    </row>
    <row r="100">
      <c r="A100" s="4" t="s">
        <v>226</v>
      </c>
      <c r="B100" s="4" t="s">
        <v>11</v>
      </c>
      <c r="C100" s="4" t="s">
        <v>227</v>
      </c>
      <c r="D100" s="4" t="s">
        <v>13</v>
      </c>
      <c r="E100" s="5">
        <f>IFERROR(__xludf.DUMMYFUNCTION("GOOGLEFINANCE(C100,""price"")"),421.1)</f>
        <v>421.1</v>
      </c>
      <c r="F100" s="5">
        <f>IFERROR(__xludf.DUMMYFUNCTION("GOOGLEFINANCE(C100,""change"")"),7.1)</f>
        <v>7.1</v>
      </c>
      <c r="G100" s="6">
        <f>IFERROR(__xludf.DUMMYFUNCTION("GOOGLEFINANCE(C100, ""changepct"")/100"),0.0171)</f>
        <v>0.0171</v>
      </c>
      <c r="H100" s="5">
        <f>IFERROR(__xludf.DUMMYFUNCTION("GOOGLEFINANCE(C100, ""marketcap"")"),9.3579228192E10)</f>
        <v>93579228192</v>
      </c>
    </row>
    <row r="101">
      <c r="A101" s="4" t="s">
        <v>228</v>
      </c>
      <c r="B101" s="4" t="s">
        <v>229</v>
      </c>
      <c r="C101" s="4" t="s">
        <v>230</v>
      </c>
      <c r="D101" s="4" t="s">
        <v>13</v>
      </c>
      <c r="E101" s="5">
        <f>IFERROR(__xludf.DUMMYFUNCTION("GOOGLEFINANCE(C101,""price"")"),583.65)</f>
        <v>583.65</v>
      </c>
      <c r="F101" s="5">
        <f>IFERROR(__xludf.DUMMYFUNCTION("GOOGLEFINANCE(C101,""change"")"),14.0)</f>
        <v>14</v>
      </c>
      <c r="G101" s="6">
        <f>IFERROR(__xludf.DUMMYFUNCTION("GOOGLEFINANCE(C101, ""changepct"")/100"),0.0246)</f>
        <v>0.0246</v>
      </c>
      <c r="H101" s="5">
        <f>IFERROR(__xludf.DUMMYFUNCTION("GOOGLEFINANCE(C101, ""marketcap"")"),6.5187812861E10)</f>
        <v>65187812861</v>
      </c>
    </row>
    <row r="102">
      <c r="A102" s="4" t="s">
        <v>231</v>
      </c>
      <c r="B102" s="4" t="s">
        <v>11</v>
      </c>
      <c r="C102" s="4" t="s">
        <v>232</v>
      </c>
      <c r="D102" s="4" t="s">
        <v>13</v>
      </c>
      <c r="E102" s="5">
        <f>IFERROR(__xludf.DUMMYFUNCTION("GOOGLEFINANCE(C102,""price"")"),4413.95)</f>
        <v>4413.95</v>
      </c>
      <c r="F102" s="5">
        <f>IFERROR(__xludf.DUMMYFUNCTION("GOOGLEFINANCE(C102,""change"")"),37.15)</f>
        <v>37.15</v>
      </c>
      <c r="G102" s="6">
        <f>IFERROR(__xludf.DUMMYFUNCTION("GOOGLEFINANCE(C102, ""changepct"")/100"),0.0085)</f>
        <v>0.0085</v>
      </c>
      <c r="H102" s="5">
        <f>IFERROR(__xludf.DUMMYFUNCTION("GOOGLEFINANCE(C102, ""marketcap"")"),5.7312909578E10)</f>
        <v>57312909578</v>
      </c>
    </row>
    <row r="103">
      <c r="A103" s="4" t="s">
        <v>233</v>
      </c>
      <c r="B103" s="4" t="s">
        <v>57</v>
      </c>
      <c r="C103" s="4" t="s">
        <v>234</v>
      </c>
      <c r="D103" s="4" t="s">
        <v>13</v>
      </c>
      <c r="E103" s="5">
        <f>IFERROR(__xludf.DUMMYFUNCTION("GOOGLEFINANCE(C103,""price"")"),186.25)</f>
        <v>186.25</v>
      </c>
      <c r="F103" s="5">
        <f>IFERROR(__xludf.DUMMYFUNCTION("GOOGLEFINANCE(C103,""change"")"),6.25)</f>
        <v>6.25</v>
      </c>
      <c r="G103" s="6">
        <f>IFERROR(__xludf.DUMMYFUNCTION("GOOGLEFINANCE(C103, ""changepct"")/100"),0.0347)</f>
        <v>0.0347</v>
      </c>
      <c r="H103" s="5">
        <f>IFERROR(__xludf.DUMMYFUNCTION("GOOGLEFINANCE(C103, ""marketcap"")"),3.818568275E10)</f>
        <v>38185682750</v>
      </c>
    </row>
    <row r="104">
      <c r="A104" s="4" t="s">
        <v>235</v>
      </c>
      <c r="B104" s="4" t="s">
        <v>157</v>
      </c>
      <c r="C104" s="4" t="s">
        <v>236</v>
      </c>
      <c r="D104" s="4" t="s">
        <v>13</v>
      </c>
      <c r="E104" s="5">
        <f>IFERROR(__xludf.DUMMYFUNCTION("GOOGLEFINANCE(C104,""price"")"),288.85)</f>
        <v>288.85</v>
      </c>
      <c r="F104" s="5">
        <f>IFERROR(__xludf.DUMMYFUNCTION("GOOGLEFINANCE(C104,""change"")"),4.9)</f>
        <v>4.9</v>
      </c>
      <c r="G104" s="6">
        <f>IFERROR(__xludf.DUMMYFUNCTION("GOOGLEFINANCE(C104, ""changepct"")/100"),0.0173)</f>
        <v>0.0173</v>
      </c>
      <c r="H104" s="5">
        <f>IFERROR(__xludf.DUMMYFUNCTION("GOOGLEFINANCE(C104, ""marketcap"")"),1.199482362E11)</f>
        <v>119948236200</v>
      </c>
    </row>
    <row r="105">
      <c r="A105" s="4" t="s">
        <v>237</v>
      </c>
      <c r="B105" s="4" t="s">
        <v>29</v>
      </c>
      <c r="C105" s="4" t="s">
        <v>238</v>
      </c>
      <c r="D105" s="4" t="s">
        <v>13</v>
      </c>
      <c r="E105" s="5">
        <f>IFERROR(__xludf.DUMMYFUNCTION("GOOGLEFINANCE(C105,""price"")"),687.5)</f>
        <v>687.5</v>
      </c>
      <c r="F105" s="5">
        <f>IFERROR(__xludf.DUMMYFUNCTION("GOOGLEFINANCE(C105,""change"")"),11.25)</f>
        <v>11.25</v>
      </c>
      <c r="G105" s="6">
        <f>IFERROR(__xludf.DUMMYFUNCTION("GOOGLEFINANCE(C105, ""changepct"")/100"),0.0166)</f>
        <v>0.0166</v>
      </c>
      <c r="H105" s="5">
        <f>IFERROR(__xludf.DUMMYFUNCTION("GOOGLEFINANCE(C105, ""marketcap"")"),1.29147411096E11)</f>
        <v>129147411096</v>
      </c>
    </row>
    <row r="106">
      <c r="A106" s="4" t="s">
        <v>239</v>
      </c>
      <c r="B106" s="4" t="s">
        <v>29</v>
      </c>
      <c r="C106" s="4" t="s">
        <v>240</v>
      </c>
      <c r="D106" s="4" t="s">
        <v>22</v>
      </c>
      <c r="E106" s="5">
        <f>IFERROR(__xludf.DUMMYFUNCTION("GOOGLEFINANCE(C106,""price"")"),572.25)</f>
        <v>572.25</v>
      </c>
      <c r="F106" s="5">
        <f>IFERROR(__xludf.DUMMYFUNCTION("GOOGLEFINANCE(C106,""change"")"),2.35)</f>
        <v>2.35</v>
      </c>
      <c r="G106" s="6">
        <f>IFERROR(__xludf.DUMMYFUNCTION("GOOGLEFINANCE(C106, ""changepct"")/100"),0.0040999999999999995)</f>
        <v>0.0041</v>
      </c>
      <c r="H106" s="5">
        <f>IFERROR(__xludf.DUMMYFUNCTION("GOOGLEFINANCE(C106, ""marketcap"")"),4.69107254824E11)</f>
        <v>469107254824</v>
      </c>
    </row>
    <row r="107">
      <c r="A107" s="4" t="s">
        <v>241</v>
      </c>
      <c r="B107" s="4" t="s">
        <v>32</v>
      </c>
      <c r="C107" s="4" t="s">
        <v>242</v>
      </c>
      <c r="D107" s="4" t="s">
        <v>22</v>
      </c>
      <c r="E107" s="5">
        <f>IFERROR(__xludf.DUMMYFUNCTION("GOOGLEFINANCE(C107,""price"")"),971.05)</f>
        <v>971.05</v>
      </c>
      <c r="F107" s="5">
        <f>IFERROR(__xludf.DUMMYFUNCTION("GOOGLEFINANCE(C107,""change"")"),-5.1)</f>
        <v>-5.1</v>
      </c>
      <c r="G107" s="6">
        <f>IFERROR(__xludf.DUMMYFUNCTION("GOOGLEFINANCE(C107, ""changepct"")/100"),-0.0052)</f>
        <v>-0.0052</v>
      </c>
      <c r="H107" s="5">
        <f>IFERROR(__xludf.DUMMYFUNCTION("GOOGLEFINANCE(C107, ""marketcap"")"),7.8314530912E11)</f>
        <v>783145309120</v>
      </c>
    </row>
    <row r="108">
      <c r="A108" s="4" t="s">
        <v>243</v>
      </c>
      <c r="B108" s="4" t="s">
        <v>29</v>
      </c>
      <c r="C108" s="4" t="s">
        <v>244</v>
      </c>
      <c r="D108" s="4" t="s">
        <v>22</v>
      </c>
      <c r="E108" s="5">
        <f>IFERROR(__xludf.DUMMYFUNCTION("GOOGLEFINANCE(C108,""price"")"),169.65)</f>
        <v>169.65</v>
      </c>
      <c r="F108" s="5">
        <f>IFERROR(__xludf.DUMMYFUNCTION("GOOGLEFINANCE(C108,""change"")"),-0.2)</f>
        <v>-0.2</v>
      </c>
      <c r="G108" s="6">
        <f>IFERROR(__xludf.DUMMYFUNCTION("GOOGLEFINANCE(C108, ""changepct"")/100"),-0.0012)</f>
        <v>-0.0012</v>
      </c>
      <c r="H108" s="5">
        <f>IFERROR(__xludf.DUMMYFUNCTION("GOOGLEFINANCE(C108, ""marketcap"")"),1.25045640425E11)</f>
        <v>125045640425</v>
      </c>
    </row>
    <row r="109">
      <c r="A109" s="4" t="s">
        <v>245</v>
      </c>
      <c r="B109" s="4" t="s">
        <v>26</v>
      </c>
      <c r="C109" s="4" t="s">
        <v>246</v>
      </c>
      <c r="D109" s="4" t="s">
        <v>22</v>
      </c>
      <c r="E109" s="5">
        <f>IFERROR(__xludf.DUMMYFUNCTION("GOOGLEFINANCE(C109,""price"")"),157.9)</f>
        <v>157.9</v>
      </c>
      <c r="F109" s="5">
        <f>IFERROR(__xludf.DUMMYFUNCTION("GOOGLEFINANCE(C109,""change"")"),-1.45)</f>
        <v>-1.45</v>
      </c>
      <c r="G109" s="6">
        <f>IFERROR(__xludf.DUMMYFUNCTION("GOOGLEFINANCE(C109, ""changepct"")/100"),-0.0091)</f>
        <v>-0.0091</v>
      </c>
      <c r="H109" s="5">
        <f>IFERROR(__xludf.DUMMYFUNCTION("GOOGLEFINANCE(C109, ""marketcap"")"),9.73403026742E11)</f>
        <v>973403026742</v>
      </c>
    </row>
    <row r="110">
      <c r="A110" s="4" t="s">
        <v>247</v>
      </c>
      <c r="B110" s="4" t="s">
        <v>15</v>
      </c>
      <c r="C110" s="4" t="s">
        <v>248</v>
      </c>
      <c r="D110" s="4" t="s">
        <v>13</v>
      </c>
      <c r="E110" s="5">
        <f>IFERROR(__xludf.DUMMYFUNCTION("GOOGLEFINANCE(C110,""price"")"),414.25)</f>
        <v>414.25</v>
      </c>
      <c r="F110" s="5">
        <f>IFERROR(__xludf.DUMMYFUNCTION("GOOGLEFINANCE(C110,""change"")"),-4.05)</f>
        <v>-4.05</v>
      </c>
      <c r="G110" s="6">
        <f>IFERROR(__xludf.DUMMYFUNCTION("GOOGLEFINANCE(C110, ""changepct"")/100"),-0.0097)</f>
        <v>-0.0097</v>
      </c>
      <c r="H110" s="5">
        <f>IFERROR(__xludf.DUMMYFUNCTION("GOOGLEFINANCE(C110, ""marketcap"")"),5.44576842E10)</f>
        <v>54457684200</v>
      </c>
    </row>
    <row r="111">
      <c r="A111" s="4" t="s">
        <v>249</v>
      </c>
      <c r="B111" s="4" t="s">
        <v>64</v>
      </c>
      <c r="C111" s="4" t="s">
        <v>250</v>
      </c>
      <c r="D111" s="4" t="s">
        <v>22</v>
      </c>
      <c r="E111" s="5">
        <f>IFERROR(__xludf.DUMMYFUNCTION("GOOGLEFINANCE(C111,""price"")"),3960.0)</f>
        <v>3960</v>
      </c>
      <c r="F111" s="5">
        <f>IFERROR(__xludf.DUMMYFUNCTION("GOOGLEFINANCE(C111,""change"")"),51.55)</f>
        <v>51.55</v>
      </c>
      <c r="G111" s="6">
        <f>IFERROR(__xludf.DUMMYFUNCTION("GOOGLEFINANCE(C111, ""changepct"")/100"),0.0132)</f>
        <v>0.0132</v>
      </c>
      <c r="H111" s="5">
        <f>IFERROR(__xludf.DUMMYFUNCTION("GOOGLEFINANCE(C111, ""marketcap"")"),2.40242562948E11)</f>
        <v>240242562948</v>
      </c>
    </row>
    <row r="112">
      <c r="A112" s="4" t="s">
        <v>251</v>
      </c>
      <c r="B112" s="4" t="s">
        <v>11</v>
      </c>
      <c r="C112" s="4" t="s">
        <v>252</v>
      </c>
      <c r="D112" s="4" t="s">
        <v>22</v>
      </c>
      <c r="E112" s="5">
        <f>IFERROR(__xludf.DUMMYFUNCTION("GOOGLEFINANCE(C112,""price"")"),1714.4)</f>
        <v>1714.4</v>
      </c>
      <c r="F112" s="5">
        <f>IFERROR(__xludf.DUMMYFUNCTION("GOOGLEFINANCE(C112,""change"")"),24.35)</f>
        <v>24.35</v>
      </c>
      <c r="G112" s="6">
        <f>IFERROR(__xludf.DUMMYFUNCTION("GOOGLEFINANCE(C112, ""changepct"")/100"),0.0144)</f>
        <v>0.0144</v>
      </c>
      <c r="H112" s="5">
        <f>IFERROR(__xludf.DUMMYFUNCTION("GOOGLEFINANCE(C112, ""marketcap"")"),4.6626492736E11)</f>
        <v>466264927360</v>
      </c>
    </row>
    <row r="113">
      <c r="A113" s="4" t="s">
        <v>253</v>
      </c>
      <c r="B113" s="4" t="s">
        <v>29</v>
      </c>
      <c r="C113" s="4" t="s">
        <v>254</v>
      </c>
      <c r="D113" s="4" t="s">
        <v>13</v>
      </c>
      <c r="E113" s="5">
        <f>IFERROR(__xludf.DUMMYFUNCTION("GOOGLEFINANCE(C113,""price"")"),2859.85)</f>
        <v>2859.85</v>
      </c>
      <c r="F113" s="5">
        <f>IFERROR(__xludf.DUMMYFUNCTION("GOOGLEFINANCE(C113,""change"")"),16.15)</f>
        <v>16.15</v>
      </c>
      <c r="G113" s="6">
        <f>IFERROR(__xludf.DUMMYFUNCTION("GOOGLEFINANCE(C113, ""changepct"")/100"),0.005699999999999999)</f>
        <v>0.0057</v>
      </c>
      <c r="H113" s="5">
        <f>IFERROR(__xludf.DUMMYFUNCTION("GOOGLEFINANCE(C113, ""marketcap"")"),1.396058664E11)</f>
        <v>139605866400</v>
      </c>
    </row>
    <row r="114">
      <c r="A114" s="4" t="s">
        <v>255</v>
      </c>
      <c r="B114" s="4" t="s">
        <v>47</v>
      </c>
      <c r="C114" s="4" t="s">
        <v>256</v>
      </c>
      <c r="D114" s="4" t="s">
        <v>22</v>
      </c>
      <c r="E114" s="5">
        <f>IFERROR(__xludf.DUMMYFUNCTION("GOOGLEFINANCE(C114,""price"")"),686.7)</f>
        <v>686.7</v>
      </c>
      <c r="F114" s="5">
        <f>IFERROR(__xludf.DUMMYFUNCTION("GOOGLEFINANCE(C114,""change"")"),5.6)</f>
        <v>5.6</v>
      </c>
      <c r="G114" s="6">
        <f>IFERROR(__xludf.DUMMYFUNCTION("GOOGLEFINANCE(C114, ""changepct"")/100"),0.008199999999999999)</f>
        <v>0.0082</v>
      </c>
      <c r="H114" s="5">
        <f>IFERROR(__xludf.DUMMYFUNCTION("GOOGLEFINANCE(C114, ""marketcap"")"),4.18371913767E11)</f>
        <v>418371913767</v>
      </c>
    </row>
    <row r="115">
      <c r="A115" s="4" t="s">
        <v>257</v>
      </c>
      <c r="B115" s="4" t="s">
        <v>157</v>
      </c>
      <c r="C115" s="4" t="s">
        <v>258</v>
      </c>
      <c r="D115" s="4" t="s">
        <v>13</v>
      </c>
      <c r="E115" s="5">
        <f>IFERROR(__xludf.DUMMYFUNCTION("GOOGLEFINANCE(C115,""price"")"),849.05)</f>
        <v>849.05</v>
      </c>
      <c r="F115" s="5">
        <f>IFERROR(__xludf.DUMMYFUNCTION("GOOGLEFINANCE(C115,""change"")"),7.25)</f>
        <v>7.25</v>
      </c>
      <c r="G115" s="6">
        <f>IFERROR(__xludf.DUMMYFUNCTION("GOOGLEFINANCE(C115, ""changepct"")/100"),0.0086)</f>
        <v>0.0086</v>
      </c>
      <c r="H115" s="5">
        <f>IFERROR(__xludf.DUMMYFUNCTION("GOOGLEFINANCE(C115, ""marketcap"")"),2.49371895E11)</f>
        <v>249371895000</v>
      </c>
    </row>
    <row r="116">
      <c r="A116" s="4" t="s">
        <v>259</v>
      </c>
      <c r="B116" s="4" t="s">
        <v>29</v>
      </c>
      <c r="C116" s="4" t="s">
        <v>260</v>
      </c>
      <c r="D116" s="4" t="s">
        <v>13</v>
      </c>
      <c r="E116" s="5">
        <f>IFERROR(__xludf.DUMMYFUNCTION("GOOGLEFINANCE(C116,""price"")"),756.3)</f>
        <v>756.3</v>
      </c>
      <c r="F116" s="5">
        <f>IFERROR(__xludf.DUMMYFUNCTION("GOOGLEFINANCE(C116,""change"")"),39.45)</f>
        <v>39.45</v>
      </c>
      <c r="G116" s="6">
        <f>IFERROR(__xludf.DUMMYFUNCTION("GOOGLEFINANCE(C116, ""changepct"")/100"),0.055)</f>
        <v>0.055</v>
      </c>
      <c r="H116" s="5">
        <f>IFERROR(__xludf.DUMMYFUNCTION("GOOGLEFINANCE(C116, ""marketcap"")"),1.1768700917E11)</f>
        <v>117687009170</v>
      </c>
    </row>
    <row r="117">
      <c r="A117" s="4" t="s">
        <v>261</v>
      </c>
      <c r="B117" s="4" t="s">
        <v>11</v>
      </c>
      <c r="C117" s="4" t="s">
        <v>262</v>
      </c>
      <c r="D117" s="4" t="s">
        <v>13</v>
      </c>
      <c r="E117" s="5">
        <f>IFERROR(__xludf.DUMMYFUNCTION("GOOGLEFINANCE(C117,""price"")"),423.5)</f>
        <v>423.5</v>
      </c>
      <c r="F117" s="5">
        <f>IFERROR(__xludf.DUMMYFUNCTION("GOOGLEFINANCE(C117,""change"")"),2.15)</f>
        <v>2.15</v>
      </c>
      <c r="G117" s="6">
        <f>IFERROR(__xludf.DUMMYFUNCTION("GOOGLEFINANCE(C117, ""changepct"")/100"),0.0051)</f>
        <v>0.0051</v>
      </c>
      <c r="H117" s="5">
        <f>IFERROR(__xludf.DUMMYFUNCTION("GOOGLEFINANCE(C117, ""marketcap"")"),2.6585250615E11)</f>
        <v>265852506150</v>
      </c>
    </row>
    <row r="118">
      <c r="A118" s="4" t="s">
        <v>263</v>
      </c>
      <c r="B118" s="4" t="s">
        <v>15</v>
      </c>
      <c r="C118" s="4" t="s">
        <v>264</v>
      </c>
      <c r="D118" s="4" t="s">
        <v>22</v>
      </c>
      <c r="E118" s="5">
        <f>IFERROR(__xludf.DUMMYFUNCTION("GOOGLEFINANCE(C118,""price"")"),844.0)</f>
        <v>844</v>
      </c>
      <c r="F118" s="5">
        <f>IFERROR(__xludf.DUMMYFUNCTION("GOOGLEFINANCE(C118,""change"")"),14.1)</f>
        <v>14.1</v>
      </c>
      <c r="G118" s="6">
        <f>IFERROR(__xludf.DUMMYFUNCTION("GOOGLEFINANCE(C118, ""changepct"")/100"),0.017)</f>
        <v>0.017</v>
      </c>
      <c r="H118" s="5">
        <f>IFERROR(__xludf.DUMMYFUNCTION("GOOGLEFINANCE(C118, ""marketcap"")"),2.33915128847E11)</f>
        <v>233915128847</v>
      </c>
    </row>
    <row r="119">
      <c r="A119" s="4" t="s">
        <v>265</v>
      </c>
      <c r="B119" s="4" t="s">
        <v>64</v>
      </c>
      <c r="C119" s="4" t="s">
        <v>266</v>
      </c>
      <c r="D119" s="4" t="s">
        <v>13</v>
      </c>
      <c r="E119" s="5">
        <f>IFERROR(__xludf.DUMMYFUNCTION("GOOGLEFINANCE(C119,""price"")"),825.4)</f>
        <v>825.4</v>
      </c>
      <c r="F119" s="5">
        <f>IFERROR(__xludf.DUMMYFUNCTION("GOOGLEFINANCE(C119,""change"")"),5.85)</f>
        <v>5.85</v>
      </c>
      <c r="G119" s="6">
        <f>IFERROR(__xludf.DUMMYFUNCTION("GOOGLEFINANCE(C119, ""changepct"")/100"),0.0070999999999999995)</f>
        <v>0.0071</v>
      </c>
      <c r="H119" s="5">
        <f>IFERROR(__xludf.DUMMYFUNCTION("GOOGLEFINANCE(C119, ""marketcap"")"),9.0829742506E10)</f>
        <v>90829742506</v>
      </c>
    </row>
    <row r="120">
      <c r="A120" s="4" t="s">
        <v>267</v>
      </c>
      <c r="B120" s="4" t="s">
        <v>29</v>
      </c>
      <c r="C120" s="4" t="s">
        <v>268</v>
      </c>
      <c r="D120" s="4" t="s">
        <v>13</v>
      </c>
      <c r="E120" s="5">
        <f>IFERROR(__xludf.DUMMYFUNCTION("GOOGLEFINANCE(C120,""price"")"),113.1)</f>
        <v>113.1</v>
      </c>
      <c r="F120" s="5">
        <f>IFERROR(__xludf.DUMMYFUNCTION("GOOGLEFINANCE(C120,""change"")"),1.75)</f>
        <v>1.75</v>
      </c>
      <c r="G120" s="6">
        <f>IFERROR(__xludf.DUMMYFUNCTION("GOOGLEFINANCE(C120, ""changepct"")/100"),0.015700000000000002)</f>
        <v>0.0157</v>
      </c>
      <c r="H120" s="5">
        <f>IFERROR(__xludf.DUMMYFUNCTION("GOOGLEFINANCE(C120, ""marketcap"")"),3.5141696375E10)</f>
        <v>35141696375</v>
      </c>
    </row>
    <row r="121">
      <c r="A121" s="4" t="s">
        <v>269</v>
      </c>
      <c r="B121" s="4" t="s">
        <v>11</v>
      </c>
      <c r="C121" s="4" t="s">
        <v>270</v>
      </c>
      <c r="D121" s="4" t="s">
        <v>13</v>
      </c>
      <c r="E121" s="5">
        <f>IFERROR(__xludf.DUMMYFUNCTION("GOOGLEFINANCE(C121,""price"")"),761.2)</f>
        <v>761.2</v>
      </c>
      <c r="F121" s="5">
        <f>IFERROR(__xludf.DUMMYFUNCTION("GOOGLEFINANCE(C121,""change"")"),11.75)</f>
        <v>11.75</v>
      </c>
      <c r="G121" s="6">
        <f>IFERROR(__xludf.DUMMYFUNCTION("GOOGLEFINANCE(C121, ""changepct"")/100"),0.015700000000000002)</f>
        <v>0.0157</v>
      </c>
      <c r="H121" s="5">
        <f>IFERROR(__xludf.DUMMYFUNCTION("GOOGLEFINANCE(C121, ""marketcap"")"),1.17471128696E11)</f>
        <v>117471128696</v>
      </c>
    </row>
    <row r="122">
      <c r="A122" s="4" t="s">
        <v>271</v>
      </c>
      <c r="B122" s="4" t="s">
        <v>100</v>
      </c>
      <c r="C122" s="4" t="s">
        <v>272</v>
      </c>
      <c r="D122" s="4" t="s">
        <v>22</v>
      </c>
      <c r="E122" s="5">
        <f>IFERROR(__xludf.DUMMYFUNCTION("GOOGLEFINANCE(C122,""price"")"),303.1)</f>
        <v>303.1</v>
      </c>
      <c r="F122" s="5">
        <f>IFERROR(__xludf.DUMMYFUNCTION("GOOGLEFINANCE(C122,""change"")"),3.9)</f>
        <v>3.9</v>
      </c>
      <c r="G122" s="6">
        <f>IFERROR(__xludf.DUMMYFUNCTION("GOOGLEFINANCE(C122, ""changepct"")/100"),0.013000000000000001)</f>
        <v>0.013</v>
      </c>
      <c r="H122" s="5">
        <f>IFERROR(__xludf.DUMMYFUNCTION("GOOGLEFINANCE(C122, ""marketcap"")"),7.50013703887E11)</f>
        <v>750013703887</v>
      </c>
    </row>
    <row r="123">
      <c r="A123" s="4" t="s">
        <v>273</v>
      </c>
      <c r="B123" s="4" t="s">
        <v>11</v>
      </c>
      <c r="C123" s="4" t="s">
        <v>274</v>
      </c>
      <c r="D123" s="4" t="s">
        <v>22</v>
      </c>
      <c r="E123" s="5">
        <f>IFERROR(__xludf.DUMMYFUNCTION("GOOGLEFINANCE(C123,""price"")"),571.8)</f>
        <v>571.8</v>
      </c>
      <c r="F123" s="5">
        <f>IFERROR(__xludf.DUMMYFUNCTION("GOOGLEFINANCE(C123,""change"")"),3.35)</f>
        <v>3.35</v>
      </c>
      <c r="G123" s="6">
        <f>IFERROR(__xludf.DUMMYFUNCTION("GOOGLEFINANCE(C123, ""changepct"")/100"),0.0059)</f>
        <v>0.0059</v>
      </c>
      <c r="H123" s="5">
        <f>IFERROR(__xludf.DUMMYFUNCTION("GOOGLEFINANCE(C123, ""marketcap"")"),1.010436894075E12)</f>
        <v>1010436894075</v>
      </c>
    </row>
    <row r="124">
      <c r="A124" s="4" t="s">
        <v>275</v>
      </c>
      <c r="B124" s="4" t="s">
        <v>20</v>
      </c>
      <c r="C124" s="4" t="s">
        <v>276</v>
      </c>
      <c r="D124" s="4" t="s">
        <v>13</v>
      </c>
      <c r="E124" s="5">
        <f>IFERROR(__xludf.DUMMYFUNCTION("GOOGLEFINANCE(C124,""price"")"),1877.75)</f>
        <v>1877.75</v>
      </c>
      <c r="F124" s="5">
        <f>IFERROR(__xludf.DUMMYFUNCTION("GOOGLEFINANCE(C124,""change"")"),78.6)</f>
        <v>78.6</v>
      </c>
      <c r="G124" s="6">
        <f>IFERROR(__xludf.DUMMYFUNCTION("GOOGLEFINANCE(C124, ""changepct"")/100"),0.0437)</f>
        <v>0.0437</v>
      </c>
      <c r="H124" s="5">
        <f>IFERROR(__xludf.DUMMYFUNCTION("GOOGLEFINANCE(C124, ""marketcap"")"),3.5135969785E11)</f>
        <v>351359697850</v>
      </c>
    </row>
    <row r="125">
      <c r="A125" s="4" t="s">
        <v>277</v>
      </c>
      <c r="B125" s="4" t="s">
        <v>35</v>
      </c>
      <c r="C125" s="4" t="s">
        <v>278</v>
      </c>
      <c r="D125" s="4" t="s">
        <v>22</v>
      </c>
      <c r="E125" s="5">
        <f>IFERROR(__xludf.DUMMYFUNCTION("GOOGLEFINANCE(C125,""price"")"),1784.0)</f>
        <v>1784</v>
      </c>
      <c r="F125" s="5">
        <f>IFERROR(__xludf.DUMMYFUNCTION("GOOGLEFINANCE(C125,""change"")"),14.2)</f>
        <v>14.2</v>
      </c>
      <c r="G125" s="6">
        <f>IFERROR(__xludf.DUMMYFUNCTION("GOOGLEFINANCE(C125, ""changepct"")/100"),0.008)</f>
        <v>0.008</v>
      </c>
      <c r="H125" s="5">
        <f>IFERROR(__xludf.DUMMYFUNCTION("GOOGLEFINANCE(C125, ""marketcap"")"),2.433374216E11)</f>
        <v>243337421600</v>
      </c>
    </row>
    <row r="126">
      <c r="A126" s="4" t="s">
        <v>279</v>
      </c>
      <c r="B126" s="4" t="s">
        <v>57</v>
      </c>
      <c r="C126" s="4" t="s">
        <v>280</v>
      </c>
      <c r="D126" s="4" t="s">
        <v>13</v>
      </c>
      <c r="E126" s="5">
        <f>IFERROR(__xludf.DUMMYFUNCTION("GOOGLEFINANCE(C126,""price"")"),184.85)</f>
        <v>184.85</v>
      </c>
      <c r="F126" s="5">
        <f>IFERROR(__xludf.DUMMYFUNCTION("GOOGLEFINANCE(C126,""change"")"),4.6)</f>
        <v>4.6</v>
      </c>
      <c r="G126" s="6">
        <f>IFERROR(__xludf.DUMMYFUNCTION("GOOGLEFINANCE(C126, ""changepct"")/100"),0.0255)</f>
        <v>0.0255</v>
      </c>
      <c r="H126" s="5">
        <f>IFERROR(__xludf.DUMMYFUNCTION("GOOGLEFINANCE(C126, ""marketcap"")"),4.9268477556E10)</f>
        <v>49268477556</v>
      </c>
    </row>
    <row r="127">
      <c r="A127" s="4" t="s">
        <v>281</v>
      </c>
      <c r="B127" s="4" t="s">
        <v>29</v>
      </c>
      <c r="C127" s="4" t="s">
        <v>282</v>
      </c>
      <c r="D127" s="4" t="s">
        <v>13</v>
      </c>
      <c r="E127" s="5">
        <f>IFERROR(__xludf.DUMMYFUNCTION("GOOGLEFINANCE(C127,""price"")"),204.95)</f>
        <v>204.95</v>
      </c>
      <c r="F127" s="5">
        <f>IFERROR(__xludf.DUMMYFUNCTION("GOOGLEFINANCE(C127,""change"")"),8.3)</f>
        <v>8.3</v>
      </c>
      <c r="G127" s="6">
        <f>IFERROR(__xludf.DUMMYFUNCTION("GOOGLEFINANCE(C127, ""changepct"")/100"),0.042199999999999994)</f>
        <v>0.0422</v>
      </c>
      <c r="H127" s="5">
        <f>IFERROR(__xludf.DUMMYFUNCTION("GOOGLEFINANCE(C127, ""marketcap"")"),1.12524557614E11)</f>
        <v>112524557614</v>
      </c>
    </row>
    <row r="128">
      <c r="A128" s="4" t="s">
        <v>283</v>
      </c>
      <c r="B128" s="4" t="s">
        <v>157</v>
      </c>
      <c r="C128" s="4" t="s">
        <v>284</v>
      </c>
      <c r="D128" s="4" t="s">
        <v>13</v>
      </c>
      <c r="E128" s="5">
        <f>IFERROR(__xludf.DUMMYFUNCTION("GOOGLEFINANCE(C128,""price"")"),984.6)</f>
        <v>984.6</v>
      </c>
      <c r="F128" s="5">
        <f>IFERROR(__xludf.DUMMYFUNCTION("GOOGLEFINANCE(C128,""change"")"),4.65)</f>
        <v>4.65</v>
      </c>
      <c r="G128" s="6">
        <f>IFERROR(__xludf.DUMMYFUNCTION("GOOGLEFINANCE(C128, ""changepct"")/100"),0.004699999999999999)</f>
        <v>0.0047</v>
      </c>
      <c r="H128" s="5">
        <f>IFERROR(__xludf.DUMMYFUNCTION("GOOGLEFINANCE(C128, ""marketcap"")"),4.58796452E10)</f>
        <v>45879645200</v>
      </c>
    </row>
    <row r="129">
      <c r="A129" s="4" t="s">
        <v>285</v>
      </c>
      <c r="B129" s="4" t="s">
        <v>100</v>
      </c>
      <c r="C129" s="4" t="s">
        <v>286</v>
      </c>
      <c r="D129" s="4" t="s">
        <v>13</v>
      </c>
      <c r="E129" s="5">
        <f>IFERROR(__xludf.DUMMYFUNCTION("GOOGLEFINANCE(C129,""price"")"),555.55)</f>
        <v>555.55</v>
      </c>
      <c r="F129" s="5">
        <f>IFERROR(__xludf.DUMMYFUNCTION("GOOGLEFINANCE(C129,""change"")"),0.4)</f>
        <v>0.4</v>
      </c>
      <c r="G129" s="6">
        <f>IFERROR(__xludf.DUMMYFUNCTION("GOOGLEFINANCE(C129, ""changepct"")/100"),7.000000000000001E-4)</f>
        <v>0.0007</v>
      </c>
      <c r="H129" s="5">
        <f>IFERROR(__xludf.DUMMYFUNCTION("GOOGLEFINANCE(C129, ""marketcap"")"),8.122968591E10)</f>
        <v>81229685910</v>
      </c>
    </row>
    <row r="130">
      <c r="A130" s="4" t="s">
        <v>287</v>
      </c>
      <c r="B130" s="4" t="s">
        <v>288</v>
      </c>
      <c r="C130" s="4" t="s">
        <v>289</v>
      </c>
      <c r="D130" s="4" t="s">
        <v>13</v>
      </c>
      <c r="E130" s="5">
        <f>IFERROR(__xludf.DUMMYFUNCTION("GOOGLEFINANCE(C130,""price"")"),15.8)</f>
        <v>15.8</v>
      </c>
      <c r="F130" s="5">
        <f>IFERROR(__xludf.DUMMYFUNCTION("GOOGLEFINANCE(C130,""change"")"),0.7)</f>
        <v>0.7</v>
      </c>
      <c r="G130" s="6">
        <f>IFERROR(__xludf.DUMMYFUNCTION("GOOGLEFINANCE(C130, ""changepct"")/100"),0.0464)</f>
        <v>0.0464</v>
      </c>
      <c r="H130" s="5">
        <f>IFERROR(__xludf.DUMMYFUNCTION("GOOGLEFINANCE(C130, ""marketcap"")"),2.900027025E10)</f>
        <v>29000270250</v>
      </c>
    </row>
    <row r="131">
      <c r="A131" s="4" t="s">
        <v>290</v>
      </c>
      <c r="B131" s="4" t="s">
        <v>32</v>
      </c>
      <c r="C131" s="4" t="s">
        <v>291</v>
      </c>
      <c r="D131" s="4" t="s">
        <v>13</v>
      </c>
      <c r="E131" s="5">
        <f>IFERROR(__xludf.DUMMYFUNCTION("GOOGLEFINANCE(C131,""price"")"),212.4)</f>
        <v>212.4</v>
      </c>
      <c r="F131" s="5">
        <f>IFERROR(__xludf.DUMMYFUNCTION("GOOGLEFINANCE(C131,""change"")"),-1.8)</f>
        <v>-1.8</v>
      </c>
      <c r="G131" s="6">
        <f>IFERROR(__xludf.DUMMYFUNCTION("GOOGLEFINANCE(C131, ""changepct"")/100"),-0.0084)</f>
        <v>-0.0084</v>
      </c>
      <c r="H131" s="5">
        <f>IFERROR(__xludf.DUMMYFUNCTION("GOOGLEFINANCE(C131, ""marketcap"")"),3.3300708243E10)</f>
        <v>33300708243</v>
      </c>
    </row>
    <row r="132">
      <c r="A132" s="4" t="s">
        <v>292</v>
      </c>
      <c r="B132" s="4" t="s">
        <v>32</v>
      </c>
      <c r="C132" s="4" t="s">
        <v>293</v>
      </c>
      <c r="D132" s="4" t="s">
        <v>22</v>
      </c>
      <c r="E132" s="5">
        <f>IFERROR(__xludf.DUMMYFUNCTION("GOOGLEFINANCE(C132,""price"")"),4339.15)</f>
        <v>4339.15</v>
      </c>
      <c r="F132" s="5">
        <f>IFERROR(__xludf.DUMMYFUNCTION("GOOGLEFINANCE(C132,""change"")"),-48.9)</f>
        <v>-48.9</v>
      </c>
      <c r="G132" s="6">
        <f>IFERROR(__xludf.DUMMYFUNCTION("GOOGLEFINANCE(C132, ""changepct"")/100"),-0.0111)</f>
        <v>-0.0111</v>
      </c>
      <c r="H132" s="5">
        <f>IFERROR(__xludf.DUMMYFUNCTION("GOOGLEFINANCE(C132, ""marketcap"")"),1.15296842E12)</f>
        <v>1152968420000</v>
      </c>
    </row>
    <row r="133">
      <c r="A133" s="4" t="s">
        <v>294</v>
      </c>
      <c r="B133" s="4" t="s">
        <v>11</v>
      </c>
      <c r="C133" s="4" t="s">
        <v>295</v>
      </c>
      <c r="D133" s="4" t="s">
        <v>13</v>
      </c>
      <c r="E133" s="5">
        <f>IFERROR(__xludf.DUMMYFUNCTION("GOOGLEFINANCE(C133,""price"")"),4228.4)</f>
        <v>4228.4</v>
      </c>
      <c r="F133" s="5">
        <f>IFERROR(__xludf.DUMMYFUNCTION("GOOGLEFINANCE(C133,""change"")"),50.8)</f>
        <v>50.8</v>
      </c>
      <c r="G133" s="6">
        <f>IFERROR(__xludf.DUMMYFUNCTION("GOOGLEFINANCE(C133, ""changepct"")/100"),0.012199999999999999)</f>
        <v>0.0122</v>
      </c>
      <c r="H133" s="5">
        <f>IFERROR(__xludf.DUMMYFUNCTION("GOOGLEFINANCE(C133, ""marketcap"")"),2.4765463382E11)</f>
        <v>247654633820</v>
      </c>
    </row>
    <row r="134">
      <c r="A134" s="4" t="s">
        <v>296</v>
      </c>
      <c r="B134" s="4" t="s">
        <v>91</v>
      </c>
      <c r="C134" s="4" t="s">
        <v>297</v>
      </c>
      <c r="D134" s="4" t="s">
        <v>22</v>
      </c>
      <c r="E134" s="5">
        <f>IFERROR(__xludf.DUMMYFUNCTION("GOOGLEFINANCE(C134,""price"")"),3219.0)</f>
        <v>3219</v>
      </c>
      <c r="F134" s="5">
        <f>IFERROR(__xludf.DUMMYFUNCTION("GOOGLEFINANCE(C134,""change"")"),2.55)</f>
        <v>2.55</v>
      </c>
      <c r="G134" s="6">
        <f>IFERROR(__xludf.DUMMYFUNCTION("GOOGLEFINANCE(C134, ""changepct"")/100"),8.0E-4)</f>
        <v>0.0008</v>
      </c>
      <c r="H134" s="5">
        <f>IFERROR(__xludf.DUMMYFUNCTION("GOOGLEFINANCE(C134, ""marketcap"")"),2.6567288486E11)</f>
        <v>265672884860</v>
      </c>
    </row>
    <row r="135">
      <c r="A135" s="4" t="s">
        <v>298</v>
      </c>
      <c r="B135" s="4" t="s">
        <v>32</v>
      </c>
      <c r="C135" s="4" t="s">
        <v>299</v>
      </c>
      <c r="D135" s="4" t="s">
        <v>22</v>
      </c>
      <c r="E135" s="5">
        <f>IFERROR(__xludf.DUMMYFUNCTION("GOOGLEFINANCE(C135,""price"")"),5467.85)</f>
        <v>5467.85</v>
      </c>
      <c r="F135" s="5">
        <f>IFERROR(__xludf.DUMMYFUNCTION("GOOGLEFINANCE(C135,""change"")"),6.5)</f>
        <v>6.5</v>
      </c>
      <c r="G135" s="6">
        <f>IFERROR(__xludf.DUMMYFUNCTION("GOOGLEFINANCE(C135, ""changepct"")/100"),0.0012)</f>
        <v>0.0012</v>
      </c>
      <c r="H135" s="5">
        <f>IFERROR(__xludf.DUMMYFUNCTION("GOOGLEFINANCE(C135, ""marketcap"")"),9.06848117628E11)</f>
        <v>906848117628</v>
      </c>
    </row>
    <row r="136">
      <c r="A136" s="4" t="s">
        <v>300</v>
      </c>
      <c r="B136" s="4" t="s">
        <v>11</v>
      </c>
      <c r="C136" s="4" t="s">
        <v>301</v>
      </c>
      <c r="D136" s="4" t="s">
        <v>13</v>
      </c>
      <c r="E136" s="5">
        <f>IFERROR(__xludf.DUMMYFUNCTION("GOOGLEFINANCE(C136,""price"")"),440.65)</f>
        <v>440.65</v>
      </c>
      <c r="F136" s="5">
        <f>IFERROR(__xludf.DUMMYFUNCTION("GOOGLEFINANCE(C136,""change"")"),4.35)</f>
        <v>4.35</v>
      </c>
      <c r="G136" s="6">
        <f>IFERROR(__xludf.DUMMYFUNCTION("GOOGLEFINANCE(C136, ""changepct"")/100"),0.01)</f>
        <v>0.01</v>
      </c>
      <c r="H136" s="5">
        <f>IFERROR(__xludf.DUMMYFUNCTION("GOOGLEFINANCE(C136, ""marketcap"")"),7.8128678564E10)</f>
        <v>78128678564</v>
      </c>
    </row>
    <row r="137">
      <c r="A137" s="4" t="s">
        <v>302</v>
      </c>
      <c r="B137" s="4" t="s">
        <v>57</v>
      </c>
      <c r="C137" s="4" t="s">
        <v>303</v>
      </c>
      <c r="D137" s="4" t="s">
        <v>13</v>
      </c>
      <c r="E137" s="5">
        <f>IFERROR(__xludf.DUMMYFUNCTION("GOOGLEFINANCE(C137,""price"")"),119.0)</f>
        <v>119</v>
      </c>
      <c r="F137" s="5">
        <f>IFERROR(__xludf.DUMMYFUNCTION("GOOGLEFINANCE(C137,""change"")"),1.7)</f>
        <v>1.7</v>
      </c>
      <c r="G137" s="6">
        <f>IFERROR(__xludf.DUMMYFUNCTION("GOOGLEFINANCE(C137, ""changepct"")/100"),0.014499999999999999)</f>
        <v>0.0145</v>
      </c>
      <c r="H137" s="5">
        <f>IFERROR(__xludf.DUMMYFUNCTION("GOOGLEFINANCE(C137, ""marketcap"")"),7.44183398E10)</f>
        <v>74418339800</v>
      </c>
    </row>
    <row r="138">
      <c r="A138" s="4" t="s">
        <v>304</v>
      </c>
      <c r="B138" s="4" t="s">
        <v>15</v>
      </c>
      <c r="C138" s="4" t="s">
        <v>305</v>
      </c>
      <c r="D138" s="4" t="s">
        <v>13</v>
      </c>
      <c r="E138" s="5">
        <f>IFERROR(__xludf.DUMMYFUNCTION("GOOGLEFINANCE(C138,""price"")"),259.0)</f>
        <v>259</v>
      </c>
      <c r="F138" s="5">
        <f>IFERROR(__xludf.DUMMYFUNCTION("GOOGLEFINANCE(C138,""change"")"),6.3)</f>
        <v>6.3</v>
      </c>
      <c r="G138" s="6">
        <f>IFERROR(__xludf.DUMMYFUNCTION("GOOGLEFINANCE(C138, ""changepct"")/100"),0.024900000000000002)</f>
        <v>0.0249</v>
      </c>
      <c r="H138" s="5">
        <f>IFERROR(__xludf.DUMMYFUNCTION("GOOGLEFINANCE(C138, ""marketcap"")"),8.17314904E10)</f>
        <v>81731490400</v>
      </c>
    </row>
    <row r="139">
      <c r="A139" s="4" t="s">
        <v>306</v>
      </c>
      <c r="B139" s="4" t="s">
        <v>29</v>
      </c>
      <c r="C139" s="4" t="s">
        <v>307</v>
      </c>
      <c r="D139" s="4" t="s">
        <v>13</v>
      </c>
      <c r="E139" s="5">
        <f>IFERROR(__xludf.DUMMYFUNCTION("GOOGLEFINANCE(C139,""price"")"),73.95)</f>
        <v>73.95</v>
      </c>
      <c r="F139" s="5">
        <f>IFERROR(__xludf.DUMMYFUNCTION("GOOGLEFINANCE(C139,""change"")"),0.4)</f>
        <v>0.4</v>
      </c>
      <c r="G139" s="6">
        <f>IFERROR(__xludf.DUMMYFUNCTION("GOOGLEFINANCE(C139, ""changepct"")/100"),0.0054)</f>
        <v>0.0054</v>
      </c>
      <c r="H139" s="5">
        <f>IFERROR(__xludf.DUMMYFUNCTION("GOOGLEFINANCE(C139, ""marketcap"")"),6.5932767189E10)</f>
        <v>65932767189</v>
      </c>
    </row>
    <row r="140">
      <c r="A140" s="4" t="s">
        <v>308</v>
      </c>
      <c r="B140" s="4" t="s">
        <v>82</v>
      </c>
      <c r="C140" s="4" t="s">
        <v>309</v>
      </c>
      <c r="D140" s="4" t="s">
        <v>22</v>
      </c>
      <c r="E140" s="5">
        <f>IFERROR(__xludf.DUMMYFUNCTION("GOOGLEFINANCE(C140,""price"")"),2759.75)</f>
        <v>2759.75</v>
      </c>
      <c r="F140" s="5">
        <f>IFERROR(__xludf.DUMMYFUNCTION("GOOGLEFINANCE(C140,""change"")"),14.8)</f>
        <v>14.8</v>
      </c>
      <c r="G140" s="6">
        <f>IFERROR(__xludf.DUMMYFUNCTION("GOOGLEFINANCE(C140, ""changepct"")/100"),0.0054)</f>
        <v>0.0054</v>
      </c>
      <c r="H140" s="5">
        <f>IFERROR(__xludf.DUMMYFUNCTION("GOOGLEFINANCE(C140, ""marketcap"")"),7.54319301246E11)</f>
        <v>754319301246</v>
      </c>
    </row>
    <row r="141">
      <c r="A141" s="4" t="s">
        <v>310</v>
      </c>
      <c r="B141" s="4" t="s">
        <v>15</v>
      </c>
      <c r="C141" s="4" t="s">
        <v>311</v>
      </c>
      <c r="D141" s="4" t="s">
        <v>13</v>
      </c>
      <c r="E141" s="5">
        <f>IFERROR(__xludf.DUMMYFUNCTION("GOOGLEFINANCE(C141,""price"")"),215.7)</f>
        <v>215.7</v>
      </c>
      <c r="F141" s="5">
        <f>IFERROR(__xludf.DUMMYFUNCTION("GOOGLEFINANCE(C141,""change"")"),5.4)</f>
        <v>5.4</v>
      </c>
      <c r="G141" s="6">
        <f>IFERROR(__xludf.DUMMYFUNCTION("GOOGLEFINANCE(C141, ""changepct"")/100"),0.025699999999999997)</f>
        <v>0.0257</v>
      </c>
      <c r="H141" s="5">
        <f>IFERROR(__xludf.DUMMYFUNCTION("GOOGLEFINANCE(C141, ""marketcap"")"),6.8150847666E10)</f>
        <v>68150847666</v>
      </c>
    </row>
    <row r="142">
      <c r="A142" s="4" t="s">
        <v>312</v>
      </c>
      <c r="B142" s="4" t="s">
        <v>11</v>
      </c>
      <c r="C142" s="4" t="s">
        <v>313</v>
      </c>
      <c r="D142" s="4" t="s">
        <v>13</v>
      </c>
      <c r="E142" s="5">
        <f>IFERROR(__xludf.DUMMYFUNCTION("GOOGLEFINANCE(C142,""price"")"),538.05)</f>
        <v>538.05</v>
      </c>
      <c r="F142" s="5">
        <f>IFERROR(__xludf.DUMMYFUNCTION("GOOGLEFINANCE(C142,""change"")"),1.4)</f>
        <v>1.4</v>
      </c>
      <c r="G142" s="6">
        <f>IFERROR(__xludf.DUMMYFUNCTION("GOOGLEFINANCE(C142, ""changepct"")/100"),0.0026)</f>
        <v>0.0026</v>
      </c>
      <c r="H142" s="5">
        <f>IFERROR(__xludf.DUMMYFUNCTION("GOOGLEFINANCE(C142, ""marketcap"")"),2.39170590858E11)</f>
        <v>239170590858</v>
      </c>
    </row>
    <row r="143">
      <c r="A143" s="4" t="s">
        <v>314</v>
      </c>
      <c r="B143" s="4" t="s">
        <v>82</v>
      </c>
      <c r="C143" s="4" t="s">
        <v>315</v>
      </c>
      <c r="D143" s="4" t="s">
        <v>13</v>
      </c>
      <c r="E143" s="5">
        <f>IFERROR(__xludf.DUMMYFUNCTION("GOOGLEFINANCE(C143,""price"")"),1580.85)</f>
        <v>1580.85</v>
      </c>
      <c r="F143" s="5">
        <f>IFERROR(__xludf.DUMMYFUNCTION("GOOGLEFINANCE(C143,""change"")"),2.95)</f>
        <v>2.95</v>
      </c>
      <c r="G143" s="6">
        <f>IFERROR(__xludf.DUMMYFUNCTION("GOOGLEFINANCE(C143, ""changepct"")/100"),0.0019)</f>
        <v>0.0019</v>
      </c>
      <c r="H143" s="5">
        <f>IFERROR(__xludf.DUMMYFUNCTION("GOOGLEFINANCE(C143, ""marketcap"")"),2.22366783945E11)</f>
        <v>222366783945</v>
      </c>
    </row>
    <row r="144">
      <c r="A144" s="4" t="s">
        <v>316</v>
      </c>
      <c r="B144" s="4" t="s">
        <v>100</v>
      </c>
      <c r="C144" s="4" t="s">
        <v>317</v>
      </c>
      <c r="D144" s="4" t="s">
        <v>13</v>
      </c>
      <c r="E144" s="5">
        <f>IFERROR(__xludf.DUMMYFUNCTION("GOOGLEFINANCE(C144,""price"")"),84.2)</f>
        <v>84.2</v>
      </c>
      <c r="F144" s="5">
        <f>IFERROR(__xludf.DUMMYFUNCTION("GOOGLEFINANCE(C144,""change"")"),0.3)</f>
        <v>0.3</v>
      </c>
      <c r="G144" s="6">
        <f>IFERROR(__xludf.DUMMYFUNCTION("GOOGLEFINANCE(C144, ""changepct"")/100"),0.0036)</f>
        <v>0.0036</v>
      </c>
      <c r="H144" s="5">
        <f>IFERROR(__xludf.DUMMYFUNCTION("GOOGLEFINANCE(C144, ""marketcap"")"),4.7323968364E10)</f>
        <v>47323968364</v>
      </c>
    </row>
    <row r="145">
      <c r="A145" s="4" t="s">
        <v>318</v>
      </c>
      <c r="B145" s="4" t="s">
        <v>29</v>
      </c>
      <c r="C145" s="4" t="s">
        <v>319</v>
      </c>
      <c r="D145" s="4" t="s">
        <v>13</v>
      </c>
      <c r="E145" s="5">
        <f>IFERROR(__xludf.DUMMYFUNCTION("GOOGLEFINANCE(C145,""price"")"),94.35)</f>
        <v>94.35</v>
      </c>
      <c r="F145" s="5">
        <f>IFERROR(__xludf.DUMMYFUNCTION("GOOGLEFINANCE(C145,""change"")"),0.35)</f>
        <v>0.35</v>
      </c>
      <c r="G145" s="6">
        <f>IFERROR(__xludf.DUMMYFUNCTION("GOOGLEFINANCE(C145, ""changepct"")/100"),0.0037)</f>
        <v>0.0037</v>
      </c>
      <c r="H145" s="5">
        <f>IFERROR(__xludf.DUMMYFUNCTION("GOOGLEFINANCE(C145, ""marketcap"")"),3.2247895413E10)</f>
        <v>32247895413</v>
      </c>
    </row>
    <row r="146">
      <c r="A146" s="4" t="s">
        <v>320</v>
      </c>
      <c r="B146" s="4" t="s">
        <v>32</v>
      </c>
      <c r="C146" s="4" t="s">
        <v>321</v>
      </c>
      <c r="D146" s="4" t="s">
        <v>13</v>
      </c>
      <c r="E146" s="5">
        <f>IFERROR(__xludf.DUMMYFUNCTION("GOOGLEFINANCE(C146,""price"")"),705.0)</f>
        <v>705</v>
      </c>
      <c r="F146" s="5">
        <f>IFERROR(__xludf.DUMMYFUNCTION("GOOGLEFINANCE(C146,""change"")"),-4.25)</f>
        <v>-4.25</v>
      </c>
      <c r="G146" s="6">
        <f>IFERROR(__xludf.DUMMYFUNCTION("GOOGLEFINANCE(C146, ""changepct"")/100"),-0.006)</f>
        <v>-0.006</v>
      </c>
      <c r="H146" s="5">
        <f>IFERROR(__xludf.DUMMYFUNCTION("GOOGLEFINANCE(C146, ""marketcap"")"),9.57248295E10)</f>
        <v>95724829500</v>
      </c>
    </row>
    <row r="147">
      <c r="A147" s="4" t="s">
        <v>322</v>
      </c>
      <c r="B147" s="4" t="s">
        <v>82</v>
      </c>
      <c r="C147" s="4" t="s">
        <v>323</v>
      </c>
      <c r="D147" s="4" t="s">
        <v>22</v>
      </c>
      <c r="E147" s="5">
        <f>IFERROR(__xludf.DUMMYFUNCTION("GOOGLEFINANCE(C147,""price"")"),1212.65)</f>
        <v>1212.65</v>
      </c>
      <c r="F147" s="5">
        <f>IFERROR(__xludf.DUMMYFUNCTION("GOOGLEFINANCE(C147,""change"")"),-3.75)</f>
        <v>-3.75</v>
      </c>
      <c r="G147" s="6">
        <f>IFERROR(__xludf.DUMMYFUNCTION("GOOGLEFINANCE(C147, ""changepct"")/100"),-0.0031)</f>
        <v>-0.0031</v>
      </c>
      <c r="H147" s="5">
        <f>IFERROR(__xludf.DUMMYFUNCTION("GOOGLEFINANCE(C147, ""marketcap"")"),1.59990562038E11)</f>
        <v>159990562038</v>
      </c>
    </row>
    <row r="148">
      <c r="A148" s="4" t="s">
        <v>324</v>
      </c>
      <c r="B148" s="4" t="s">
        <v>82</v>
      </c>
      <c r="C148" s="4" t="s">
        <v>325</v>
      </c>
      <c r="D148" s="4" t="s">
        <v>22</v>
      </c>
      <c r="E148" s="5">
        <f>IFERROR(__xludf.DUMMYFUNCTION("GOOGLEFINANCE(C148,""price"")"),192.5)</f>
        <v>192.5</v>
      </c>
      <c r="F148" s="5">
        <f>IFERROR(__xludf.DUMMYFUNCTION("GOOGLEFINANCE(C148,""change"")"),1.3)</f>
        <v>1.3</v>
      </c>
      <c r="G148" s="6">
        <f>IFERROR(__xludf.DUMMYFUNCTION("GOOGLEFINANCE(C148, ""changepct"")/100"),0.0068000000000000005)</f>
        <v>0.0068</v>
      </c>
      <c r="H148" s="5">
        <f>IFERROR(__xludf.DUMMYFUNCTION("GOOGLEFINANCE(C148, ""marketcap"")"),1.63710005187E11)</f>
        <v>163710005187</v>
      </c>
    </row>
    <row r="149">
      <c r="A149" s="4" t="s">
        <v>326</v>
      </c>
      <c r="B149" s="4" t="s">
        <v>32</v>
      </c>
      <c r="C149" s="4" t="s">
        <v>327</v>
      </c>
      <c r="D149" s="4" t="s">
        <v>13</v>
      </c>
      <c r="E149" s="5">
        <f>IFERROR(__xludf.DUMMYFUNCTION("GOOGLEFINANCE(C149,""price"")"),394.2)</f>
        <v>394.2</v>
      </c>
      <c r="F149" s="5">
        <f>IFERROR(__xludf.DUMMYFUNCTION("GOOGLEFINANCE(C149,""change"")"),12.9)</f>
        <v>12.9</v>
      </c>
      <c r="G149" s="6">
        <f>IFERROR(__xludf.DUMMYFUNCTION("GOOGLEFINANCE(C149, ""changepct"")/100"),0.0338)</f>
        <v>0.0338</v>
      </c>
      <c r="H149" s="5">
        <f>IFERROR(__xludf.DUMMYFUNCTION("GOOGLEFINANCE(C149, ""marketcap"")"),6.675591656E10)</f>
        <v>66755916560</v>
      </c>
    </row>
    <row r="150">
      <c r="A150" s="4" t="s">
        <v>328</v>
      </c>
      <c r="B150" s="4" t="s">
        <v>29</v>
      </c>
      <c r="C150" s="4" t="s">
        <v>329</v>
      </c>
      <c r="D150" s="4" t="s">
        <v>22</v>
      </c>
      <c r="E150" s="5">
        <f>IFERROR(__xludf.DUMMYFUNCTION("GOOGLEFINANCE(C150,""price"")"),85.95)</f>
        <v>85.95</v>
      </c>
      <c r="F150" s="5">
        <f>IFERROR(__xludf.DUMMYFUNCTION("GOOGLEFINANCE(C150,""change"")"),0.65)</f>
        <v>0.65</v>
      </c>
      <c r="G150" s="6">
        <f>IFERROR(__xludf.DUMMYFUNCTION("GOOGLEFINANCE(C150, ""changepct"")/100"),0.0076)</f>
        <v>0.0076</v>
      </c>
      <c r="H150" s="5">
        <f>IFERROR(__xludf.DUMMYFUNCTION("GOOGLEFINANCE(C150, ""marketcap"")"),1.71580517757E11)</f>
        <v>171580517757</v>
      </c>
    </row>
    <row r="151">
      <c r="A151" s="4" t="s">
        <v>330</v>
      </c>
      <c r="B151" s="4" t="s">
        <v>35</v>
      </c>
      <c r="C151" s="4" t="s">
        <v>331</v>
      </c>
      <c r="D151" s="4" t="s">
        <v>13</v>
      </c>
      <c r="E151" s="5">
        <f>IFERROR(__xludf.DUMMYFUNCTION("GOOGLEFINANCE(C151,""price"")"),2913.25)</f>
        <v>2913.25</v>
      </c>
      <c r="F151" s="5">
        <f>IFERROR(__xludf.DUMMYFUNCTION("GOOGLEFINANCE(C151,""change"")"),-17.15)</f>
        <v>-17.15</v>
      </c>
      <c r="G151" s="6">
        <f>IFERROR(__xludf.DUMMYFUNCTION("GOOGLEFINANCE(C151, ""changepct"")/100"),-0.0059)</f>
        <v>-0.0059</v>
      </c>
      <c r="H151" s="5">
        <f>IFERROR(__xludf.DUMMYFUNCTION("GOOGLEFINANCE(C151, ""marketcap"")"),8.937381255E10)</f>
        <v>89373812550</v>
      </c>
    </row>
    <row r="152">
      <c r="A152" s="4" t="s">
        <v>332</v>
      </c>
      <c r="B152" s="4" t="s">
        <v>15</v>
      </c>
      <c r="C152" s="4" t="s">
        <v>333</v>
      </c>
      <c r="D152" s="4" t="s">
        <v>13</v>
      </c>
      <c r="E152" s="5">
        <f>IFERROR(__xludf.DUMMYFUNCTION("GOOGLEFINANCE(C152,""price"")"),500.0)</f>
        <v>500</v>
      </c>
      <c r="F152" s="5">
        <f>IFERROR(__xludf.DUMMYFUNCTION("GOOGLEFINANCE(C152,""change"")"),-0.85)</f>
        <v>-0.85</v>
      </c>
      <c r="G152" s="6">
        <f>IFERROR(__xludf.DUMMYFUNCTION("GOOGLEFINANCE(C152, ""changepct"")/100"),-0.0017000000000000001)</f>
        <v>-0.0017</v>
      </c>
      <c r="H152" s="5">
        <f>IFERROR(__xludf.DUMMYFUNCTION("GOOGLEFINANCE(C152, ""marketcap"")"),7.646965E10)</f>
        <v>76469650000</v>
      </c>
    </row>
    <row r="153">
      <c r="A153" s="4" t="s">
        <v>334</v>
      </c>
      <c r="B153" s="4" t="s">
        <v>15</v>
      </c>
      <c r="C153" s="4" t="s">
        <v>335</v>
      </c>
      <c r="D153" s="4" t="s">
        <v>13</v>
      </c>
      <c r="E153" s="5">
        <f>IFERROR(__xludf.DUMMYFUNCTION("GOOGLEFINANCE(C153,""price"")"),171.85)</f>
        <v>171.85</v>
      </c>
      <c r="F153" s="5">
        <f>IFERROR(__xludf.DUMMYFUNCTION("GOOGLEFINANCE(C153,""change"")"),2.05)</f>
        <v>2.05</v>
      </c>
      <c r="G153" s="6">
        <f>IFERROR(__xludf.DUMMYFUNCTION("GOOGLEFINANCE(C153, ""changepct"")/100"),0.0121)</f>
        <v>0.0121</v>
      </c>
      <c r="H153" s="5">
        <f>IFERROR(__xludf.DUMMYFUNCTION("GOOGLEFINANCE(C153, ""marketcap"")"),1.066476024E11)</f>
        <v>106647602400</v>
      </c>
    </row>
    <row r="154">
      <c r="A154" s="4" t="s">
        <v>336</v>
      </c>
      <c r="B154" s="4" t="s">
        <v>64</v>
      </c>
      <c r="C154" s="4" t="s">
        <v>337</v>
      </c>
      <c r="D154" s="4" t="s">
        <v>13</v>
      </c>
      <c r="E154" s="5">
        <f>IFERROR(__xludf.DUMMYFUNCTION("GOOGLEFINANCE(C154,""price"")"),165.0)</f>
        <v>165</v>
      </c>
      <c r="F154" s="5">
        <f>IFERROR(__xludf.DUMMYFUNCTION("GOOGLEFINANCE(C154,""change"")"),-2.15)</f>
        <v>-2.15</v>
      </c>
      <c r="G154" s="6">
        <f>IFERROR(__xludf.DUMMYFUNCTION("GOOGLEFINANCE(C154, ""changepct"")/100"),-0.0129)</f>
        <v>-0.0129</v>
      </c>
      <c r="H154" s="5">
        <f>IFERROR(__xludf.DUMMYFUNCTION("GOOGLEFINANCE(C154, ""marketcap"")"),1.12069812061E11)</f>
        <v>112069812061</v>
      </c>
    </row>
    <row r="155">
      <c r="A155" s="4" t="s">
        <v>338</v>
      </c>
      <c r="B155" s="4" t="s">
        <v>91</v>
      </c>
      <c r="C155" s="4" t="s">
        <v>339</v>
      </c>
      <c r="D155" s="4" t="s">
        <v>13</v>
      </c>
      <c r="E155" s="5">
        <f>IFERROR(__xludf.DUMMYFUNCTION("GOOGLEFINANCE(C155,""price"")"),232.9)</f>
        <v>232.9</v>
      </c>
      <c r="F155" s="5">
        <f>IFERROR(__xludf.DUMMYFUNCTION("GOOGLEFINANCE(C155,""change"")"),-1.4)</f>
        <v>-1.4</v>
      </c>
      <c r="G155" s="6">
        <f>IFERROR(__xludf.DUMMYFUNCTION("GOOGLEFINANCE(C155, ""changepct"")/100"),-0.006)</f>
        <v>-0.006</v>
      </c>
      <c r="H155" s="5">
        <f>IFERROR(__xludf.DUMMYFUNCTION("GOOGLEFINANCE(C155, ""marketcap"")"),1.75603700607E11)</f>
        <v>175603700607</v>
      </c>
    </row>
    <row r="156">
      <c r="A156" s="4" t="s">
        <v>340</v>
      </c>
      <c r="B156" s="4" t="s">
        <v>57</v>
      </c>
      <c r="C156" s="4" t="s">
        <v>341</v>
      </c>
      <c r="D156" s="4" t="s">
        <v>13</v>
      </c>
      <c r="E156" s="5">
        <f>IFERROR(__xludf.DUMMYFUNCTION("GOOGLEFINANCE(C156,""price"")"),10.9)</f>
        <v>10.9</v>
      </c>
      <c r="F156" s="5">
        <f>IFERROR(__xludf.DUMMYFUNCTION("GOOGLEFINANCE(C156,""change"")"),0.9)</f>
        <v>0.9</v>
      </c>
      <c r="G156" s="6">
        <f>IFERROR(__xludf.DUMMYFUNCTION("GOOGLEFINANCE(C156, ""changepct"")/100"),0.09)</f>
        <v>0.09</v>
      </c>
      <c r="H156" s="5">
        <f>IFERROR(__xludf.DUMMYFUNCTION("GOOGLEFINANCE(C156, ""marketcap"")"),2.1362560452E10)</f>
        <v>21362560452</v>
      </c>
    </row>
    <row r="157">
      <c r="A157" s="4" t="s">
        <v>342</v>
      </c>
      <c r="B157" s="4" t="s">
        <v>57</v>
      </c>
      <c r="C157" s="4" t="s">
        <v>343</v>
      </c>
      <c r="D157" s="4" t="s">
        <v>13</v>
      </c>
      <c r="E157" s="5">
        <f>IFERROR(__xludf.DUMMYFUNCTION("GOOGLEFINANCE(C157,""price"")"),72.65)</f>
        <v>72.65</v>
      </c>
      <c r="F157" s="5">
        <f>IFERROR(__xludf.DUMMYFUNCTION("GOOGLEFINANCE(C157,""change"")"),6.6)</f>
        <v>6.6</v>
      </c>
      <c r="G157" s="6">
        <f>IFERROR(__xludf.DUMMYFUNCTION("GOOGLEFINANCE(C157, ""changepct"")/100"),0.0999)</f>
        <v>0.0999</v>
      </c>
      <c r="H157" s="5">
        <f>IFERROR(__xludf.DUMMYFUNCTION("GOOGLEFINANCE(C157, ""marketcap"")"),3.9396933427E10)</f>
        <v>39396933427</v>
      </c>
    </row>
    <row r="158">
      <c r="A158" s="4" t="s">
        <v>344</v>
      </c>
      <c r="B158" s="4" t="s">
        <v>50</v>
      </c>
      <c r="C158" s="4" t="s">
        <v>345</v>
      </c>
      <c r="D158" s="4" t="s">
        <v>22</v>
      </c>
      <c r="E158" s="5">
        <f>IFERROR(__xludf.DUMMYFUNCTION("GOOGLEFINANCE(C158,""price"")"),165.4)</f>
        <v>165.4</v>
      </c>
      <c r="F158" s="5">
        <f>IFERROR(__xludf.DUMMYFUNCTION("GOOGLEFINANCE(C158,""change"")"),2.25)</f>
        <v>2.25</v>
      </c>
      <c r="G158" s="6">
        <f>IFERROR(__xludf.DUMMYFUNCTION("GOOGLEFINANCE(C158, ""changepct"")/100"),0.0138)</f>
        <v>0.0138</v>
      </c>
      <c r="H158" s="5">
        <f>IFERROR(__xludf.DUMMYFUNCTION("GOOGLEFINANCE(C158, ""marketcap"")"),7.34439651898E11)</f>
        <v>734439651898</v>
      </c>
    </row>
    <row r="159">
      <c r="A159" s="4" t="s">
        <v>346</v>
      </c>
      <c r="B159" s="4" t="s">
        <v>15</v>
      </c>
      <c r="C159" s="4" t="s">
        <v>347</v>
      </c>
      <c r="D159" s="4" t="s">
        <v>13</v>
      </c>
      <c r="E159" s="5">
        <f>IFERROR(__xludf.DUMMYFUNCTION("GOOGLEFINANCE(C159,""price"")"),321.0)</f>
        <v>321</v>
      </c>
      <c r="F159" s="5">
        <f>IFERROR(__xludf.DUMMYFUNCTION("GOOGLEFINANCE(C159,""change"")"),3.0)</f>
        <v>3</v>
      </c>
      <c r="G159" s="6">
        <f>IFERROR(__xludf.DUMMYFUNCTION("GOOGLEFINANCE(C159, ""changepct"")/100"),0.009399999999999999)</f>
        <v>0.0094</v>
      </c>
      <c r="H159" s="5">
        <f>IFERROR(__xludf.DUMMYFUNCTION("GOOGLEFINANCE(C159, ""marketcap"")"),2.1583375212E10)</f>
        <v>21583375212</v>
      </c>
    </row>
    <row r="160">
      <c r="A160" s="4" t="s">
        <v>348</v>
      </c>
      <c r="B160" s="4" t="s">
        <v>15</v>
      </c>
      <c r="C160" s="4" t="s">
        <v>349</v>
      </c>
      <c r="D160" s="4" t="s">
        <v>13</v>
      </c>
      <c r="E160" s="5">
        <f>IFERROR(__xludf.DUMMYFUNCTION("GOOGLEFINANCE(C160,""price"")"),4661.35)</f>
        <v>4661.35</v>
      </c>
      <c r="F160" s="5">
        <f>IFERROR(__xludf.DUMMYFUNCTION("GOOGLEFINANCE(C160,""change"")"),-34.0)</f>
        <v>-34</v>
      </c>
      <c r="G160" s="6">
        <f>IFERROR(__xludf.DUMMYFUNCTION("GOOGLEFINANCE(C160, ""changepct"")/100"),-0.0072)</f>
        <v>-0.0072</v>
      </c>
      <c r="H160" s="5">
        <f>IFERROR(__xludf.DUMMYFUNCTION("GOOGLEFINANCE(C160, ""marketcap"")"),6.817602E10)</f>
        <v>68176020000</v>
      </c>
    </row>
    <row r="161">
      <c r="A161" s="4" t="s">
        <v>350</v>
      </c>
      <c r="B161" s="4" t="s">
        <v>100</v>
      </c>
      <c r="C161" s="4" t="s">
        <v>351</v>
      </c>
      <c r="D161" s="4" t="s">
        <v>22</v>
      </c>
      <c r="E161" s="5">
        <f>IFERROR(__xludf.DUMMYFUNCTION("GOOGLEFINANCE(C161,""price"")"),27.75)</f>
        <v>27.75</v>
      </c>
      <c r="F161" s="5">
        <f>IFERROR(__xludf.DUMMYFUNCTION("GOOGLEFINANCE(C161,""change"")"),1.0)</f>
        <v>1</v>
      </c>
      <c r="G161" s="6">
        <f>IFERROR(__xludf.DUMMYFUNCTION("GOOGLEFINANCE(C161, ""changepct"")/100"),0.0374)</f>
        <v>0.0374</v>
      </c>
      <c r="H161" s="5">
        <f>IFERROR(__xludf.DUMMYFUNCTION("GOOGLEFINANCE(C161, ""marketcap"")"),1.67195653405E11)</f>
        <v>167195653405</v>
      </c>
    </row>
    <row r="162">
      <c r="A162" s="4" t="s">
        <v>352</v>
      </c>
      <c r="B162" s="4" t="s">
        <v>35</v>
      </c>
      <c r="C162" s="4" t="s">
        <v>353</v>
      </c>
      <c r="D162" s="4" t="s">
        <v>13</v>
      </c>
      <c r="E162" s="5">
        <f>IFERROR(__xludf.DUMMYFUNCTION("GOOGLEFINANCE(C162,""price"")"),3085.05)</f>
        <v>3085.05</v>
      </c>
      <c r="F162" s="5">
        <f>IFERROR(__xludf.DUMMYFUNCTION("GOOGLEFINANCE(C162,""change"")"),-13.75)</f>
        <v>-13.75</v>
      </c>
      <c r="G162" s="6">
        <f>IFERROR(__xludf.DUMMYFUNCTION("GOOGLEFINANCE(C162, ""changepct"")/100"),-0.0044)</f>
        <v>-0.0044</v>
      </c>
      <c r="H162" s="5">
        <f>IFERROR(__xludf.DUMMYFUNCTION("GOOGLEFINANCE(C162, ""marketcap"")"),1.09514266549E11)</f>
        <v>109514266549</v>
      </c>
    </row>
    <row r="163">
      <c r="A163" s="4" t="s">
        <v>354</v>
      </c>
      <c r="B163" s="4" t="s">
        <v>15</v>
      </c>
      <c r="C163" s="4" t="s">
        <v>355</v>
      </c>
      <c r="D163" s="4" t="s">
        <v>13</v>
      </c>
      <c r="E163" s="5">
        <f>IFERROR(__xludf.DUMMYFUNCTION("GOOGLEFINANCE(C163,""price"")"),201.0)</f>
        <v>201</v>
      </c>
      <c r="F163" s="5">
        <f>IFERROR(__xludf.DUMMYFUNCTION("GOOGLEFINANCE(C163,""change"")"),-0.2)</f>
        <v>-0.2</v>
      </c>
      <c r="G163" s="6">
        <f>IFERROR(__xludf.DUMMYFUNCTION("GOOGLEFINANCE(C163, ""changepct"")/100"),-0.001)</f>
        <v>-0.001</v>
      </c>
      <c r="H163" s="5">
        <f>IFERROR(__xludf.DUMMYFUNCTION("GOOGLEFINANCE(C163, ""marketcap"")"),2.3024952E10)</f>
        <v>23024952000</v>
      </c>
    </row>
    <row r="164">
      <c r="A164" s="4" t="s">
        <v>356</v>
      </c>
      <c r="B164" s="4" t="s">
        <v>79</v>
      </c>
      <c r="C164" s="4" t="s">
        <v>357</v>
      </c>
      <c r="D164" s="4" t="s">
        <v>13</v>
      </c>
      <c r="E164" s="5">
        <f>IFERROR(__xludf.DUMMYFUNCTION("GOOGLEFINANCE(C164,""price"")"),2991.1)</f>
        <v>2991.1</v>
      </c>
      <c r="F164" s="5">
        <f>IFERROR(__xludf.DUMMYFUNCTION("GOOGLEFINANCE(C164,""change"")"),19.95)</f>
        <v>19.95</v>
      </c>
      <c r="G164" s="6">
        <f>IFERROR(__xludf.DUMMYFUNCTION("GOOGLEFINANCE(C164, ""changepct"")/100"),0.0067)</f>
        <v>0.0067</v>
      </c>
      <c r="H164" s="5">
        <f>IFERROR(__xludf.DUMMYFUNCTION("GOOGLEFINANCE(C164, ""marketcap"")"),6.1626678214E10)</f>
        <v>61626678214</v>
      </c>
    </row>
    <row r="165">
      <c r="A165" s="4" t="s">
        <v>358</v>
      </c>
      <c r="B165" s="4" t="s">
        <v>29</v>
      </c>
      <c r="C165" s="4" t="s">
        <v>359</v>
      </c>
      <c r="D165" s="4" t="s">
        <v>13</v>
      </c>
      <c r="E165" s="5">
        <f>IFERROR(__xludf.DUMMYFUNCTION("GOOGLEFINANCE(C165,""price"")"),194.5)</f>
        <v>194.5</v>
      </c>
      <c r="F165" s="5">
        <f>IFERROR(__xludf.DUMMYFUNCTION("GOOGLEFINANCE(C165,""change"")"),0.7)</f>
        <v>0.7</v>
      </c>
      <c r="G165" s="6">
        <f>IFERROR(__xludf.DUMMYFUNCTION("GOOGLEFINANCE(C165, ""changepct"")/100"),0.0036)</f>
        <v>0.0036</v>
      </c>
      <c r="H165" s="5">
        <f>IFERROR(__xludf.DUMMYFUNCTION("GOOGLEFINANCE(C165, ""marketcap"")"),3.412308E11)</f>
        <v>341230800000</v>
      </c>
    </row>
    <row r="166">
      <c r="A166" s="4" t="s">
        <v>360</v>
      </c>
      <c r="B166" s="4" t="s">
        <v>11</v>
      </c>
      <c r="C166" s="4" t="s">
        <v>361</v>
      </c>
      <c r="D166" s="4" t="s">
        <v>13</v>
      </c>
      <c r="E166" s="5">
        <f>IFERROR(__xludf.DUMMYFUNCTION("GOOGLEFINANCE(C166,""price"")"),5816.95)</f>
        <v>5816.95</v>
      </c>
      <c r="F166" s="5">
        <f>IFERROR(__xludf.DUMMYFUNCTION("GOOGLEFINANCE(C166,""change"")"),33.2)</f>
        <v>33.2</v>
      </c>
      <c r="G166" s="6">
        <f>IFERROR(__xludf.DUMMYFUNCTION("GOOGLEFINANCE(C166, ""changepct"")/100"),0.005699999999999999)</f>
        <v>0.0057</v>
      </c>
      <c r="H166" s="5">
        <f>IFERROR(__xludf.DUMMYFUNCTION("GOOGLEFINANCE(C166, ""marketcap"")"),1.8918978732E11)</f>
        <v>189189787320</v>
      </c>
    </row>
    <row r="167">
      <c r="A167" s="4" t="s">
        <v>362</v>
      </c>
      <c r="B167" s="4" t="s">
        <v>32</v>
      </c>
      <c r="C167" s="4" t="s">
        <v>363</v>
      </c>
      <c r="D167" s="4" t="s">
        <v>13</v>
      </c>
      <c r="E167" s="5">
        <f>IFERROR(__xludf.DUMMYFUNCTION("GOOGLEFINANCE(C167,""price"")"),1590.0)</f>
        <v>1590</v>
      </c>
      <c r="F167" s="5">
        <f>IFERROR(__xludf.DUMMYFUNCTION("GOOGLEFINANCE(C167,""change"")"),7.8)</f>
        <v>7.8</v>
      </c>
      <c r="G167" s="6">
        <f>IFERROR(__xludf.DUMMYFUNCTION("GOOGLEFINANCE(C167, ""changepct"")/100"),0.0049)</f>
        <v>0.0049</v>
      </c>
      <c r="H167" s="5">
        <f>IFERROR(__xludf.DUMMYFUNCTION("GOOGLEFINANCE(C167, ""marketcap"")"),2.69440243E11)</f>
        <v>269440243000</v>
      </c>
    </row>
    <row r="168">
      <c r="A168" s="4" t="s">
        <v>364</v>
      </c>
      <c r="B168" s="4" t="s">
        <v>32</v>
      </c>
      <c r="C168" s="4" t="s">
        <v>365</v>
      </c>
      <c r="D168" s="4" t="s">
        <v>22</v>
      </c>
      <c r="E168" s="5">
        <f>IFERROR(__xludf.DUMMYFUNCTION("GOOGLEFINANCE(C168,""price"")"),645.2)</f>
        <v>645.2</v>
      </c>
      <c r="F168" s="5">
        <f>IFERROR(__xludf.DUMMYFUNCTION("GOOGLEFINANCE(C168,""change"")"),1.35)</f>
        <v>1.35</v>
      </c>
      <c r="G168" s="6">
        <f>IFERROR(__xludf.DUMMYFUNCTION("GOOGLEFINANCE(C168, ""changepct"")/100"),0.0021)</f>
        <v>0.0021</v>
      </c>
      <c r="H168" s="5">
        <f>IFERROR(__xludf.DUMMYFUNCTION("GOOGLEFINANCE(C168, ""marketcap"")"),1.819984245E11)</f>
        <v>181998424500</v>
      </c>
    </row>
    <row r="169">
      <c r="A169" s="4" t="s">
        <v>366</v>
      </c>
      <c r="B169" s="4" t="s">
        <v>11</v>
      </c>
      <c r="C169" s="4" t="s">
        <v>367</v>
      </c>
      <c r="D169" s="4" t="s">
        <v>13</v>
      </c>
      <c r="E169" s="5">
        <f>IFERROR(__xludf.DUMMYFUNCTION("GOOGLEFINANCE(C169,""price"")"),946.95)</f>
        <v>946.95</v>
      </c>
      <c r="F169" s="5">
        <f>IFERROR(__xludf.DUMMYFUNCTION("GOOGLEFINANCE(C169,""change"")"),19.6)</f>
        <v>19.6</v>
      </c>
      <c r="G169" s="6">
        <f>IFERROR(__xludf.DUMMYFUNCTION("GOOGLEFINANCE(C169, ""changepct"")/100"),0.021099999999999997)</f>
        <v>0.0211</v>
      </c>
      <c r="H169" s="5">
        <f>IFERROR(__xludf.DUMMYFUNCTION("GOOGLEFINANCE(C169, ""marketcap"")"),4.9235633709E10)</f>
        <v>49235633709</v>
      </c>
    </row>
    <row r="170">
      <c r="A170" s="4" t="s">
        <v>368</v>
      </c>
      <c r="B170" s="4" t="s">
        <v>11</v>
      </c>
      <c r="C170" s="4" t="s">
        <v>369</v>
      </c>
      <c r="D170" s="4" t="s">
        <v>13</v>
      </c>
      <c r="E170" s="5">
        <f>IFERROR(__xludf.DUMMYFUNCTION("GOOGLEFINANCE(C170,""price"")"),550.25)</f>
        <v>550.25</v>
      </c>
      <c r="F170" s="5">
        <f>IFERROR(__xludf.DUMMYFUNCTION("GOOGLEFINANCE(C170,""change"")"),-4.65)</f>
        <v>-4.65</v>
      </c>
      <c r="G170" s="6">
        <f>IFERROR(__xludf.DUMMYFUNCTION("GOOGLEFINANCE(C170, ""changepct"")/100"),-0.0084)</f>
        <v>-0.0084</v>
      </c>
      <c r="H170" s="5">
        <f>IFERROR(__xludf.DUMMYFUNCTION("GOOGLEFINANCE(C170, ""marketcap"")"),1.05700548875E11)</f>
        <v>105700548875</v>
      </c>
    </row>
    <row r="171">
      <c r="A171" s="4" t="s">
        <v>370</v>
      </c>
      <c r="B171" s="4" t="s">
        <v>11</v>
      </c>
      <c r="C171" s="4" t="s">
        <v>371</v>
      </c>
      <c r="D171" s="4" t="s">
        <v>22</v>
      </c>
      <c r="E171" s="5">
        <f>IFERROR(__xludf.DUMMYFUNCTION("GOOGLEFINANCE(C171,""price"")"),927.1)</f>
        <v>927.1</v>
      </c>
      <c r="F171" s="5">
        <f>IFERROR(__xludf.DUMMYFUNCTION("GOOGLEFINANCE(C171,""change"")"),6.45)</f>
        <v>6.45</v>
      </c>
      <c r="G171" s="6">
        <f>IFERROR(__xludf.DUMMYFUNCTION("GOOGLEFINANCE(C171, ""changepct"")/100"),0.006999999999999999)</f>
        <v>0.007</v>
      </c>
      <c r="H171" s="5">
        <f>IFERROR(__xludf.DUMMYFUNCTION("GOOGLEFINANCE(C171, ""marketcap"")"),9.47946745636E11)</f>
        <v>947946745636</v>
      </c>
    </row>
    <row r="172">
      <c r="A172" s="4" t="s">
        <v>372</v>
      </c>
      <c r="B172" s="4" t="s">
        <v>11</v>
      </c>
      <c r="C172" s="4" t="s">
        <v>373</v>
      </c>
      <c r="D172" s="4" t="s">
        <v>13</v>
      </c>
      <c r="E172" s="5">
        <f>IFERROR(__xludf.DUMMYFUNCTION("GOOGLEFINANCE(C172,""price"")"),549.7)</f>
        <v>549.7</v>
      </c>
      <c r="F172" s="5">
        <f>IFERROR(__xludf.DUMMYFUNCTION("GOOGLEFINANCE(C172,""change"")"),-2.15)</f>
        <v>-2.15</v>
      </c>
      <c r="G172" s="6">
        <f>IFERROR(__xludf.DUMMYFUNCTION("GOOGLEFINANCE(C172, ""changepct"")/100"),-0.0039000000000000003)</f>
        <v>-0.0039</v>
      </c>
      <c r="H172" s="5">
        <f>IFERROR(__xludf.DUMMYFUNCTION("GOOGLEFINANCE(C172, ""marketcap"")"),1.84907610536E11)</f>
        <v>184907610536</v>
      </c>
    </row>
    <row r="173">
      <c r="A173" s="4" t="s">
        <v>374</v>
      </c>
      <c r="B173" s="4" t="s">
        <v>100</v>
      </c>
      <c r="C173" s="4" t="s">
        <v>375</v>
      </c>
      <c r="D173" s="4" t="s">
        <v>22</v>
      </c>
      <c r="E173" s="5">
        <f>IFERROR(__xludf.DUMMYFUNCTION("GOOGLEFINANCE(C173,""price"")"),1431.0)</f>
        <v>1431</v>
      </c>
      <c r="F173" s="5">
        <f>IFERROR(__xludf.DUMMYFUNCTION("GOOGLEFINANCE(C173,""change"")"),20.8)</f>
        <v>20.8</v>
      </c>
      <c r="G173" s="6">
        <f>IFERROR(__xludf.DUMMYFUNCTION("GOOGLEFINANCE(C173, ""changepct"")/100"),0.0147)</f>
        <v>0.0147</v>
      </c>
      <c r="H173" s="5">
        <f>IFERROR(__xludf.DUMMYFUNCTION("GOOGLEFINANCE(C173, ""marketcap"")"),3.97627036457E11)</f>
        <v>397627036457</v>
      </c>
    </row>
    <row r="174">
      <c r="A174" s="4" t="s">
        <v>376</v>
      </c>
      <c r="B174" s="4" t="s">
        <v>32</v>
      </c>
      <c r="C174" s="4" t="s">
        <v>377</v>
      </c>
      <c r="D174" s="4" t="s">
        <v>22</v>
      </c>
      <c r="E174" s="5">
        <f>IFERROR(__xludf.DUMMYFUNCTION("GOOGLEFINANCE(C174,""price"")"),329.6)</f>
        <v>329.6</v>
      </c>
      <c r="F174" s="5">
        <f>IFERROR(__xludf.DUMMYFUNCTION("GOOGLEFINANCE(C174,""change"")"),0.6)</f>
        <v>0.6</v>
      </c>
      <c r="G174" s="6">
        <f>IFERROR(__xludf.DUMMYFUNCTION("GOOGLEFINANCE(C174, ""changepct"")/100"),0.0018)</f>
        <v>0.0018</v>
      </c>
      <c r="H174" s="5">
        <f>IFERROR(__xludf.DUMMYFUNCTION("GOOGLEFINANCE(C174, ""marketcap"")"),8.1571663956E10)</f>
        <v>81571663956</v>
      </c>
    </row>
    <row r="175">
      <c r="A175" s="4" t="s">
        <v>378</v>
      </c>
      <c r="B175" s="4" t="s">
        <v>15</v>
      </c>
      <c r="C175" s="4" t="s">
        <v>379</v>
      </c>
      <c r="D175" s="4" t="s">
        <v>13</v>
      </c>
      <c r="E175" s="5">
        <f>IFERROR(__xludf.DUMMYFUNCTION("GOOGLEFINANCE(C175,""price"")"),738.4)</f>
        <v>738.4</v>
      </c>
      <c r="F175" s="5">
        <f>IFERROR(__xludf.DUMMYFUNCTION("GOOGLEFINANCE(C175,""change"")"),12.55)</f>
        <v>12.55</v>
      </c>
      <c r="G175" s="6">
        <f>IFERROR(__xludf.DUMMYFUNCTION("GOOGLEFINANCE(C175, ""changepct"")/100"),0.0173)</f>
        <v>0.0173</v>
      </c>
      <c r="H175" s="5">
        <f>IFERROR(__xludf.DUMMYFUNCTION("GOOGLEFINANCE(C175, ""marketcap"")"),1.44265347809E11)</f>
        <v>144265347809</v>
      </c>
    </row>
    <row r="176">
      <c r="A176" s="4" t="s">
        <v>380</v>
      </c>
      <c r="B176" s="4" t="s">
        <v>20</v>
      </c>
      <c r="C176" s="4" t="s">
        <v>381</v>
      </c>
      <c r="D176" s="4" t="s">
        <v>22</v>
      </c>
      <c r="E176" s="5">
        <f>IFERROR(__xludf.DUMMYFUNCTION("GOOGLEFINANCE(C176,""price"")"),1505.7)</f>
        <v>1505.7</v>
      </c>
      <c r="F176" s="5">
        <f>IFERROR(__xludf.DUMMYFUNCTION("GOOGLEFINANCE(C176,""change"")"),12.7)</f>
        <v>12.7</v>
      </c>
      <c r="G176" s="6">
        <f>IFERROR(__xludf.DUMMYFUNCTION("GOOGLEFINANCE(C176, ""changepct"")/100"),0.0085)</f>
        <v>0.0085</v>
      </c>
      <c r="H176" s="5">
        <f>IFERROR(__xludf.DUMMYFUNCTION("GOOGLEFINANCE(C176, ""marketcap"")"),9.88898645186E11)</f>
        <v>988898645186</v>
      </c>
    </row>
    <row r="177">
      <c r="A177" s="4" t="s">
        <v>382</v>
      </c>
      <c r="B177" s="4" t="s">
        <v>47</v>
      </c>
      <c r="C177" s="4" t="s">
        <v>383</v>
      </c>
      <c r="D177" s="4" t="s">
        <v>13</v>
      </c>
      <c r="E177" s="5">
        <f>IFERROR(__xludf.DUMMYFUNCTION("GOOGLEFINANCE(C177,""price"")"),406.25)</f>
        <v>406.25</v>
      </c>
      <c r="F177" s="5">
        <f>IFERROR(__xludf.DUMMYFUNCTION("GOOGLEFINANCE(C177,""change"")"),4.5)</f>
        <v>4.5</v>
      </c>
      <c r="G177" s="6">
        <f>IFERROR(__xludf.DUMMYFUNCTION("GOOGLEFINANCE(C177, ""changepct"")/100"),0.011200000000000002)</f>
        <v>0.0112</v>
      </c>
      <c r="H177" s="5">
        <f>IFERROR(__xludf.DUMMYFUNCTION("GOOGLEFINANCE(C177, ""marketcap"")"),5.97051E10)</f>
        <v>59705100000</v>
      </c>
    </row>
    <row r="178">
      <c r="A178" s="4" t="s">
        <v>384</v>
      </c>
      <c r="B178" s="4" t="s">
        <v>15</v>
      </c>
      <c r="C178" s="4" t="s">
        <v>385</v>
      </c>
      <c r="D178" s="4" t="s">
        <v>13</v>
      </c>
      <c r="E178" s="5">
        <f>IFERROR(__xludf.DUMMYFUNCTION("GOOGLEFINANCE(C178,""price"")"),152.35)</f>
        <v>152.35</v>
      </c>
      <c r="F178" s="5">
        <f>IFERROR(__xludf.DUMMYFUNCTION("GOOGLEFINANCE(C178,""change"")"),1.05)</f>
        <v>1.05</v>
      </c>
      <c r="G178" s="6">
        <f>IFERROR(__xludf.DUMMYFUNCTION("GOOGLEFINANCE(C178, ""changepct"")/100"),0.0069)</f>
        <v>0.0069</v>
      </c>
      <c r="H178" s="5">
        <f>IFERROR(__xludf.DUMMYFUNCTION("GOOGLEFINANCE(C178, ""marketcap"")"),3.5224342156E10)</f>
        <v>35224342156</v>
      </c>
    </row>
    <row r="179">
      <c r="A179" s="4" t="s">
        <v>386</v>
      </c>
      <c r="B179" s="4" t="s">
        <v>15</v>
      </c>
      <c r="C179" s="4" t="s">
        <v>387</v>
      </c>
      <c r="D179" s="4" t="s">
        <v>13</v>
      </c>
      <c r="E179" s="5">
        <f>IFERROR(__xludf.DUMMYFUNCTION("GOOGLEFINANCE(C179,""price"")"),1179.45)</f>
        <v>1179.45</v>
      </c>
      <c r="F179" s="5">
        <f>IFERROR(__xludf.DUMMYFUNCTION("GOOGLEFINANCE(C179,""change"")"),1.7)</f>
        <v>1.7</v>
      </c>
      <c r="G179" s="6">
        <f>IFERROR(__xludf.DUMMYFUNCTION("GOOGLEFINANCE(C179, ""changepct"")/100"),0.0014000000000000002)</f>
        <v>0.0014</v>
      </c>
      <c r="H179" s="5">
        <f>IFERROR(__xludf.DUMMYFUNCTION("GOOGLEFINANCE(C179, ""marketcap"")"),1.30643071236E11)</f>
        <v>130643071236</v>
      </c>
    </row>
    <row r="180">
      <c r="A180" s="4" t="s">
        <v>388</v>
      </c>
      <c r="B180" s="4" t="s">
        <v>35</v>
      </c>
      <c r="C180" s="4" t="s">
        <v>389</v>
      </c>
      <c r="D180" s="4" t="s">
        <v>13</v>
      </c>
      <c r="E180" s="5">
        <f>IFERROR(__xludf.DUMMYFUNCTION("GOOGLEFINANCE(C180,""price"")"),419.8)</f>
        <v>419.8</v>
      </c>
      <c r="F180" s="5">
        <f>IFERROR(__xludf.DUMMYFUNCTION("GOOGLEFINANCE(C180,""change"")"),1.2)</f>
        <v>1.2</v>
      </c>
      <c r="G180" s="6">
        <f>IFERROR(__xludf.DUMMYFUNCTION("GOOGLEFINANCE(C180, ""changepct"")/100"),0.0029)</f>
        <v>0.0029</v>
      </c>
      <c r="H180" s="5">
        <f>IFERROR(__xludf.DUMMYFUNCTION("GOOGLEFINANCE(C180, ""marketcap"")"),3.0828822317E10)</f>
        <v>30828822317</v>
      </c>
    </row>
    <row r="181">
      <c r="A181" s="4" t="s">
        <v>390</v>
      </c>
      <c r="B181" s="4" t="s">
        <v>11</v>
      </c>
      <c r="C181" s="4" t="s">
        <v>391</v>
      </c>
      <c r="D181" s="4" t="s">
        <v>13</v>
      </c>
      <c r="E181" s="5">
        <f>IFERROR(__xludf.DUMMYFUNCTION("GOOGLEFINANCE(C181,""price"")"),170.0)</f>
        <v>170</v>
      </c>
      <c r="F181" s="5">
        <f>IFERROR(__xludf.DUMMYFUNCTION("GOOGLEFINANCE(C181,""change"")"),4.95)</f>
        <v>4.95</v>
      </c>
      <c r="G181" s="6">
        <f>IFERROR(__xludf.DUMMYFUNCTION("GOOGLEFINANCE(C181, ""changepct"")/100"),0.03)</f>
        <v>0.03</v>
      </c>
      <c r="H181" s="5">
        <f>IFERROR(__xludf.DUMMYFUNCTION("GOOGLEFINANCE(C181, ""marketcap"")"),3.8952585119E10)</f>
        <v>38952585119</v>
      </c>
    </row>
    <row r="182">
      <c r="A182" s="4" t="s">
        <v>392</v>
      </c>
      <c r="B182" s="4" t="s">
        <v>35</v>
      </c>
      <c r="C182" s="4" t="s">
        <v>393</v>
      </c>
      <c r="D182" s="4" t="s">
        <v>13</v>
      </c>
      <c r="E182" s="5">
        <f>IFERROR(__xludf.DUMMYFUNCTION("GOOGLEFINANCE(C182,""price"")"),1140.0)</f>
        <v>1140</v>
      </c>
      <c r="F182" s="5">
        <f>IFERROR(__xludf.DUMMYFUNCTION("GOOGLEFINANCE(C182,""change"")"),12.9)</f>
        <v>12.9</v>
      </c>
      <c r="G182" s="6">
        <f>IFERROR(__xludf.DUMMYFUNCTION("GOOGLEFINANCE(C182, ""changepct"")/100"),0.011399999999999999)</f>
        <v>0.0114</v>
      </c>
      <c r="H182" s="5">
        <f>IFERROR(__xludf.DUMMYFUNCTION("GOOGLEFINANCE(C182, ""marketcap"")"),1.25020282318E11)</f>
        <v>125020282318</v>
      </c>
    </row>
    <row r="183">
      <c r="A183" s="4" t="s">
        <v>394</v>
      </c>
      <c r="B183" s="4" t="s">
        <v>50</v>
      </c>
      <c r="C183" s="4" t="s">
        <v>395</v>
      </c>
      <c r="D183" s="4" t="s">
        <v>22</v>
      </c>
      <c r="E183" s="5">
        <f>IFERROR(__xludf.DUMMYFUNCTION("GOOGLEFINANCE(C183,""price"")"),648.9)</f>
        <v>648.9</v>
      </c>
      <c r="F183" s="5">
        <f>IFERROR(__xludf.DUMMYFUNCTION("GOOGLEFINANCE(C183,""change"")"),47.3)</f>
        <v>47.3</v>
      </c>
      <c r="G183" s="6">
        <f>IFERROR(__xludf.DUMMYFUNCTION("GOOGLEFINANCE(C183, ""changepct"")/100"),0.0786)</f>
        <v>0.0786</v>
      </c>
      <c r="H183" s="5">
        <f>IFERROR(__xludf.DUMMYFUNCTION("GOOGLEFINANCE(C183, ""marketcap"")"),4.46696352696E11)</f>
        <v>446696352696</v>
      </c>
    </row>
    <row r="184">
      <c r="A184" s="4" t="s">
        <v>396</v>
      </c>
      <c r="B184" s="4" t="s">
        <v>35</v>
      </c>
      <c r="C184" s="4" t="s">
        <v>397</v>
      </c>
      <c r="D184" s="4" t="s">
        <v>13</v>
      </c>
      <c r="E184" s="5">
        <f>IFERROR(__xludf.DUMMYFUNCTION("GOOGLEFINANCE(C184,""price"")"),371.9)</f>
        <v>371.9</v>
      </c>
      <c r="F184" s="5">
        <f>IFERROR(__xludf.DUMMYFUNCTION("GOOGLEFINANCE(C184,""change"")"),3.3)</f>
        <v>3.3</v>
      </c>
      <c r="G184" s="6">
        <f>IFERROR(__xludf.DUMMYFUNCTION("GOOGLEFINANCE(C184, ""changepct"")/100"),0.009000000000000001)</f>
        <v>0.009</v>
      </c>
      <c r="H184" s="5">
        <f>IFERROR(__xludf.DUMMYFUNCTION("GOOGLEFINANCE(C184, ""marketcap"")"),5.7800213581E10)</f>
        <v>57800213581</v>
      </c>
    </row>
    <row r="185">
      <c r="A185" s="4" t="s">
        <v>398</v>
      </c>
      <c r="B185" s="4" t="s">
        <v>47</v>
      </c>
      <c r="C185" s="4" t="s">
        <v>399</v>
      </c>
      <c r="D185" s="4" t="s">
        <v>13</v>
      </c>
      <c r="E185" s="5">
        <f>IFERROR(__xludf.DUMMYFUNCTION("GOOGLEFINANCE(C185,""price"")"),122.65)</f>
        <v>122.65</v>
      </c>
      <c r="F185" s="5">
        <f>IFERROR(__xludf.DUMMYFUNCTION("GOOGLEFINANCE(C185,""change"")"),6.1)</f>
        <v>6.1</v>
      </c>
      <c r="G185" s="6">
        <f>IFERROR(__xludf.DUMMYFUNCTION("GOOGLEFINANCE(C185, ""changepct"")/100"),0.052300000000000006)</f>
        <v>0.0523</v>
      </c>
      <c r="H185" s="5">
        <f>IFERROR(__xludf.DUMMYFUNCTION("GOOGLEFINANCE(C185, ""marketcap"")"),5.9270500145E10)</f>
        <v>59270500145</v>
      </c>
    </row>
    <row r="186">
      <c r="A186" s="4" t="s">
        <v>400</v>
      </c>
      <c r="B186" s="4" t="s">
        <v>157</v>
      </c>
      <c r="C186" s="4" t="s">
        <v>401</v>
      </c>
      <c r="D186" s="4" t="s">
        <v>13</v>
      </c>
      <c r="E186" s="5">
        <f>IFERROR(__xludf.DUMMYFUNCTION("GOOGLEFINANCE(C186,""price"")"),117.3)</f>
        <v>117.3</v>
      </c>
      <c r="F186" s="5">
        <f>IFERROR(__xludf.DUMMYFUNCTION("GOOGLEFINANCE(C186,""change"")"),1.3)</f>
        <v>1.3</v>
      </c>
      <c r="G186" s="6">
        <f>IFERROR(__xludf.DUMMYFUNCTION("GOOGLEFINANCE(C186, ""changepct"")/100"),0.011200000000000002)</f>
        <v>0.0112</v>
      </c>
      <c r="H186" s="5">
        <f>IFERROR(__xludf.DUMMYFUNCTION("GOOGLEFINANCE(C186, ""marketcap"")"),4.660183172E10)</f>
        <v>46601831720</v>
      </c>
    </row>
    <row r="187">
      <c r="A187" s="4" t="s">
        <v>402</v>
      </c>
      <c r="B187" s="4" t="s">
        <v>50</v>
      </c>
      <c r="C187" s="4" t="s">
        <v>403</v>
      </c>
      <c r="D187" s="4" t="s">
        <v>13</v>
      </c>
      <c r="E187" s="5">
        <f>IFERROR(__xludf.DUMMYFUNCTION("GOOGLEFINANCE(C187,""price"")"),310.05)</f>
        <v>310.05</v>
      </c>
      <c r="F187" s="5">
        <f>IFERROR(__xludf.DUMMYFUNCTION("GOOGLEFINANCE(C187,""change"")"),9.2)</f>
        <v>9.2</v>
      </c>
      <c r="G187" s="6">
        <f>IFERROR(__xludf.DUMMYFUNCTION("GOOGLEFINANCE(C187, ""changepct"")/100"),0.030600000000000002)</f>
        <v>0.0306</v>
      </c>
      <c r="H187" s="5">
        <f>IFERROR(__xludf.DUMMYFUNCTION("GOOGLEFINANCE(C187, ""marketcap"")"),1.74904281733E11)</f>
        <v>174904281733</v>
      </c>
    </row>
    <row r="188">
      <c r="A188" s="4" t="s">
        <v>404</v>
      </c>
      <c r="B188" s="4" t="s">
        <v>50</v>
      </c>
      <c r="C188" s="4" t="s">
        <v>405</v>
      </c>
      <c r="D188" s="4" t="s">
        <v>13</v>
      </c>
      <c r="E188" s="5">
        <f>IFERROR(__xludf.DUMMYFUNCTION("GOOGLEFINANCE(C188,""price"")"),695.4)</f>
        <v>695.4</v>
      </c>
      <c r="F188" s="5">
        <f>IFERROR(__xludf.DUMMYFUNCTION("GOOGLEFINANCE(C188,""change"")"),3.5)</f>
        <v>3.5</v>
      </c>
      <c r="G188" s="6">
        <f>IFERROR(__xludf.DUMMYFUNCTION("GOOGLEFINANCE(C188, ""changepct"")/100"),0.0051)</f>
        <v>0.0051</v>
      </c>
      <c r="H188" s="5">
        <f>IFERROR(__xludf.DUMMYFUNCTION("GOOGLEFINANCE(C188, ""marketcap"")"),3.495322659E10)</f>
        <v>34953226590</v>
      </c>
    </row>
    <row r="189">
      <c r="A189" s="4" t="s">
        <v>406</v>
      </c>
      <c r="B189" s="4" t="s">
        <v>15</v>
      </c>
      <c r="C189" s="4" t="s">
        <v>407</v>
      </c>
      <c r="D189" s="4" t="s">
        <v>13</v>
      </c>
      <c r="E189" s="5">
        <f>IFERROR(__xludf.DUMMYFUNCTION("GOOGLEFINANCE(C189,""price"")"),2292.9)</f>
        <v>2292.9</v>
      </c>
      <c r="F189" s="5">
        <f>IFERROR(__xludf.DUMMYFUNCTION("GOOGLEFINANCE(C189,""change"")"),30.3)</f>
        <v>30.3</v>
      </c>
      <c r="G189" s="6">
        <f>IFERROR(__xludf.DUMMYFUNCTION("GOOGLEFINANCE(C189, ""changepct"")/100"),0.0134)</f>
        <v>0.0134</v>
      </c>
      <c r="H189" s="5">
        <f>IFERROR(__xludf.DUMMYFUNCTION("GOOGLEFINANCE(C189, ""marketcap"")"),8.857474084E10)</f>
        <v>88574740840</v>
      </c>
    </row>
    <row r="190">
      <c r="A190" s="4" t="s">
        <v>408</v>
      </c>
      <c r="B190" s="4" t="s">
        <v>64</v>
      </c>
      <c r="C190" s="4" t="s">
        <v>409</v>
      </c>
      <c r="D190" s="4" t="s">
        <v>22</v>
      </c>
      <c r="E190" s="5">
        <f>IFERROR(__xludf.DUMMYFUNCTION("GOOGLEFINANCE(C190,""price"")"),988.3)</f>
        <v>988.3</v>
      </c>
      <c r="F190" s="5">
        <f>IFERROR(__xludf.DUMMYFUNCTION("GOOGLEFINANCE(C190,""change"")"),4.1)</f>
        <v>4.1</v>
      </c>
      <c r="G190" s="6">
        <f>IFERROR(__xludf.DUMMYFUNCTION("GOOGLEFINANCE(C190, ""changepct"")/100"),0.0042)</f>
        <v>0.0042</v>
      </c>
      <c r="H190" s="5">
        <f>IFERROR(__xludf.DUMMYFUNCTION("GOOGLEFINANCE(C190, ""marketcap"")"),2.681915086374E12)</f>
        <v>2681915086374</v>
      </c>
    </row>
    <row r="191">
      <c r="A191" s="4" t="s">
        <v>410</v>
      </c>
      <c r="B191" s="4" t="s">
        <v>29</v>
      </c>
      <c r="C191" s="4" t="s">
        <v>411</v>
      </c>
      <c r="D191" s="4" t="s">
        <v>22</v>
      </c>
      <c r="E191" s="5">
        <f>IFERROR(__xludf.DUMMYFUNCTION("GOOGLEFINANCE(C191,""price"")"),3097.0)</f>
        <v>3097</v>
      </c>
      <c r="F191" s="5">
        <f>IFERROR(__xludf.DUMMYFUNCTION("GOOGLEFINANCE(C191,""change"")"),11.95)</f>
        <v>11.95</v>
      </c>
      <c r="G191" s="6">
        <f>IFERROR(__xludf.DUMMYFUNCTION("GOOGLEFINANCE(C191, ""changepct"")/100"),0.0039000000000000003)</f>
        <v>0.0039</v>
      </c>
      <c r="H191" s="5">
        <f>IFERROR(__xludf.DUMMYFUNCTION("GOOGLEFINANCE(C191, ""marketcap"")"),6.59404492797E11)</f>
        <v>659404492797</v>
      </c>
    </row>
    <row r="192">
      <c r="A192" s="4" t="s">
        <v>412</v>
      </c>
      <c r="B192" s="4" t="s">
        <v>29</v>
      </c>
      <c r="C192" s="4" t="s">
        <v>413</v>
      </c>
      <c r="D192" s="4" t="s">
        <v>22</v>
      </c>
      <c r="E192" s="5">
        <f>IFERROR(__xludf.DUMMYFUNCTION("GOOGLEFINANCE(C192,""price"")"),1489.8)</f>
        <v>1489.8</v>
      </c>
      <c r="F192" s="5">
        <f>IFERROR(__xludf.DUMMYFUNCTION("GOOGLEFINANCE(C192,""change"")"),10.35)</f>
        <v>10.35</v>
      </c>
      <c r="G192" s="6">
        <f>IFERROR(__xludf.DUMMYFUNCTION("GOOGLEFINANCE(C192, ""changepct"")/100"),0.006999999999999999)</f>
        <v>0.007</v>
      </c>
      <c r="H192" s="5">
        <f>IFERROR(__xludf.DUMMYFUNCTION("GOOGLEFINANCE(C192, ""marketcap"")"),8.221057718682E12)</f>
        <v>8221057718682</v>
      </c>
    </row>
    <row r="193">
      <c r="A193" s="4" t="s">
        <v>414</v>
      </c>
      <c r="B193" s="4" t="s">
        <v>29</v>
      </c>
      <c r="C193" s="4" t="s">
        <v>415</v>
      </c>
      <c r="D193" s="4" t="s">
        <v>22</v>
      </c>
      <c r="E193" s="5">
        <f>IFERROR(__xludf.DUMMYFUNCTION("GOOGLEFINANCE(C193,""price"")"),687.05)</f>
        <v>687.05</v>
      </c>
      <c r="F193" s="5">
        <f>IFERROR(__xludf.DUMMYFUNCTION("GOOGLEFINANCE(C193,""change"")"),5.35)</f>
        <v>5.35</v>
      </c>
      <c r="G193" s="6">
        <f>IFERROR(__xludf.DUMMYFUNCTION("GOOGLEFINANCE(C193, ""changepct"")/100"),0.0078000000000000005)</f>
        <v>0.0078</v>
      </c>
      <c r="H193" s="5">
        <f>IFERROR(__xludf.DUMMYFUNCTION("GOOGLEFINANCE(C193, ""marketcap"")"),1.388513562E12)</f>
        <v>1388513562000</v>
      </c>
    </row>
    <row r="194">
      <c r="A194" s="4" t="s">
        <v>416</v>
      </c>
      <c r="B194" s="4" t="s">
        <v>174</v>
      </c>
      <c r="C194" s="4" t="s">
        <v>417</v>
      </c>
      <c r="D194" s="4" t="s">
        <v>13</v>
      </c>
      <c r="E194" s="5">
        <f>IFERROR(__xludf.DUMMYFUNCTION("GOOGLEFINANCE(C194,""price"")"),50.65)</f>
        <v>50.65</v>
      </c>
      <c r="F194" s="5">
        <f>IFERROR(__xludf.DUMMYFUNCTION("GOOGLEFINANCE(C194,""change"")"),1.4)</f>
        <v>1.4</v>
      </c>
      <c r="G194" s="6">
        <f>IFERROR(__xludf.DUMMYFUNCTION("GOOGLEFINANCE(C194, ""changepct"")/100"),0.028399999999999998)</f>
        <v>0.0284</v>
      </c>
      <c r="H194" s="5">
        <f>IFERROR(__xludf.DUMMYFUNCTION("GOOGLEFINANCE(C194, ""marketcap"")"),6.5054861959E10)</f>
        <v>65054861959</v>
      </c>
    </row>
    <row r="195">
      <c r="A195" s="4" t="s">
        <v>418</v>
      </c>
      <c r="B195" s="4" t="s">
        <v>64</v>
      </c>
      <c r="C195" s="4" t="s">
        <v>419</v>
      </c>
      <c r="D195" s="4" t="s">
        <v>13</v>
      </c>
      <c r="E195" s="5">
        <f>IFERROR(__xludf.DUMMYFUNCTION("GOOGLEFINANCE(C195,""price"")"),929.0)</f>
        <v>929</v>
      </c>
      <c r="F195" s="5">
        <f>IFERROR(__xludf.DUMMYFUNCTION("GOOGLEFINANCE(C195,""change"")"),6.6)</f>
        <v>6.6</v>
      </c>
      <c r="G195" s="6">
        <f>IFERROR(__xludf.DUMMYFUNCTION("GOOGLEFINANCE(C195, ""changepct"")/100"),0.0072)</f>
        <v>0.0072</v>
      </c>
      <c r="H195" s="5">
        <f>IFERROR(__xludf.DUMMYFUNCTION("GOOGLEFINANCE(C195, ""marketcap"")"),1.36582694146E11)</f>
        <v>136582694146</v>
      </c>
    </row>
    <row r="196">
      <c r="A196" s="4" t="s">
        <v>420</v>
      </c>
      <c r="B196" s="4" t="s">
        <v>11</v>
      </c>
      <c r="C196" s="4" t="s">
        <v>421</v>
      </c>
      <c r="D196" s="4" t="s">
        <v>13</v>
      </c>
      <c r="E196" s="5">
        <f>IFERROR(__xludf.DUMMYFUNCTION("GOOGLEFINANCE(C196,""price"")"),938.35)</f>
        <v>938.35</v>
      </c>
      <c r="F196" s="5">
        <f>IFERROR(__xludf.DUMMYFUNCTION("GOOGLEFINANCE(C196,""change"")"),36.2)</f>
        <v>36.2</v>
      </c>
      <c r="G196" s="6">
        <f>IFERROR(__xludf.DUMMYFUNCTION("GOOGLEFINANCE(C196, ""changepct"")/100"),0.0401)</f>
        <v>0.0401</v>
      </c>
      <c r="H196" s="5">
        <f>IFERROR(__xludf.DUMMYFUNCTION("GOOGLEFINANCE(C196, ""marketcap"")"),2.03092968357E11)</f>
        <v>203092968357</v>
      </c>
    </row>
    <row r="197">
      <c r="A197" s="4" t="s">
        <v>422</v>
      </c>
      <c r="B197" s="4" t="s">
        <v>11</v>
      </c>
      <c r="C197" s="4" t="s">
        <v>423</v>
      </c>
      <c r="D197" s="4" t="s">
        <v>22</v>
      </c>
      <c r="E197" s="5">
        <f>IFERROR(__xludf.DUMMYFUNCTION("GOOGLEFINANCE(C197,""price"")"),1019.6)</f>
        <v>1019.6</v>
      </c>
      <c r="F197" s="5">
        <f>IFERROR(__xludf.DUMMYFUNCTION("GOOGLEFINANCE(C197,""change"")"),0.15)</f>
        <v>0.15</v>
      </c>
      <c r="G197" s="6">
        <f>IFERROR(__xludf.DUMMYFUNCTION("GOOGLEFINANCE(C197, ""changepct"")/100"),1.0E-4)</f>
        <v>0.0001</v>
      </c>
      <c r="H197" s="5">
        <f>IFERROR(__xludf.DUMMYFUNCTION("GOOGLEFINANCE(C197, ""marketcap"")"),6.3853580227E11)</f>
        <v>638535802270</v>
      </c>
    </row>
    <row r="198">
      <c r="A198" s="4" t="s">
        <v>424</v>
      </c>
      <c r="B198" s="4" t="s">
        <v>20</v>
      </c>
      <c r="C198" s="4" t="s">
        <v>425</v>
      </c>
      <c r="D198" s="4" t="s">
        <v>13</v>
      </c>
      <c r="E198" s="5">
        <f>IFERROR(__xludf.DUMMYFUNCTION("GOOGLEFINANCE(C198,""price"")"),248.0)</f>
        <v>248</v>
      </c>
      <c r="F198" s="5">
        <f>IFERROR(__xludf.DUMMYFUNCTION("GOOGLEFINANCE(C198,""change"")"),-2.15)</f>
        <v>-2.15</v>
      </c>
      <c r="G198" s="6">
        <f>IFERROR(__xludf.DUMMYFUNCTION("GOOGLEFINANCE(C198, ""changepct"")/100"),-0.0086)</f>
        <v>-0.0086</v>
      </c>
      <c r="H198" s="5">
        <f>IFERROR(__xludf.DUMMYFUNCTION("GOOGLEFINANCE(C198, ""marketcap"")"),5.62000488E10)</f>
        <v>56200048800</v>
      </c>
    </row>
    <row r="199">
      <c r="A199" s="4" t="s">
        <v>426</v>
      </c>
      <c r="B199" s="4" t="s">
        <v>100</v>
      </c>
      <c r="C199" s="4" t="s">
        <v>427</v>
      </c>
      <c r="D199" s="4" t="s">
        <v>13</v>
      </c>
      <c r="E199" s="5">
        <f>IFERROR(__xludf.DUMMYFUNCTION("GOOGLEFINANCE(C199,""price"")"),152.3)</f>
        <v>152.3</v>
      </c>
      <c r="F199" s="5">
        <f>IFERROR(__xludf.DUMMYFUNCTION("GOOGLEFINANCE(C199,""change"")"),-0.95)</f>
        <v>-0.95</v>
      </c>
      <c r="G199" s="6">
        <f>IFERROR(__xludf.DUMMYFUNCTION("GOOGLEFINANCE(C199, ""changepct"")/100"),-0.0062)</f>
        <v>-0.0062</v>
      </c>
      <c r="H199" s="5">
        <f>IFERROR(__xludf.DUMMYFUNCTION("GOOGLEFINANCE(C199, ""marketcap"")"),4.343399826E10)</f>
        <v>43433998260</v>
      </c>
    </row>
    <row r="200">
      <c r="A200" s="4" t="s">
        <v>428</v>
      </c>
      <c r="B200" s="4" t="s">
        <v>82</v>
      </c>
      <c r="C200" s="4" t="s">
        <v>429</v>
      </c>
      <c r="D200" s="4" t="s">
        <v>22</v>
      </c>
      <c r="E200" s="5">
        <f>IFERROR(__xludf.DUMMYFUNCTION("GOOGLEFINANCE(C200,""price"")"),2995.9)</f>
        <v>2995.9</v>
      </c>
      <c r="F200" s="5">
        <f>IFERROR(__xludf.DUMMYFUNCTION("GOOGLEFINANCE(C200,""change"")"),10.25)</f>
        <v>10.25</v>
      </c>
      <c r="G200" s="6">
        <f>IFERROR(__xludf.DUMMYFUNCTION("GOOGLEFINANCE(C200, ""changepct"")/100"),0.0034000000000000002)</f>
        <v>0.0034</v>
      </c>
      <c r="H200" s="5">
        <f>IFERROR(__xludf.DUMMYFUNCTION("GOOGLEFINANCE(C200, ""marketcap"")"),5.98550541899E11)</f>
        <v>598550541899</v>
      </c>
    </row>
    <row r="201">
      <c r="A201" s="4" t="s">
        <v>430</v>
      </c>
      <c r="B201" s="4" t="s">
        <v>35</v>
      </c>
      <c r="C201" s="4" t="s">
        <v>431</v>
      </c>
      <c r="D201" s="4" t="s">
        <v>13</v>
      </c>
      <c r="E201" s="5">
        <f>IFERROR(__xludf.DUMMYFUNCTION("GOOGLEFINANCE(C201,""price"")"),54.65)</f>
        <v>54.65</v>
      </c>
      <c r="F201" s="5">
        <f>IFERROR(__xludf.DUMMYFUNCTION("GOOGLEFINANCE(C201,""change"")"),1.0)</f>
        <v>1</v>
      </c>
      <c r="G201" s="6">
        <f>IFERROR(__xludf.DUMMYFUNCTION("GOOGLEFINANCE(C201, ""changepct"")/100"),0.018600000000000002)</f>
        <v>0.0186</v>
      </c>
      <c r="H201" s="5">
        <f>IFERROR(__xludf.DUMMYFUNCTION("GOOGLEFINANCE(C201, ""marketcap"")"),2.2896448819E10)</f>
        <v>22896448819</v>
      </c>
    </row>
    <row r="202">
      <c r="A202" s="4" t="s">
        <v>432</v>
      </c>
      <c r="B202" s="4" t="s">
        <v>26</v>
      </c>
      <c r="C202" s="4" t="s">
        <v>433</v>
      </c>
      <c r="D202" s="4" t="s">
        <v>22</v>
      </c>
      <c r="E202" s="5">
        <f>IFERROR(__xludf.DUMMYFUNCTION("GOOGLEFINANCE(C202,""price"")"),393.1)</f>
        <v>393.1</v>
      </c>
      <c r="F202" s="5">
        <f>IFERROR(__xludf.DUMMYFUNCTION("GOOGLEFINANCE(C202,""change"")"),-1.7)</f>
        <v>-1.7</v>
      </c>
      <c r="G202" s="6">
        <f>IFERROR(__xludf.DUMMYFUNCTION("GOOGLEFINANCE(C202, ""changepct"")/100"),-0.0043)</f>
        <v>-0.0043</v>
      </c>
      <c r="H202" s="5">
        <f>IFERROR(__xludf.DUMMYFUNCTION("GOOGLEFINANCE(C202, ""marketcap"")"),8.818630125E11)</f>
        <v>881863012500</v>
      </c>
    </row>
    <row r="203">
      <c r="A203" s="4" t="s">
        <v>434</v>
      </c>
      <c r="B203" s="4" t="s">
        <v>15</v>
      </c>
      <c r="C203" s="4" t="s">
        <v>435</v>
      </c>
      <c r="D203" s="4" t="s">
        <v>13</v>
      </c>
      <c r="E203" s="5">
        <f>IFERROR(__xludf.DUMMYFUNCTION("GOOGLEFINANCE(C203,""price"")"),1052.05)</f>
        <v>1052.05</v>
      </c>
      <c r="F203" s="5">
        <f>IFERROR(__xludf.DUMMYFUNCTION("GOOGLEFINANCE(C203,""change"")"),0.15)</f>
        <v>0.15</v>
      </c>
      <c r="G203" s="6">
        <f>IFERROR(__xludf.DUMMYFUNCTION("GOOGLEFINANCE(C203, ""changepct"")/100"),1.0E-4)</f>
        <v>0.0001</v>
      </c>
      <c r="H203" s="5">
        <f>IFERROR(__xludf.DUMMYFUNCTION("GOOGLEFINANCE(C203, ""marketcap"")"),3.5192790195E11)</f>
        <v>351927901950</v>
      </c>
    </row>
    <row r="204">
      <c r="A204" s="4" t="s">
        <v>436</v>
      </c>
      <c r="B204" s="4" t="s">
        <v>26</v>
      </c>
      <c r="C204" s="4" t="s">
        <v>437</v>
      </c>
      <c r="D204" s="4" t="s">
        <v>13</v>
      </c>
      <c r="E204" s="5">
        <f>IFERROR(__xludf.DUMMYFUNCTION("GOOGLEFINANCE(C204,""price"")"),164.65)</f>
        <v>164.65</v>
      </c>
      <c r="F204" s="5">
        <f>IFERROR(__xludf.DUMMYFUNCTION("GOOGLEFINANCE(C204,""change"")"),-2.35)</f>
        <v>-2.35</v>
      </c>
      <c r="G204" s="6">
        <f>IFERROR(__xludf.DUMMYFUNCTION("GOOGLEFINANCE(C204, ""changepct"")/100"),-0.0141)</f>
        <v>-0.0141</v>
      </c>
      <c r="H204" s="5">
        <f>IFERROR(__xludf.DUMMYFUNCTION("GOOGLEFINANCE(C204, ""marketcap"")"),1.59220479232E11)</f>
        <v>159220479232</v>
      </c>
    </row>
    <row r="205">
      <c r="A205" s="4" t="s">
        <v>438</v>
      </c>
      <c r="B205" s="4" t="s">
        <v>50</v>
      </c>
      <c r="C205" s="4" t="s">
        <v>439</v>
      </c>
      <c r="D205" s="4" t="s">
        <v>22</v>
      </c>
      <c r="E205" s="5">
        <f>IFERROR(__xludf.DUMMYFUNCTION("GOOGLEFINANCE(C205,""price"")"),299.6)</f>
        <v>299.6</v>
      </c>
      <c r="F205" s="5">
        <f>IFERROR(__xludf.DUMMYFUNCTION("GOOGLEFINANCE(C205,""change"")"),1.2)</f>
        <v>1.2</v>
      </c>
      <c r="G205" s="6">
        <f>IFERROR(__xludf.DUMMYFUNCTION("GOOGLEFINANCE(C205, ""changepct"")/100"),0.004)</f>
        <v>0.004</v>
      </c>
      <c r="H205" s="5">
        <f>IFERROR(__xludf.DUMMYFUNCTION("GOOGLEFINANCE(C205, ""marketcap"")"),4.24996989458E11)</f>
        <v>424996989458</v>
      </c>
    </row>
    <row r="206">
      <c r="A206" s="4" t="s">
        <v>440</v>
      </c>
      <c r="B206" s="4" t="s">
        <v>11</v>
      </c>
      <c r="C206" s="4" t="s">
        <v>441</v>
      </c>
      <c r="D206" s="4" t="s">
        <v>22</v>
      </c>
      <c r="E206" s="5">
        <f>IFERROR(__xludf.DUMMYFUNCTION("GOOGLEFINANCE(C206,""price"")"),2374.65)</f>
        <v>2374.65</v>
      </c>
      <c r="F206" s="5">
        <f>IFERROR(__xludf.DUMMYFUNCTION("GOOGLEFINANCE(C206,""change"")"),10.05)</f>
        <v>10.05</v>
      </c>
      <c r="G206" s="6">
        <f>IFERROR(__xludf.DUMMYFUNCTION("GOOGLEFINANCE(C206, ""changepct"")/100"),0.0043)</f>
        <v>0.0043</v>
      </c>
      <c r="H206" s="5">
        <f>IFERROR(__xludf.DUMMYFUNCTION("GOOGLEFINANCE(C206, ""marketcap"")"),5.579448914748E12)</f>
        <v>5579448914748</v>
      </c>
    </row>
    <row r="207">
      <c r="A207" s="4" t="s">
        <v>442</v>
      </c>
      <c r="B207" s="4" t="s">
        <v>26</v>
      </c>
      <c r="C207" s="4" t="s">
        <v>443</v>
      </c>
      <c r="D207" s="4" t="s">
        <v>13</v>
      </c>
      <c r="E207" s="5">
        <f>IFERROR(__xludf.DUMMYFUNCTION("GOOGLEFINANCE(C207,""price"")"),340.4)</f>
        <v>340.4</v>
      </c>
      <c r="F207" s="5">
        <f>IFERROR(__xludf.DUMMYFUNCTION("GOOGLEFINANCE(C207,""change"")"),0.8)</f>
        <v>0.8</v>
      </c>
      <c r="G207" s="6">
        <f>IFERROR(__xludf.DUMMYFUNCTION("GOOGLEFINANCE(C207, ""changepct"")/100"),0.0024)</f>
        <v>0.0024</v>
      </c>
      <c r="H207" s="5">
        <f>IFERROR(__xludf.DUMMYFUNCTION("GOOGLEFINANCE(C207, ""marketcap"")"),1.437871340993E12)</f>
        <v>1437871340993</v>
      </c>
    </row>
    <row r="208">
      <c r="A208" s="4" t="s">
        <v>444</v>
      </c>
      <c r="B208" s="4" t="s">
        <v>15</v>
      </c>
      <c r="C208" s="4" t="s">
        <v>445</v>
      </c>
      <c r="D208" s="4" t="s">
        <v>13</v>
      </c>
      <c r="E208" s="5">
        <f>IFERROR(__xludf.DUMMYFUNCTION("GOOGLEFINANCE(C208,""price"")"),40795.85)</f>
        <v>40795.85</v>
      </c>
      <c r="F208" s="5">
        <f>IFERROR(__xludf.DUMMYFUNCTION("GOOGLEFINANCE(C208,""change"")"),143.9)</f>
        <v>143.9</v>
      </c>
      <c r="G208" s="6">
        <f>IFERROR(__xludf.DUMMYFUNCTION("GOOGLEFINANCE(C208, ""changepct"")/100"),0.0034999999999999996)</f>
        <v>0.0035</v>
      </c>
      <c r="H208" s="5">
        <f>IFERROR(__xludf.DUMMYFUNCTION("GOOGLEFINANCE(C208, ""marketcap"")"),3.60424685095E11)</f>
        <v>360424685095</v>
      </c>
    </row>
    <row r="209">
      <c r="A209" s="4" t="s">
        <v>446</v>
      </c>
      <c r="B209" s="4" t="s">
        <v>29</v>
      </c>
      <c r="C209" s="4" t="s">
        <v>447</v>
      </c>
      <c r="D209" s="4" t="s">
        <v>13</v>
      </c>
      <c r="E209" s="5">
        <f>IFERROR(__xludf.DUMMYFUNCTION("GOOGLEFINANCE(C209,""price"")"),53.6)</f>
        <v>53.6</v>
      </c>
      <c r="F209" s="5">
        <f>IFERROR(__xludf.DUMMYFUNCTION("GOOGLEFINANCE(C209,""change"")"),0.4)</f>
        <v>0.4</v>
      </c>
      <c r="G209" s="6">
        <f>IFERROR(__xludf.DUMMYFUNCTION("GOOGLEFINANCE(C209, ""changepct"")/100"),0.0075)</f>
        <v>0.0075</v>
      </c>
      <c r="H209" s="5">
        <f>IFERROR(__xludf.DUMMYFUNCTION("GOOGLEFINANCE(C209, ""marketcap"")"),1.07401884404E11)</f>
        <v>107401884404</v>
      </c>
    </row>
    <row r="210">
      <c r="A210" s="4" t="s">
        <v>448</v>
      </c>
      <c r="B210" s="4" t="s">
        <v>29</v>
      </c>
      <c r="C210" s="4" t="s">
        <v>449</v>
      </c>
      <c r="D210" s="4" t="s">
        <v>22</v>
      </c>
      <c r="E210" s="5">
        <f>IFERROR(__xludf.DUMMYFUNCTION("GOOGLEFINANCE(C210,""price"")"),2540.0)</f>
        <v>2540</v>
      </c>
      <c r="F210" s="5">
        <f>IFERROR(__xludf.DUMMYFUNCTION("GOOGLEFINANCE(C210,""change"")"),0.8)</f>
        <v>0.8</v>
      </c>
      <c r="G210" s="6">
        <f>IFERROR(__xludf.DUMMYFUNCTION("GOOGLEFINANCE(C210, ""changepct"")/100"),3.0E-4)</f>
        <v>0.0003</v>
      </c>
      <c r="H210" s="5">
        <f>IFERROR(__xludf.DUMMYFUNCTION("GOOGLEFINANCE(C210, ""marketcap"")"),4.58629512E12)</f>
        <v>4586295120000</v>
      </c>
    </row>
    <row r="211">
      <c r="A211" s="4" t="s">
        <v>450</v>
      </c>
      <c r="B211" s="4" t="s">
        <v>15</v>
      </c>
      <c r="C211" s="4" t="s">
        <v>451</v>
      </c>
      <c r="D211" s="4" t="s">
        <v>13</v>
      </c>
      <c r="E211" s="5">
        <f>IFERROR(__xludf.DUMMYFUNCTION("GOOGLEFINANCE(C211,""price"")"),298.5)</f>
        <v>298.5</v>
      </c>
      <c r="F211" s="5">
        <f>IFERROR(__xludf.DUMMYFUNCTION("GOOGLEFINANCE(C211,""change"")"),8.9)</f>
        <v>8.9</v>
      </c>
      <c r="G211" s="6">
        <f>IFERROR(__xludf.DUMMYFUNCTION("GOOGLEFINANCE(C211, ""changepct"")/100"),0.030699999999999998)</f>
        <v>0.0307</v>
      </c>
      <c r="H211" s="5">
        <f>IFERROR(__xludf.DUMMYFUNCTION("GOOGLEFINANCE(C211, ""marketcap"")"),2.2592384898E10)</f>
        <v>22592384898</v>
      </c>
    </row>
    <row r="212">
      <c r="A212" s="4" t="s">
        <v>452</v>
      </c>
      <c r="B212" s="4" t="s">
        <v>29</v>
      </c>
      <c r="C212" s="4" t="s">
        <v>453</v>
      </c>
      <c r="D212" s="4" t="s">
        <v>22</v>
      </c>
      <c r="E212" s="5">
        <f>IFERROR(__xludf.DUMMYFUNCTION("GOOGLEFINANCE(C212,""price"")"),640.0)</f>
        <v>640</v>
      </c>
      <c r="F212" s="5">
        <f>IFERROR(__xludf.DUMMYFUNCTION("GOOGLEFINANCE(C212,""change"")"),4.85)</f>
        <v>4.85</v>
      </c>
      <c r="G212" s="6">
        <f>IFERROR(__xludf.DUMMYFUNCTION("GOOGLEFINANCE(C212, ""changepct"")/100"),0.0076)</f>
        <v>0.0076</v>
      </c>
      <c r="H212" s="5">
        <f>IFERROR(__xludf.DUMMYFUNCTION("GOOGLEFINANCE(C212, ""marketcap"")"),4.432303282117E12)</f>
        <v>4432303282117</v>
      </c>
    </row>
    <row r="213">
      <c r="A213" s="4" t="s">
        <v>454</v>
      </c>
      <c r="B213" s="4" t="s">
        <v>29</v>
      </c>
      <c r="C213" s="4" t="s">
        <v>455</v>
      </c>
      <c r="D213" s="4" t="s">
        <v>22</v>
      </c>
      <c r="E213" s="5">
        <f>IFERROR(__xludf.DUMMYFUNCTION("GOOGLEFINANCE(C213,""price"")"),1506.25)</f>
        <v>1506.25</v>
      </c>
      <c r="F213" s="5">
        <f>IFERROR(__xludf.DUMMYFUNCTION("GOOGLEFINANCE(C213,""change"")"),1.95)</f>
        <v>1.95</v>
      </c>
      <c r="G213" s="6">
        <f>IFERROR(__xludf.DUMMYFUNCTION("GOOGLEFINANCE(C213, ""changepct"")/100"),0.0013)</f>
        <v>0.0013</v>
      </c>
      <c r="H213" s="5">
        <f>IFERROR(__xludf.DUMMYFUNCTION("GOOGLEFINANCE(C213, ""marketcap"")"),6.84807675625E11)</f>
        <v>684807675625</v>
      </c>
    </row>
    <row r="214">
      <c r="A214" s="4" t="s">
        <v>456</v>
      </c>
      <c r="B214" s="4" t="s">
        <v>29</v>
      </c>
      <c r="C214" s="4" t="s">
        <v>457</v>
      </c>
      <c r="D214" s="4" t="s">
        <v>22</v>
      </c>
      <c r="E214" s="5">
        <f>IFERROR(__xludf.DUMMYFUNCTION("GOOGLEFINANCE(C214,""price"")"),586.85)</f>
        <v>586.85</v>
      </c>
      <c r="F214" s="5">
        <f>IFERROR(__xludf.DUMMYFUNCTION("GOOGLEFINANCE(C214,""change"")"),-1.05)</f>
        <v>-1.05</v>
      </c>
      <c r="G214" s="6">
        <f>IFERROR(__xludf.DUMMYFUNCTION("GOOGLEFINANCE(C214, ""changepct"")/100"),-0.0018)</f>
        <v>-0.0018</v>
      </c>
      <c r="H214" s="5">
        <f>IFERROR(__xludf.DUMMYFUNCTION("GOOGLEFINANCE(C214, ""marketcap"")"),8.43014097879E11)</f>
        <v>843014097879</v>
      </c>
    </row>
    <row r="215">
      <c r="A215" s="4" t="s">
        <v>458</v>
      </c>
      <c r="B215" s="4" t="s">
        <v>29</v>
      </c>
      <c r="C215" s="4" t="s">
        <v>459</v>
      </c>
      <c r="D215" s="4" t="s">
        <v>13</v>
      </c>
      <c r="E215" s="5">
        <f>IFERROR(__xludf.DUMMYFUNCTION("GOOGLEFINANCE(C215,""price"")"),662.8)</f>
        <v>662.8</v>
      </c>
      <c r="F215" s="5">
        <f>IFERROR(__xludf.DUMMYFUNCTION("GOOGLEFINANCE(C215,""change"")"),11.55)</f>
        <v>11.55</v>
      </c>
      <c r="G215" s="6">
        <f>IFERROR(__xludf.DUMMYFUNCTION("GOOGLEFINANCE(C215, ""changepct"")/100"),0.0177)</f>
        <v>0.0177</v>
      </c>
      <c r="H215" s="5">
        <f>IFERROR(__xludf.DUMMYFUNCTION("GOOGLEFINANCE(C215, ""marketcap"")"),2.13787395382E11)</f>
        <v>213787395382</v>
      </c>
    </row>
    <row r="216">
      <c r="A216" s="4" t="s">
        <v>460</v>
      </c>
      <c r="B216" s="4" t="s">
        <v>29</v>
      </c>
      <c r="C216" s="4" t="s">
        <v>461</v>
      </c>
      <c r="D216" s="4" t="s">
        <v>13</v>
      </c>
      <c r="E216" s="5">
        <f>IFERROR(__xludf.DUMMYFUNCTION("GOOGLEFINANCE(C216,""price"")"),39.2)</f>
        <v>39.2</v>
      </c>
      <c r="F216" s="5">
        <f>IFERROR(__xludf.DUMMYFUNCTION("GOOGLEFINANCE(C216,""change"")"),0.5)</f>
        <v>0.5</v>
      </c>
      <c r="G216" s="6">
        <f>IFERROR(__xludf.DUMMYFUNCTION("GOOGLEFINANCE(C216, ""changepct"")/100"),0.0129)</f>
        <v>0.0129</v>
      </c>
      <c r="H216" s="5">
        <f>IFERROR(__xludf.DUMMYFUNCTION("GOOGLEFINANCE(C216, ""marketcap"")"),4.21494088203E11)</f>
        <v>421494088203</v>
      </c>
    </row>
    <row r="217">
      <c r="A217" s="4" t="s">
        <v>462</v>
      </c>
      <c r="B217" s="4" t="s">
        <v>29</v>
      </c>
      <c r="C217" s="4" t="s">
        <v>463</v>
      </c>
      <c r="D217" s="4" t="s">
        <v>22</v>
      </c>
      <c r="E217" s="5">
        <f>IFERROR(__xludf.DUMMYFUNCTION("GOOGLEFINANCE(C217,""price"")"),59.8)</f>
        <v>59.8</v>
      </c>
      <c r="F217" s="5">
        <f>IFERROR(__xludf.DUMMYFUNCTION("GOOGLEFINANCE(C217,""change"")"),0.35)</f>
        <v>0.35</v>
      </c>
      <c r="G217" s="6">
        <f>IFERROR(__xludf.DUMMYFUNCTION("GOOGLEFINANCE(C217, ""changepct"")/100"),0.0059)</f>
        <v>0.0059</v>
      </c>
      <c r="H217" s="5">
        <f>IFERROR(__xludf.DUMMYFUNCTION("GOOGLEFINANCE(C217, ""marketcap"")"),3.724221E11)</f>
        <v>372422100000</v>
      </c>
    </row>
    <row r="218">
      <c r="A218" s="4" t="s">
        <v>464</v>
      </c>
      <c r="B218" s="4" t="s">
        <v>29</v>
      </c>
      <c r="C218" s="4" t="s">
        <v>465</v>
      </c>
      <c r="D218" s="4" t="s">
        <v>13</v>
      </c>
      <c r="E218" s="5">
        <f>IFERROR(__xludf.DUMMYFUNCTION("GOOGLEFINANCE(C218,""price"")"),56.9)</f>
        <v>56.9</v>
      </c>
      <c r="F218" s="5">
        <f>IFERROR(__xludf.DUMMYFUNCTION("GOOGLEFINANCE(C218,""change"")"),0.25)</f>
        <v>0.25</v>
      </c>
      <c r="G218" s="6">
        <f>IFERROR(__xludf.DUMMYFUNCTION("GOOGLEFINANCE(C218, ""changepct"")/100"),0.0044)</f>
        <v>0.0044</v>
      </c>
      <c r="H218" s="5">
        <f>IFERROR(__xludf.DUMMYFUNCTION("GOOGLEFINANCE(C218, ""marketcap"")"),9.0754364433E10)</f>
        <v>90754364433</v>
      </c>
    </row>
    <row r="219">
      <c r="A219" s="4" t="s">
        <v>466</v>
      </c>
      <c r="B219" s="4" t="s">
        <v>11</v>
      </c>
      <c r="C219" s="4" t="s">
        <v>467</v>
      </c>
      <c r="D219" s="4" t="s">
        <v>13</v>
      </c>
      <c r="E219" s="5">
        <f>IFERROR(__xludf.DUMMYFUNCTION("GOOGLEFINANCE(C219,""price"")"),1126.65)</f>
        <v>1126.65</v>
      </c>
      <c r="F219" s="5">
        <f>IFERROR(__xludf.DUMMYFUNCTION("GOOGLEFINANCE(C219,""change"")"),-34.9)</f>
        <v>-34.9</v>
      </c>
      <c r="G219" s="6">
        <f>IFERROR(__xludf.DUMMYFUNCTION("GOOGLEFINANCE(C219, ""changepct"")/100"),-0.03)</f>
        <v>-0.03</v>
      </c>
      <c r="H219" s="5">
        <f>IFERROR(__xludf.DUMMYFUNCTION("GOOGLEFINANCE(C219, ""marketcap"")"),4.558365E10)</f>
        <v>45583650000</v>
      </c>
    </row>
    <row r="220">
      <c r="A220" s="4" t="s">
        <v>468</v>
      </c>
      <c r="B220" s="4" t="s">
        <v>29</v>
      </c>
      <c r="C220" s="4" t="s">
        <v>469</v>
      </c>
      <c r="D220" s="4" t="s">
        <v>13</v>
      </c>
      <c r="E220" s="5">
        <f>IFERROR(__xludf.DUMMYFUNCTION("GOOGLEFINANCE(C220,""price"")"),258.25)</f>
        <v>258.25</v>
      </c>
      <c r="F220" s="5">
        <f>IFERROR(__xludf.DUMMYFUNCTION("GOOGLEFINANCE(C220,""change"")"),-1.4)</f>
        <v>-1.4</v>
      </c>
      <c r="G220" s="6">
        <f>IFERROR(__xludf.DUMMYFUNCTION("GOOGLEFINANCE(C220, ""changepct"")/100"),-0.0054)</f>
        <v>-0.0054</v>
      </c>
      <c r="H220" s="5">
        <f>IFERROR(__xludf.DUMMYFUNCTION("GOOGLEFINANCE(C220, ""marketcap"")"),9.7889108723E10)</f>
        <v>97889108723</v>
      </c>
    </row>
    <row r="221">
      <c r="A221" s="4" t="s">
        <v>470</v>
      </c>
      <c r="B221" s="4" t="s">
        <v>29</v>
      </c>
      <c r="C221" s="4" t="s">
        <v>471</v>
      </c>
      <c r="D221" s="4" t="s">
        <v>13</v>
      </c>
      <c r="E221" s="5">
        <f>IFERROR(__xludf.DUMMYFUNCTION("GOOGLEFINANCE(C221,""price"")"),1164.95)</f>
        <v>1164.95</v>
      </c>
      <c r="F221" s="5">
        <f>IFERROR(__xludf.DUMMYFUNCTION("GOOGLEFINANCE(C221,""change"")"),-19.5)</f>
        <v>-19.5</v>
      </c>
      <c r="G221" s="6">
        <f>IFERROR(__xludf.DUMMYFUNCTION("GOOGLEFINANCE(C221, ""changepct"")/100"),-0.0165)</f>
        <v>-0.0165</v>
      </c>
      <c r="H221" s="5">
        <f>IFERROR(__xludf.DUMMYFUNCTION("GOOGLEFINANCE(C221, ""marketcap"")"),1.02422023357E11)</f>
        <v>102422023357</v>
      </c>
    </row>
    <row r="222">
      <c r="A222" s="4" t="s">
        <v>472</v>
      </c>
      <c r="B222" s="4" t="s">
        <v>32</v>
      </c>
      <c r="C222" s="4" t="s">
        <v>473</v>
      </c>
      <c r="D222" s="4" t="s">
        <v>13</v>
      </c>
      <c r="E222" s="5">
        <f>IFERROR(__xludf.DUMMYFUNCTION("GOOGLEFINANCE(C222,""price"")"),656.0)</f>
        <v>656</v>
      </c>
      <c r="F222" s="5">
        <f>IFERROR(__xludf.DUMMYFUNCTION("GOOGLEFINANCE(C222,""change"")"),-0.4)</f>
        <v>-0.4</v>
      </c>
      <c r="G222" s="6">
        <f>IFERROR(__xludf.DUMMYFUNCTION("GOOGLEFINANCE(C222, ""changepct"")/100"),-6.0E-4)</f>
        <v>-0.0006</v>
      </c>
      <c r="H222" s="5">
        <f>IFERROR(__xludf.DUMMYFUNCTION("GOOGLEFINANCE(C222, ""marketcap"")"),3.720176E10)</f>
        <v>37201760000</v>
      </c>
    </row>
    <row r="223">
      <c r="A223" s="4" t="s">
        <v>474</v>
      </c>
      <c r="B223" s="4" t="s">
        <v>100</v>
      </c>
      <c r="C223" s="4" t="s">
        <v>475</v>
      </c>
      <c r="D223" s="4" t="s">
        <v>13</v>
      </c>
      <c r="E223" s="5">
        <f>IFERROR(__xludf.DUMMYFUNCTION("GOOGLEFINANCE(C223,""price"")"),148.15)</f>
        <v>148.15</v>
      </c>
      <c r="F223" s="5">
        <f>IFERROR(__xludf.DUMMYFUNCTION("GOOGLEFINANCE(C223,""change"")"),6.55)</f>
        <v>6.55</v>
      </c>
      <c r="G223" s="6">
        <f>IFERROR(__xludf.DUMMYFUNCTION("GOOGLEFINANCE(C223, ""changepct"")/100"),0.0463)</f>
        <v>0.0463</v>
      </c>
      <c r="H223" s="5">
        <f>IFERROR(__xludf.DUMMYFUNCTION("GOOGLEFINANCE(C223, ""marketcap"")"),5.2067315354E10)</f>
        <v>52067315354</v>
      </c>
    </row>
    <row r="224">
      <c r="A224" s="4" t="s">
        <v>476</v>
      </c>
      <c r="B224" s="4" t="s">
        <v>100</v>
      </c>
      <c r="C224" s="4" t="s">
        <v>477</v>
      </c>
      <c r="D224" s="4" t="s">
        <v>13</v>
      </c>
      <c r="E224" s="5">
        <f>IFERROR(__xludf.DUMMYFUNCTION("GOOGLEFINANCE(C224,""price"")"),48.35)</f>
        <v>48.35</v>
      </c>
      <c r="F224" s="5">
        <f>IFERROR(__xludf.DUMMYFUNCTION("GOOGLEFINANCE(C224,""change"")"),-0.2)</f>
        <v>-0.2</v>
      </c>
      <c r="G224" s="6">
        <f>IFERROR(__xludf.DUMMYFUNCTION("GOOGLEFINANCE(C224, ""changepct"")/100"),-0.0040999999999999995)</f>
        <v>-0.0041</v>
      </c>
      <c r="H224" s="5">
        <f>IFERROR(__xludf.DUMMYFUNCTION("GOOGLEFINANCE(C224, ""marketcap"")"),4.5426907592E10)</f>
        <v>45426907592</v>
      </c>
    </row>
    <row r="225">
      <c r="A225" s="4" t="s">
        <v>478</v>
      </c>
      <c r="B225" s="4" t="s">
        <v>11</v>
      </c>
      <c r="C225" s="4" t="s">
        <v>479</v>
      </c>
      <c r="D225" s="4" t="s">
        <v>22</v>
      </c>
      <c r="E225" s="5">
        <f>IFERROR(__xludf.DUMMYFUNCTION("GOOGLEFINANCE(C225,""price"")"),207.55)</f>
        <v>207.55</v>
      </c>
      <c r="F225" s="5">
        <f>IFERROR(__xludf.DUMMYFUNCTION("GOOGLEFINANCE(C225,""change"")"),0.25)</f>
        <v>0.25</v>
      </c>
      <c r="G225" s="6">
        <f>IFERROR(__xludf.DUMMYFUNCTION("GOOGLEFINANCE(C225, ""changepct"")/100"),0.0012)</f>
        <v>0.0012</v>
      </c>
      <c r="H225" s="5">
        <f>IFERROR(__xludf.DUMMYFUNCTION("GOOGLEFINANCE(C225, ""marketcap"")"),2.554699779563E12)</f>
        <v>2554699779563</v>
      </c>
    </row>
    <row r="226">
      <c r="A226" s="4" t="s">
        <v>480</v>
      </c>
      <c r="B226" s="4" t="s">
        <v>174</v>
      </c>
      <c r="C226" s="4" t="s">
        <v>481</v>
      </c>
      <c r="D226" s="4" t="s">
        <v>13</v>
      </c>
      <c r="E226" s="5">
        <f>IFERROR(__xludf.DUMMYFUNCTION("GOOGLEFINANCE(C226,""price"")"),126.5)</f>
        <v>126.5</v>
      </c>
      <c r="F226" s="5">
        <f>IFERROR(__xludf.DUMMYFUNCTION("GOOGLEFINANCE(C226,""change"")"),1.5)</f>
        <v>1.5</v>
      </c>
      <c r="G226" s="6">
        <f>IFERROR(__xludf.DUMMYFUNCTION("GOOGLEFINANCE(C226, ""changepct"")/100"),0.012)</f>
        <v>0.012</v>
      </c>
      <c r="H226" s="5">
        <f>IFERROR(__xludf.DUMMYFUNCTION("GOOGLEFINANCE(C226, ""marketcap"")"),1.180906342E11)</f>
        <v>118090634200</v>
      </c>
    </row>
    <row r="227">
      <c r="A227" s="4" t="s">
        <v>482</v>
      </c>
      <c r="B227" s="4" t="s">
        <v>20</v>
      </c>
      <c r="C227" s="4" t="s">
        <v>483</v>
      </c>
      <c r="D227" s="4" t="s">
        <v>13</v>
      </c>
      <c r="E227" s="5">
        <f>IFERROR(__xludf.DUMMYFUNCTION("GOOGLEFINANCE(C227,""price"")"),186.7)</f>
        <v>186.7</v>
      </c>
      <c r="F227" s="5">
        <f>IFERROR(__xludf.DUMMYFUNCTION("GOOGLEFINANCE(C227,""change"")"),4.65)</f>
        <v>4.65</v>
      </c>
      <c r="G227" s="6">
        <f>IFERROR(__xludf.DUMMYFUNCTION("GOOGLEFINANCE(C227, ""changepct"")/100"),0.0255)</f>
        <v>0.0255</v>
      </c>
      <c r="H227" s="5">
        <f>IFERROR(__xludf.DUMMYFUNCTION("GOOGLEFINANCE(C227, ""marketcap"")"),5.7857787624E10)</f>
        <v>57857787624</v>
      </c>
    </row>
    <row r="228">
      <c r="A228" s="4" t="s">
        <v>484</v>
      </c>
      <c r="B228" s="4" t="s">
        <v>29</v>
      </c>
      <c r="C228" s="4" t="s">
        <v>485</v>
      </c>
      <c r="D228" s="4" t="s">
        <v>22</v>
      </c>
      <c r="E228" s="5">
        <f>IFERROR(__xludf.DUMMYFUNCTION("GOOGLEFINANCE(C228,""price"")"),310.9)</f>
        <v>310.9</v>
      </c>
      <c r="F228" s="5">
        <f>IFERROR(__xludf.DUMMYFUNCTION("GOOGLEFINANCE(C228,""change"")"),12.4)</f>
        <v>12.4</v>
      </c>
      <c r="G228" s="6">
        <f>IFERROR(__xludf.DUMMYFUNCTION("GOOGLEFINANCE(C228, ""changepct"")/100"),0.0415)</f>
        <v>0.0415</v>
      </c>
      <c r="H228" s="5">
        <f>IFERROR(__xludf.DUMMYFUNCTION("GOOGLEFINANCE(C228, ""marketcap"")"),1.3850715979E11)</f>
        <v>138507159790</v>
      </c>
    </row>
    <row r="229">
      <c r="A229" s="4" t="s">
        <v>486</v>
      </c>
      <c r="B229" s="4" t="s">
        <v>100</v>
      </c>
      <c r="C229" s="4" t="s">
        <v>487</v>
      </c>
      <c r="D229" s="4" t="s">
        <v>13</v>
      </c>
      <c r="E229" s="5">
        <f>IFERROR(__xludf.DUMMYFUNCTION("GOOGLEFINANCE(C229,""price"")"),111.4)</f>
        <v>111.4</v>
      </c>
      <c r="F229" s="5">
        <f>IFERROR(__xludf.DUMMYFUNCTION("GOOGLEFINANCE(C229,""change"")"),1.8)</f>
        <v>1.8</v>
      </c>
      <c r="G229" s="6">
        <f>IFERROR(__xludf.DUMMYFUNCTION("GOOGLEFINANCE(C229, ""changepct"")/100"),0.016399999999999998)</f>
        <v>0.0164</v>
      </c>
      <c r="H229" s="5">
        <f>IFERROR(__xludf.DUMMYFUNCTION("GOOGLEFINANCE(C229, ""marketcap"")"),5.0414296543E10)</f>
        <v>50414296543</v>
      </c>
    </row>
    <row r="230">
      <c r="A230" s="4" t="s">
        <v>488</v>
      </c>
      <c r="B230" s="4" t="s">
        <v>57</v>
      </c>
      <c r="C230" s="4" t="s">
        <v>489</v>
      </c>
      <c r="D230" s="4" t="s">
        <v>13</v>
      </c>
      <c r="E230" s="5">
        <f>IFERROR(__xludf.DUMMYFUNCTION("GOOGLEFINANCE(C230,""price"")"),7256.75)</f>
        <v>7256.75</v>
      </c>
      <c r="F230" s="5">
        <f>IFERROR(__xludf.DUMMYFUNCTION("GOOGLEFINANCE(C230,""change"")"),48.2)</f>
        <v>48.2</v>
      </c>
      <c r="G230" s="6">
        <f>IFERROR(__xludf.DUMMYFUNCTION("GOOGLEFINANCE(C230, ""changepct"")/100"),0.0067)</f>
        <v>0.0067</v>
      </c>
      <c r="H230" s="5">
        <f>IFERROR(__xludf.DUMMYFUNCTION("GOOGLEFINANCE(C230, ""marketcap"")"),2.2046337999E11)</f>
        <v>220463379990</v>
      </c>
    </row>
    <row r="231">
      <c r="A231" s="4" t="s">
        <v>490</v>
      </c>
      <c r="B231" s="4" t="s">
        <v>29</v>
      </c>
      <c r="C231" s="4" t="s">
        <v>491</v>
      </c>
      <c r="D231" s="4" t="s">
        <v>13</v>
      </c>
      <c r="E231" s="5">
        <f>IFERROR(__xludf.DUMMYFUNCTION("GOOGLEFINANCE(C231,""price"")"),144.85)</f>
        <v>144.85</v>
      </c>
      <c r="F231" s="5">
        <f>IFERROR(__xludf.DUMMYFUNCTION("GOOGLEFINANCE(C231,""change"")"),-1.2)</f>
        <v>-1.2</v>
      </c>
      <c r="G231" s="6">
        <f>IFERROR(__xludf.DUMMYFUNCTION("GOOGLEFINANCE(C231, ""changepct"")/100"),-0.008199999999999999)</f>
        <v>-0.0082</v>
      </c>
      <c r="H231" s="5">
        <f>IFERROR(__xludf.DUMMYFUNCTION("GOOGLEFINANCE(C231, ""marketcap"")"),1.63588671993E11)</f>
        <v>163588671993</v>
      </c>
    </row>
    <row r="232">
      <c r="A232" s="4" t="s">
        <v>492</v>
      </c>
      <c r="B232" s="4" t="s">
        <v>29</v>
      </c>
      <c r="C232" s="4" t="s">
        <v>493</v>
      </c>
      <c r="D232" s="4" t="s">
        <v>13</v>
      </c>
      <c r="E232" s="5">
        <f>IFERROR(__xludf.DUMMYFUNCTION("GOOGLEFINANCE(C232,""price"")"),372.65)</f>
        <v>372.65</v>
      </c>
      <c r="F232" s="5">
        <f>IFERROR(__xludf.DUMMYFUNCTION("GOOGLEFINANCE(C232,""change"")"),6.65)</f>
        <v>6.65</v>
      </c>
      <c r="G232" s="6">
        <f>IFERROR(__xludf.DUMMYFUNCTION("GOOGLEFINANCE(C232, ""changepct"")/100"),0.0182)</f>
        <v>0.0182</v>
      </c>
      <c r="H232" s="5">
        <f>IFERROR(__xludf.DUMMYFUNCTION("GOOGLEFINANCE(C232, ""marketcap"")"),1.11223039341E11)</f>
        <v>111223039341</v>
      </c>
    </row>
    <row r="233">
      <c r="A233" s="4" t="s">
        <v>494</v>
      </c>
      <c r="B233" s="4" t="s">
        <v>57</v>
      </c>
      <c r="C233" s="4" t="s">
        <v>495</v>
      </c>
      <c r="D233" s="4" t="s">
        <v>13</v>
      </c>
      <c r="E233" s="5">
        <f>IFERROR(__xludf.DUMMYFUNCTION("GOOGLEFINANCE(C233,""price"")"),137.3)</f>
        <v>137.3</v>
      </c>
      <c r="F233" s="5">
        <f>IFERROR(__xludf.DUMMYFUNCTION("GOOGLEFINANCE(C233,""change"")"),3.25)</f>
        <v>3.25</v>
      </c>
      <c r="G233" s="6">
        <f>IFERROR(__xludf.DUMMYFUNCTION("GOOGLEFINANCE(C233, ""changepct"")/100"),0.0242)</f>
        <v>0.0242</v>
      </c>
      <c r="H233" s="5">
        <f>IFERROR(__xludf.DUMMYFUNCTION("GOOGLEFINANCE(C233, ""marketcap"")"),1.63224137603E11)</f>
        <v>163224137603</v>
      </c>
    </row>
    <row r="234">
      <c r="A234" s="4" t="s">
        <v>496</v>
      </c>
      <c r="B234" s="4" t="s">
        <v>50</v>
      </c>
      <c r="C234" s="4" t="s">
        <v>497</v>
      </c>
      <c r="D234" s="4" t="s">
        <v>22</v>
      </c>
      <c r="E234" s="5">
        <f>IFERROR(__xludf.DUMMYFUNCTION("GOOGLEFINANCE(C234,""price"")"),115.95)</f>
        <v>115.95</v>
      </c>
      <c r="F234" s="5">
        <f>IFERROR(__xludf.DUMMYFUNCTION("GOOGLEFINANCE(C234,""change"")"),1.2)</f>
        <v>1.2</v>
      </c>
      <c r="G234" s="6">
        <f>IFERROR(__xludf.DUMMYFUNCTION("GOOGLEFINANCE(C234, ""changepct"")/100"),0.0105)</f>
        <v>0.0105</v>
      </c>
      <c r="H234" s="5">
        <f>IFERROR(__xludf.DUMMYFUNCTION("GOOGLEFINANCE(C234, ""marketcap"")"),1.09157193922E12)</f>
        <v>1091571939220</v>
      </c>
    </row>
    <row r="235">
      <c r="A235" s="4" t="s">
        <v>498</v>
      </c>
      <c r="B235" s="4" t="s">
        <v>29</v>
      </c>
      <c r="C235" s="4" t="s">
        <v>499</v>
      </c>
      <c r="D235" s="4" t="s">
        <v>13</v>
      </c>
      <c r="E235" s="5">
        <f>IFERROR(__xludf.DUMMYFUNCTION("GOOGLEFINANCE(C235,""price"")"),21.2)</f>
        <v>21.2</v>
      </c>
      <c r="F235" s="5">
        <f>IFERROR(__xludf.DUMMYFUNCTION("GOOGLEFINANCE(C235,""change"")"),0.15)</f>
        <v>0.15</v>
      </c>
      <c r="G235" s="6">
        <f>IFERROR(__xludf.DUMMYFUNCTION("GOOGLEFINANCE(C235, ""changepct"")/100"),0.0070999999999999995)</f>
        <v>0.0071</v>
      </c>
      <c r="H235" s="5">
        <f>IFERROR(__xludf.DUMMYFUNCTION("GOOGLEFINANCE(C235, ""marketcap"")"),4.016762125E11)</f>
        <v>401676212500</v>
      </c>
    </row>
    <row r="236">
      <c r="A236" s="4" t="s">
        <v>500</v>
      </c>
      <c r="B236" s="4" t="s">
        <v>47</v>
      </c>
      <c r="C236" s="4" t="s">
        <v>501</v>
      </c>
      <c r="D236" s="4" t="s">
        <v>22</v>
      </c>
      <c r="E236" s="5">
        <f>IFERROR(__xludf.DUMMYFUNCTION("GOOGLEFINANCE(C236,""price"")"),2126.0)</f>
        <v>2126</v>
      </c>
      <c r="F236" s="5">
        <f>IFERROR(__xludf.DUMMYFUNCTION("GOOGLEFINANCE(C236,""change"")"),61.6)</f>
        <v>61.6</v>
      </c>
      <c r="G236" s="6">
        <f>IFERROR(__xludf.DUMMYFUNCTION("GOOGLEFINANCE(C236, ""changepct"")/100"),0.0298)</f>
        <v>0.0298</v>
      </c>
      <c r="H236" s="5">
        <f>IFERROR(__xludf.DUMMYFUNCTION("GOOGLEFINANCE(C236, ""marketcap"")"),3.40208007812E11)</f>
        <v>340208007812</v>
      </c>
    </row>
    <row r="237">
      <c r="A237" s="4" t="s">
        <v>502</v>
      </c>
      <c r="B237" s="4" t="s">
        <v>79</v>
      </c>
      <c r="C237" s="4" t="s">
        <v>503</v>
      </c>
      <c r="D237" s="4" t="s">
        <v>13</v>
      </c>
      <c r="E237" s="5">
        <f>IFERROR(__xludf.DUMMYFUNCTION("GOOGLEFINANCE(C237,""price"")"),170.65)</f>
        <v>170.65</v>
      </c>
      <c r="F237" s="5">
        <f>IFERROR(__xludf.DUMMYFUNCTION("GOOGLEFINANCE(C237,""change"")"),-0.7)</f>
        <v>-0.7</v>
      </c>
      <c r="G237" s="6">
        <f>IFERROR(__xludf.DUMMYFUNCTION("GOOGLEFINANCE(C237, ""changepct"")/100"),-0.0040999999999999995)</f>
        <v>-0.0041</v>
      </c>
      <c r="H237" s="5">
        <f>IFERROR(__xludf.DUMMYFUNCTION("GOOGLEFINANCE(C237, ""marketcap"")"),3.3686240535E10)</f>
        <v>33686240535</v>
      </c>
    </row>
    <row r="238">
      <c r="A238" s="4" t="s">
        <v>504</v>
      </c>
      <c r="B238" s="4" t="s">
        <v>32</v>
      </c>
      <c r="C238" s="4" t="s">
        <v>505</v>
      </c>
      <c r="D238" s="4" t="s">
        <v>13</v>
      </c>
      <c r="E238" s="5">
        <f>IFERROR(__xludf.DUMMYFUNCTION("GOOGLEFINANCE(C238,""price"")"),411.9)</f>
        <v>411.9</v>
      </c>
      <c r="F238" s="5">
        <f>IFERROR(__xludf.DUMMYFUNCTION("GOOGLEFINANCE(C238,""change"")"),6.7)</f>
        <v>6.7</v>
      </c>
      <c r="G238" s="6">
        <f>IFERROR(__xludf.DUMMYFUNCTION("GOOGLEFINANCE(C238, ""changepct"")/100"),0.0165)</f>
        <v>0.0165</v>
      </c>
      <c r="H238" s="5">
        <f>IFERROR(__xludf.DUMMYFUNCTION("GOOGLEFINANCE(C238, ""marketcap"")"),3.7956728602E10)</f>
        <v>37956728602</v>
      </c>
    </row>
    <row r="239">
      <c r="A239" s="4" t="s">
        <v>506</v>
      </c>
      <c r="B239" s="4" t="s">
        <v>50</v>
      </c>
      <c r="C239" s="4" t="s">
        <v>507</v>
      </c>
      <c r="D239" s="4" t="s">
        <v>22</v>
      </c>
      <c r="E239" s="5">
        <f>IFERROR(__xludf.DUMMYFUNCTION("GOOGLEFINANCE(C239,""price"")"),541.25)</f>
        <v>541.25</v>
      </c>
      <c r="F239" s="5">
        <f>IFERROR(__xludf.DUMMYFUNCTION("GOOGLEFINANCE(C239,""change"")"),10.4)</f>
        <v>10.4</v>
      </c>
      <c r="G239" s="6">
        <f>IFERROR(__xludf.DUMMYFUNCTION("GOOGLEFINANCE(C239, ""changepct"")/100"),0.0196)</f>
        <v>0.0196</v>
      </c>
      <c r="H239" s="5">
        <f>IFERROR(__xludf.DUMMYFUNCTION("GOOGLEFINANCE(C239, ""marketcap"")"),3.81007740434E11)</f>
        <v>381007740434</v>
      </c>
    </row>
    <row r="240">
      <c r="A240" s="4" t="s">
        <v>508</v>
      </c>
      <c r="B240" s="4" t="s">
        <v>174</v>
      </c>
      <c r="C240" s="4" t="s">
        <v>509</v>
      </c>
      <c r="D240" s="4" t="s">
        <v>22</v>
      </c>
      <c r="E240" s="5">
        <f>IFERROR(__xludf.DUMMYFUNCTION("GOOGLEFINANCE(C240,""price"")"),253.85)</f>
        <v>253.85</v>
      </c>
      <c r="F240" s="5">
        <f>IFERROR(__xludf.DUMMYFUNCTION("GOOGLEFINANCE(C240,""change"")"),-0.85)</f>
        <v>-0.85</v>
      </c>
      <c r="G240" s="6">
        <f>IFERROR(__xludf.DUMMYFUNCTION("GOOGLEFINANCE(C240, ""changepct"")/100"),-0.0033)</f>
        <v>-0.0033</v>
      </c>
      <c r="H240" s="5">
        <f>IFERROR(__xludf.DUMMYFUNCTION("GOOGLEFINANCE(C240, ""marketcap"")"),6.84072711797E11)</f>
        <v>684072711797</v>
      </c>
    </row>
    <row r="241">
      <c r="A241" s="4" t="s">
        <v>510</v>
      </c>
      <c r="B241" s="4" t="s">
        <v>29</v>
      </c>
      <c r="C241" s="4" t="s">
        <v>511</v>
      </c>
      <c r="D241" s="4" t="s">
        <v>22</v>
      </c>
      <c r="E241" s="5">
        <f>IFERROR(__xludf.DUMMYFUNCTION("GOOGLEFINANCE(C241,""price"")"),1037.7)</f>
        <v>1037.7</v>
      </c>
      <c r="F241" s="5">
        <f>IFERROR(__xludf.DUMMYFUNCTION("GOOGLEFINANCE(C241,""change"")"),13.4)</f>
        <v>13.4</v>
      </c>
      <c r="G241" s="6">
        <f>IFERROR(__xludf.DUMMYFUNCTION("GOOGLEFINANCE(C241, ""changepct"")/100"),0.0131)</f>
        <v>0.0131</v>
      </c>
      <c r="H241" s="5">
        <f>IFERROR(__xludf.DUMMYFUNCTION("GOOGLEFINANCE(C241, ""marketcap"")"),8.02977273957E11)</f>
        <v>802977273957</v>
      </c>
    </row>
    <row r="242">
      <c r="A242" s="4" t="s">
        <v>512</v>
      </c>
      <c r="B242" s="4" t="s">
        <v>64</v>
      </c>
      <c r="C242" s="4" t="s">
        <v>513</v>
      </c>
      <c r="D242" s="4" t="s">
        <v>13</v>
      </c>
      <c r="E242" s="5">
        <f>IFERROR(__xludf.DUMMYFUNCTION("GOOGLEFINANCE(C242,""price"")"),50.95)</f>
        <v>50.95</v>
      </c>
      <c r="F242" s="5">
        <f>IFERROR(__xludf.DUMMYFUNCTION("GOOGLEFINANCE(C242,""change"")"),0.8)</f>
        <v>0.8</v>
      </c>
      <c r="G242" s="6">
        <f>IFERROR(__xludf.DUMMYFUNCTION("GOOGLEFINANCE(C242, ""changepct"")/100"),0.016)</f>
        <v>0.016</v>
      </c>
      <c r="H242" s="5">
        <f>IFERROR(__xludf.DUMMYFUNCTION("GOOGLEFINANCE(C242, ""marketcap"")"),6.7531526124E10)</f>
        <v>67531526124</v>
      </c>
    </row>
    <row r="243">
      <c r="A243" s="4" t="s">
        <v>514</v>
      </c>
      <c r="B243" s="4" t="s">
        <v>57</v>
      </c>
      <c r="C243" s="4" t="s">
        <v>515</v>
      </c>
      <c r="D243" s="4" t="s">
        <v>22</v>
      </c>
      <c r="E243" s="5">
        <f>IFERROR(__xludf.DUMMYFUNCTION("GOOGLEFINANCE(C243,""price"")"),4869.9)</f>
        <v>4869.9</v>
      </c>
      <c r="F243" s="5">
        <f>IFERROR(__xludf.DUMMYFUNCTION("GOOGLEFINANCE(C243,""change"")"),185.6)</f>
        <v>185.6</v>
      </c>
      <c r="G243" s="6">
        <f>IFERROR(__xludf.DUMMYFUNCTION("GOOGLEFINANCE(C243, ""changepct"")/100"),0.039599999999999996)</f>
        <v>0.0396</v>
      </c>
      <c r="H243" s="5">
        <f>IFERROR(__xludf.DUMMYFUNCTION("GOOGLEFINANCE(C243, ""marketcap"")"),6.2648682585E11)</f>
        <v>626486825850</v>
      </c>
    </row>
    <row r="244">
      <c r="A244" s="4" t="s">
        <v>516</v>
      </c>
      <c r="B244" s="4" t="s">
        <v>64</v>
      </c>
      <c r="C244" s="4" t="s">
        <v>517</v>
      </c>
      <c r="D244" s="4" t="s">
        <v>22</v>
      </c>
      <c r="E244" s="5">
        <f>IFERROR(__xludf.DUMMYFUNCTION("GOOGLEFINANCE(C244,""price"")"),1467.15)</f>
        <v>1467.15</v>
      </c>
      <c r="F244" s="5">
        <f>IFERROR(__xludf.DUMMYFUNCTION("GOOGLEFINANCE(C244,""change"")"),5.35)</f>
        <v>5.35</v>
      </c>
      <c r="G244" s="6">
        <f>IFERROR(__xludf.DUMMYFUNCTION("GOOGLEFINANCE(C244, ""changepct"")/100"),0.0037)</f>
        <v>0.0037</v>
      </c>
      <c r="H244" s="5">
        <f>IFERROR(__xludf.DUMMYFUNCTION("GOOGLEFINANCE(C244, ""marketcap"")"),6.229799453412E12)</f>
        <v>6229799453412</v>
      </c>
    </row>
    <row r="245">
      <c r="A245" s="4" t="s">
        <v>518</v>
      </c>
      <c r="B245" s="4" t="s">
        <v>15</v>
      </c>
      <c r="C245" s="4" t="s">
        <v>519</v>
      </c>
      <c r="D245" s="4" t="s">
        <v>13</v>
      </c>
      <c r="E245" s="5">
        <f>IFERROR(__xludf.DUMMYFUNCTION("GOOGLEFINANCE(C245,""price"")"),968.75)</f>
        <v>968.75</v>
      </c>
      <c r="F245" s="5">
        <f>IFERROR(__xludf.DUMMYFUNCTION("GOOGLEFINANCE(C245,""change"")"),17.35)</f>
        <v>17.35</v>
      </c>
      <c r="G245" s="6">
        <f>IFERROR(__xludf.DUMMYFUNCTION("GOOGLEFINANCE(C245, ""changepct"")/100"),0.0182)</f>
        <v>0.0182</v>
      </c>
      <c r="H245" s="5">
        <f>IFERROR(__xludf.DUMMYFUNCTION("GOOGLEFINANCE(C245, ""marketcap"")"),3.0581490312E10)</f>
        <v>30581490312</v>
      </c>
    </row>
    <row r="246">
      <c r="A246" s="4" t="s">
        <v>520</v>
      </c>
      <c r="B246" s="4" t="s">
        <v>288</v>
      </c>
      <c r="C246" s="4" t="s">
        <v>521</v>
      </c>
      <c r="D246" s="4" t="s">
        <v>13</v>
      </c>
      <c r="E246" s="5">
        <f>IFERROR(__xludf.DUMMYFUNCTION("GOOGLEFINANCE(C246,""price"")"),320.8)</f>
        <v>320.8</v>
      </c>
      <c r="F246" s="5">
        <f>IFERROR(__xludf.DUMMYFUNCTION("GOOGLEFINANCE(C246,""change"")"),-1.9)</f>
        <v>-1.9</v>
      </c>
      <c r="G246" s="6">
        <f>IFERROR(__xludf.DUMMYFUNCTION("GOOGLEFINANCE(C246, ""changepct"")/100"),-0.0059)</f>
        <v>-0.0059</v>
      </c>
      <c r="H246" s="5">
        <f>IFERROR(__xludf.DUMMYFUNCTION("GOOGLEFINANCE(C246, ""marketcap"")"),3.6085314946E10)</f>
        <v>36085314946</v>
      </c>
    </row>
    <row r="247">
      <c r="A247" s="4" t="s">
        <v>522</v>
      </c>
      <c r="B247" s="4" t="s">
        <v>64</v>
      </c>
      <c r="C247" s="4" t="s">
        <v>523</v>
      </c>
      <c r="D247" s="4" t="s">
        <v>13</v>
      </c>
      <c r="E247" s="5">
        <f>IFERROR(__xludf.DUMMYFUNCTION("GOOGLEFINANCE(C247,""price"")"),762.0)</f>
        <v>762</v>
      </c>
      <c r="F247" s="5">
        <f>IFERROR(__xludf.DUMMYFUNCTION("GOOGLEFINANCE(C247,""change"")"),-1.25)</f>
        <v>-1.25</v>
      </c>
      <c r="G247" s="6">
        <f>IFERROR(__xludf.DUMMYFUNCTION("GOOGLEFINANCE(C247, ""changepct"")/100"),-0.0016)</f>
        <v>-0.0016</v>
      </c>
      <c r="H247" s="5">
        <f>IFERROR(__xludf.DUMMYFUNCTION("GOOGLEFINANCE(C247, ""marketcap"")"),1.0040338391E11)</f>
        <v>100403383910</v>
      </c>
    </row>
    <row r="248">
      <c r="A248" s="4" t="s">
        <v>524</v>
      </c>
      <c r="B248" s="4" t="s">
        <v>47</v>
      </c>
      <c r="C248" s="4" t="s">
        <v>525</v>
      </c>
      <c r="D248" s="4" t="s">
        <v>22</v>
      </c>
      <c r="E248" s="5">
        <f>IFERROR(__xludf.DUMMYFUNCTION("GOOGLEFINANCE(C248,""price"")"),1786.5)</f>
        <v>1786.5</v>
      </c>
      <c r="F248" s="5">
        <f>IFERROR(__xludf.DUMMYFUNCTION("GOOGLEFINANCE(C248,""change"")"),10.1)</f>
        <v>10.1</v>
      </c>
      <c r="G248" s="6">
        <f>IFERROR(__xludf.DUMMYFUNCTION("GOOGLEFINANCE(C248, ""changepct"")/100"),0.005699999999999999)</f>
        <v>0.0057</v>
      </c>
      <c r="H248" s="5">
        <f>IFERROR(__xludf.DUMMYFUNCTION("GOOGLEFINANCE(C248, ""marketcap"")"),6.87564573164E11)</f>
        <v>687564573164</v>
      </c>
    </row>
    <row r="249">
      <c r="A249" s="4" t="s">
        <v>526</v>
      </c>
      <c r="B249" s="4" t="s">
        <v>32</v>
      </c>
      <c r="C249" s="4" t="s">
        <v>527</v>
      </c>
      <c r="D249" s="4" t="s">
        <v>13</v>
      </c>
      <c r="E249" s="5">
        <f>IFERROR(__xludf.DUMMYFUNCTION("GOOGLEFINANCE(C249,""price"")"),2078.25)</f>
        <v>2078.25</v>
      </c>
      <c r="F249" s="5">
        <f>IFERROR(__xludf.DUMMYFUNCTION("GOOGLEFINANCE(C249,""change"")"),-16.8)</f>
        <v>-16.8</v>
      </c>
      <c r="G249" s="6">
        <f>IFERROR(__xludf.DUMMYFUNCTION("GOOGLEFINANCE(C249, ""changepct"")/100"),-0.008)</f>
        <v>-0.008</v>
      </c>
      <c r="H249" s="5">
        <f>IFERROR(__xludf.DUMMYFUNCTION("GOOGLEFINANCE(C249, ""marketcap"")"),2.63725308E11)</f>
        <v>263725308000</v>
      </c>
    </row>
    <row r="250">
      <c r="A250" s="4" t="s">
        <v>528</v>
      </c>
      <c r="B250" s="4" t="s">
        <v>32</v>
      </c>
      <c r="C250" s="4" t="s">
        <v>529</v>
      </c>
      <c r="D250" s="4" t="s">
        <v>13</v>
      </c>
      <c r="E250" s="5">
        <f>IFERROR(__xludf.DUMMYFUNCTION("GOOGLEFINANCE(C250,""price"")"),1516.0)</f>
        <v>1516</v>
      </c>
      <c r="F250" s="5">
        <f>IFERROR(__xludf.DUMMYFUNCTION("GOOGLEFINANCE(C250,""change"")"),-28.85)</f>
        <v>-28.85</v>
      </c>
      <c r="G250" s="6">
        <f>IFERROR(__xludf.DUMMYFUNCTION("GOOGLEFINANCE(C250, ""changepct"")/100"),-0.0187)</f>
        <v>-0.0187</v>
      </c>
      <c r="H250" s="5">
        <f>IFERROR(__xludf.DUMMYFUNCTION("GOOGLEFINANCE(C250, ""marketcap"")"),1.17298775153E11)</f>
        <v>117298775153</v>
      </c>
    </row>
    <row r="251">
      <c r="A251" s="4" t="s">
        <v>530</v>
      </c>
      <c r="B251" s="4" t="s">
        <v>20</v>
      </c>
      <c r="C251" s="4" t="s">
        <v>531</v>
      </c>
      <c r="D251" s="4" t="s">
        <v>13</v>
      </c>
      <c r="E251" s="5">
        <f>IFERROR(__xludf.DUMMYFUNCTION("GOOGLEFINANCE(C251,""price"")"),2778.4)</f>
        <v>2778.4</v>
      </c>
      <c r="F251" s="5">
        <f>IFERROR(__xludf.DUMMYFUNCTION("GOOGLEFINANCE(C251,""change"")"),-34.95)</f>
        <v>-34.95</v>
      </c>
      <c r="G251" s="6">
        <f>IFERROR(__xludf.DUMMYFUNCTION("GOOGLEFINANCE(C251, ""changepct"")/100"),-0.0124)</f>
        <v>-0.0124</v>
      </c>
      <c r="H251" s="5">
        <f>IFERROR(__xludf.DUMMYFUNCTION("GOOGLEFINANCE(C251, ""marketcap"")"),2.146357764E11)</f>
        <v>214635776400</v>
      </c>
    </row>
    <row r="252">
      <c r="A252" s="4" t="s">
        <v>532</v>
      </c>
      <c r="B252" s="4" t="s">
        <v>20</v>
      </c>
      <c r="C252" s="4" t="s">
        <v>533</v>
      </c>
      <c r="D252" s="4" t="s">
        <v>13</v>
      </c>
      <c r="E252" s="5">
        <f>IFERROR(__xludf.DUMMYFUNCTION("GOOGLEFINANCE(C252,""price"")"),577.55)</f>
        <v>577.55</v>
      </c>
      <c r="F252" s="5">
        <f>IFERROR(__xludf.DUMMYFUNCTION("GOOGLEFINANCE(C252,""change"")"),7.05)</f>
        <v>7.05</v>
      </c>
      <c r="G252" s="6">
        <f>IFERROR(__xludf.DUMMYFUNCTION("GOOGLEFINANCE(C252, ""changepct"")/100"),0.0124)</f>
        <v>0.0124</v>
      </c>
      <c r="H252" s="5">
        <f>IFERROR(__xludf.DUMMYFUNCTION("GOOGLEFINANCE(C252, ""marketcap"")"),6.7954425E10)</f>
        <v>67954425000</v>
      </c>
    </row>
    <row r="253">
      <c r="A253" s="4" t="s">
        <v>534</v>
      </c>
      <c r="B253" s="4" t="s">
        <v>229</v>
      </c>
      <c r="C253" s="4" t="s">
        <v>535</v>
      </c>
      <c r="D253" s="4" t="s">
        <v>13</v>
      </c>
      <c r="E253" s="5">
        <f>IFERROR(__xludf.DUMMYFUNCTION("GOOGLEFINANCE(C253,""price"")"),174.95)</f>
        <v>174.95</v>
      </c>
      <c r="F253" s="5">
        <f>IFERROR(__xludf.DUMMYFUNCTION("GOOGLEFINANCE(C253,""change"")"),3.9)</f>
        <v>3.9</v>
      </c>
      <c r="G253" s="6">
        <f>IFERROR(__xludf.DUMMYFUNCTION("GOOGLEFINANCE(C253, ""changepct"")/100"),0.022799999999999997)</f>
        <v>0.0228</v>
      </c>
      <c r="H253" s="5">
        <f>IFERROR(__xludf.DUMMYFUNCTION("GOOGLEFINANCE(C253, ""marketcap"")"),2.9636931868E10)</f>
        <v>29636931868</v>
      </c>
    </row>
    <row r="254">
      <c r="A254" s="4" t="s">
        <v>536</v>
      </c>
      <c r="B254" s="4" t="s">
        <v>82</v>
      </c>
      <c r="C254" s="4" t="s">
        <v>537</v>
      </c>
      <c r="D254" s="4" t="s">
        <v>13</v>
      </c>
      <c r="E254" s="5">
        <f>IFERROR(__xludf.DUMMYFUNCTION("GOOGLEFINANCE(C254,""price"")"),142.1)</f>
        <v>142.1</v>
      </c>
      <c r="F254" s="5">
        <f>IFERROR(__xludf.DUMMYFUNCTION("GOOGLEFINANCE(C254,""change"")"),4.35)</f>
        <v>4.35</v>
      </c>
      <c r="G254" s="6">
        <f>IFERROR(__xludf.DUMMYFUNCTION("GOOGLEFINANCE(C254, ""changepct"")/100"),0.0316)</f>
        <v>0.0316</v>
      </c>
      <c r="H254" s="5">
        <f>IFERROR(__xludf.DUMMYFUNCTION("GOOGLEFINANCE(C254, ""marketcap"")"),3.4955186748E10)</f>
        <v>34955186748</v>
      </c>
    </row>
    <row r="255">
      <c r="A255" s="4" t="s">
        <v>538</v>
      </c>
      <c r="B255" s="4" t="s">
        <v>29</v>
      </c>
      <c r="C255" s="4" t="s">
        <v>539</v>
      </c>
      <c r="D255" s="4" t="s">
        <v>13</v>
      </c>
      <c r="E255" s="5">
        <f>IFERROR(__xludf.DUMMYFUNCTION("GOOGLEFINANCE(C255,""price"")"),96.35)</f>
        <v>96.35</v>
      </c>
      <c r="F255" s="5">
        <f>IFERROR(__xludf.DUMMYFUNCTION("GOOGLEFINANCE(C255,""change"")"),3.25)</f>
        <v>3.25</v>
      </c>
      <c r="G255" s="6">
        <f>IFERROR(__xludf.DUMMYFUNCTION("GOOGLEFINANCE(C255, ""changepct"")/100"),0.0349)</f>
        <v>0.0349</v>
      </c>
      <c r="H255" s="5">
        <f>IFERROR(__xludf.DUMMYFUNCTION("GOOGLEFINANCE(C255, ""marketcap"")"),9.1983187907E10)</f>
        <v>91983187907</v>
      </c>
    </row>
    <row r="256">
      <c r="A256" s="4" t="s">
        <v>540</v>
      </c>
      <c r="B256" s="4" t="s">
        <v>44</v>
      </c>
      <c r="C256" s="4" t="s">
        <v>541</v>
      </c>
      <c r="D256" s="4" t="s">
        <v>13</v>
      </c>
      <c r="E256" s="5">
        <f>IFERROR(__xludf.DUMMYFUNCTION("GOOGLEFINANCE(C256,""price"")"),155.8)</f>
        <v>155.8</v>
      </c>
      <c r="F256" s="5">
        <f>IFERROR(__xludf.DUMMYFUNCTION("GOOGLEFINANCE(C256,""change"")"),0.1)</f>
        <v>0.1</v>
      </c>
      <c r="G256" s="6">
        <f>IFERROR(__xludf.DUMMYFUNCTION("GOOGLEFINANCE(C256, ""changepct"")/100"),6.0E-4)</f>
        <v>0.0006</v>
      </c>
      <c r="H256" s="5">
        <f>IFERROR(__xludf.DUMMYFUNCTION("GOOGLEFINANCE(C256, ""marketcap"")"),2.56533066479E11)</f>
        <v>256533066479</v>
      </c>
    </row>
    <row r="257">
      <c r="A257" s="4" t="s">
        <v>542</v>
      </c>
      <c r="B257" s="4" t="s">
        <v>26</v>
      </c>
      <c r="C257" s="4" t="s">
        <v>543</v>
      </c>
      <c r="D257" s="4" t="s">
        <v>22</v>
      </c>
      <c r="E257" s="5">
        <f>IFERROR(__xludf.DUMMYFUNCTION("GOOGLEFINANCE(C257,""price"")"),731.25)</f>
        <v>731.25</v>
      </c>
      <c r="F257" s="5">
        <f>IFERROR(__xludf.DUMMYFUNCTION("GOOGLEFINANCE(C257,""change"")"),2.1)</f>
        <v>2.1</v>
      </c>
      <c r="G257" s="6">
        <f>IFERROR(__xludf.DUMMYFUNCTION("GOOGLEFINANCE(C257, ""changepct"")/100"),0.0029)</f>
        <v>0.0029</v>
      </c>
      <c r="H257" s="5">
        <f>IFERROR(__xludf.DUMMYFUNCTION("GOOGLEFINANCE(C257, ""marketcap"")"),1.758975138484E12)</f>
        <v>1758975138484</v>
      </c>
    </row>
    <row r="258">
      <c r="A258" s="4" t="s">
        <v>544</v>
      </c>
      <c r="B258" s="4" t="s">
        <v>82</v>
      </c>
      <c r="C258" s="4" t="s">
        <v>545</v>
      </c>
      <c r="D258" s="4" t="s">
        <v>13</v>
      </c>
      <c r="E258" s="5">
        <f>IFERROR(__xludf.DUMMYFUNCTION("GOOGLEFINANCE(C258,""price"")"),110.65)</f>
        <v>110.65</v>
      </c>
      <c r="F258" s="5">
        <f>IFERROR(__xludf.DUMMYFUNCTION("GOOGLEFINANCE(C258,""change"")"),0.5)</f>
        <v>0.5</v>
      </c>
      <c r="G258" s="6">
        <f>IFERROR(__xludf.DUMMYFUNCTION("GOOGLEFINANCE(C258, ""changepct"")/100"),0.0045000000000000005)</f>
        <v>0.0045</v>
      </c>
      <c r="H258" s="5">
        <f>IFERROR(__xludf.DUMMYFUNCTION("GOOGLEFINANCE(C258, ""marketcap"")"),2.7051767698E10)</f>
        <v>27051767698</v>
      </c>
    </row>
    <row r="259">
      <c r="A259" s="4" t="s">
        <v>546</v>
      </c>
      <c r="B259" s="4" t="s">
        <v>82</v>
      </c>
      <c r="C259" s="4" t="s">
        <v>547</v>
      </c>
      <c r="D259" s="4" t="s">
        <v>13</v>
      </c>
      <c r="E259" s="5">
        <f>IFERROR(__xludf.DUMMYFUNCTION("GOOGLEFINANCE(C259,""price"")"),86.55)</f>
        <v>86.55</v>
      </c>
      <c r="F259" s="5">
        <f>IFERROR(__xludf.DUMMYFUNCTION("GOOGLEFINANCE(C259,""change"")"),1.1)</f>
        <v>1.1</v>
      </c>
      <c r="G259" s="6">
        <f>IFERROR(__xludf.DUMMYFUNCTION("GOOGLEFINANCE(C259, ""changepct"")/100"),0.0129)</f>
        <v>0.0129</v>
      </c>
      <c r="H259" s="5">
        <f>IFERROR(__xludf.DUMMYFUNCTION("GOOGLEFINANCE(C259, ""marketcap"")"),3.4487051761E10)</f>
        <v>34487051761</v>
      </c>
    </row>
    <row r="260">
      <c r="A260" s="4" t="s">
        <v>548</v>
      </c>
      <c r="B260" s="4" t="s">
        <v>26</v>
      </c>
      <c r="C260" s="4" t="s">
        <v>549</v>
      </c>
      <c r="D260" s="4" t="s">
        <v>13</v>
      </c>
      <c r="E260" s="5">
        <f>IFERROR(__xludf.DUMMYFUNCTION("GOOGLEFINANCE(C260,""price"")"),114.3)</f>
        <v>114.3</v>
      </c>
      <c r="F260" s="5">
        <f>IFERROR(__xludf.DUMMYFUNCTION("GOOGLEFINANCE(C260,""change"")"),2.55)</f>
        <v>2.55</v>
      </c>
      <c r="G260" s="6">
        <f>IFERROR(__xludf.DUMMYFUNCTION("GOOGLEFINANCE(C260, ""changepct"")/100"),0.022799999999999997)</f>
        <v>0.0228</v>
      </c>
      <c r="H260" s="5">
        <f>IFERROR(__xludf.DUMMYFUNCTION("GOOGLEFINANCE(C260, ""marketcap"")"),3.6325524725E10)</f>
        <v>36325524725</v>
      </c>
    </row>
    <row r="261">
      <c r="A261" s="4" t="s">
        <v>550</v>
      </c>
      <c r="B261" s="4" t="s">
        <v>26</v>
      </c>
      <c r="C261" s="4" t="s">
        <v>551</v>
      </c>
      <c r="D261" s="4" t="s">
        <v>13</v>
      </c>
      <c r="E261" s="5">
        <f>IFERROR(__xludf.DUMMYFUNCTION("GOOGLEFINANCE(C261,""price"")"),199.75)</f>
        <v>199.75</v>
      </c>
      <c r="F261" s="5">
        <f>IFERROR(__xludf.DUMMYFUNCTION("GOOGLEFINANCE(C261,""change"")"),-0.05)</f>
        <v>-0.05</v>
      </c>
      <c r="G261" s="6">
        <f>IFERROR(__xludf.DUMMYFUNCTION("GOOGLEFINANCE(C261, ""changepct"")/100"),-3.0E-4)</f>
        <v>-0.0003</v>
      </c>
      <c r="H261" s="5">
        <f>IFERROR(__xludf.DUMMYFUNCTION("GOOGLEFINANCE(C261, ""marketcap"")"),4.712793635E10)</f>
        <v>47127936350</v>
      </c>
    </row>
    <row r="262">
      <c r="A262" s="4" t="s">
        <v>552</v>
      </c>
      <c r="B262" s="4" t="s">
        <v>26</v>
      </c>
      <c r="C262" s="4" t="s">
        <v>553</v>
      </c>
      <c r="D262" s="4" t="s">
        <v>13</v>
      </c>
      <c r="E262" s="5">
        <f>IFERROR(__xludf.DUMMYFUNCTION("GOOGLEFINANCE(C262,""price"")"),107.0)</f>
        <v>107</v>
      </c>
      <c r="F262" s="5">
        <f>IFERROR(__xludf.DUMMYFUNCTION("GOOGLEFINANCE(C262,""change"")"),-0.95)</f>
        <v>-0.95</v>
      </c>
      <c r="G262" s="6">
        <f>IFERROR(__xludf.DUMMYFUNCTION("GOOGLEFINANCE(C262, ""changepct"")/100"),-0.0088)</f>
        <v>-0.0088</v>
      </c>
      <c r="H262" s="5">
        <f>IFERROR(__xludf.DUMMYFUNCTION("GOOGLEFINANCE(C262, ""marketcap"")"),5.2159288916E10)</f>
        <v>52159288916</v>
      </c>
    </row>
    <row r="263">
      <c r="A263" s="4" t="s">
        <v>554</v>
      </c>
      <c r="B263" s="4" t="s">
        <v>26</v>
      </c>
      <c r="C263" s="4" t="s">
        <v>555</v>
      </c>
      <c r="D263" s="4" t="s">
        <v>22</v>
      </c>
      <c r="E263" s="5">
        <f>IFERROR(__xludf.DUMMYFUNCTION("GOOGLEFINANCE(C263,""price"")"),428.35)</f>
        <v>428.35</v>
      </c>
      <c r="F263" s="5">
        <f>IFERROR(__xludf.DUMMYFUNCTION("GOOGLEFINANCE(C263,""change"")"),3.25)</f>
        <v>3.25</v>
      </c>
      <c r="G263" s="6">
        <f>IFERROR(__xludf.DUMMYFUNCTION("GOOGLEFINANCE(C263, ""changepct"")/100"),0.0076)</f>
        <v>0.0076</v>
      </c>
      <c r="H263" s="5">
        <f>IFERROR(__xludf.DUMMYFUNCTION("GOOGLEFINANCE(C263, ""marketcap"")"),4.370764275E11)</f>
        <v>437076427500</v>
      </c>
    </row>
    <row r="264">
      <c r="A264" s="4" t="s">
        <v>556</v>
      </c>
      <c r="B264" s="4" t="s">
        <v>11</v>
      </c>
      <c r="C264" s="4" t="s">
        <v>557</v>
      </c>
      <c r="D264" s="4" t="s">
        <v>13</v>
      </c>
      <c r="E264" s="5">
        <f>IFERROR(__xludf.DUMMYFUNCTION("GOOGLEFINANCE(C264,""price"")"),2267.85)</f>
        <v>2267.85</v>
      </c>
      <c r="F264" s="5">
        <f>IFERROR(__xludf.DUMMYFUNCTION("GOOGLEFINANCE(C264,""change"")"),25.45)</f>
        <v>25.45</v>
      </c>
      <c r="G264" s="6">
        <f>IFERROR(__xludf.DUMMYFUNCTION("GOOGLEFINANCE(C264, ""changepct"")/100"),0.0113)</f>
        <v>0.0113</v>
      </c>
      <c r="H264" s="5">
        <f>IFERROR(__xludf.DUMMYFUNCTION("GOOGLEFINANCE(C264, ""marketcap"")"),6.1599577768E10)</f>
        <v>61599577768</v>
      </c>
    </row>
    <row r="265">
      <c r="A265" s="4" t="s">
        <v>558</v>
      </c>
      <c r="B265" s="4" t="s">
        <v>57</v>
      </c>
      <c r="C265" s="4" t="s">
        <v>559</v>
      </c>
      <c r="D265" s="4" t="s">
        <v>22</v>
      </c>
      <c r="E265" s="5">
        <f>IFERROR(__xludf.DUMMYFUNCTION("GOOGLEFINANCE(C265,""price"")"),3193.1)</f>
        <v>3193.1</v>
      </c>
      <c r="F265" s="5">
        <f>IFERROR(__xludf.DUMMYFUNCTION("GOOGLEFINANCE(C265,""change"")"),-6.7)</f>
        <v>-6.7</v>
      </c>
      <c r="G265" s="6">
        <f>IFERROR(__xludf.DUMMYFUNCTION("GOOGLEFINANCE(C265, ""changepct"")/100"),-0.0021)</f>
        <v>-0.0021</v>
      </c>
      <c r="H265" s="5">
        <f>IFERROR(__xludf.DUMMYFUNCTION("GOOGLEFINANCE(C265, ""marketcap"")"),4.2091569E11)</f>
        <v>420915690000</v>
      </c>
    </row>
    <row r="266">
      <c r="A266" s="4" t="s">
        <v>560</v>
      </c>
      <c r="B266" s="4" t="s">
        <v>57</v>
      </c>
      <c r="C266" s="4" t="s">
        <v>561</v>
      </c>
      <c r="D266" s="4" t="s">
        <v>13</v>
      </c>
      <c r="E266" s="5">
        <f>IFERROR(__xludf.DUMMYFUNCTION("GOOGLEFINANCE(C266,""price"")"),997.5)</f>
        <v>997.5</v>
      </c>
      <c r="F266" s="5">
        <f>IFERROR(__xludf.DUMMYFUNCTION("GOOGLEFINANCE(C266,""change"")"),56.1)</f>
        <v>56.1</v>
      </c>
      <c r="G266" s="6">
        <f>IFERROR(__xludf.DUMMYFUNCTION("GOOGLEFINANCE(C266, ""changepct"")/100"),0.0596)</f>
        <v>0.0596</v>
      </c>
      <c r="H266" s="5">
        <f>IFERROR(__xludf.DUMMYFUNCTION("GOOGLEFINANCE(C266, ""marketcap"")"),6.211713795E10)</f>
        <v>62117137950</v>
      </c>
    </row>
    <row r="267">
      <c r="A267" s="4" t="s">
        <v>562</v>
      </c>
      <c r="B267" s="4" t="s">
        <v>11</v>
      </c>
      <c r="C267" s="4" t="s">
        <v>563</v>
      </c>
      <c r="D267" s="4" t="s">
        <v>13</v>
      </c>
      <c r="E267" s="5">
        <f>IFERROR(__xludf.DUMMYFUNCTION("GOOGLEFINANCE(C267,""price"")"),158.9)</f>
        <v>158.9</v>
      </c>
      <c r="F267" s="5">
        <f>IFERROR(__xludf.DUMMYFUNCTION("GOOGLEFINANCE(C267,""change"")"),3.95)</f>
        <v>3.95</v>
      </c>
      <c r="G267" s="6">
        <f>IFERROR(__xludf.DUMMYFUNCTION("GOOGLEFINANCE(C267, ""changepct"")/100"),0.0255)</f>
        <v>0.0255</v>
      </c>
      <c r="H267" s="5">
        <f>IFERROR(__xludf.DUMMYFUNCTION("GOOGLEFINANCE(C267, ""marketcap"")"),5.8349444298E10)</f>
        <v>58349444298</v>
      </c>
    </row>
    <row r="268">
      <c r="A268" s="4" t="s">
        <v>564</v>
      </c>
      <c r="B268" s="4" t="s">
        <v>79</v>
      </c>
      <c r="C268" s="4" t="s">
        <v>565</v>
      </c>
      <c r="D268" s="4" t="s">
        <v>13</v>
      </c>
      <c r="E268" s="5">
        <f>IFERROR(__xludf.DUMMYFUNCTION("GOOGLEFINANCE(C268,""price"")"),1530.0)</f>
        <v>1530</v>
      </c>
      <c r="F268" s="5">
        <f>IFERROR(__xludf.DUMMYFUNCTION("GOOGLEFINANCE(C268,""change"")"),-12.25)</f>
        <v>-12.25</v>
      </c>
      <c r="G268" s="6">
        <f>IFERROR(__xludf.DUMMYFUNCTION("GOOGLEFINANCE(C268, ""changepct"")/100"),-0.0079)</f>
        <v>-0.0079</v>
      </c>
      <c r="H268" s="5">
        <f>IFERROR(__xludf.DUMMYFUNCTION("GOOGLEFINANCE(C268, ""marketcap"")"),1.052793306E11)</f>
        <v>105279330600</v>
      </c>
    </row>
    <row r="269">
      <c r="A269" s="4" t="s">
        <v>566</v>
      </c>
      <c r="B269" s="4" t="s">
        <v>15</v>
      </c>
      <c r="C269" s="4" t="s">
        <v>567</v>
      </c>
      <c r="D269" s="4" t="s">
        <v>13</v>
      </c>
      <c r="E269" s="5">
        <f>IFERROR(__xludf.DUMMYFUNCTION("GOOGLEFINANCE(C269,""price"")"),665.0)</f>
        <v>665</v>
      </c>
      <c r="F269" s="5">
        <f>IFERROR(__xludf.DUMMYFUNCTION("GOOGLEFINANCE(C269,""change"")"),18.15)</f>
        <v>18.15</v>
      </c>
      <c r="G269" s="6">
        <f>IFERROR(__xludf.DUMMYFUNCTION("GOOGLEFINANCE(C269, ""changepct"")/100"),0.0281)</f>
        <v>0.0281</v>
      </c>
      <c r="H269" s="5">
        <f>IFERROR(__xludf.DUMMYFUNCTION("GOOGLEFINANCE(C269, ""marketcap"")"),5.97538676E10)</f>
        <v>59753867600</v>
      </c>
    </row>
    <row r="270">
      <c r="A270" s="4" t="s">
        <v>568</v>
      </c>
      <c r="B270" s="4" t="s">
        <v>100</v>
      </c>
      <c r="C270" s="4" t="s">
        <v>569</v>
      </c>
      <c r="D270" s="4" t="s">
        <v>13</v>
      </c>
      <c r="E270" s="5">
        <f>IFERROR(__xludf.DUMMYFUNCTION("GOOGLEFINANCE(C270,""price"")"),224.0)</f>
        <v>224</v>
      </c>
      <c r="F270" s="5">
        <f>IFERROR(__xludf.DUMMYFUNCTION("GOOGLEFINANCE(C270,""change"")"),0.3)</f>
        <v>0.3</v>
      </c>
      <c r="G270" s="6">
        <f>IFERROR(__xludf.DUMMYFUNCTION("GOOGLEFINANCE(C270, ""changepct"")/100"),0.0013)</f>
        <v>0.0013</v>
      </c>
      <c r="H270" s="5">
        <f>IFERROR(__xludf.DUMMYFUNCTION("GOOGLEFINANCE(C270, ""marketcap"")"),6.29965504E10)</f>
        <v>62996550400</v>
      </c>
    </row>
    <row r="271">
      <c r="A271" s="4" t="s">
        <v>570</v>
      </c>
      <c r="B271" s="4" t="s">
        <v>64</v>
      </c>
      <c r="C271" s="4" t="s">
        <v>571</v>
      </c>
      <c r="D271" s="4" t="s">
        <v>13</v>
      </c>
      <c r="E271" s="5">
        <f>IFERROR(__xludf.DUMMYFUNCTION("GOOGLEFINANCE(C271,""price"")"),239.0)</f>
        <v>239</v>
      </c>
      <c r="F271" s="5">
        <f>IFERROR(__xludf.DUMMYFUNCTION("GOOGLEFINANCE(C271,""change"")"),1.6)</f>
        <v>1.6</v>
      </c>
      <c r="G271" s="6">
        <f>IFERROR(__xludf.DUMMYFUNCTION("GOOGLEFINANCE(C271, ""changepct"")/100"),0.0067)</f>
        <v>0.0067</v>
      </c>
      <c r="H271" s="5">
        <f>IFERROR(__xludf.DUMMYFUNCTION("GOOGLEFINANCE(C271, ""marketcap"")"),6.43013965E10)</f>
        <v>64301396500</v>
      </c>
    </row>
    <row r="272">
      <c r="A272" s="4" t="s">
        <v>572</v>
      </c>
      <c r="B272" s="4" t="s">
        <v>11</v>
      </c>
      <c r="C272" s="4" t="s">
        <v>573</v>
      </c>
      <c r="D272" s="4" t="s">
        <v>13</v>
      </c>
      <c r="E272" s="5">
        <f>IFERROR(__xludf.DUMMYFUNCTION("GOOGLEFINANCE(C272,""price"")"),231.6)</f>
        <v>231.6</v>
      </c>
      <c r="F272" s="5">
        <f>IFERROR(__xludf.DUMMYFUNCTION("GOOGLEFINANCE(C272,""change"")"),6.1)</f>
        <v>6.1</v>
      </c>
      <c r="G272" s="6">
        <f>IFERROR(__xludf.DUMMYFUNCTION("GOOGLEFINANCE(C272, ""changepct"")/100"),0.0271)</f>
        <v>0.0271</v>
      </c>
      <c r="H272" s="5">
        <f>IFERROR(__xludf.DUMMYFUNCTION("GOOGLEFINANCE(C272, ""marketcap"")"),5.4516279116E10)</f>
        <v>54516279116</v>
      </c>
    </row>
    <row r="273">
      <c r="A273" s="4" t="s">
        <v>574</v>
      </c>
      <c r="B273" s="4" t="s">
        <v>15</v>
      </c>
      <c r="C273" s="4" t="s">
        <v>575</v>
      </c>
      <c r="D273" s="4" t="s">
        <v>13</v>
      </c>
      <c r="E273" s="5">
        <f>IFERROR(__xludf.DUMMYFUNCTION("GOOGLEFINANCE(C273,""price"")"),1021.3)</f>
        <v>1021.3</v>
      </c>
      <c r="F273" s="5">
        <f>IFERROR(__xludf.DUMMYFUNCTION("GOOGLEFINANCE(C273,""change"")"),25.45)</f>
        <v>25.45</v>
      </c>
      <c r="G273" s="6">
        <f>IFERROR(__xludf.DUMMYFUNCTION("GOOGLEFINANCE(C273, ""changepct"")/100"),0.0256)</f>
        <v>0.0256</v>
      </c>
      <c r="H273" s="5">
        <f>IFERROR(__xludf.DUMMYFUNCTION("GOOGLEFINANCE(C273, ""marketcap"")"),3.5549246567E10)</f>
        <v>35549246567</v>
      </c>
    </row>
    <row r="274">
      <c r="A274" s="4" t="s">
        <v>576</v>
      </c>
      <c r="B274" s="4" t="s">
        <v>11</v>
      </c>
      <c r="C274" s="4" t="s">
        <v>577</v>
      </c>
      <c r="D274" s="4" t="s">
        <v>13</v>
      </c>
      <c r="E274" s="5">
        <f>IFERROR(__xludf.DUMMYFUNCTION("GOOGLEFINANCE(C274,""price"")"),1005.6)</f>
        <v>1005.6</v>
      </c>
      <c r="F274" s="5">
        <f>IFERROR(__xludf.DUMMYFUNCTION("GOOGLEFINANCE(C274,""change"")"),-12.0)</f>
        <v>-12</v>
      </c>
      <c r="G274" s="6">
        <f>IFERROR(__xludf.DUMMYFUNCTION("GOOGLEFINANCE(C274, ""changepct"")/100"),-0.0118)</f>
        <v>-0.0118</v>
      </c>
      <c r="H274" s="5">
        <f>IFERROR(__xludf.DUMMYFUNCTION("GOOGLEFINANCE(C274, ""marketcap"")"),1.600353854E11)</f>
        <v>160035385400</v>
      </c>
    </row>
    <row r="275">
      <c r="A275" s="4" t="s">
        <v>578</v>
      </c>
      <c r="B275" s="4" t="s">
        <v>44</v>
      </c>
      <c r="C275" s="4" t="s">
        <v>579</v>
      </c>
      <c r="D275" s="4" t="s">
        <v>13</v>
      </c>
      <c r="E275" s="5">
        <f>IFERROR(__xludf.DUMMYFUNCTION("GOOGLEFINANCE(C275,""price"")"),438.8)</f>
        <v>438.8</v>
      </c>
      <c r="F275" s="5">
        <f>IFERROR(__xludf.DUMMYFUNCTION("GOOGLEFINANCE(C275,""change"")"),-0.9)</f>
        <v>-0.9</v>
      </c>
      <c r="G275" s="6">
        <f>IFERROR(__xludf.DUMMYFUNCTION("GOOGLEFINANCE(C275, ""changepct"")/100"),-0.002)</f>
        <v>-0.002</v>
      </c>
      <c r="H275" s="5">
        <f>IFERROR(__xludf.DUMMYFUNCTION("GOOGLEFINANCE(C275, ""marketcap"")"),6.6815937057E10)</f>
        <v>66815937057</v>
      </c>
    </row>
    <row r="276">
      <c r="A276" s="4" t="s">
        <v>580</v>
      </c>
      <c r="B276" s="4" t="s">
        <v>11</v>
      </c>
      <c r="C276" s="4" t="s">
        <v>581</v>
      </c>
      <c r="D276" s="4" t="s">
        <v>13</v>
      </c>
      <c r="E276" s="5">
        <f>IFERROR(__xludf.DUMMYFUNCTION("GOOGLEFINANCE(C276,""price"")"),584.4)</f>
        <v>584.4</v>
      </c>
      <c r="F276" s="5">
        <f>IFERROR(__xludf.DUMMYFUNCTION("GOOGLEFINANCE(C276,""change"")"),8.7)</f>
        <v>8.7</v>
      </c>
      <c r="G276" s="6">
        <f>IFERROR(__xludf.DUMMYFUNCTION("GOOGLEFINANCE(C276, ""changepct"")/100"),0.0151)</f>
        <v>0.0151</v>
      </c>
      <c r="H276" s="5">
        <f>IFERROR(__xludf.DUMMYFUNCTION("GOOGLEFINANCE(C276, ""marketcap"")"),3.14944627397E11)</f>
        <v>314944627397</v>
      </c>
    </row>
    <row r="277">
      <c r="A277" s="4" t="s">
        <v>582</v>
      </c>
      <c r="B277" s="4" t="s">
        <v>29</v>
      </c>
      <c r="C277" s="4" t="s">
        <v>583</v>
      </c>
      <c r="D277" s="4" t="s">
        <v>13</v>
      </c>
      <c r="E277" s="5">
        <f>IFERROR(__xludf.DUMMYFUNCTION("GOOGLEFINANCE(C277,""price"")"),53.35)</f>
        <v>53.35</v>
      </c>
      <c r="F277" s="5">
        <f>IFERROR(__xludf.DUMMYFUNCTION("GOOGLEFINANCE(C277,""change"")"),-0.45)</f>
        <v>-0.45</v>
      </c>
      <c r="G277" s="6">
        <f>IFERROR(__xludf.DUMMYFUNCTION("GOOGLEFINANCE(C277, ""changepct"")/100"),-0.0084)</f>
        <v>-0.0084</v>
      </c>
      <c r="H277" s="5">
        <f>IFERROR(__xludf.DUMMYFUNCTION("GOOGLEFINANCE(C277, ""marketcap"")"),4.2803622875E10)</f>
        <v>42803622875</v>
      </c>
    </row>
    <row r="278">
      <c r="A278" s="4" t="s">
        <v>584</v>
      </c>
      <c r="B278" s="4" t="s">
        <v>11</v>
      </c>
      <c r="C278" s="4" t="s">
        <v>585</v>
      </c>
      <c r="D278" s="4" t="s">
        <v>13</v>
      </c>
      <c r="E278" s="5">
        <f>IFERROR(__xludf.DUMMYFUNCTION("GOOGLEFINANCE(C278,""price"")"),710.3)</f>
        <v>710.3</v>
      </c>
      <c r="F278" s="5">
        <f>IFERROR(__xludf.DUMMYFUNCTION("GOOGLEFINANCE(C278,""change"")"),15.85)</f>
        <v>15.85</v>
      </c>
      <c r="G278" s="6">
        <f>IFERROR(__xludf.DUMMYFUNCTION("GOOGLEFINANCE(C278, ""changepct"")/100"),0.022799999999999997)</f>
        <v>0.0228</v>
      </c>
      <c r="H278" s="5">
        <f>IFERROR(__xludf.DUMMYFUNCTION("GOOGLEFINANCE(C278, ""marketcap"")"),4.2227078566E10)</f>
        <v>42227078566</v>
      </c>
    </row>
    <row r="279">
      <c r="A279" s="4" t="s">
        <v>586</v>
      </c>
      <c r="B279" s="4" t="s">
        <v>44</v>
      </c>
      <c r="C279" s="4" t="s">
        <v>587</v>
      </c>
      <c r="D279" s="4" t="s">
        <v>13</v>
      </c>
      <c r="E279" s="5">
        <f>IFERROR(__xludf.DUMMYFUNCTION("GOOGLEFINANCE(C279,""price"")"),395.6)</f>
        <v>395.6</v>
      </c>
      <c r="F279" s="5">
        <f>IFERROR(__xludf.DUMMYFUNCTION("GOOGLEFINANCE(C279,""change"")"),5.7)</f>
        <v>5.7</v>
      </c>
      <c r="G279" s="6">
        <f>IFERROR(__xludf.DUMMYFUNCTION("GOOGLEFINANCE(C279, ""changepct"")/100"),0.0146)</f>
        <v>0.0146</v>
      </c>
      <c r="H279" s="5">
        <f>IFERROR(__xludf.DUMMYFUNCTION("GOOGLEFINANCE(C279, ""marketcap"")"),1.01704093489E11)</f>
        <v>101704093489</v>
      </c>
    </row>
    <row r="280">
      <c r="A280" s="4" t="s">
        <v>588</v>
      </c>
      <c r="B280" s="4" t="s">
        <v>29</v>
      </c>
      <c r="C280" s="4" t="s">
        <v>589</v>
      </c>
      <c r="D280" s="4" t="s">
        <v>22</v>
      </c>
      <c r="E280" s="5">
        <f>IFERROR(__xludf.DUMMYFUNCTION("GOOGLEFINANCE(C280,""price"")"),1769.55)</f>
        <v>1769.55</v>
      </c>
      <c r="F280" s="5">
        <f>IFERROR(__xludf.DUMMYFUNCTION("GOOGLEFINANCE(C280,""change"")"),1.5)</f>
        <v>1.5</v>
      </c>
      <c r="G280" s="6">
        <f>IFERROR(__xludf.DUMMYFUNCTION("GOOGLEFINANCE(C280, ""changepct"")/100"),8.0E-4)</f>
        <v>0.0008</v>
      </c>
      <c r="H280" s="5">
        <f>IFERROR(__xludf.DUMMYFUNCTION("GOOGLEFINANCE(C280, ""marketcap"")"),3.510820918325E12)</f>
        <v>3510820918325</v>
      </c>
    </row>
    <row r="281">
      <c r="A281" s="4" t="s">
        <v>590</v>
      </c>
      <c r="B281" s="4" t="s">
        <v>29</v>
      </c>
      <c r="C281" s="4" t="s">
        <v>591</v>
      </c>
      <c r="D281" s="4" t="s">
        <v>22</v>
      </c>
      <c r="E281" s="5">
        <f>IFERROR(__xludf.DUMMYFUNCTION("GOOGLEFINANCE(C281,""price"")"),98.2)</f>
        <v>98.2</v>
      </c>
      <c r="F281" s="5">
        <f>IFERROR(__xludf.DUMMYFUNCTION("GOOGLEFINANCE(C281,""change"")"),1.15)</f>
        <v>1.15</v>
      </c>
      <c r="G281" s="6">
        <f>IFERROR(__xludf.DUMMYFUNCTION("GOOGLEFINANCE(C281, ""changepct"")/100"),0.0118)</f>
        <v>0.0118</v>
      </c>
      <c r="H281" s="5">
        <f>IFERROR(__xludf.DUMMYFUNCTION("GOOGLEFINANCE(C281, ""marketcap"")"),2.4261104666E11)</f>
        <v>242611046660</v>
      </c>
    </row>
    <row r="282">
      <c r="A282" s="4" t="s">
        <v>592</v>
      </c>
      <c r="B282" s="4" t="s">
        <v>64</v>
      </c>
      <c r="C282" s="4" t="s">
        <v>593</v>
      </c>
      <c r="D282" s="4" t="s">
        <v>22</v>
      </c>
      <c r="E282" s="5">
        <f>IFERROR(__xludf.DUMMYFUNCTION("GOOGLEFINANCE(C282,""price"")"),2845.7)</f>
        <v>2845.7</v>
      </c>
      <c r="F282" s="5">
        <f>IFERROR(__xludf.DUMMYFUNCTION("GOOGLEFINANCE(C282,""change"")"),-17.55)</f>
        <v>-17.55</v>
      </c>
      <c r="G282" s="6">
        <f>IFERROR(__xludf.DUMMYFUNCTION("GOOGLEFINANCE(C282, ""changepct"")/100"),-0.0060999999999999995)</f>
        <v>-0.0061</v>
      </c>
      <c r="H282" s="5">
        <f>IFERROR(__xludf.DUMMYFUNCTION("GOOGLEFINANCE(C282, ""marketcap"")"),2.99140097104E11)</f>
        <v>299140097104</v>
      </c>
    </row>
    <row r="283">
      <c r="A283" s="4" t="s">
        <v>594</v>
      </c>
      <c r="B283" s="4" t="s">
        <v>29</v>
      </c>
      <c r="C283" s="4" t="s">
        <v>595</v>
      </c>
      <c r="D283" s="4" t="s">
        <v>22</v>
      </c>
      <c r="E283" s="5">
        <f>IFERROR(__xludf.DUMMYFUNCTION("GOOGLEFINANCE(C283,""price"")"),525.9)</f>
        <v>525.9</v>
      </c>
      <c r="F283" s="5">
        <f>IFERROR(__xludf.DUMMYFUNCTION("GOOGLEFINANCE(C283,""change"")"),1.55)</f>
        <v>1.55</v>
      </c>
      <c r="G283" s="6">
        <f>IFERROR(__xludf.DUMMYFUNCTION("GOOGLEFINANCE(C283, ""changepct"")/100"),0.003)</f>
        <v>0.003</v>
      </c>
      <c r="H283" s="5">
        <f>IFERROR(__xludf.DUMMYFUNCTION("GOOGLEFINANCE(C283, ""marketcap"")"),2.65351799239E11)</f>
        <v>265351799239</v>
      </c>
    </row>
    <row r="284">
      <c r="A284" s="4" t="s">
        <v>596</v>
      </c>
      <c r="B284" s="4" t="s">
        <v>11</v>
      </c>
      <c r="C284" s="4" t="s">
        <v>597</v>
      </c>
      <c r="D284" s="4" t="s">
        <v>13</v>
      </c>
      <c r="E284" s="5">
        <f>IFERROR(__xludf.DUMMYFUNCTION("GOOGLEFINANCE(C284,""price"")"),283.1)</f>
        <v>283.1</v>
      </c>
      <c r="F284" s="5">
        <f>IFERROR(__xludf.DUMMYFUNCTION("GOOGLEFINANCE(C284,""change"")"),3.65)</f>
        <v>3.65</v>
      </c>
      <c r="G284" s="6">
        <f>IFERROR(__xludf.DUMMYFUNCTION("GOOGLEFINANCE(C284, ""changepct"")/100"),0.0131)</f>
        <v>0.0131</v>
      </c>
      <c r="H284" s="5">
        <f>IFERROR(__xludf.DUMMYFUNCTION("GOOGLEFINANCE(C284, ""marketcap"")"),3.1424072367E10)</f>
        <v>31424072367</v>
      </c>
    </row>
    <row r="285">
      <c r="A285" s="4" t="s">
        <v>598</v>
      </c>
      <c r="B285" s="4" t="s">
        <v>15</v>
      </c>
      <c r="C285" s="4" t="s">
        <v>599</v>
      </c>
      <c r="D285" s="4" t="s">
        <v>13</v>
      </c>
      <c r="E285" s="5">
        <f>IFERROR(__xludf.DUMMYFUNCTION("GOOGLEFINANCE(C285,""price"")"),6580.0)</f>
        <v>6580</v>
      </c>
      <c r="F285" s="5">
        <f>IFERROR(__xludf.DUMMYFUNCTION("GOOGLEFINANCE(C285,""change"")"),40.1)</f>
        <v>40.1</v>
      </c>
      <c r="G285" s="6">
        <f>IFERROR(__xludf.DUMMYFUNCTION("GOOGLEFINANCE(C285, ""changepct"")/100"),0.0060999999999999995)</f>
        <v>0.0061</v>
      </c>
      <c r="H285" s="5">
        <f>IFERROR(__xludf.DUMMYFUNCTION("GOOGLEFINANCE(C285, ""marketcap"")"),7.0121544954E10)</f>
        <v>70121544954</v>
      </c>
    </row>
    <row r="286">
      <c r="A286" s="4" t="s">
        <v>600</v>
      </c>
      <c r="B286" s="4" t="s">
        <v>64</v>
      </c>
      <c r="C286" s="4" t="s">
        <v>601</v>
      </c>
      <c r="D286" s="4" t="s">
        <v>22</v>
      </c>
      <c r="E286" s="5">
        <f>IFERROR(__xludf.DUMMYFUNCTION("GOOGLEFINANCE(C286,""price"")"),4161.8)</f>
        <v>4161.8</v>
      </c>
      <c r="F286" s="5">
        <f>IFERROR(__xludf.DUMMYFUNCTION("GOOGLEFINANCE(C286,""change"")"),-5.5)</f>
        <v>-5.5</v>
      </c>
      <c r="G286" s="6">
        <f>IFERROR(__xludf.DUMMYFUNCTION("GOOGLEFINANCE(C286, ""changepct"")/100"),-0.0013)</f>
        <v>-0.0013</v>
      </c>
      <c r="H286" s="5">
        <f>IFERROR(__xludf.DUMMYFUNCTION("GOOGLEFINANCE(C286, ""marketcap"")"),7.27116042446E11)</f>
        <v>727116042446</v>
      </c>
    </row>
    <row r="287">
      <c r="A287" s="4" t="s">
        <v>602</v>
      </c>
      <c r="B287" s="4" t="s">
        <v>100</v>
      </c>
      <c r="C287" s="4" t="s">
        <v>603</v>
      </c>
      <c r="D287" s="4" t="s">
        <v>22</v>
      </c>
      <c r="E287" s="5">
        <f>IFERROR(__xludf.DUMMYFUNCTION("GOOGLEFINANCE(C287,""price"")"),1520.4)</f>
        <v>1520.4</v>
      </c>
      <c r="F287" s="5">
        <f>IFERROR(__xludf.DUMMYFUNCTION("GOOGLEFINANCE(C287,""change"")"),4.65)</f>
        <v>4.65</v>
      </c>
      <c r="G287" s="6">
        <f>IFERROR(__xludf.DUMMYFUNCTION("GOOGLEFINANCE(C287, ""changepct"")/100"),0.0031)</f>
        <v>0.0031</v>
      </c>
      <c r="H287" s="5">
        <f>IFERROR(__xludf.DUMMYFUNCTION("GOOGLEFINANCE(C287, ""marketcap"")"),2.135559955892E12)</f>
        <v>2135559955892</v>
      </c>
    </row>
    <row r="288">
      <c r="A288" s="4" t="s">
        <v>604</v>
      </c>
      <c r="B288" s="4" t="s">
        <v>32</v>
      </c>
      <c r="C288" s="4" t="s">
        <v>605</v>
      </c>
      <c r="D288" s="4" t="s">
        <v>13</v>
      </c>
      <c r="E288" s="5">
        <f>IFERROR(__xludf.DUMMYFUNCTION("GOOGLEFINANCE(C288,""price"")"),624.4)</f>
        <v>624.4</v>
      </c>
      <c r="F288" s="5">
        <f>IFERROR(__xludf.DUMMYFUNCTION("GOOGLEFINANCE(C288,""change"")"),2.9)</f>
        <v>2.9</v>
      </c>
      <c r="G288" s="6">
        <f>IFERROR(__xludf.DUMMYFUNCTION("GOOGLEFINANCE(C288, ""changepct"")/100"),0.004699999999999999)</f>
        <v>0.0047</v>
      </c>
      <c r="H288" s="5">
        <f>IFERROR(__xludf.DUMMYFUNCTION("GOOGLEFINANCE(C288, ""marketcap"")"),3.3492027623E11)</f>
        <v>334920276230</v>
      </c>
    </row>
    <row r="289">
      <c r="A289" s="4" t="s">
        <v>606</v>
      </c>
      <c r="B289" s="4" t="s">
        <v>57</v>
      </c>
      <c r="C289" s="4" t="s">
        <v>607</v>
      </c>
      <c r="D289" s="4" t="s">
        <v>13</v>
      </c>
      <c r="E289" s="5">
        <f>IFERROR(__xludf.DUMMYFUNCTION("GOOGLEFINANCE(C289,""price"")"),42.3)</f>
        <v>42.3</v>
      </c>
      <c r="F289" s="5">
        <f>IFERROR(__xludf.DUMMYFUNCTION("GOOGLEFINANCE(C289,""change"")"),0.65)</f>
        <v>0.65</v>
      </c>
      <c r="G289" s="6">
        <f>IFERROR(__xludf.DUMMYFUNCTION("GOOGLEFINANCE(C289, ""changepct"")/100"),0.015600000000000001)</f>
        <v>0.0156</v>
      </c>
      <c r="H289" s="5">
        <f>IFERROR(__xludf.DUMMYFUNCTION("GOOGLEFINANCE(C289, ""marketcap"")"),3.3434824616E10)</f>
        <v>33434824616</v>
      </c>
    </row>
    <row r="290">
      <c r="A290" s="4" t="s">
        <v>608</v>
      </c>
      <c r="B290" s="4" t="s">
        <v>35</v>
      </c>
      <c r="C290" s="4" t="s">
        <v>609</v>
      </c>
      <c r="D290" s="4" t="s">
        <v>13</v>
      </c>
      <c r="E290" s="5">
        <f>IFERROR(__xludf.DUMMYFUNCTION("GOOGLEFINANCE(C290,""price"")"),1573.5)</f>
        <v>1573.5</v>
      </c>
      <c r="F290" s="5">
        <f>IFERROR(__xludf.DUMMYFUNCTION("GOOGLEFINANCE(C290,""change"")"),-8.6)</f>
        <v>-8.6</v>
      </c>
      <c r="G290" s="6">
        <f>IFERROR(__xludf.DUMMYFUNCTION("GOOGLEFINANCE(C290, ""changepct"")/100"),-0.0054)</f>
        <v>-0.0054</v>
      </c>
      <c r="H290" s="5">
        <f>IFERROR(__xludf.DUMMYFUNCTION("GOOGLEFINANCE(C290, ""marketcap"")"),1.34194735905E11)</f>
        <v>134194735905</v>
      </c>
    </row>
    <row r="291">
      <c r="A291" s="4" t="s">
        <v>610</v>
      </c>
      <c r="B291" s="4" t="s">
        <v>32</v>
      </c>
      <c r="C291" s="4" t="s">
        <v>611</v>
      </c>
      <c r="D291" s="4" t="s">
        <v>22</v>
      </c>
      <c r="E291" s="5">
        <f>IFERROR(__xludf.DUMMYFUNCTION("GOOGLEFINANCE(C291,""price"")"),1191.4)</f>
        <v>1191.4</v>
      </c>
      <c r="F291" s="5">
        <f>IFERROR(__xludf.DUMMYFUNCTION("GOOGLEFINANCE(C291,""change"")"),-1.25)</f>
        <v>-1.25</v>
      </c>
      <c r="G291" s="6">
        <f>IFERROR(__xludf.DUMMYFUNCTION("GOOGLEFINANCE(C291, ""changepct"")/100"),-0.001)</f>
        <v>-0.001</v>
      </c>
      <c r="H291" s="5">
        <f>IFERROR(__xludf.DUMMYFUNCTION("GOOGLEFINANCE(C291, ""marketcap"")"),5.40599950636E11)</f>
        <v>540599950636</v>
      </c>
    </row>
    <row r="292">
      <c r="A292" s="4" t="s">
        <v>612</v>
      </c>
      <c r="B292" s="4" t="s">
        <v>79</v>
      </c>
      <c r="C292" s="4" t="s">
        <v>613</v>
      </c>
      <c r="D292" s="4" t="s">
        <v>13</v>
      </c>
      <c r="E292" s="5">
        <f>IFERROR(__xludf.DUMMYFUNCTION("GOOGLEFINANCE(C292,""price"")"),3509.0)</f>
        <v>3509</v>
      </c>
      <c r="F292" s="5">
        <f>IFERROR(__xludf.DUMMYFUNCTION("GOOGLEFINANCE(C292,""change"")"),-24.7)</f>
        <v>-24.7</v>
      </c>
      <c r="G292" s="6">
        <f>IFERROR(__xludf.DUMMYFUNCTION("GOOGLEFINANCE(C292, ""changepct"")/100"),-0.006999999999999999)</f>
        <v>-0.007</v>
      </c>
      <c r="H292" s="5">
        <f>IFERROR(__xludf.DUMMYFUNCTION("GOOGLEFINANCE(C292, ""marketcap"")"),1.0552152512E11)</f>
        <v>105521525120</v>
      </c>
    </row>
    <row r="293">
      <c r="A293" s="4" t="s">
        <v>614</v>
      </c>
      <c r="B293" s="4" t="s">
        <v>29</v>
      </c>
      <c r="C293" s="4" t="s">
        <v>615</v>
      </c>
      <c r="D293" s="4" t="s">
        <v>13</v>
      </c>
      <c r="E293" s="5">
        <f>IFERROR(__xludf.DUMMYFUNCTION("GOOGLEFINANCE(C293,""price"")"),898.25)</f>
        <v>898.25</v>
      </c>
      <c r="F293" s="5">
        <f>IFERROR(__xludf.DUMMYFUNCTION("GOOGLEFINANCE(C293,""change"")"),6.75)</f>
        <v>6.75</v>
      </c>
      <c r="G293" s="6">
        <f>IFERROR(__xludf.DUMMYFUNCTION("GOOGLEFINANCE(C293, ""changepct"")/100"),0.0076)</f>
        <v>0.0076</v>
      </c>
      <c r="H293" s="5">
        <f>IFERROR(__xludf.DUMMYFUNCTION("GOOGLEFINANCE(C293, ""marketcap"")"),4.9195836E10)</f>
        <v>49195836000</v>
      </c>
    </row>
    <row r="294">
      <c r="A294" s="4" t="s">
        <v>616</v>
      </c>
      <c r="B294" s="4" t="s">
        <v>47</v>
      </c>
      <c r="C294" s="4" t="s">
        <v>617</v>
      </c>
      <c r="D294" s="4" t="s">
        <v>13</v>
      </c>
      <c r="E294" s="5">
        <f>IFERROR(__xludf.DUMMYFUNCTION("GOOGLEFINANCE(C294,""price"")"),57.8)</f>
        <v>57.8</v>
      </c>
      <c r="F294" s="5">
        <f>IFERROR(__xludf.DUMMYFUNCTION("GOOGLEFINANCE(C294,""change"")"),-0.4)</f>
        <v>-0.4</v>
      </c>
      <c r="G294" s="6">
        <f>IFERROR(__xludf.DUMMYFUNCTION("GOOGLEFINANCE(C294, ""changepct"")/100"),-0.0069)</f>
        <v>-0.0069</v>
      </c>
      <c r="H294" s="5">
        <f>IFERROR(__xludf.DUMMYFUNCTION("GOOGLEFINANCE(C294, ""marketcap"")"),8.6625E10)</f>
        <v>86625000000</v>
      </c>
    </row>
    <row r="295">
      <c r="A295" s="4" t="s">
        <v>618</v>
      </c>
      <c r="B295" s="4" t="s">
        <v>26</v>
      </c>
      <c r="C295" s="4" t="s">
        <v>619</v>
      </c>
      <c r="D295" s="4" t="s">
        <v>13</v>
      </c>
      <c r="E295" s="5">
        <f>IFERROR(__xludf.DUMMYFUNCTION("GOOGLEFINANCE(C295,""price"")"),191.25)</f>
        <v>191.25</v>
      </c>
      <c r="F295" s="5">
        <f>IFERROR(__xludf.DUMMYFUNCTION("GOOGLEFINANCE(C295,""change"")"),-0.2)</f>
        <v>-0.2</v>
      </c>
      <c r="G295" s="6">
        <f>IFERROR(__xludf.DUMMYFUNCTION("GOOGLEFINANCE(C295, ""changepct"")/100"),-0.001)</f>
        <v>-0.001</v>
      </c>
      <c r="H295" s="5">
        <f>IFERROR(__xludf.DUMMYFUNCTION("GOOGLEFINANCE(C295, ""marketcap"")"),4.54482737E10)</f>
        <v>45448273700</v>
      </c>
    </row>
    <row r="296">
      <c r="A296" s="4" t="s">
        <v>620</v>
      </c>
      <c r="B296" s="4" t="s">
        <v>82</v>
      </c>
      <c r="C296" s="4" t="s">
        <v>621</v>
      </c>
      <c r="D296" s="4" t="s">
        <v>22</v>
      </c>
      <c r="E296" s="5">
        <f>IFERROR(__xludf.DUMMYFUNCTION("GOOGLEFINANCE(C296,""price"")"),82780.0)</f>
        <v>82780</v>
      </c>
      <c r="F296" s="5">
        <f>IFERROR(__xludf.DUMMYFUNCTION("GOOGLEFINANCE(C296,""change"")"),303.15)</f>
        <v>303.15</v>
      </c>
      <c r="G296" s="6">
        <f>IFERROR(__xludf.DUMMYFUNCTION("GOOGLEFINANCE(C296, ""changepct"")/100"),0.0037)</f>
        <v>0.0037</v>
      </c>
      <c r="H296" s="5">
        <f>IFERROR(__xludf.DUMMYFUNCTION("GOOGLEFINANCE(C296, ""marketcap"")"),3.5087097713E11)</f>
        <v>350870977130</v>
      </c>
    </row>
    <row r="297">
      <c r="A297" s="4" t="s">
        <v>622</v>
      </c>
      <c r="B297" s="4" t="s">
        <v>50</v>
      </c>
      <c r="C297" s="4" t="s">
        <v>623</v>
      </c>
      <c r="D297" s="4" t="s">
        <v>22</v>
      </c>
      <c r="E297" s="5">
        <f>IFERROR(__xludf.DUMMYFUNCTION("GOOGLEFINANCE(C297,""price"")"),1269.0)</f>
        <v>1269</v>
      </c>
      <c r="F297" s="5">
        <f>IFERROR(__xludf.DUMMYFUNCTION("GOOGLEFINANCE(C297,""change"")"),47.35)</f>
        <v>47.35</v>
      </c>
      <c r="G297" s="6">
        <f>IFERROR(__xludf.DUMMYFUNCTION("GOOGLEFINANCE(C297, ""changepct"")/100"),0.0388)</f>
        <v>0.0388</v>
      </c>
      <c r="H297" s="5">
        <f>IFERROR(__xludf.DUMMYFUNCTION("GOOGLEFINANCE(C297, ""marketcap"")"),1.25315476237E11)</f>
        <v>125315476237</v>
      </c>
    </row>
    <row r="298">
      <c r="A298" s="4" t="s">
        <v>624</v>
      </c>
      <c r="B298" s="4" t="s">
        <v>29</v>
      </c>
      <c r="C298" s="4" t="s">
        <v>625</v>
      </c>
      <c r="D298" s="4" t="s">
        <v>13</v>
      </c>
      <c r="E298" s="5">
        <f>IFERROR(__xludf.DUMMYFUNCTION("GOOGLEFINANCE(C298,""price"")"),3850.5)</f>
        <v>3850.5</v>
      </c>
      <c r="F298" s="5">
        <f>IFERROR(__xludf.DUMMYFUNCTION("GOOGLEFINANCE(C298,""change"")"),12.9)</f>
        <v>12.9</v>
      </c>
      <c r="G298" s="6">
        <f>IFERROR(__xludf.DUMMYFUNCTION("GOOGLEFINANCE(C298, ""changepct"")/100"),0.0034000000000000002)</f>
        <v>0.0034</v>
      </c>
      <c r="H298" s="5">
        <f>IFERROR(__xludf.DUMMYFUNCTION("GOOGLEFINANCE(C298, ""marketcap"")"),4.400567028E10)</f>
        <v>44005670280</v>
      </c>
    </row>
    <row r="299">
      <c r="A299" s="4" t="s">
        <v>626</v>
      </c>
      <c r="B299" s="4" t="s">
        <v>26</v>
      </c>
      <c r="C299" s="4" t="s">
        <v>627</v>
      </c>
      <c r="D299" s="4" t="s">
        <v>13</v>
      </c>
      <c r="E299" s="5">
        <f>IFERROR(__xludf.DUMMYFUNCTION("GOOGLEFINANCE(C299,""price"")"),321.05)</f>
        <v>321.05</v>
      </c>
      <c r="F299" s="5">
        <f>IFERROR(__xludf.DUMMYFUNCTION("GOOGLEFINANCE(C299,""change"")"),1.85)</f>
        <v>1.85</v>
      </c>
      <c r="G299" s="6">
        <f>IFERROR(__xludf.DUMMYFUNCTION("GOOGLEFINANCE(C299, ""changepct"")/100"),0.0058)</f>
        <v>0.0058</v>
      </c>
      <c r="H299" s="5">
        <f>IFERROR(__xludf.DUMMYFUNCTION("GOOGLEFINANCE(C299, ""marketcap"")"),2.1530334722E10)</f>
        <v>21530334722</v>
      </c>
    </row>
    <row r="300">
      <c r="A300" s="4" t="s">
        <v>628</v>
      </c>
      <c r="B300" s="4" t="s">
        <v>29</v>
      </c>
      <c r="C300" s="4" t="s">
        <v>629</v>
      </c>
      <c r="D300" s="4" t="s">
        <v>22</v>
      </c>
      <c r="E300" s="5">
        <f>IFERROR(__xludf.DUMMYFUNCTION("GOOGLEFINANCE(C300,""price"")"),172.1)</f>
        <v>172.1</v>
      </c>
      <c r="F300" s="5">
        <f>IFERROR(__xludf.DUMMYFUNCTION("GOOGLEFINANCE(C300,""change"")"),1.8)</f>
        <v>1.8</v>
      </c>
      <c r="G300" s="6">
        <f>IFERROR(__xludf.DUMMYFUNCTION("GOOGLEFINANCE(C300, ""changepct"")/100"),0.0106)</f>
        <v>0.0106</v>
      </c>
      <c r="H300" s="5">
        <f>IFERROR(__xludf.DUMMYFUNCTION("GOOGLEFINANCE(C300, ""marketcap"")"),2.1245236049E11)</f>
        <v>212452360490</v>
      </c>
    </row>
    <row r="301">
      <c r="A301" s="4" t="s">
        <v>630</v>
      </c>
      <c r="B301" s="4" t="s">
        <v>82</v>
      </c>
      <c r="C301" s="4" t="s">
        <v>631</v>
      </c>
      <c r="D301" s="4" t="s">
        <v>22</v>
      </c>
      <c r="E301" s="5">
        <f>IFERROR(__xludf.DUMMYFUNCTION("GOOGLEFINANCE(C301,""price"")"),809.65)</f>
        <v>809.65</v>
      </c>
      <c r="F301" s="5">
        <f>IFERROR(__xludf.DUMMYFUNCTION("GOOGLEFINANCE(C301,""change"")"),2.2)</f>
        <v>2.2</v>
      </c>
      <c r="G301" s="6">
        <f>IFERROR(__xludf.DUMMYFUNCTION("GOOGLEFINANCE(C301, ""changepct"")/100"),0.0027)</f>
        <v>0.0027</v>
      </c>
      <c r="H301" s="5">
        <f>IFERROR(__xludf.DUMMYFUNCTION("GOOGLEFINANCE(C301, ""marketcap"")"),9.66309207637E11)</f>
        <v>966309207637</v>
      </c>
    </row>
    <row r="302">
      <c r="A302" s="4" t="s">
        <v>632</v>
      </c>
      <c r="B302" s="4" t="s">
        <v>15</v>
      </c>
      <c r="C302" s="4" t="s">
        <v>633</v>
      </c>
      <c r="D302" s="4" t="s">
        <v>13</v>
      </c>
      <c r="E302" s="5">
        <f>IFERROR(__xludf.DUMMYFUNCTION("GOOGLEFINANCE(C302,""price"")"),210.15)</f>
        <v>210.15</v>
      </c>
      <c r="F302" s="5">
        <f>IFERROR(__xludf.DUMMYFUNCTION("GOOGLEFINANCE(C302,""change"")"),-0.6)</f>
        <v>-0.6</v>
      </c>
      <c r="G302" s="6">
        <f>IFERROR(__xludf.DUMMYFUNCTION("GOOGLEFINANCE(C302, ""changepct"")/100"),-0.0028000000000000004)</f>
        <v>-0.0028</v>
      </c>
      <c r="H302" s="5">
        <f>IFERROR(__xludf.DUMMYFUNCTION("GOOGLEFINANCE(C302, ""marketcap"")"),7.9653509441E10)</f>
        <v>79653509441</v>
      </c>
    </row>
    <row r="303">
      <c r="A303" s="4" t="s">
        <v>634</v>
      </c>
      <c r="B303" s="4" t="s">
        <v>57</v>
      </c>
      <c r="C303" s="4" t="s">
        <v>635</v>
      </c>
      <c r="D303" s="4" t="s">
        <v>13</v>
      </c>
      <c r="E303" s="5">
        <f>IFERROR(__xludf.DUMMYFUNCTION("GOOGLEFINANCE(C303,""price"")"),269.0)</f>
        <v>269</v>
      </c>
      <c r="F303" s="5">
        <f>IFERROR(__xludf.DUMMYFUNCTION("GOOGLEFINANCE(C303,""change"")"),11.9)</f>
        <v>11.9</v>
      </c>
      <c r="G303" s="6">
        <f>IFERROR(__xludf.DUMMYFUNCTION("GOOGLEFINANCE(C303, ""changepct"")/100"),0.0463)</f>
        <v>0.0463</v>
      </c>
      <c r="H303" s="5">
        <f>IFERROR(__xludf.DUMMYFUNCTION("GOOGLEFINANCE(C303, ""marketcap"")"),3.5749904618E10)</f>
        <v>35749904618</v>
      </c>
    </row>
    <row r="304">
      <c r="A304" s="4" t="s">
        <v>636</v>
      </c>
      <c r="B304" s="4" t="s">
        <v>47</v>
      </c>
      <c r="C304" s="4" t="s">
        <v>637</v>
      </c>
      <c r="D304" s="4" t="s">
        <v>13</v>
      </c>
      <c r="E304" s="5">
        <f>IFERROR(__xludf.DUMMYFUNCTION("GOOGLEFINANCE(C304,""price"")"),589.0)</f>
        <v>589</v>
      </c>
      <c r="F304" s="5">
        <f>IFERROR(__xludf.DUMMYFUNCTION("GOOGLEFINANCE(C304,""change"")"),-1.1)</f>
        <v>-1.1</v>
      </c>
      <c r="G304" s="6">
        <f>IFERROR(__xludf.DUMMYFUNCTION("GOOGLEFINANCE(C304, ""changepct"")/100"),-0.0019)</f>
        <v>-0.0019</v>
      </c>
      <c r="H304" s="5">
        <f>IFERROR(__xludf.DUMMYFUNCTION("GOOGLEFINANCE(C304, ""marketcap"")"),4.2216849388E10)</f>
        <v>42216849388</v>
      </c>
    </row>
    <row r="305">
      <c r="A305" s="4" t="s">
        <v>638</v>
      </c>
      <c r="B305" s="4" t="s">
        <v>29</v>
      </c>
      <c r="C305" s="4" t="s">
        <v>639</v>
      </c>
      <c r="D305" s="4" t="s">
        <v>22</v>
      </c>
      <c r="E305" s="5">
        <f>IFERROR(__xludf.DUMMYFUNCTION("GOOGLEFINANCE(C305,""price"")"),167.9)</f>
        <v>167.9</v>
      </c>
      <c r="F305" s="5">
        <f>IFERROR(__xludf.DUMMYFUNCTION("GOOGLEFINANCE(C305,""change"")"),2.55)</f>
        <v>2.55</v>
      </c>
      <c r="G305" s="6">
        <f>IFERROR(__xludf.DUMMYFUNCTION("GOOGLEFINANCE(C305, ""changepct"")/100"),0.0154)</f>
        <v>0.0154</v>
      </c>
      <c r="H305" s="5">
        <f>IFERROR(__xludf.DUMMYFUNCTION("GOOGLEFINANCE(C305, ""marketcap"")"),1.42189236E11)</f>
        <v>142189236000</v>
      </c>
    </row>
    <row r="306">
      <c r="A306" s="4" t="s">
        <v>640</v>
      </c>
      <c r="B306" s="4" t="s">
        <v>50</v>
      </c>
      <c r="C306" s="4" t="s">
        <v>641</v>
      </c>
      <c r="D306" s="4" t="s">
        <v>13</v>
      </c>
      <c r="E306" s="5">
        <f>IFERROR(__xludf.DUMMYFUNCTION("GOOGLEFINANCE(C306,""price"")"),54.4)</f>
        <v>54.4</v>
      </c>
      <c r="F306" s="5">
        <f>IFERROR(__xludf.DUMMYFUNCTION("GOOGLEFINANCE(C306,""change"")"),3.05)</f>
        <v>3.05</v>
      </c>
      <c r="G306" s="6">
        <f>IFERROR(__xludf.DUMMYFUNCTION("GOOGLEFINANCE(C306, ""changepct"")/100"),0.0594)</f>
        <v>0.0594</v>
      </c>
      <c r="H306" s="5">
        <f>IFERROR(__xludf.DUMMYFUNCTION("GOOGLEFINANCE(C306, ""marketcap"")"),9.5253698625E10)</f>
        <v>95253698625</v>
      </c>
    </row>
    <row r="307">
      <c r="A307" s="4" t="s">
        <v>642</v>
      </c>
      <c r="B307" s="4" t="s">
        <v>11</v>
      </c>
      <c r="C307" s="4" t="s">
        <v>643</v>
      </c>
      <c r="D307" s="4" t="s">
        <v>22</v>
      </c>
      <c r="E307" s="5">
        <f>IFERROR(__xludf.DUMMYFUNCTION("GOOGLEFINANCE(C307,""price"")"),508.5)</f>
        <v>508.5</v>
      </c>
      <c r="F307" s="5">
        <f>IFERROR(__xludf.DUMMYFUNCTION("GOOGLEFINANCE(C307,""change"")"),13.7)</f>
        <v>13.7</v>
      </c>
      <c r="G307" s="6">
        <f>IFERROR(__xludf.DUMMYFUNCTION("GOOGLEFINANCE(C307, ""changepct"")/100"),0.0277)</f>
        <v>0.0277</v>
      </c>
      <c r="H307" s="5">
        <f>IFERROR(__xludf.DUMMYFUNCTION("GOOGLEFINANCE(C307, ""marketcap"")"),6.56033139E11)</f>
        <v>656033139000</v>
      </c>
    </row>
    <row r="308">
      <c r="A308" s="4" t="s">
        <v>644</v>
      </c>
      <c r="B308" s="4" t="s">
        <v>82</v>
      </c>
      <c r="C308" s="4" t="s">
        <v>645</v>
      </c>
      <c r="D308" s="4" t="s">
        <v>22</v>
      </c>
      <c r="E308" s="5">
        <f>IFERROR(__xludf.DUMMYFUNCTION("GOOGLEFINANCE(C308,""price"")"),7167.35)</f>
        <v>7167.35</v>
      </c>
      <c r="F308" s="5">
        <f>IFERROR(__xludf.DUMMYFUNCTION("GOOGLEFINANCE(C308,""change"")"),-10.5)</f>
        <v>-10.5</v>
      </c>
      <c r="G308" s="6">
        <f>IFERROR(__xludf.DUMMYFUNCTION("GOOGLEFINANCE(C308, ""changepct"")/100"),-0.0015)</f>
        <v>-0.0015</v>
      </c>
      <c r="H308" s="5">
        <f>IFERROR(__xludf.DUMMYFUNCTION("GOOGLEFINANCE(C308, ""marketcap"")"),2.1651131175E12)</f>
        <v>2165113117500</v>
      </c>
    </row>
    <row r="309">
      <c r="A309" s="4" t="s">
        <v>646</v>
      </c>
      <c r="B309" s="4" t="s">
        <v>29</v>
      </c>
      <c r="C309" s="4" t="s">
        <v>647</v>
      </c>
      <c r="D309" s="4" t="s">
        <v>22</v>
      </c>
      <c r="E309" s="5">
        <f>IFERROR(__xludf.DUMMYFUNCTION("GOOGLEFINANCE(C309,""price"")"),1017.0)</f>
        <v>1017</v>
      </c>
      <c r="F309" s="5">
        <f>IFERROR(__xludf.DUMMYFUNCTION("GOOGLEFINANCE(C309,""change"")"),16.4)</f>
        <v>16.4</v>
      </c>
      <c r="G309" s="6">
        <f>IFERROR(__xludf.DUMMYFUNCTION("GOOGLEFINANCE(C309, ""changepct"")/100"),0.016399999999999998)</f>
        <v>0.0164</v>
      </c>
      <c r="H309" s="5">
        <f>IFERROR(__xludf.DUMMYFUNCTION("GOOGLEFINANCE(C309, ""marketcap"")"),3.50818211672E11)</f>
        <v>350818211672</v>
      </c>
    </row>
    <row r="310">
      <c r="A310" s="4" t="s">
        <v>648</v>
      </c>
      <c r="B310" s="4" t="s">
        <v>91</v>
      </c>
      <c r="C310" s="4" t="s">
        <v>649</v>
      </c>
      <c r="D310" s="4" t="s">
        <v>13</v>
      </c>
      <c r="E310" s="5">
        <f>IFERROR(__xludf.DUMMYFUNCTION("GOOGLEFINANCE(C310,""price"")"),251.55)</f>
        <v>251.55</v>
      </c>
      <c r="F310" s="5">
        <f>IFERROR(__xludf.DUMMYFUNCTION("GOOGLEFINANCE(C310,""change"")"),-2.7)</f>
        <v>-2.7</v>
      </c>
      <c r="G310" s="6">
        <f>IFERROR(__xludf.DUMMYFUNCTION("GOOGLEFINANCE(C310, ""changepct"")/100"),-0.0106)</f>
        <v>-0.0106</v>
      </c>
      <c r="H310" s="5">
        <f>IFERROR(__xludf.DUMMYFUNCTION("GOOGLEFINANCE(C310, ""marketcap"")"),2.42745750947E11)</f>
        <v>242745750947</v>
      </c>
    </row>
    <row r="311">
      <c r="A311" s="4" t="s">
        <v>650</v>
      </c>
      <c r="B311" s="4" t="s">
        <v>15</v>
      </c>
      <c r="C311" s="4" t="s">
        <v>651</v>
      </c>
      <c r="D311" s="4" t="s">
        <v>13</v>
      </c>
      <c r="E311" s="5">
        <f>IFERROR(__xludf.DUMMYFUNCTION("GOOGLEFINANCE(C311,""price"")"),260.7)</f>
        <v>260.7</v>
      </c>
      <c r="F311" s="5">
        <f>IFERROR(__xludf.DUMMYFUNCTION("GOOGLEFINANCE(C311,""change"")"),4.3)</f>
        <v>4.3</v>
      </c>
      <c r="G311" s="6">
        <f>IFERROR(__xludf.DUMMYFUNCTION("GOOGLEFINANCE(C311, ""changepct"")/100"),0.0168)</f>
        <v>0.0168</v>
      </c>
      <c r="H311" s="5">
        <f>IFERROR(__xludf.DUMMYFUNCTION("GOOGLEFINANCE(C311, ""marketcap"")"),5.2630981867E10)</f>
        <v>52630981867</v>
      </c>
    </row>
    <row r="312">
      <c r="A312" s="4" t="s">
        <v>652</v>
      </c>
      <c r="B312" s="4" t="s">
        <v>91</v>
      </c>
      <c r="C312" s="4" t="s">
        <v>653</v>
      </c>
      <c r="D312" s="4" t="s">
        <v>13</v>
      </c>
      <c r="E312" s="5">
        <f>IFERROR(__xludf.DUMMYFUNCTION("GOOGLEFINANCE(C312,""price"")"),2978.0)</f>
        <v>2978</v>
      </c>
      <c r="F312" s="5">
        <f>IFERROR(__xludf.DUMMYFUNCTION("GOOGLEFINANCE(C312,""change"")"),-13.5)</f>
        <v>-13.5</v>
      </c>
      <c r="G312" s="6">
        <f>IFERROR(__xludf.DUMMYFUNCTION("GOOGLEFINANCE(C312, ""changepct"")/100"),-0.0045000000000000005)</f>
        <v>-0.0045</v>
      </c>
      <c r="H312" s="5">
        <f>IFERROR(__xludf.DUMMYFUNCTION("GOOGLEFINANCE(C312, ""marketcap"")"),1.5226183442E11)</f>
        <v>152261834420</v>
      </c>
    </row>
    <row r="313">
      <c r="A313" s="4" t="s">
        <v>654</v>
      </c>
      <c r="B313" s="4" t="s">
        <v>64</v>
      </c>
      <c r="C313" s="4" t="s">
        <v>655</v>
      </c>
      <c r="D313" s="4" t="s">
        <v>22</v>
      </c>
      <c r="E313" s="5">
        <f>IFERROR(__xludf.DUMMYFUNCTION("GOOGLEFINANCE(C313,""price"")"),2468.75)</f>
        <v>2468.75</v>
      </c>
      <c r="F313" s="5">
        <f>IFERROR(__xludf.DUMMYFUNCTION("GOOGLEFINANCE(C313,""change"")"),1.05)</f>
        <v>1.05</v>
      </c>
      <c r="G313" s="6">
        <f>IFERROR(__xludf.DUMMYFUNCTION("GOOGLEFINANCE(C313, ""changepct"")/100"),4.0E-4)</f>
        <v>0.0004</v>
      </c>
      <c r="H313" s="5">
        <f>IFERROR(__xludf.DUMMYFUNCTION("GOOGLEFINANCE(C313, ""marketcap"")"),4.06230698308E11)</f>
        <v>406230698308</v>
      </c>
    </row>
    <row r="314">
      <c r="A314" s="4" t="s">
        <v>656</v>
      </c>
      <c r="B314" s="4" t="s">
        <v>82</v>
      </c>
      <c r="C314" s="4" t="s">
        <v>657</v>
      </c>
      <c r="D314" s="4" t="s">
        <v>13</v>
      </c>
      <c r="E314" s="5">
        <f>IFERROR(__xludf.DUMMYFUNCTION("GOOGLEFINANCE(C314,""price"")"),135.35)</f>
        <v>135.35</v>
      </c>
      <c r="F314" s="5">
        <f>IFERROR(__xludf.DUMMYFUNCTION("GOOGLEFINANCE(C314,""change"")"),-1.7)</f>
        <v>-1.7</v>
      </c>
      <c r="G314" s="6">
        <f>IFERROR(__xludf.DUMMYFUNCTION("GOOGLEFINANCE(C314, ""changepct"")/100"),-0.0124)</f>
        <v>-0.0124</v>
      </c>
      <c r="H314" s="5">
        <f>IFERROR(__xludf.DUMMYFUNCTION("GOOGLEFINANCE(C314, ""marketcap"")"),3.1673520305E10)</f>
        <v>31673520305</v>
      </c>
    </row>
    <row r="315">
      <c r="A315" s="4" t="s">
        <v>658</v>
      </c>
      <c r="B315" s="4" t="s">
        <v>82</v>
      </c>
      <c r="C315" s="4" t="s">
        <v>659</v>
      </c>
      <c r="D315" s="4" t="s">
        <v>13</v>
      </c>
      <c r="E315" s="5">
        <f>IFERROR(__xludf.DUMMYFUNCTION("GOOGLEFINANCE(C315,""price"")"),630.0)</f>
        <v>630</v>
      </c>
      <c r="F315" s="5">
        <f>IFERROR(__xludf.DUMMYFUNCTION("GOOGLEFINANCE(C315,""change"")"),19.75)</f>
        <v>19.75</v>
      </c>
      <c r="G315" s="6">
        <f>IFERROR(__xludf.DUMMYFUNCTION("GOOGLEFINANCE(C315, ""changepct"")/100"),0.032400000000000005)</f>
        <v>0.0324</v>
      </c>
      <c r="H315" s="5">
        <f>IFERROR(__xludf.DUMMYFUNCTION("GOOGLEFINANCE(C315, ""marketcap"")"),1.7255228981E11)</f>
        <v>172552289810</v>
      </c>
    </row>
    <row r="316">
      <c r="A316" s="4" t="s">
        <v>660</v>
      </c>
      <c r="B316" s="4" t="s">
        <v>26</v>
      </c>
      <c r="C316" s="4" t="s">
        <v>661</v>
      </c>
      <c r="D316" s="4" t="s">
        <v>13</v>
      </c>
      <c r="E316" s="5">
        <f>IFERROR(__xludf.DUMMYFUNCTION("GOOGLEFINANCE(C316,""price"")"),216.75)</f>
        <v>216.75</v>
      </c>
      <c r="F316" s="5">
        <f>IFERROR(__xludf.DUMMYFUNCTION("GOOGLEFINANCE(C316,""change"")"),0.1)</f>
        <v>0.1</v>
      </c>
      <c r="G316" s="6">
        <f>IFERROR(__xludf.DUMMYFUNCTION("GOOGLEFINANCE(C316, ""changepct"")/100"),5.0E-4)</f>
        <v>0.0005</v>
      </c>
      <c r="H316" s="5">
        <f>IFERROR(__xludf.DUMMYFUNCTION("GOOGLEFINANCE(C316, ""marketcap"")"),4.0615290891E10)</f>
        <v>40615290891</v>
      </c>
    </row>
    <row r="317">
      <c r="A317" s="4" t="s">
        <v>662</v>
      </c>
      <c r="B317" s="4" t="s">
        <v>82</v>
      </c>
      <c r="C317" s="4" t="s">
        <v>663</v>
      </c>
      <c r="D317" s="4" t="s">
        <v>22</v>
      </c>
      <c r="E317" s="5">
        <f>IFERROR(__xludf.DUMMYFUNCTION("GOOGLEFINANCE(C317,""price"")"),246.35)</f>
        <v>246.35</v>
      </c>
      <c r="F317" s="5">
        <f>IFERROR(__xludf.DUMMYFUNCTION("GOOGLEFINANCE(C317,""change"")"),1.1)</f>
        <v>1.1</v>
      </c>
      <c r="G317" s="6">
        <f>IFERROR(__xludf.DUMMYFUNCTION("GOOGLEFINANCE(C317, ""changepct"")/100"),0.0045000000000000005)</f>
        <v>0.0045</v>
      </c>
      <c r="H317" s="5">
        <f>IFERROR(__xludf.DUMMYFUNCTION("GOOGLEFINANCE(C317, ""marketcap"")"),7.7842235E11)</f>
        <v>778422350000</v>
      </c>
    </row>
    <row r="318">
      <c r="A318" s="4" t="s">
        <v>664</v>
      </c>
      <c r="B318" s="4" t="s">
        <v>29</v>
      </c>
      <c r="C318" s="4" t="s">
        <v>665</v>
      </c>
      <c r="D318" s="4" t="s">
        <v>13</v>
      </c>
      <c r="E318" s="5">
        <f>IFERROR(__xludf.DUMMYFUNCTION("GOOGLEFINANCE(C318,""price"")"),814.95)</f>
        <v>814.95</v>
      </c>
      <c r="F318" s="5">
        <f>IFERROR(__xludf.DUMMYFUNCTION("GOOGLEFINANCE(C318,""change"")"),15.3)</f>
        <v>15.3</v>
      </c>
      <c r="G318" s="6">
        <f>IFERROR(__xludf.DUMMYFUNCTION("GOOGLEFINANCE(C318, ""changepct"")/100"),0.0191)</f>
        <v>0.0191</v>
      </c>
      <c r="H318" s="5">
        <f>IFERROR(__xludf.DUMMYFUNCTION("GOOGLEFINANCE(C318, ""marketcap"")"),1.19332059305E11)</f>
        <v>119332059305</v>
      </c>
    </row>
    <row r="319">
      <c r="A319" s="4" t="s">
        <v>666</v>
      </c>
      <c r="B319" s="4" t="s">
        <v>64</v>
      </c>
      <c r="C319" s="4" t="s">
        <v>667</v>
      </c>
      <c r="D319" s="4" t="s">
        <v>22</v>
      </c>
      <c r="E319" s="5">
        <f>IFERROR(__xludf.DUMMYFUNCTION("GOOGLEFINANCE(C319,""price"")"),2037.45)</f>
        <v>2037.45</v>
      </c>
      <c r="F319" s="5">
        <f>IFERROR(__xludf.DUMMYFUNCTION("GOOGLEFINANCE(C319,""change"")"),42.7)</f>
        <v>42.7</v>
      </c>
      <c r="G319" s="6">
        <f>IFERROR(__xludf.DUMMYFUNCTION("GOOGLEFINANCE(C319, ""changepct"")/100"),0.021400000000000002)</f>
        <v>0.0214</v>
      </c>
      <c r="H319" s="5">
        <f>IFERROR(__xludf.DUMMYFUNCTION("GOOGLEFINANCE(C319, ""marketcap"")"),3.807784208E11)</f>
        <v>380778420800</v>
      </c>
    </row>
    <row r="320">
      <c r="A320" s="4" t="s">
        <v>668</v>
      </c>
      <c r="B320" s="4" t="s">
        <v>29</v>
      </c>
      <c r="C320" s="4" t="s">
        <v>669</v>
      </c>
      <c r="D320" s="4" t="s">
        <v>13</v>
      </c>
      <c r="E320" s="5">
        <f>IFERROR(__xludf.DUMMYFUNCTION("GOOGLEFINANCE(C320,""price"")"),1555.05)</f>
        <v>1555.05</v>
      </c>
      <c r="F320" s="5">
        <f>IFERROR(__xludf.DUMMYFUNCTION("GOOGLEFINANCE(C320,""change"")"),0.3)</f>
        <v>0.3</v>
      </c>
      <c r="G320" s="6">
        <f>IFERROR(__xludf.DUMMYFUNCTION("GOOGLEFINANCE(C320, ""changepct"")/100"),2.0E-4)</f>
        <v>0.0002</v>
      </c>
      <c r="H320" s="5">
        <f>IFERROR(__xludf.DUMMYFUNCTION("GOOGLEFINANCE(C320, ""marketcap"")"),7.930246535E10)</f>
        <v>79302465350</v>
      </c>
    </row>
    <row r="321">
      <c r="A321" s="4" t="s">
        <v>670</v>
      </c>
      <c r="B321" s="4" t="s">
        <v>29</v>
      </c>
      <c r="C321" s="4" t="s">
        <v>671</v>
      </c>
      <c r="D321" s="4" t="s">
        <v>22</v>
      </c>
      <c r="E321" s="5">
        <f>IFERROR(__xludf.DUMMYFUNCTION("GOOGLEFINANCE(C321,""price"")"),1513.7)</f>
        <v>1513.7</v>
      </c>
      <c r="F321" s="5">
        <f>IFERROR(__xludf.DUMMYFUNCTION("GOOGLEFINANCE(C321,""change"")"),10.2)</f>
        <v>10.2</v>
      </c>
      <c r="G321" s="6">
        <f>IFERROR(__xludf.DUMMYFUNCTION("GOOGLEFINANCE(C321, ""changepct"")/100"),0.0068000000000000005)</f>
        <v>0.0068</v>
      </c>
      <c r="H321" s="5">
        <f>IFERROR(__xludf.DUMMYFUNCTION("GOOGLEFINANCE(C321, ""marketcap"")"),6.07129623729E11)</f>
        <v>607129623729</v>
      </c>
    </row>
    <row r="322">
      <c r="A322" s="4" t="s">
        <v>672</v>
      </c>
      <c r="B322" s="4" t="s">
        <v>32</v>
      </c>
      <c r="C322" s="4" t="s">
        <v>673</v>
      </c>
      <c r="D322" s="4" t="s">
        <v>13</v>
      </c>
      <c r="E322" s="5">
        <f>IFERROR(__xludf.DUMMYFUNCTION("GOOGLEFINANCE(C322,""price"")"),1118.0)</f>
        <v>1118</v>
      </c>
      <c r="F322" s="5">
        <f>IFERROR(__xludf.DUMMYFUNCTION("GOOGLEFINANCE(C322,""change"")"),13.7)</f>
        <v>13.7</v>
      </c>
      <c r="G322" s="6">
        <f>IFERROR(__xludf.DUMMYFUNCTION("GOOGLEFINANCE(C322, ""changepct"")/100"),0.0124)</f>
        <v>0.0124</v>
      </c>
      <c r="H322" s="5">
        <f>IFERROR(__xludf.DUMMYFUNCTION("GOOGLEFINANCE(C322, ""marketcap"")"),2.03953955093E11)</f>
        <v>203953955093</v>
      </c>
    </row>
    <row r="323">
      <c r="A323" s="4" t="s">
        <v>674</v>
      </c>
      <c r="B323" s="4" t="s">
        <v>100</v>
      </c>
      <c r="C323" s="4" t="s">
        <v>675</v>
      </c>
      <c r="D323" s="4" t="s">
        <v>13</v>
      </c>
      <c r="E323" s="5">
        <f>IFERROR(__xludf.DUMMYFUNCTION("GOOGLEFINANCE(C323,""price"")"),57.85)</f>
        <v>57.85</v>
      </c>
      <c r="F323" s="5">
        <f>IFERROR(__xludf.DUMMYFUNCTION("GOOGLEFINANCE(C323,""change"")"),0.5)</f>
        <v>0.5</v>
      </c>
      <c r="G323" s="6">
        <f>IFERROR(__xludf.DUMMYFUNCTION("GOOGLEFINANCE(C323, ""changepct"")/100"),0.0087)</f>
        <v>0.0087</v>
      </c>
      <c r="H323" s="5">
        <f>IFERROR(__xludf.DUMMYFUNCTION("GOOGLEFINANCE(C323, ""marketcap"")"),1.04310001373E11)</f>
        <v>104310001373</v>
      </c>
    </row>
    <row r="324">
      <c r="A324" s="4" t="s">
        <v>676</v>
      </c>
      <c r="B324" s="4" t="s">
        <v>100</v>
      </c>
      <c r="C324" s="4" t="s">
        <v>677</v>
      </c>
      <c r="D324" s="4" t="s">
        <v>13</v>
      </c>
      <c r="E324" s="5">
        <f>IFERROR(__xludf.DUMMYFUNCTION("GOOGLEFINANCE(C324,""price"")"),90.3)</f>
        <v>90.3</v>
      </c>
      <c r="F324" s="5">
        <f>IFERROR(__xludf.DUMMYFUNCTION("GOOGLEFINANCE(C324,""change"")"),-1.45)</f>
        <v>-1.45</v>
      </c>
      <c r="G324" s="6">
        <f>IFERROR(__xludf.DUMMYFUNCTION("GOOGLEFINANCE(C324, ""changepct"")/100"),-0.0158)</f>
        <v>-0.0158</v>
      </c>
      <c r="H324" s="5">
        <f>IFERROR(__xludf.DUMMYFUNCTION("GOOGLEFINANCE(C324, ""marketcap"")"),5.5008161458E10)</f>
        <v>55008161458</v>
      </c>
    </row>
    <row r="325">
      <c r="A325" s="4" t="s">
        <v>678</v>
      </c>
      <c r="B325" s="4" t="s">
        <v>47</v>
      </c>
      <c r="C325" s="4" t="s">
        <v>679</v>
      </c>
      <c r="D325" s="4" t="s">
        <v>13</v>
      </c>
      <c r="E325" s="5">
        <f>IFERROR(__xludf.DUMMYFUNCTION("GOOGLEFINANCE(C325,""price"")"),578.0)</f>
        <v>578</v>
      </c>
      <c r="F325" s="5">
        <f>IFERROR(__xludf.DUMMYFUNCTION("GOOGLEFINANCE(C325,""change"")"),3.1)</f>
        <v>3.1</v>
      </c>
      <c r="G325" s="6">
        <f>IFERROR(__xludf.DUMMYFUNCTION("GOOGLEFINANCE(C325, ""changepct"")/100"),0.0054)</f>
        <v>0.0054</v>
      </c>
      <c r="H325" s="5">
        <f>IFERROR(__xludf.DUMMYFUNCTION("GOOGLEFINANCE(C325, ""marketcap"")"),4.07258511E10)</f>
        <v>40725851100</v>
      </c>
    </row>
    <row r="326">
      <c r="A326" s="4" t="s">
        <v>680</v>
      </c>
      <c r="B326" s="4" t="s">
        <v>44</v>
      </c>
      <c r="C326" s="4" t="s">
        <v>681</v>
      </c>
      <c r="D326" s="4" t="s">
        <v>13</v>
      </c>
      <c r="E326" s="5">
        <f>IFERROR(__xludf.DUMMYFUNCTION("GOOGLEFINANCE(C326,""price"")"),27.1)</f>
        <v>27.1</v>
      </c>
      <c r="F326" s="5">
        <f>IFERROR(__xludf.DUMMYFUNCTION("GOOGLEFINANCE(C326,""change"")"),0.25)</f>
        <v>0.25</v>
      </c>
      <c r="G326" s="6">
        <f>IFERROR(__xludf.DUMMYFUNCTION("GOOGLEFINANCE(C326, ""changepct"")/100"),0.009300000000000001)</f>
        <v>0.0093</v>
      </c>
      <c r="H326" s="5">
        <f>IFERROR(__xludf.DUMMYFUNCTION("GOOGLEFINANCE(C326, ""marketcap"")"),2.72220316831E11)</f>
        <v>272220316831</v>
      </c>
    </row>
    <row r="327">
      <c r="A327" s="4" t="s">
        <v>682</v>
      </c>
      <c r="B327" s="4" t="s">
        <v>44</v>
      </c>
      <c r="C327" s="4" t="s">
        <v>683</v>
      </c>
      <c r="D327" s="4" t="s">
        <v>13</v>
      </c>
      <c r="E327" s="5">
        <f>IFERROR(__xludf.DUMMYFUNCTION("GOOGLEFINANCE(C327,""price"")"),63.8)</f>
        <v>63.8</v>
      </c>
      <c r="F327" s="5">
        <f>IFERROR(__xludf.DUMMYFUNCTION("GOOGLEFINANCE(C327,""change"")"),0.25)</f>
        <v>0.25</v>
      </c>
      <c r="G327" s="6">
        <f>IFERROR(__xludf.DUMMYFUNCTION("GOOGLEFINANCE(C327, ""changepct"")/100"),0.0039000000000000003)</f>
        <v>0.0039</v>
      </c>
      <c r="H327" s="5">
        <f>IFERROR(__xludf.DUMMYFUNCTION("GOOGLEFINANCE(C327, ""marketcap"")"),8.8467375742E10)</f>
        <v>88467375742</v>
      </c>
    </row>
    <row r="328">
      <c r="A328" s="4" t="s">
        <v>684</v>
      </c>
      <c r="B328" s="4" t="s">
        <v>26</v>
      </c>
      <c r="C328" s="4" t="s">
        <v>685</v>
      </c>
      <c r="D328" s="4" t="s">
        <v>22</v>
      </c>
      <c r="E328" s="5">
        <f>IFERROR(__xludf.DUMMYFUNCTION("GOOGLEFINANCE(C328,""price"")"),183.65)</f>
        <v>183.65</v>
      </c>
      <c r="F328" s="5">
        <f>IFERROR(__xludf.DUMMYFUNCTION("GOOGLEFINANCE(C328,""change"")"),-2.15)</f>
        <v>-2.15</v>
      </c>
      <c r="G328" s="6">
        <f>IFERROR(__xludf.DUMMYFUNCTION("GOOGLEFINANCE(C328, ""changepct"")/100"),-0.0116)</f>
        <v>-0.0116</v>
      </c>
      <c r="H328" s="5">
        <f>IFERROR(__xludf.DUMMYFUNCTION("GOOGLEFINANCE(C328, ""marketcap"")"),5.406966225E11)</f>
        <v>540696622500</v>
      </c>
    </row>
    <row r="329">
      <c r="A329" s="4" t="s">
        <v>686</v>
      </c>
      <c r="B329" s="4" t="s">
        <v>35</v>
      </c>
      <c r="C329" s="4" t="s">
        <v>687</v>
      </c>
      <c r="D329" s="4" t="s">
        <v>13</v>
      </c>
      <c r="E329" s="5">
        <f>IFERROR(__xludf.DUMMYFUNCTION("GOOGLEFINANCE(C329,""price"")"),207.5)</f>
        <v>207.5</v>
      </c>
      <c r="F329" s="5">
        <f>IFERROR(__xludf.DUMMYFUNCTION("GOOGLEFINANCE(C329,""change"")"),3.5)</f>
        <v>3.5</v>
      </c>
      <c r="G329" s="6">
        <f>IFERROR(__xludf.DUMMYFUNCTION("GOOGLEFINANCE(C329, ""changepct"")/100"),0.0172)</f>
        <v>0.0172</v>
      </c>
      <c r="H329" s="5">
        <f>IFERROR(__xludf.DUMMYFUNCTION("GOOGLEFINANCE(C329, ""marketcap"")"),3.4522605E10)</f>
        <v>34522605000</v>
      </c>
    </row>
    <row r="330">
      <c r="A330" s="4" t="s">
        <v>688</v>
      </c>
      <c r="B330" s="4" t="s">
        <v>44</v>
      </c>
      <c r="C330" s="4" t="s">
        <v>689</v>
      </c>
      <c r="D330" s="4" t="s">
        <v>22</v>
      </c>
      <c r="E330" s="5">
        <f>IFERROR(__xludf.DUMMYFUNCTION("GOOGLEFINANCE(C330,""price"")"),118.4)</f>
        <v>118.4</v>
      </c>
      <c r="F330" s="5">
        <f>IFERROR(__xludf.DUMMYFUNCTION("GOOGLEFINANCE(C330,""change"")"),0.2)</f>
        <v>0.2</v>
      </c>
      <c r="G330" s="6">
        <f>IFERROR(__xludf.DUMMYFUNCTION("GOOGLEFINANCE(C330, ""changepct"")/100"),0.0017000000000000001)</f>
        <v>0.0017</v>
      </c>
      <c r="H330" s="5">
        <f>IFERROR(__xludf.DUMMYFUNCTION("GOOGLEFINANCE(C330, ""marketcap"")"),1.149053689445E12)</f>
        <v>1149053689445</v>
      </c>
    </row>
    <row r="331">
      <c r="A331" s="4" t="s">
        <v>690</v>
      </c>
      <c r="B331" s="4" t="s">
        <v>91</v>
      </c>
      <c r="C331" s="4" t="s">
        <v>691</v>
      </c>
      <c r="D331" s="4" t="s">
        <v>13</v>
      </c>
      <c r="E331" s="5">
        <f>IFERROR(__xludf.DUMMYFUNCTION("GOOGLEFINANCE(C331,""price"")"),483.95)</f>
        <v>483.95</v>
      </c>
      <c r="F331" s="5">
        <f>IFERROR(__xludf.DUMMYFUNCTION("GOOGLEFINANCE(C331,""change"")"),-1.25)</f>
        <v>-1.25</v>
      </c>
      <c r="G331" s="6">
        <f>IFERROR(__xludf.DUMMYFUNCTION("GOOGLEFINANCE(C331, ""changepct"")/100"),-0.0026)</f>
        <v>-0.0026</v>
      </c>
      <c r="H331" s="5">
        <f>IFERROR(__xludf.DUMMYFUNCTION("GOOGLEFINANCE(C331, ""marketcap"")"),9.8141101383E10)</f>
        <v>98141101383</v>
      </c>
    </row>
    <row r="332">
      <c r="A332" s="4" t="s">
        <v>692</v>
      </c>
      <c r="B332" s="4" t="s">
        <v>26</v>
      </c>
      <c r="C332" s="4" t="s">
        <v>693</v>
      </c>
      <c r="D332" s="4" t="s">
        <v>22</v>
      </c>
      <c r="E332" s="5">
        <f>IFERROR(__xludf.DUMMYFUNCTION("GOOGLEFINANCE(C332,""price"")"),71.9)</f>
        <v>71.9</v>
      </c>
      <c r="F332" s="5">
        <f>IFERROR(__xludf.DUMMYFUNCTION("GOOGLEFINANCE(C332,""change"")"),0.1)</f>
        <v>0.1</v>
      </c>
      <c r="G332" s="6">
        <f>IFERROR(__xludf.DUMMYFUNCTION("GOOGLEFINANCE(C332, ""changepct"")/100"),0.0014000000000000002)</f>
        <v>0.0014</v>
      </c>
      <c r="H332" s="5">
        <f>IFERROR(__xludf.DUMMYFUNCTION("GOOGLEFINANCE(C332, ""marketcap"")"),1.32053843602E11)</f>
        <v>132053843602</v>
      </c>
    </row>
    <row r="333">
      <c r="A333" s="4" t="s">
        <v>694</v>
      </c>
      <c r="B333" s="4" t="s">
        <v>157</v>
      </c>
      <c r="C333" s="4" t="s">
        <v>695</v>
      </c>
      <c r="D333" s="4" t="s">
        <v>13</v>
      </c>
      <c r="E333" s="5">
        <f>IFERROR(__xludf.DUMMYFUNCTION("GOOGLEFINANCE(C333,""price"")"),67.5)</f>
        <v>67.5</v>
      </c>
      <c r="F333" s="5">
        <f>IFERROR(__xludf.DUMMYFUNCTION("GOOGLEFINANCE(C333,""change"")"),0.55)</f>
        <v>0.55</v>
      </c>
      <c r="G333" s="6">
        <f>IFERROR(__xludf.DUMMYFUNCTION("GOOGLEFINANCE(C333, ""changepct"")/100"),0.008199999999999999)</f>
        <v>0.0082</v>
      </c>
      <c r="H333" s="5">
        <f>IFERROR(__xludf.DUMMYFUNCTION("GOOGLEFINANCE(C333, ""marketcap"")"),3.3114042E10)</f>
        <v>33114042000</v>
      </c>
    </row>
    <row r="334">
      <c r="A334" s="4" t="s">
        <v>696</v>
      </c>
      <c r="B334" s="4" t="s">
        <v>35</v>
      </c>
      <c r="C334" s="4" t="s">
        <v>697</v>
      </c>
      <c r="D334" s="4" t="s">
        <v>22</v>
      </c>
      <c r="E334" s="5">
        <f>IFERROR(__xludf.DUMMYFUNCTION("GOOGLEFINANCE(C334,""price"")"),3377.4)</f>
        <v>3377.4</v>
      </c>
      <c r="F334" s="5">
        <f>IFERROR(__xludf.DUMMYFUNCTION("GOOGLEFINANCE(C334,""change"")"),7.5)</f>
        <v>7.5</v>
      </c>
      <c r="G334" s="6">
        <f>IFERROR(__xludf.DUMMYFUNCTION("GOOGLEFINANCE(C334, ""changepct"")/100"),0.0022)</f>
        <v>0.0022</v>
      </c>
      <c r="H334" s="5">
        <f>IFERROR(__xludf.DUMMYFUNCTION("GOOGLEFINANCE(C334, ""marketcap"")"),1.67207976625E11)</f>
        <v>167207976625</v>
      </c>
    </row>
    <row r="335">
      <c r="A335" s="4" t="s">
        <v>698</v>
      </c>
      <c r="B335" s="4" t="s">
        <v>11</v>
      </c>
      <c r="C335" s="4" t="s">
        <v>699</v>
      </c>
      <c r="D335" s="4" t="s">
        <v>22</v>
      </c>
      <c r="E335" s="5">
        <f>IFERROR(__xludf.DUMMYFUNCTION("GOOGLEFINANCE(C335,""price"")"),17675.0)</f>
        <v>17675</v>
      </c>
      <c r="F335" s="5">
        <f>IFERROR(__xludf.DUMMYFUNCTION("GOOGLEFINANCE(C335,""change"")"),97.5)</f>
        <v>97.5</v>
      </c>
      <c r="G335" s="6">
        <f>IFERROR(__xludf.DUMMYFUNCTION("GOOGLEFINANCE(C335, ""changepct"")/100"),0.0055000000000000005)</f>
        <v>0.0055</v>
      </c>
      <c r="H335" s="5">
        <f>IFERROR(__xludf.DUMMYFUNCTION("GOOGLEFINANCE(C335, ""marketcap"")"),1.704037288736E12)</f>
        <v>1704037288736</v>
      </c>
    </row>
    <row r="336">
      <c r="A336" s="4" t="s">
        <v>700</v>
      </c>
      <c r="B336" s="4" t="s">
        <v>288</v>
      </c>
      <c r="C336" s="4" t="s">
        <v>701</v>
      </c>
      <c r="D336" s="4" t="s">
        <v>13</v>
      </c>
      <c r="E336" s="5">
        <f>IFERROR(__xludf.DUMMYFUNCTION("GOOGLEFINANCE(C336,""price"")"),55.15)</f>
        <v>55.15</v>
      </c>
      <c r="F336" s="5">
        <f>IFERROR(__xludf.DUMMYFUNCTION("GOOGLEFINANCE(C336,""change"")"),-0.3)</f>
        <v>-0.3</v>
      </c>
      <c r="G336" s="6">
        <f>IFERROR(__xludf.DUMMYFUNCTION("GOOGLEFINANCE(C336, ""changepct"")/100"),-0.0054)</f>
        <v>-0.0054</v>
      </c>
      <c r="H336" s="5">
        <f>IFERROR(__xludf.DUMMYFUNCTION("GOOGLEFINANCE(C336, ""marketcap"")"),5.7686833202E10)</f>
        <v>57686833202</v>
      </c>
    </row>
    <row r="337">
      <c r="A337" s="4" t="s">
        <v>702</v>
      </c>
      <c r="B337" s="4" t="s">
        <v>15</v>
      </c>
      <c r="C337" s="4" t="s">
        <v>703</v>
      </c>
      <c r="D337" s="4" t="s">
        <v>13</v>
      </c>
      <c r="E337" s="5">
        <f>IFERROR(__xludf.DUMMYFUNCTION("GOOGLEFINANCE(C337,""price"")"),2241.65)</f>
        <v>2241.65</v>
      </c>
      <c r="F337" s="5">
        <f>IFERROR(__xludf.DUMMYFUNCTION("GOOGLEFINANCE(C337,""change"")"),-7.3)</f>
        <v>-7.3</v>
      </c>
      <c r="G337" s="6">
        <f>IFERROR(__xludf.DUMMYFUNCTION("GOOGLEFINANCE(C337, ""changepct"")/100"),-0.0032)</f>
        <v>-0.0032</v>
      </c>
      <c r="H337" s="5">
        <f>IFERROR(__xludf.DUMMYFUNCTION("GOOGLEFINANCE(C337, ""marketcap"")"),3.3418998325E10)</f>
        <v>33418998325</v>
      </c>
    </row>
    <row r="338">
      <c r="A338" s="4" t="s">
        <v>704</v>
      </c>
      <c r="B338" s="4" t="s">
        <v>29</v>
      </c>
      <c r="C338" s="4" t="s">
        <v>705</v>
      </c>
      <c r="D338" s="4" t="s">
        <v>22</v>
      </c>
      <c r="E338" s="5">
        <f>IFERROR(__xludf.DUMMYFUNCTION("GOOGLEFINANCE(C338,""price"")"),372.0)</f>
        <v>372</v>
      </c>
      <c r="F338" s="5">
        <f>IFERROR(__xludf.DUMMYFUNCTION("GOOGLEFINANCE(C338,""change"")"),0.5)</f>
        <v>0.5</v>
      </c>
      <c r="G338" s="6">
        <f>IFERROR(__xludf.DUMMYFUNCTION("GOOGLEFINANCE(C338, ""changepct"")/100"),0.0013)</f>
        <v>0.0013</v>
      </c>
      <c r="H338" s="5">
        <f>IFERROR(__xludf.DUMMYFUNCTION("GOOGLEFINANCE(C338, ""marketcap"")"),2.29880200257E11)</f>
        <v>229880200257</v>
      </c>
    </row>
    <row r="339">
      <c r="A339" s="4" t="s">
        <v>706</v>
      </c>
      <c r="B339" s="4" t="s">
        <v>100</v>
      </c>
      <c r="C339" s="4" t="s">
        <v>707</v>
      </c>
      <c r="D339" s="4" t="s">
        <v>13</v>
      </c>
      <c r="E339" s="5">
        <f>IFERROR(__xludf.DUMMYFUNCTION("GOOGLEFINANCE(C339,""price"")"),659.2)</f>
        <v>659.2</v>
      </c>
      <c r="F339" s="5">
        <f>IFERROR(__xludf.DUMMYFUNCTION("GOOGLEFINANCE(C339,""change"")"),3.75)</f>
        <v>3.75</v>
      </c>
      <c r="G339" s="6">
        <f>IFERROR(__xludf.DUMMYFUNCTION("GOOGLEFINANCE(C339, ""changepct"")/100"),0.005699999999999999)</f>
        <v>0.0057</v>
      </c>
      <c r="H339" s="5">
        <f>IFERROR(__xludf.DUMMYFUNCTION("GOOGLEFINANCE(C339, ""marketcap"")"),2.39686574678E11)</f>
        <v>239686574678</v>
      </c>
    </row>
    <row r="340">
      <c r="A340" s="4" t="s">
        <v>708</v>
      </c>
      <c r="B340" s="4" t="s">
        <v>50</v>
      </c>
      <c r="C340" s="4" t="s">
        <v>709</v>
      </c>
      <c r="D340" s="4" t="s">
        <v>22</v>
      </c>
      <c r="E340" s="5">
        <f>IFERROR(__xludf.DUMMYFUNCTION("GOOGLEFINANCE(C340,""price"")"),127.6)</f>
        <v>127.6</v>
      </c>
      <c r="F340" s="5">
        <f>IFERROR(__xludf.DUMMYFUNCTION("GOOGLEFINANCE(C340,""change"")"),2.8)</f>
        <v>2.8</v>
      </c>
      <c r="G340" s="6">
        <f>IFERROR(__xludf.DUMMYFUNCTION("GOOGLEFINANCE(C340, ""changepct"")/100"),0.022400000000000003)</f>
        <v>0.0224</v>
      </c>
      <c r="H340" s="5">
        <f>IFERROR(__xludf.DUMMYFUNCTION("GOOGLEFINANCE(C340, ""marketcap"")"),1.605872761195E12)</f>
        <v>1605872761195</v>
      </c>
    </row>
    <row r="341">
      <c r="A341" s="4" t="s">
        <v>710</v>
      </c>
      <c r="B341" s="4" t="s">
        <v>50</v>
      </c>
      <c r="C341" s="4" t="s">
        <v>711</v>
      </c>
      <c r="D341" s="4" t="s">
        <v>13</v>
      </c>
      <c r="E341" s="5">
        <f>IFERROR(__xludf.DUMMYFUNCTION("GOOGLEFINANCE(C341,""price"")"),147.85)</f>
        <v>147.85</v>
      </c>
      <c r="F341" s="5">
        <f>IFERROR(__xludf.DUMMYFUNCTION("GOOGLEFINANCE(C341,""change"")"),4.55)</f>
        <v>4.55</v>
      </c>
      <c r="G341" s="6">
        <f>IFERROR(__xludf.DUMMYFUNCTION("GOOGLEFINANCE(C341, ""changepct"")/100"),0.0318)</f>
        <v>0.0318</v>
      </c>
      <c r="H341" s="5">
        <f>IFERROR(__xludf.DUMMYFUNCTION("GOOGLEFINANCE(C341, ""marketcap"")"),1.60220691E11)</f>
        <v>160220691000</v>
      </c>
    </row>
    <row r="342">
      <c r="A342" s="4" t="s">
        <v>712</v>
      </c>
      <c r="B342" s="4" t="s">
        <v>64</v>
      </c>
      <c r="C342" s="4" t="s">
        <v>713</v>
      </c>
      <c r="D342" s="4" t="s">
        <v>13</v>
      </c>
      <c r="E342" s="5">
        <f>IFERROR(__xludf.DUMMYFUNCTION("GOOGLEFINANCE(C342,""price"")"),3740.35)</f>
        <v>3740.35</v>
      </c>
      <c r="F342" s="5">
        <f>IFERROR(__xludf.DUMMYFUNCTION("GOOGLEFINANCE(C342,""change"")"),64.4)</f>
        <v>64.4</v>
      </c>
      <c r="G342" s="6">
        <f>IFERROR(__xludf.DUMMYFUNCTION("GOOGLEFINANCE(C342, ""changepct"")/100"),0.0175)</f>
        <v>0.0175</v>
      </c>
      <c r="H342" s="5">
        <f>IFERROR(__xludf.DUMMYFUNCTION("GOOGLEFINANCE(C342, ""marketcap"")"),3.2216350995E11)</f>
        <v>322163509950</v>
      </c>
    </row>
    <row r="343">
      <c r="A343" s="4" t="s">
        <v>714</v>
      </c>
      <c r="B343" s="4" t="s">
        <v>11</v>
      </c>
      <c r="C343" s="4" t="s">
        <v>715</v>
      </c>
      <c r="D343" s="4" t="s">
        <v>13</v>
      </c>
      <c r="E343" s="5">
        <f>IFERROR(__xludf.DUMMYFUNCTION("GOOGLEFINANCE(C343,""price"")"),315.2)</f>
        <v>315.2</v>
      </c>
      <c r="F343" s="5">
        <f>IFERROR(__xludf.DUMMYFUNCTION("GOOGLEFINANCE(C343,""change"")"),1.6)</f>
        <v>1.6</v>
      </c>
      <c r="G343" s="6">
        <f>IFERROR(__xludf.DUMMYFUNCTION("GOOGLEFINANCE(C343, ""changepct"")/100"),0.0051)</f>
        <v>0.0051</v>
      </c>
      <c r="H343" s="5">
        <f>IFERROR(__xludf.DUMMYFUNCTION("GOOGLEFINANCE(C343, ""marketcap"")"),6.688087219E10)</f>
        <v>66880872190</v>
      </c>
    </row>
    <row r="344">
      <c r="A344" s="4" t="s">
        <v>716</v>
      </c>
      <c r="B344" s="4" t="s">
        <v>15</v>
      </c>
      <c r="C344" s="4" t="s">
        <v>717</v>
      </c>
      <c r="D344" s="4" t="s">
        <v>13</v>
      </c>
      <c r="E344" s="5">
        <f>IFERROR(__xludf.DUMMYFUNCTION("GOOGLEFINANCE(C344,""price"")"),310.0)</f>
        <v>310</v>
      </c>
      <c r="F344" s="5">
        <f>IFERROR(__xludf.DUMMYFUNCTION("GOOGLEFINANCE(C344,""change"")"),0.0)</f>
        <v>0</v>
      </c>
      <c r="G344" s="6">
        <f>IFERROR(__xludf.DUMMYFUNCTION("GOOGLEFINANCE(C344, ""changepct"")/100"),0.0)</f>
        <v>0</v>
      </c>
      <c r="H344" s="5">
        <f>IFERROR(__xludf.DUMMYFUNCTION("GOOGLEFINANCE(C344, ""marketcap"")"),3.7243121E10)</f>
        <v>37243121000</v>
      </c>
    </row>
    <row r="345">
      <c r="A345" s="4" t="s">
        <v>718</v>
      </c>
      <c r="B345" s="4" t="s">
        <v>157</v>
      </c>
      <c r="C345" s="4" t="s">
        <v>719</v>
      </c>
      <c r="D345" s="4" t="s">
        <v>22</v>
      </c>
      <c r="E345" s="5">
        <f>IFERROR(__xludf.DUMMYFUNCTION("GOOGLEFINANCE(C345,""price"")"),2883.15)</f>
        <v>2883.15</v>
      </c>
      <c r="F345" s="5">
        <f>IFERROR(__xludf.DUMMYFUNCTION("GOOGLEFINANCE(C345,""change"")"),84.25)</f>
        <v>84.25</v>
      </c>
      <c r="G345" s="6">
        <f>IFERROR(__xludf.DUMMYFUNCTION("GOOGLEFINANCE(C345, ""changepct"")/100"),0.0301)</f>
        <v>0.0301</v>
      </c>
      <c r="H345" s="5">
        <f>IFERROR(__xludf.DUMMYFUNCTION("GOOGLEFINANCE(C345, ""marketcap"")"),4.37086403682E11)</f>
        <v>437086403682</v>
      </c>
    </row>
    <row r="346">
      <c r="A346" s="4" t="s">
        <v>720</v>
      </c>
      <c r="B346" s="4" t="s">
        <v>29</v>
      </c>
      <c r="C346" s="4" t="s">
        <v>721</v>
      </c>
      <c r="D346" s="4" t="s">
        <v>13</v>
      </c>
      <c r="E346" s="5">
        <f>IFERROR(__xludf.DUMMYFUNCTION("GOOGLEFINANCE(C346,""price"")"),736.25)</f>
        <v>736.25</v>
      </c>
      <c r="F346" s="5">
        <f>IFERROR(__xludf.DUMMYFUNCTION("GOOGLEFINANCE(C346,""change"")"),-38.75)</f>
        <v>-38.75</v>
      </c>
      <c r="G346" s="6">
        <f>IFERROR(__xludf.DUMMYFUNCTION("GOOGLEFINANCE(C346, ""changepct"")/100"),-0.05)</f>
        <v>-0.05</v>
      </c>
      <c r="H346" s="5">
        <f>IFERROR(__xludf.DUMMYFUNCTION("GOOGLEFINANCE(C346, ""marketcap"")"),1.2406445675E11)</f>
        <v>124064456750</v>
      </c>
    </row>
    <row r="347">
      <c r="A347" s="4" t="s">
        <v>722</v>
      </c>
      <c r="B347" s="4" t="s">
        <v>100</v>
      </c>
      <c r="C347" s="4" t="s">
        <v>723</v>
      </c>
      <c r="D347" s="4" t="s">
        <v>13</v>
      </c>
      <c r="E347" s="5">
        <f>IFERROR(__xludf.DUMMYFUNCTION("GOOGLEFINANCE(C347,""price"")"),253.35)</f>
        <v>253.35</v>
      </c>
      <c r="F347" s="5">
        <f>IFERROR(__xludf.DUMMYFUNCTION("GOOGLEFINANCE(C347,""change"")"),1.4)</f>
        <v>1.4</v>
      </c>
      <c r="G347" s="6">
        <f>IFERROR(__xludf.DUMMYFUNCTION("GOOGLEFINANCE(C347, ""changepct"")/100"),0.005600000000000001)</f>
        <v>0.0056</v>
      </c>
      <c r="H347" s="5">
        <f>IFERROR(__xludf.DUMMYFUNCTION("GOOGLEFINANCE(C347, ""marketcap"")"),6.499418255E10)</f>
        <v>64994182550</v>
      </c>
    </row>
    <row r="348">
      <c r="A348" s="4" t="s">
        <v>724</v>
      </c>
      <c r="B348" s="4" t="s">
        <v>288</v>
      </c>
      <c r="C348" s="4" t="s">
        <v>725</v>
      </c>
      <c r="D348" s="4" t="s">
        <v>22</v>
      </c>
      <c r="E348" s="5">
        <f>IFERROR(__xludf.DUMMYFUNCTION("GOOGLEFINANCE(C348,""price"")"),1451.0)</f>
        <v>1451</v>
      </c>
      <c r="F348" s="5">
        <f>IFERROR(__xludf.DUMMYFUNCTION("GOOGLEFINANCE(C348,""change"")"),13.65)</f>
        <v>13.65</v>
      </c>
      <c r="G348" s="6">
        <f>IFERROR(__xludf.DUMMYFUNCTION("GOOGLEFINANCE(C348, ""changepct"")/100"),0.0095)</f>
        <v>0.0095</v>
      </c>
      <c r="H348" s="5">
        <f>IFERROR(__xludf.DUMMYFUNCTION("GOOGLEFINANCE(C348, ""marketcap"")"),8.819627524E10)</f>
        <v>88196275240</v>
      </c>
    </row>
    <row r="349">
      <c r="A349" s="4" t="s">
        <v>726</v>
      </c>
      <c r="B349" s="4" t="s">
        <v>79</v>
      </c>
      <c r="C349" s="4" t="s">
        <v>727</v>
      </c>
      <c r="D349" s="4" t="s">
        <v>22</v>
      </c>
      <c r="E349" s="5">
        <f>IFERROR(__xludf.DUMMYFUNCTION("GOOGLEFINANCE(C349,""price"")"),30250.0)</f>
        <v>30250</v>
      </c>
      <c r="F349" s="5">
        <f>IFERROR(__xludf.DUMMYFUNCTION("GOOGLEFINANCE(C349,""change"")"),85.3)</f>
        <v>85.3</v>
      </c>
      <c r="G349" s="6">
        <f>IFERROR(__xludf.DUMMYFUNCTION("GOOGLEFINANCE(C349, ""changepct"")/100"),0.0028000000000000004)</f>
        <v>0.0028</v>
      </c>
      <c r="H349" s="5">
        <f>IFERROR(__xludf.DUMMYFUNCTION("GOOGLEFINANCE(C349, ""marketcap"")"),3.37404001092E11)</f>
        <v>337404001092</v>
      </c>
    </row>
    <row r="350">
      <c r="A350" s="4" t="s">
        <v>728</v>
      </c>
      <c r="B350" s="4" t="s">
        <v>64</v>
      </c>
      <c r="C350" s="4" t="s">
        <v>729</v>
      </c>
      <c r="D350" s="4" t="s">
        <v>13</v>
      </c>
      <c r="E350" s="5">
        <f>IFERROR(__xludf.DUMMYFUNCTION("GOOGLEFINANCE(C350,""price"")"),2548.9)</f>
        <v>2548.9</v>
      </c>
      <c r="F350" s="5">
        <f>IFERROR(__xludf.DUMMYFUNCTION("GOOGLEFINANCE(C350,""change"")"),24.45)</f>
        <v>24.45</v>
      </c>
      <c r="G350" s="6">
        <f>IFERROR(__xludf.DUMMYFUNCTION("GOOGLEFINANCE(C350, ""changepct"")/100"),0.0097)</f>
        <v>0.0097</v>
      </c>
      <c r="H350" s="5">
        <f>IFERROR(__xludf.DUMMYFUNCTION("GOOGLEFINANCE(C350, ""marketcap"")"),1.89580619831E11)</f>
        <v>189580619831</v>
      </c>
    </row>
    <row r="351">
      <c r="A351" s="4" t="s">
        <v>730</v>
      </c>
      <c r="B351" s="4" t="s">
        <v>50</v>
      </c>
      <c r="C351" s="4" t="s">
        <v>731</v>
      </c>
      <c r="D351" s="4" t="s">
        <v>22</v>
      </c>
      <c r="E351" s="5">
        <f>IFERROR(__xludf.DUMMYFUNCTION("GOOGLEFINANCE(C351,""price"")"),234.05)</f>
        <v>234.05</v>
      </c>
      <c r="F351" s="5">
        <f>IFERROR(__xludf.DUMMYFUNCTION("GOOGLEFINANCE(C351,""change"")"),1.3)</f>
        <v>1.3</v>
      </c>
      <c r="G351" s="6">
        <f>IFERROR(__xludf.DUMMYFUNCTION("GOOGLEFINANCE(C351, ""changepct"")/100"),0.005600000000000001)</f>
        <v>0.0056</v>
      </c>
      <c r="H351" s="5">
        <f>IFERROR(__xludf.DUMMYFUNCTION("GOOGLEFINANCE(C351, ""marketcap"")"),3.51E11)</f>
        <v>351000000000</v>
      </c>
    </row>
    <row r="352">
      <c r="A352" s="4" t="s">
        <v>732</v>
      </c>
      <c r="B352" s="4" t="s">
        <v>32</v>
      </c>
      <c r="C352" s="4" t="s">
        <v>733</v>
      </c>
      <c r="D352" s="4" t="s">
        <v>22</v>
      </c>
      <c r="E352" s="5">
        <f>IFERROR(__xludf.DUMMYFUNCTION("GOOGLEFINANCE(C352,""price"")"),5503.4)</f>
        <v>5503.4</v>
      </c>
      <c r="F352" s="5">
        <f>IFERROR(__xludf.DUMMYFUNCTION("GOOGLEFINANCE(C352,""change"")"),-57.0)</f>
        <v>-57</v>
      </c>
      <c r="G352" s="6">
        <f>IFERROR(__xludf.DUMMYFUNCTION("GOOGLEFINANCE(C352, ""changepct"")/100"),-0.0103)</f>
        <v>-0.0103</v>
      </c>
      <c r="H352" s="5">
        <f>IFERROR(__xludf.DUMMYFUNCTION("GOOGLEFINANCE(C352, ""marketcap"")"),2.51768052814E11)</f>
        <v>251768052814</v>
      </c>
    </row>
    <row r="353">
      <c r="A353" s="4" t="s">
        <v>734</v>
      </c>
      <c r="B353" s="4" t="s">
        <v>35</v>
      </c>
      <c r="C353" s="4" t="s">
        <v>735</v>
      </c>
      <c r="D353" s="4" t="s">
        <v>13</v>
      </c>
      <c r="E353" s="5">
        <f>IFERROR(__xludf.DUMMYFUNCTION("GOOGLEFINANCE(C353,""price"")"),237.15)</f>
        <v>237.15</v>
      </c>
      <c r="F353" s="5">
        <f>IFERROR(__xludf.DUMMYFUNCTION("GOOGLEFINANCE(C353,""change"")"),6.65)</f>
        <v>6.65</v>
      </c>
      <c r="G353" s="6">
        <f>IFERROR(__xludf.DUMMYFUNCTION("GOOGLEFINANCE(C353, ""changepct"")/100"),0.028900000000000002)</f>
        <v>0.0289</v>
      </c>
      <c r="H353" s="5">
        <f>IFERROR(__xludf.DUMMYFUNCTION("GOOGLEFINANCE(C353, ""marketcap"")"),4.0869908218E10)</f>
        <v>40869908218</v>
      </c>
    </row>
    <row r="354">
      <c r="A354" s="4" t="s">
        <v>736</v>
      </c>
      <c r="B354" s="4" t="s">
        <v>100</v>
      </c>
      <c r="C354" s="4" t="s">
        <v>737</v>
      </c>
      <c r="D354" s="4" t="s">
        <v>13</v>
      </c>
      <c r="E354" s="5">
        <f>IFERROR(__xludf.DUMMYFUNCTION("GOOGLEFINANCE(C354,""price"")"),826.65)</f>
        <v>826.65</v>
      </c>
      <c r="F354" s="5">
        <f>IFERROR(__xludf.DUMMYFUNCTION("GOOGLEFINANCE(C354,""change"")"),7.0)</f>
        <v>7</v>
      </c>
      <c r="G354" s="6">
        <f>IFERROR(__xludf.DUMMYFUNCTION("GOOGLEFINANCE(C354, ""changepct"")/100"),0.0085)</f>
        <v>0.0085</v>
      </c>
      <c r="H354" s="5">
        <f>IFERROR(__xludf.DUMMYFUNCTION("GOOGLEFINANCE(C354, ""marketcap"")"),1.421539397E11)</f>
        <v>142153939700</v>
      </c>
    </row>
    <row r="355">
      <c r="A355" s="4" t="s">
        <v>738</v>
      </c>
      <c r="B355" s="4" t="s">
        <v>35</v>
      </c>
      <c r="C355" s="4" t="s">
        <v>739</v>
      </c>
      <c r="D355" s="4" t="s">
        <v>22</v>
      </c>
      <c r="E355" s="5">
        <f>IFERROR(__xludf.DUMMYFUNCTION("GOOGLEFINANCE(C355,""price"")"),2139.0)</f>
        <v>2139</v>
      </c>
      <c r="F355" s="5">
        <f>IFERROR(__xludf.DUMMYFUNCTION("GOOGLEFINANCE(C355,""change"")"),24.05)</f>
        <v>24.05</v>
      </c>
      <c r="G355" s="6">
        <f>IFERROR(__xludf.DUMMYFUNCTION("GOOGLEFINANCE(C355, ""changepct"")/100"),0.011399999999999999)</f>
        <v>0.0114</v>
      </c>
      <c r="H355" s="5">
        <f>IFERROR(__xludf.DUMMYFUNCTION("GOOGLEFINANCE(C355, ""marketcap"")"),1.087346242172E12)</f>
        <v>1087346242172</v>
      </c>
    </row>
    <row r="356">
      <c r="A356" s="4" t="s">
        <v>740</v>
      </c>
      <c r="B356" s="4" t="s">
        <v>29</v>
      </c>
      <c r="C356" s="4" t="s">
        <v>741</v>
      </c>
      <c r="D356" s="4" t="s">
        <v>22</v>
      </c>
      <c r="E356" s="5">
        <f>IFERROR(__xludf.DUMMYFUNCTION("GOOGLEFINANCE(C356,""price"")"),2251.35)</f>
        <v>2251.35</v>
      </c>
      <c r="F356" s="5">
        <f>IFERROR(__xludf.DUMMYFUNCTION("GOOGLEFINANCE(C356,""change"")"),32.75)</f>
        <v>32.75</v>
      </c>
      <c r="G356" s="6">
        <f>IFERROR(__xludf.DUMMYFUNCTION("GOOGLEFINANCE(C356, ""changepct"")/100"),0.0148)</f>
        <v>0.0148</v>
      </c>
      <c r="H356" s="5">
        <f>IFERROR(__xludf.DUMMYFUNCTION("GOOGLEFINANCE(C356, ""marketcap"")"),5.03949629332E11)</f>
        <v>503949629332</v>
      </c>
    </row>
    <row r="357">
      <c r="A357" s="4" t="s">
        <v>742</v>
      </c>
      <c r="B357" s="4" t="s">
        <v>91</v>
      </c>
      <c r="C357" s="4" t="s">
        <v>743</v>
      </c>
      <c r="D357" s="4" t="s">
        <v>13</v>
      </c>
      <c r="E357" s="5">
        <f>IFERROR(__xludf.DUMMYFUNCTION("GOOGLEFINANCE(C357,""price"")"),966.4)</f>
        <v>966.4</v>
      </c>
      <c r="F357" s="5">
        <f>IFERROR(__xludf.DUMMYFUNCTION("GOOGLEFINANCE(C357,""change"")"),15.45)</f>
        <v>15.45</v>
      </c>
      <c r="G357" s="6">
        <f>IFERROR(__xludf.DUMMYFUNCTION("GOOGLEFINANCE(C357, ""changepct"")/100"),0.016200000000000003)</f>
        <v>0.0162</v>
      </c>
      <c r="H357" s="5">
        <f>IFERROR(__xludf.DUMMYFUNCTION("GOOGLEFINANCE(C357, ""marketcap"")"),9.24288984E10)</f>
        <v>92428898400</v>
      </c>
    </row>
    <row r="358">
      <c r="A358" s="4" t="s">
        <v>744</v>
      </c>
      <c r="B358" s="4" t="s">
        <v>15</v>
      </c>
      <c r="C358" s="4" t="s">
        <v>745</v>
      </c>
      <c r="D358" s="4" t="s">
        <v>13</v>
      </c>
      <c r="E358" s="5">
        <f>IFERROR(__xludf.DUMMYFUNCTION("GOOGLEFINANCE(C358,""price"")"),1840.6)</f>
        <v>1840.6</v>
      </c>
      <c r="F358" s="5">
        <f>IFERROR(__xludf.DUMMYFUNCTION("GOOGLEFINANCE(C358,""change"")"),24.7)</f>
        <v>24.7</v>
      </c>
      <c r="G358" s="6">
        <f>IFERROR(__xludf.DUMMYFUNCTION("GOOGLEFINANCE(C358, ""changepct"")/100"),0.013600000000000001)</f>
        <v>0.0136</v>
      </c>
      <c r="H358" s="5">
        <f>IFERROR(__xludf.DUMMYFUNCTION("GOOGLEFINANCE(C358, ""marketcap"")"),2.74520148618E11)</f>
        <v>274520148618</v>
      </c>
    </row>
    <row r="359">
      <c r="A359" s="4" t="s">
        <v>746</v>
      </c>
      <c r="B359" s="4" t="s">
        <v>15</v>
      </c>
      <c r="C359" s="4" t="s">
        <v>747</v>
      </c>
      <c r="D359" s="4" t="s">
        <v>13</v>
      </c>
      <c r="E359" s="5">
        <f>IFERROR(__xludf.DUMMYFUNCTION("GOOGLEFINANCE(C359,""price"")"),1334.05)</f>
        <v>1334.05</v>
      </c>
      <c r="F359" s="5">
        <f>IFERROR(__xludf.DUMMYFUNCTION("GOOGLEFINANCE(C359,""change"")"),5.2)</f>
        <v>5.2</v>
      </c>
      <c r="G359" s="6">
        <f>IFERROR(__xludf.DUMMYFUNCTION("GOOGLEFINANCE(C359, ""changepct"")/100"),0.0039000000000000003)</f>
        <v>0.0039</v>
      </c>
      <c r="H359" s="5">
        <f>IFERROR(__xludf.DUMMYFUNCTION("GOOGLEFINANCE(C359, ""marketcap"")"),4.1879112795E10)</f>
        <v>41879112795</v>
      </c>
    </row>
    <row r="360">
      <c r="A360" s="4" t="s">
        <v>748</v>
      </c>
      <c r="B360" s="4" t="s">
        <v>29</v>
      </c>
      <c r="C360" s="4" t="s">
        <v>749</v>
      </c>
      <c r="D360" s="4" t="s">
        <v>22</v>
      </c>
      <c r="E360" s="5">
        <f>IFERROR(__xludf.DUMMYFUNCTION("GOOGLEFINANCE(C360,""price"")"),128.7)</f>
        <v>128.7</v>
      </c>
      <c r="F360" s="5">
        <f>IFERROR(__xludf.DUMMYFUNCTION("GOOGLEFINANCE(C360,""change"")"),-0.85)</f>
        <v>-0.85</v>
      </c>
      <c r="G360" s="6">
        <f>IFERROR(__xludf.DUMMYFUNCTION("GOOGLEFINANCE(C360, ""changepct"")/100"),-0.0066)</f>
        <v>-0.0066</v>
      </c>
      <c r="H360" s="5">
        <f>IFERROR(__xludf.DUMMYFUNCTION("GOOGLEFINANCE(C360, ""marketcap"")"),3.39778416643E11)</f>
        <v>339778416643</v>
      </c>
    </row>
    <row r="361">
      <c r="A361" s="4" t="s">
        <v>750</v>
      </c>
      <c r="B361" s="4" t="s">
        <v>44</v>
      </c>
      <c r="C361" s="4" t="s">
        <v>751</v>
      </c>
      <c r="D361" s="4" t="s">
        <v>22</v>
      </c>
      <c r="E361" s="5">
        <f>IFERROR(__xludf.DUMMYFUNCTION("GOOGLEFINANCE(C361,""price"")"),248.75)</f>
        <v>248.75</v>
      </c>
      <c r="F361" s="5">
        <f>IFERROR(__xludf.DUMMYFUNCTION("GOOGLEFINANCE(C361,""change"")"),0.05)</f>
        <v>0.05</v>
      </c>
      <c r="G361" s="6">
        <f>IFERROR(__xludf.DUMMYFUNCTION("GOOGLEFINANCE(C361, ""changepct"")/100"),2.0E-4)</f>
        <v>0.0002</v>
      </c>
      <c r="H361" s="5">
        <f>IFERROR(__xludf.DUMMYFUNCTION("GOOGLEFINANCE(C361, ""marketcap"")"),1.301619856765E12)</f>
        <v>1301619856765</v>
      </c>
    </row>
    <row r="362">
      <c r="A362" s="4" t="s">
        <v>752</v>
      </c>
      <c r="B362" s="4" t="s">
        <v>100</v>
      </c>
      <c r="C362" s="4" t="s">
        <v>753</v>
      </c>
      <c r="D362" s="4" t="s">
        <v>13</v>
      </c>
      <c r="E362" s="5">
        <f>IFERROR(__xludf.DUMMYFUNCTION("GOOGLEFINANCE(C362,""price"")"),290.2)</f>
        <v>290.2</v>
      </c>
      <c r="F362" s="5">
        <f>IFERROR(__xludf.DUMMYFUNCTION("GOOGLEFINANCE(C362,""change"")"),1.45)</f>
        <v>1.45</v>
      </c>
      <c r="G362" s="6">
        <f>IFERROR(__xludf.DUMMYFUNCTION("GOOGLEFINANCE(C362, ""changepct"")/100"),0.005)</f>
        <v>0.005</v>
      </c>
      <c r="H362" s="5">
        <f>IFERROR(__xludf.DUMMYFUNCTION("GOOGLEFINANCE(C362, ""marketcap"")"),1.16330070233E11)</f>
        <v>116330070233</v>
      </c>
    </row>
    <row r="363">
      <c r="A363" s="4" t="s">
        <v>754</v>
      </c>
      <c r="B363" s="4" t="s">
        <v>15</v>
      </c>
      <c r="C363" s="4" t="s">
        <v>755</v>
      </c>
      <c r="D363" s="4" t="s">
        <v>13</v>
      </c>
      <c r="E363" s="5">
        <f>IFERROR(__xludf.DUMMYFUNCTION("GOOGLEFINANCE(C363,""price"")"),713.0)</f>
        <v>713</v>
      </c>
      <c r="F363" s="5">
        <f>IFERROR(__xludf.DUMMYFUNCTION("GOOGLEFINANCE(C363,""change"")"),1.65)</f>
        <v>1.65</v>
      </c>
      <c r="G363" s="6">
        <f>IFERROR(__xludf.DUMMYFUNCTION("GOOGLEFINANCE(C363, ""changepct"")/100"),0.0023)</f>
        <v>0.0023</v>
      </c>
      <c r="H363" s="5">
        <f>IFERROR(__xludf.DUMMYFUNCTION("GOOGLEFINANCE(C363, ""marketcap"")"),7.8426317616E10)</f>
        <v>78426317616</v>
      </c>
    </row>
    <row r="364">
      <c r="A364" s="4" t="s">
        <v>756</v>
      </c>
      <c r="B364" s="4" t="s">
        <v>20</v>
      </c>
      <c r="C364" s="4" t="s">
        <v>757</v>
      </c>
      <c r="D364" s="4" t="s">
        <v>13</v>
      </c>
      <c r="E364" s="5">
        <f>IFERROR(__xludf.DUMMYFUNCTION("GOOGLEFINANCE(C364,""price"")"),131.0)</f>
        <v>131</v>
      </c>
      <c r="F364" s="5">
        <f>IFERROR(__xludf.DUMMYFUNCTION("GOOGLEFINANCE(C364,""change"")"),2.85)</f>
        <v>2.85</v>
      </c>
      <c r="G364" s="6">
        <f>IFERROR(__xludf.DUMMYFUNCTION("GOOGLEFINANCE(C364, ""changepct"")/100"),0.0222)</f>
        <v>0.0222</v>
      </c>
      <c r="H364" s="5">
        <f>IFERROR(__xludf.DUMMYFUNCTION("GOOGLEFINANCE(C364, ""marketcap"")"),6.59397015E10)</f>
        <v>65939701500</v>
      </c>
    </row>
    <row r="365">
      <c r="A365" s="4" t="s">
        <v>758</v>
      </c>
      <c r="B365" s="4" t="s">
        <v>32</v>
      </c>
      <c r="C365" s="4" t="s">
        <v>759</v>
      </c>
      <c r="D365" s="4" t="s">
        <v>13</v>
      </c>
      <c r="E365" s="5">
        <f>IFERROR(__xludf.DUMMYFUNCTION("GOOGLEFINANCE(C365,""price"")"),5809.85)</f>
        <v>5809.85</v>
      </c>
      <c r="F365" s="5">
        <f>IFERROR(__xludf.DUMMYFUNCTION("GOOGLEFINANCE(C365,""change"")"),22.1)</f>
        <v>22.1</v>
      </c>
      <c r="G365" s="6">
        <f>IFERROR(__xludf.DUMMYFUNCTION("GOOGLEFINANCE(C365, ""changepct"")/100"),0.0038)</f>
        <v>0.0038</v>
      </c>
      <c r="H365" s="5">
        <f>IFERROR(__xludf.DUMMYFUNCTION("GOOGLEFINANCE(C365, ""marketcap"")"),9.641087E10)</f>
        <v>96410870000</v>
      </c>
    </row>
    <row r="366">
      <c r="A366" s="4" t="s">
        <v>760</v>
      </c>
      <c r="B366" s="4" t="s">
        <v>11</v>
      </c>
      <c r="C366" s="4" t="s">
        <v>761</v>
      </c>
      <c r="D366" s="4" t="s">
        <v>13</v>
      </c>
      <c r="E366" s="5">
        <f>IFERROR(__xludf.DUMMYFUNCTION("GOOGLEFINANCE(C366,""price"")"),13094.9)</f>
        <v>13094.9</v>
      </c>
      <c r="F366" s="5">
        <f>IFERROR(__xludf.DUMMYFUNCTION("GOOGLEFINANCE(C366,""change"")"),71.8)</f>
        <v>71.8</v>
      </c>
      <c r="G366" s="6">
        <f>IFERROR(__xludf.DUMMYFUNCTION("GOOGLEFINANCE(C366, ""changepct"")/100"),0.0055000000000000005)</f>
        <v>0.0055</v>
      </c>
      <c r="H366" s="5">
        <f>IFERROR(__xludf.DUMMYFUNCTION("GOOGLEFINANCE(C366, ""marketcap"")"),4.25070025956E11)</f>
        <v>425070025956</v>
      </c>
    </row>
    <row r="367">
      <c r="A367" s="4" t="s">
        <v>762</v>
      </c>
      <c r="B367" s="4" t="s">
        <v>29</v>
      </c>
      <c r="C367" s="4" t="s">
        <v>763</v>
      </c>
      <c r="D367" s="4" t="s">
        <v>22</v>
      </c>
      <c r="E367" s="5">
        <f>IFERROR(__xludf.DUMMYFUNCTION("GOOGLEFINANCE(C367,""price"")"),42.7)</f>
        <v>42.7</v>
      </c>
      <c r="F367" s="5">
        <f>IFERROR(__xludf.DUMMYFUNCTION("GOOGLEFINANCE(C367,""change"")"),-0.35)</f>
        <v>-0.35</v>
      </c>
      <c r="G367" s="6">
        <f>IFERROR(__xludf.DUMMYFUNCTION("GOOGLEFINANCE(C367, ""changepct"")/100"),-0.008100000000000001)</f>
        <v>-0.0081</v>
      </c>
      <c r="H367" s="5">
        <f>IFERROR(__xludf.DUMMYFUNCTION("GOOGLEFINANCE(C367, ""marketcap"")"),4.701701354E11)</f>
        <v>470170135400</v>
      </c>
    </row>
    <row r="368">
      <c r="A368" s="4" t="s">
        <v>764</v>
      </c>
      <c r="B368" s="4" t="s">
        <v>47</v>
      </c>
      <c r="C368" s="4" t="s">
        <v>765</v>
      </c>
      <c r="D368" s="4" t="s">
        <v>13</v>
      </c>
      <c r="E368" s="5">
        <f>IFERROR(__xludf.DUMMYFUNCTION("GOOGLEFINANCE(C368,""price"")"),814.65)</f>
        <v>814.65</v>
      </c>
      <c r="F368" s="5">
        <f>IFERROR(__xludf.DUMMYFUNCTION("GOOGLEFINANCE(C368,""change"")"),3.9)</f>
        <v>3.9</v>
      </c>
      <c r="G368" s="6">
        <f>IFERROR(__xludf.DUMMYFUNCTION("GOOGLEFINANCE(C368, ""changepct"")/100"),0.0048)</f>
        <v>0.0048</v>
      </c>
      <c r="H368" s="5">
        <f>IFERROR(__xludf.DUMMYFUNCTION("GOOGLEFINANCE(C368, ""marketcap"")"),1.203213023E11)</f>
        <v>120321302300</v>
      </c>
    </row>
    <row r="369">
      <c r="A369" s="4" t="s">
        <v>766</v>
      </c>
      <c r="B369" s="4" t="s">
        <v>29</v>
      </c>
      <c r="C369" s="4" t="s">
        <v>767</v>
      </c>
      <c r="D369" s="4" t="s">
        <v>22</v>
      </c>
      <c r="E369" s="5">
        <f>IFERROR(__xludf.DUMMYFUNCTION("GOOGLEFINANCE(C369,""price"")"),220.0)</f>
        <v>220</v>
      </c>
      <c r="F369" s="5">
        <f>IFERROR(__xludf.DUMMYFUNCTION("GOOGLEFINANCE(C369,""change"")"),3.4)</f>
        <v>3.4</v>
      </c>
      <c r="G369" s="6">
        <f>IFERROR(__xludf.DUMMYFUNCTION("GOOGLEFINANCE(C369, ""changepct"")/100"),0.015700000000000002)</f>
        <v>0.0157</v>
      </c>
      <c r="H369" s="5">
        <f>IFERROR(__xludf.DUMMYFUNCTION("GOOGLEFINANCE(C369, ""marketcap"")"),1.31620478E11)</f>
        <v>131620478000</v>
      </c>
    </row>
    <row r="370">
      <c r="A370" s="4" t="s">
        <v>768</v>
      </c>
      <c r="B370" s="4" t="s">
        <v>29</v>
      </c>
      <c r="C370" s="4" t="s">
        <v>769</v>
      </c>
      <c r="D370" s="4" t="s">
        <v>22</v>
      </c>
      <c r="E370" s="5">
        <f>IFERROR(__xludf.DUMMYFUNCTION("GOOGLEFINANCE(C370,""price"")"),157.15)</f>
        <v>157.15</v>
      </c>
      <c r="F370" s="5">
        <f>IFERROR(__xludf.DUMMYFUNCTION("GOOGLEFINANCE(C370,""change"")"),-1.25)</f>
        <v>-1.25</v>
      </c>
      <c r="G370" s="6">
        <f>IFERROR(__xludf.DUMMYFUNCTION("GOOGLEFINANCE(C370, ""changepct"")/100"),-0.0079)</f>
        <v>-0.0079</v>
      </c>
      <c r="H370" s="5">
        <f>IFERROR(__xludf.DUMMYFUNCTION("GOOGLEFINANCE(C370, ""marketcap"")"),3.10259629853E11)</f>
        <v>310259629853</v>
      </c>
    </row>
    <row r="371">
      <c r="A371" s="4" t="s">
        <v>770</v>
      </c>
      <c r="B371" s="4" t="s">
        <v>47</v>
      </c>
      <c r="C371" s="4" t="s">
        <v>771</v>
      </c>
      <c r="D371" s="4" t="s">
        <v>13</v>
      </c>
      <c r="E371" s="5">
        <f>IFERROR(__xludf.DUMMYFUNCTION("GOOGLEFINANCE(C371,""price"")"),280.9)</f>
        <v>280.9</v>
      </c>
      <c r="F371" s="5">
        <f>IFERROR(__xludf.DUMMYFUNCTION("GOOGLEFINANCE(C371,""change"")"),2.4)</f>
        <v>2.4</v>
      </c>
      <c r="G371" s="6">
        <f>IFERROR(__xludf.DUMMYFUNCTION("GOOGLEFINANCE(C371, ""changepct"")/100"),0.0086)</f>
        <v>0.0086</v>
      </c>
      <c r="H371" s="5">
        <f>IFERROR(__xludf.DUMMYFUNCTION("GOOGLEFINANCE(C371, ""marketcap"")"),6.7548837446E10)</f>
        <v>67548837446</v>
      </c>
    </row>
    <row r="372">
      <c r="A372" s="4" t="s">
        <v>772</v>
      </c>
      <c r="B372" s="4" t="s">
        <v>11</v>
      </c>
      <c r="C372" s="4" t="s">
        <v>773</v>
      </c>
      <c r="D372" s="4" t="s">
        <v>13</v>
      </c>
      <c r="E372" s="5">
        <f>IFERROR(__xludf.DUMMYFUNCTION("GOOGLEFINANCE(C372,""price"")"),720.6)</f>
        <v>720.6</v>
      </c>
      <c r="F372" s="5">
        <f>IFERROR(__xludf.DUMMYFUNCTION("GOOGLEFINANCE(C372,""change"")"),7.6)</f>
        <v>7.6</v>
      </c>
      <c r="G372" s="6">
        <f>IFERROR(__xludf.DUMMYFUNCTION("GOOGLEFINANCE(C372, ""changepct"")/100"),0.010700000000000001)</f>
        <v>0.0107</v>
      </c>
      <c r="H372" s="5">
        <f>IFERROR(__xludf.DUMMYFUNCTION("GOOGLEFINANCE(C372, ""marketcap"")"),9.6267616958E10)</f>
        <v>96267616958</v>
      </c>
    </row>
    <row r="373">
      <c r="A373" s="4" t="s">
        <v>774</v>
      </c>
      <c r="B373" s="4" t="s">
        <v>100</v>
      </c>
      <c r="C373" s="4" t="s">
        <v>775</v>
      </c>
      <c r="D373" s="4" t="s">
        <v>13</v>
      </c>
      <c r="E373" s="5">
        <f>IFERROR(__xludf.DUMMYFUNCTION("GOOGLEFINANCE(C373,""price"")"),33.45)</f>
        <v>33.45</v>
      </c>
      <c r="F373" s="5">
        <f>IFERROR(__xludf.DUMMYFUNCTION("GOOGLEFINANCE(C373,""change"")"),0.05)</f>
        <v>0.05</v>
      </c>
      <c r="G373" s="6">
        <f>IFERROR(__xludf.DUMMYFUNCTION("GOOGLEFINANCE(C373, ""changepct"")/100"),0.0015)</f>
        <v>0.0015</v>
      </c>
      <c r="H373" s="5">
        <f>IFERROR(__xludf.DUMMYFUNCTION("GOOGLEFINANCE(C373, ""marketcap"")"),6.9639671181E10)</f>
        <v>69639671181</v>
      </c>
    </row>
    <row r="374">
      <c r="A374" s="4" t="s">
        <v>776</v>
      </c>
      <c r="B374" s="4" t="s">
        <v>35</v>
      </c>
      <c r="C374" s="4" t="s">
        <v>777</v>
      </c>
      <c r="D374" s="4" t="s">
        <v>13</v>
      </c>
      <c r="E374" s="5">
        <f>IFERROR(__xludf.DUMMYFUNCTION("GOOGLEFINANCE(C374,""price"")"),198.1)</f>
        <v>198.1</v>
      </c>
      <c r="F374" s="5">
        <f>IFERROR(__xludf.DUMMYFUNCTION("GOOGLEFINANCE(C374,""change"")"),15.75)</f>
        <v>15.75</v>
      </c>
      <c r="G374" s="6">
        <f>IFERROR(__xludf.DUMMYFUNCTION("GOOGLEFINANCE(C374, ""changepct"")/100"),0.0864)</f>
        <v>0.0864</v>
      </c>
      <c r="H374" s="5">
        <f>IFERROR(__xludf.DUMMYFUNCTION("GOOGLEFINANCE(C374, ""marketcap"")"),6.6630065412E10)</f>
        <v>66630065412</v>
      </c>
    </row>
    <row r="375">
      <c r="A375" s="4" t="s">
        <v>778</v>
      </c>
      <c r="B375" s="4" t="s">
        <v>11</v>
      </c>
      <c r="C375" s="4" t="s">
        <v>779</v>
      </c>
      <c r="D375" s="4" t="s">
        <v>13</v>
      </c>
      <c r="E375" s="5">
        <f>IFERROR(__xludf.DUMMYFUNCTION("GOOGLEFINANCE(C375,""price"")"),611.75)</f>
        <v>611.75</v>
      </c>
      <c r="F375" s="5">
        <f>IFERROR(__xludf.DUMMYFUNCTION("GOOGLEFINANCE(C375,""change"")"),2.75)</f>
        <v>2.75</v>
      </c>
      <c r="G375" s="6">
        <f>IFERROR(__xludf.DUMMYFUNCTION("GOOGLEFINANCE(C375, ""changepct"")/100"),0.0045000000000000005)</f>
        <v>0.0045</v>
      </c>
      <c r="H375" s="5">
        <f>IFERROR(__xludf.DUMMYFUNCTION("GOOGLEFINANCE(C375, ""marketcap"")"),1.8076338E11)</f>
        <v>180763380000</v>
      </c>
    </row>
    <row r="376">
      <c r="A376" s="4" t="s">
        <v>780</v>
      </c>
      <c r="B376" s="4" t="s">
        <v>157</v>
      </c>
      <c r="C376" s="4" t="s">
        <v>781</v>
      </c>
      <c r="D376" s="4" t="s">
        <v>13</v>
      </c>
      <c r="E376" s="5">
        <f>IFERROR(__xludf.DUMMYFUNCTION("GOOGLEFINANCE(C376,""price"")"),340.85)</f>
        <v>340.85</v>
      </c>
      <c r="F376" s="5">
        <f>IFERROR(__xludf.DUMMYFUNCTION("GOOGLEFINANCE(C376,""change"")"),2.3)</f>
        <v>2.3</v>
      </c>
      <c r="G376" s="6">
        <f>IFERROR(__xludf.DUMMYFUNCTION("GOOGLEFINANCE(C376, ""changepct"")/100"),0.0068000000000000005)</f>
        <v>0.0068</v>
      </c>
      <c r="H376" s="5">
        <f>IFERROR(__xludf.DUMMYFUNCTION("GOOGLEFINANCE(C376, ""marketcap"")"),6.6284691666E10)</f>
        <v>66284691666</v>
      </c>
    </row>
    <row r="377">
      <c r="A377" s="4" t="s">
        <v>782</v>
      </c>
      <c r="B377" s="4" t="s">
        <v>157</v>
      </c>
      <c r="C377" s="4" t="s">
        <v>783</v>
      </c>
      <c r="D377" s="4" t="s">
        <v>13</v>
      </c>
      <c r="E377" s="5">
        <f>IFERROR(__xludf.DUMMYFUNCTION("GOOGLEFINANCE(C377,""price"")"),82.75)</f>
        <v>82.75</v>
      </c>
      <c r="F377" s="5">
        <f>IFERROR(__xludf.DUMMYFUNCTION("GOOGLEFINANCE(C377,""change"")"),0.7)</f>
        <v>0.7</v>
      </c>
      <c r="G377" s="6">
        <f>IFERROR(__xludf.DUMMYFUNCTION("GOOGLEFINANCE(C377, ""changepct"")/100"),0.0085)</f>
        <v>0.0085</v>
      </c>
      <c r="H377" s="5">
        <f>IFERROR(__xludf.DUMMYFUNCTION("GOOGLEFINANCE(C377, ""marketcap"")"),4.5652190275E10)</f>
        <v>45652190275</v>
      </c>
    </row>
    <row r="378">
      <c r="A378" s="4" t="s">
        <v>784</v>
      </c>
      <c r="B378" s="4" t="s">
        <v>26</v>
      </c>
      <c r="C378" s="4" t="s">
        <v>785</v>
      </c>
      <c r="D378" s="4" t="s">
        <v>13</v>
      </c>
      <c r="E378" s="5">
        <f>IFERROR(__xludf.DUMMYFUNCTION("GOOGLEFINANCE(C378,""price"")"),2025.0)</f>
        <v>2025</v>
      </c>
      <c r="F378" s="5">
        <f>IFERROR(__xludf.DUMMYFUNCTION("GOOGLEFINANCE(C378,""change"")"),4.7)</f>
        <v>4.7</v>
      </c>
      <c r="G378" s="6">
        <f>IFERROR(__xludf.DUMMYFUNCTION("GOOGLEFINANCE(C378, ""changepct"")/100"),0.0023)</f>
        <v>0.0023</v>
      </c>
      <c r="H378" s="5">
        <f>IFERROR(__xludf.DUMMYFUNCTION("GOOGLEFINANCE(C378, ""marketcap"")"),9.462417975E10)</f>
        <v>94624179750</v>
      </c>
    </row>
    <row r="379">
      <c r="A379" s="4" t="s">
        <v>786</v>
      </c>
      <c r="B379" s="4" t="s">
        <v>79</v>
      </c>
      <c r="C379" s="4" t="s">
        <v>787</v>
      </c>
      <c r="D379" s="4" t="s">
        <v>13</v>
      </c>
      <c r="E379" s="5">
        <f>IFERROR(__xludf.DUMMYFUNCTION("GOOGLEFINANCE(C379,""price"")"),414.6)</f>
        <v>414.6</v>
      </c>
      <c r="F379" s="5">
        <f>IFERROR(__xludf.DUMMYFUNCTION("GOOGLEFINANCE(C379,""change"")"),3.45)</f>
        <v>3.45</v>
      </c>
      <c r="G379" s="6">
        <f>IFERROR(__xludf.DUMMYFUNCTION("GOOGLEFINANCE(C379, ""changepct"")/100"),0.0084)</f>
        <v>0.0084</v>
      </c>
      <c r="H379" s="5">
        <f>IFERROR(__xludf.DUMMYFUNCTION("GOOGLEFINANCE(C379, ""marketcap"")"),2.762144017E10)</f>
        <v>27621440170</v>
      </c>
    </row>
    <row r="380">
      <c r="A380" s="4" t="s">
        <v>788</v>
      </c>
      <c r="B380" s="4" t="s">
        <v>47</v>
      </c>
      <c r="C380" s="4" t="s">
        <v>789</v>
      </c>
      <c r="D380" s="4" t="s">
        <v>13</v>
      </c>
      <c r="E380" s="5">
        <f>IFERROR(__xludf.DUMMYFUNCTION("GOOGLEFINANCE(C380,""price"")"),272.5)</f>
        <v>272.5</v>
      </c>
      <c r="F380" s="5">
        <f>IFERROR(__xludf.DUMMYFUNCTION("GOOGLEFINANCE(C380,""change"")"),1.7)</f>
        <v>1.7</v>
      </c>
      <c r="G380" s="6">
        <f>IFERROR(__xludf.DUMMYFUNCTION("GOOGLEFINANCE(C380, ""changepct"")/100"),0.0063)</f>
        <v>0.0063</v>
      </c>
      <c r="H380" s="5">
        <f>IFERROR(__xludf.DUMMYFUNCTION("GOOGLEFINANCE(C380, ""marketcap"")"),1.06095342963E11)</f>
        <v>106095342963</v>
      </c>
    </row>
    <row r="381">
      <c r="A381" s="4" t="s">
        <v>790</v>
      </c>
      <c r="B381" s="4" t="s">
        <v>11</v>
      </c>
      <c r="C381" s="4" t="s">
        <v>791</v>
      </c>
      <c r="D381" s="4" t="s">
        <v>13</v>
      </c>
      <c r="E381" s="5">
        <f>IFERROR(__xludf.DUMMYFUNCTION("GOOGLEFINANCE(C381,""price"")"),1107.8)</f>
        <v>1107.8</v>
      </c>
      <c r="F381" s="5">
        <f>IFERROR(__xludf.DUMMYFUNCTION("GOOGLEFINANCE(C381,""change"")"),6.25)</f>
        <v>6.25</v>
      </c>
      <c r="G381" s="6">
        <f>IFERROR(__xludf.DUMMYFUNCTION("GOOGLEFINANCE(C381, ""changepct"")/100"),0.005699999999999999)</f>
        <v>0.0057</v>
      </c>
      <c r="H381" s="5">
        <f>IFERROR(__xludf.DUMMYFUNCTION("GOOGLEFINANCE(C381, ""marketcap"")"),2.7522405973E11)</f>
        <v>275224059730</v>
      </c>
    </row>
    <row r="382">
      <c r="A382" s="4" t="s">
        <v>792</v>
      </c>
      <c r="B382" s="4" t="s">
        <v>50</v>
      </c>
      <c r="C382" s="4" t="s">
        <v>793</v>
      </c>
      <c r="D382" s="4" t="s">
        <v>22</v>
      </c>
      <c r="E382" s="5">
        <f>IFERROR(__xludf.DUMMYFUNCTION("GOOGLEFINANCE(C382,""price"")"),2260.15)</f>
        <v>2260.15</v>
      </c>
      <c r="F382" s="5">
        <f>IFERROR(__xludf.DUMMYFUNCTION("GOOGLEFINANCE(C382,""change"")"),15.25)</f>
        <v>15.25</v>
      </c>
      <c r="G382" s="6">
        <f>IFERROR(__xludf.DUMMYFUNCTION("GOOGLEFINANCE(C382, ""changepct"")/100"),0.0068000000000000005)</f>
        <v>0.0068</v>
      </c>
      <c r="H382" s="5">
        <f>IFERROR(__xludf.DUMMYFUNCTION("GOOGLEFINANCE(C382, ""marketcap"")"),1.501331294125E13)</f>
        <v>15013312941250</v>
      </c>
    </row>
    <row r="383">
      <c r="A383" s="4" t="s">
        <v>794</v>
      </c>
      <c r="B383" s="4" t="s">
        <v>11</v>
      </c>
      <c r="C383" s="4" t="s">
        <v>795</v>
      </c>
      <c r="D383" s="4" t="s">
        <v>13</v>
      </c>
      <c r="E383" s="5">
        <f>IFERROR(__xludf.DUMMYFUNCTION("GOOGLEFINANCE(C383,""price"")"),161.95)</f>
        <v>161.95</v>
      </c>
      <c r="F383" s="5">
        <f>IFERROR(__xludf.DUMMYFUNCTION("GOOGLEFINANCE(C383,""change"")"),-1.1)</f>
        <v>-1.1</v>
      </c>
      <c r="G383" s="6">
        <f>IFERROR(__xludf.DUMMYFUNCTION("GOOGLEFINANCE(C383, ""changepct"")/100"),-0.0067)</f>
        <v>-0.0067</v>
      </c>
      <c r="H383" s="5">
        <f>IFERROR(__xludf.DUMMYFUNCTION("GOOGLEFINANCE(C383, ""marketcap"")"),4.322651095E10)</f>
        <v>43226510950</v>
      </c>
    </row>
    <row r="384">
      <c r="A384" s="4" t="s">
        <v>796</v>
      </c>
      <c r="B384" s="4" t="s">
        <v>35</v>
      </c>
      <c r="C384" s="4" t="s">
        <v>797</v>
      </c>
      <c r="D384" s="4" t="s">
        <v>13</v>
      </c>
      <c r="E384" s="5">
        <f>IFERROR(__xludf.DUMMYFUNCTION("GOOGLEFINANCE(C384,""price"")"),1248.0)</f>
        <v>1248</v>
      </c>
      <c r="F384" s="5">
        <f>IFERROR(__xludf.DUMMYFUNCTION("GOOGLEFINANCE(C384,""change"")"),6.4)</f>
        <v>6.4</v>
      </c>
      <c r="G384" s="6">
        <f>IFERROR(__xludf.DUMMYFUNCTION("GOOGLEFINANCE(C384, ""changepct"")/100"),0.0052)</f>
        <v>0.0052</v>
      </c>
      <c r="H384" s="5">
        <f>IFERROR(__xludf.DUMMYFUNCTION("GOOGLEFINANCE(C384, ""marketcap"")"),6.8503720654E10)</f>
        <v>68503720654</v>
      </c>
    </row>
    <row r="385">
      <c r="A385" s="4" t="s">
        <v>798</v>
      </c>
      <c r="B385" s="4" t="s">
        <v>64</v>
      </c>
      <c r="C385" s="4" t="s">
        <v>799</v>
      </c>
      <c r="D385" s="4" t="s">
        <v>13</v>
      </c>
      <c r="E385" s="5">
        <f>IFERROR(__xludf.DUMMYFUNCTION("GOOGLEFINANCE(C385,""price"")"),1743.9)</f>
        <v>1743.9</v>
      </c>
      <c r="F385" s="5">
        <f>IFERROR(__xludf.DUMMYFUNCTION("GOOGLEFINANCE(C385,""change"")"),22.95)</f>
        <v>22.95</v>
      </c>
      <c r="G385" s="6">
        <f>IFERROR(__xludf.DUMMYFUNCTION("GOOGLEFINANCE(C385, ""changepct"")/100"),0.013300000000000001)</f>
        <v>0.0133</v>
      </c>
      <c r="H385" s="5">
        <f>IFERROR(__xludf.DUMMYFUNCTION("GOOGLEFINANCE(C385, ""marketcap"")"),1.00646678693E11)</f>
        <v>100646678693</v>
      </c>
    </row>
    <row r="386">
      <c r="A386" s="4" t="s">
        <v>800</v>
      </c>
      <c r="B386" s="4" t="s">
        <v>29</v>
      </c>
      <c r="C386" s="4" t="s">
        <v>801</v>
      </c>
      <c r="D386" s="4" t="s">
        <v>13</v>
      </c>
      <c r="E386" s="5">
        <f>IFERROR(__xludf.DUMMYFUNCTION("GOOGLEFINANCE(C386,""price"")"),1076.05)</f>
        <v>1076.05</v>
      </c>
      <c r="F386" s="5">
        <f>IFERROR(__xludf.DUMMYFUNCTION("GOOGLEFINANCE(C386,""change"")"),-2.2)</f>
        <v>-2.2</v>
      </c>
      <c r="G386" s="6">
        <f>IFERROR(__xludf.DUMMYFUNCTION("GOOGLEFINANCE(C386, ""changepct"")/100"),-0.002)</f>
        <v>-0.002</v>
      </c>
      <c r="H386" s="5">
        <f>IFERROR(__xludf.DUMMYFUNCTION("GOOGLEFINANCE(C386, ""marketcap"")"),1.0125456976E12)</f>
        <v>1012545697600</v>
      </c>
    </row>
    <row r="387">
      <c r="A387" s="4" t="s">
        <v>802</v>
      </c>
      <c r="B387" s="4" t="s">
        <v>29</v>
      </c>
      <c r="C387" s="4" t="s">
        <v>803</v>
      </c>
      <c r="D387" s="4" t="s">
        <v>22</v>
      </c>
      <c r="E387" s="5">
        <f>IFERROR(__xludf.DUMMYFUNCTION("GOOGLEFINANCE(C387,""price"")"),991.5)</f>
        <v>991.5</v>
      </c>
      <c r="F387" s="5">
        <f>IFERROR(__xludf.DUMMYFUNCTION("GOOGLEFINANCE(C387,""change"")"),5.35)</f>
        <v>5.35</v>
      </c>
      <c r="G387" s="6">
        <f>IFERROR(__xludf.DUMMYFUNCTION("GOOGLEFINANCE(C387, ""changepct"")/100"),0.0054)</f>
        <v>0.0054</v>
      </c>
      <c r="H387" s="5">
        <f>IFERROR(__xludf.DUMMYFUNCTION("GOOGLEFINANCE(C387, ""marketcap"")"),9.916080735E11)</f>
        <v>991608073500</v>
      </c>
    </row>
    <row r="388">
      <c r="A388" s="4" t="s">
        <v>804</v>
      </c>
      <c r="B388" s="4" t="s">
        <v>47</v>
      </c>
      <c r="C388" s="4" t="s">
        <v>805</v>
      </c>
      <c r="D388" s="4" t="s">
        <v>13</v>
      </c>
      <c r="E388" s="5">
        <f>IFERROR(__xludf.DUMMYFUNCTION("GOOGLEFINANCE(C388,""price"")"),431.55)</f>
        <v>431.55</v>
      </c>
      <c r="F388" s="5">
        <f>IFERROR(__xludf.DUMMYFUNCTION("GOOGLEFINANCE(C388,""change"")"),14.75)</f>
        <v>14.75</v>
      </c>
      <c r="G388" s="6">
        <f>IFERROR(__xludf.DUMMYFUNCTION("GOOGLEFINANCE(C388, ""changepct"")/100"),0.0354)</f>
        <v>0.0354</v>
      </c>
      <c r="H388" s="5">
        <f>IFERROR(__xludf.DUMMYFUNCTION("GOOGLEFINANCE(C388, ""marketcap"")"),6.4048361973E10)</f>
        <v>64048361973</v>
      </c>
    </row>
    <row r="389">
      <c r="A389" s="4" t="s">
        <v>806</v>
      </c>
      <c r="B389" s="4" t="s">
        <v>44</v>
      </c>
      <c r="C389" s="4" t="s">
        <v>807</v>
      </c>
      <c r="D389" s="4" t="s">
        <v>13</v>
      </c>
      <c r="E389" s="5">
        <f>IFERROR(__xludf.DUMMYFUNCTION("GOOGLEFINANCE(C389,""price"")"),29.65)</f>
        <v>29.65</v>
      </c>
      <c r="F389" s="5">
        <f>IFERROR(__xludf.DUMMYFUNCTION("GOOGLEFINANCE(C389,""change"")"),0.4)</f>
        <v>0.4</v>
      </c>
      <c r="G389" s="6">
        <f>IFERROR(__xludf.DUMMYFUNCTION("GOOGLEFINANCE(C389, ""changepct"")/100"),0.0137)</f>
        <v>0.0137</v>
      </c>
      <c r="H389" s="5">
        <f>IFERROR(__xludf.DUMMYFUNCTION("GOOGLEFINANCE(C389, ""marketcap"")"),1.1651842025E11)</f>
        <v>116518420250</v>
      </c>
    </row>
    <row r="390">
      <c r="A390" s="4" t="s">
        <v>808</v>
      </c>
      <c r="B390" s="4" t="s">
        <v>15</v>
      </c>
      <c r="C390" s="4" t="s">
        <v>809</v>
      </c>
      <c r="D390" s="4" t="s">
        <v>13</v>
      </c>
      <c r="E390" s="5">
        <f>IFERROR(__xludf.DUMMYFUNCTION("GOOGLEFINANCE(C390,""price"")"),2599.15)</f>
        <v>2599.15</v>
      </c>
      <c r="F390" s="5">
        <f>IFERROR(__xludf.DUMMYFUNCTION("GOOGLEFINANCE(C390,""change"")"),19.35)</f>
        <v>19.35</v>
      </c>
      <c r="G390" s="6">
        <f>IFERROR(__xludf.DUMMYFUNCTION("GOOGLEFINANCE(C390, ""changepct"")/100"),0.0075)</f>
        <v>0.0075</v>
      </c>
      <c r="H390" s="5">
        <f>IFERROR(__xludf.DUMMYFUNCTION("GOOGLEFINANCE(C390, ""marketcap"")"),1.28471897953E11)</f>
        <v>128471897953</v>
      </c>
    </row>
    <row r="391">
      <c r="A391" s="4" t="s">
        <v>810</v>
      </c>
      <c r="B391" s="4" t="s">
        <v>35</v>
      </c>
      <c r="C391" s="4" t="s">
        <v>811</v>
      </c>
      <c r="D391" s="4" t="s">
        <v>22</v>
      </c>
      <c r="E391" s="5">
        <f>IFERROR(__xludf.DUMMYFUNCTION("GOOGLEFINANCE(C391,""price"")"),7149.5)</f>
        <v>7149.5</v>
      </c>
      <c r="F391" s="5">
        <f>IFERROR(__xludf.DUMMYFUNCTION("GOOGLEFINANCE(C391,""change"")"),165.75)</f>
        <v>165.75</v>
      </c>
      <c r="G391" s="6">
        <f>IFERROR(__xludf.DUMMYFUNCTION("GOOGLEFINANCE(C391, ""changepct"")/100"),0.023700000000000002)</f>
        <v>0.0237</v>
      </c>
      <c r="H391" s="5">
        <f>IFERROR(__xludf.DUMMYFUNCTION("GOOGLEFINANCE(C391, ""marketcap"")"),4.23629851911E11)</f>
        <v>423629851911</v>
      </c>
    </row>
    <row r="392">
      <c r="A392" s="4" t="s">
        <v>812</v>
      </c>
      <c r="B392" s="4" t="s">
        <v>32</v>
      </c>
      <c r="C392" s="4" t="s">
        <v>813</v>
      </c>
      <c r="D392" s="4" t="s">
        <v>13</v>
      </c>
      <c r="E392" s="5">
        <f>IFERROR(__xludf.DUMMYFUNCTION("GOOGLEFINANCE(C392,""price"")"),7817.0)</f>
        <v>7817</v>
      </c>
      <c r="F392" s="5">
        <f>IFERROR(__xludf.DUMMYFUNCTION("GOOGLEFINANCE(C392,""change"")"),0.8)</f>
        <v>0.8</v>
      </c>
      <c r="G392" s="6">
        <f>IFERROR(__xludf.DUMMYFUNCTION("GOOGLEFINANCE(C392, ""changepct"")/100"),1.0E-4)</f>
        <v>0.0001</v>
      </c>
      <c r="H392" s="5">
        <f>IFERROR(__xludf.DUMMYFUNCTION("GOOGLEFINANCE(C392, ""marketcap"")"),1.8003027837E11)</f>
        <v>180030278370</v>
      </c>
    </row>
    <row r="393">
      <c r="A393" s="4" t="s">
        <v>814</v>
      </c>
      <c r="B393" s="4" t="s">
        <v>15</v>
      </c>
      <c r="C393" s="4" t="s">
        <v>815</v>
      </c>
      <c r="D393" s="4" t="s">
        <v>13</v>
      </c>
      <c r="E393" s="5">
        <f>IFERROR(__xludf.DUMMYFUNCTION("GOOGLEFINANCE(C393,""price"")"),5222.95)</f>
        <v>5222.95</v>
      </c>
      <c r="F393" s="5">
        <f>IFERROR(__xludf.DUMMYFUNCTION("GOOGLEFINANCE(C393,""change"")"),-30.95)</f>
        <v>-30.95</v>
      </c>
      <c r="G393" s="6">
        <f>IFERROR(__xludf.DUMMYFUNCTION("GOOGLEFINANCE(C393, ""changepct"")/100"),-0.0059)</f>
        <v>-0.0059</v>
      </c>
      <c r="H393" s="5">
        <f>IFERROR(__xludf.DUMMYFUNCTION("GOOGLEFINANCE(C393, ""marketcap"")"),1.63490488774E11)</f>
        <v>163490488774</v>
      </c>
    </row>
    <row r="394">
      <c r="A394" s="4" t="s">
        <v>816</v>
      </c>
      <c r="B394" s="4" t="s">
        <v>15</v>
      </c>
      <c r="C394" s="4" t="s">
        <v>817</v>
      </c>
      <c r="D394" s="4" t="s">
        <v>13</v>
      </c>
      <c r="E394" s="5">
        <f>IFERROR(__xludf.DUMMYFUNCTION("GOOGLEFINANCE(C394,""price"")"),131.55)</f>
        <v>131.55</v>
      </c>
      <c r="F394" s="5">
        <f>IFERROR(__xludf.DUMMYFUNCTION("GOOGLEFINANCE(C394,""change"")"),2.95)</f>
        <v>2.95</v>
      </c>
      <c r="G394" s="6">
        <f>IFERROR(__xludf.DUMMYFUNCTION("GOOGLEFINANCE(C394, ""changepct"")/100"),0.0229)</f>
        <v>0.0229</v>
      </c>
      <c r="H394" s="5">
        <f>IFERROR(__xludf.DUMMYFUNCTION("GOOGLEFINANCE(C394, ""marketcap"")"),3.14301043E10)</f>
        <v>31430104300</v>
      </c>
    </row>
    <row r="395">
      <c r="A395" s="4" t="s">
        <v>818</v>
      </c>
      <c r="B395" s="4" t="s">
        <v>32</v>
      </c>
      <c r="C395" s="4" t="s">
        <v>819</v>
      </c>
      <c r="D395" s="4" t="s">
        <v>13</v>
      </c>
      <c r="E395" s="5">
        <f>IFERROR(__xludf.DUMMYFUNCTION("GOOGLEFINANCE(C395,""price"")"),275.7)</f>
        <v>275.7</v>
      </c>
      <c r="F395" s="5">
        <f>IFERROR(__xludf.DUMMYFUNCTION("GOOGLEFINANCE(C395,""change"")"),9.1)</f>
        <v>9.1</v>
      </c>
      <c r="G395" s="6">
        <f>IFERROR(__xludf.DUMMYFUNCTION("GOOGLEFINANCE(C395, ""changepct"")/100"),0.0341)</f>
        <v>0.0341</v>
      </c>
      <c r="H395" s="5">
        <f>IFERROR(__xludf.DUMMYFUNCTION("GOOGLEFINANCE(C395, ""marketcap"")"),6.8049765793E10)</f>
        <v>68049765793</v>
      </c>
    </row>
    <row r="396">
      <c r="A396" s="4" t="s">
        <v>820</v>
      </c>
      <c r="B396" s="4" t="s">
        <v>157</v>
      </c>
      <c r="C396" s="4" t="s">
        <v>821</v>
      </c>
      <c r="D396" s="4" t="s">
        <v>13</v>
      </c>
      <c r="E396" s="5">
        <f>IFERROR(__xludf.DUMMYFUNCTION("GOOGLEFINANCE(C396,""price"")"),368.2)</f>
        <v>368.2</v>
      </c>
      <c r="F396" s="5">
        <f>IFERROR(__xludf.DUMMYFUNCTION("GOOGLEFINANCE(C396,""change"")"),5.2)</f>
        <v>5.2</v>
      </c>
      <c r="G396" s="6">
        <f>IFERROR(__xludf.DUMMYFUNCTION("GOOGLEFINANCE(C396, ""changepct"")/100"),0.0143)</f>
        <v>0.0143</v>
      </c>
      <c r="H396" s="5">
        <f>IFERROR(__xludf.DUMMYFUNCTION("GOOGLEFINANCE(C396, ""marketcap"")"),3.3165052674E10)</f>
        <v>33165052674</v>
      </c>
    </row>
    <row r="397">
      <c r="A397" s="4" t="s">
        <v>822</v>
      </c>
      <c r="B397" s="4" t="s">
        <v>11</v>
      </c>
      <c r="C397" s="4" t="s">
        <v>823</v>
      </c>
      <c r="D397" s="4" t="s">
        <v>13</v>
      </c>
      <c r="E397" s="5">
        <f>IFERROR(__xludf.DUMMYFUNCTION("GOOGLEFINANCE(C397,""price"")"),2195.0)</f>
        <v>2195</v>
      </c>
      <c r="F397" s="5">
        <f>IFERROR(__xludf.DUMMYFUNCTION("GOOGLEFINANCE(C397,""change"")"),14.95)</f>
        <v>14.95</v>
      </c>
      <c r="G397" s="6">
        <f>IFERROR(__xludf.DUMMYFUNCTION("GOOGLEFINANCE(C397, ""changepct"")/100"),0.0069)</f>
        <v>0.0069</v>
      </c>
      <c r="H397" s="5">
        <f>IFERROR(__xludf.DUMMYFUNCTION("GOOGLEFINANCE(C397, ""marketcap"")"),1.06857701751E11)</f>
        <v>106857701751</v>
      </c>
    </row>
    <row r="398">
      <c r="A398" s="4" t="s">
        <v>824</v>
      </c>
      <c r="B398" s="4" t="s">
        <v>32</v>
      </c>
      <c r="C398" s="4" t="s">
        <v>825</v>
      </c>
      <c r="D398" s="4" t="s">
        <v>13</v>
      </c>
      <c r="E398" s="5">
        <f>IFERROR(__xludf.DUMMYFUNCTION("GOOGLEFINANCE(C398,""price"")"),555.0)</f>
        <v>555</v>
      </c>
      <c r="F398" s="5">
        <f>IFERROR(__xludf.DUMMYFUNCTION("GOOGLEFINANCE(C398,""change"")"),-7.5)</f>
        <v>-7.5</v>
      </c>
      <c r="G398" s="6">
        <f>IFERROR(__xludf.DUMMYFUNCTION("GOOGLEFINANCE(C398, ""changepct"")/100"),-0.013300000000000001)</f>
        <v>-0.0133</v>
      </c>
      <c r="H398" s="5">
        <f>IFERROR(__xludf.DUMMYFUNCTION("GOOGLEFINANCE(C398, ""marketcap"")"),4.524742395E10)</f>
        <v>45247423950</v>
      </c>
    </row>
    <row r="399">
      <c r="A399" s="4" t="s">
        <v>826</v>
      </c>
      <c r="B399" s="4" t="s">
        <v>47</v>
      </c>
      <c r="C399" s="4" t="s">
        <v>827</v>
      </c>
      <c r="D399" s="4" t="s">
        <v>13</v>
      </c>
      <c r="E399" s="5">
        <f>IFERROR(__xludf.DUMMYFUNCTION("GOOGLEFINANCE(C399,""price"")"),112.0)</f>
        <v>112</v>
      </c>
      <c r="F399" s="5">
        <f>IFERROR(__xludf.DUMMYFUNCTION("GOOGLEFINANCE(C399,""change"")"),0.35)</f>
        <v>0.35</v>
      </c>
      <c r="G399" s="6">
        <f>IFERROR(__xludf.DUMMYFUNCTION("GOOGLEFINANCE(C399, ""changepct"")/100"),0.0031)</f>
        <v>0.0031</v>
      </c>
      <c r="H399" s="5">
        <f>IFERROR(__xludf.DUMMYFUNCTION("GOOGLEFINANCE(C399, ""marketcap"")"),5.2169488E10)</f>
        <v>52169488000</v>
      </c>
    </row>
    <row r="400">
      <c r="A400" s="4" t="s">
        <v>828</v>
      </c>
      <c r="B400" s="4" t="s">
        <v>57</v>
      </c>
      <c r="C400" s="4" t="s">
        <v>829</v>
      </c>
      <c r="D400" s="4" t="s">
        <v>13</v>
      </c>
      <c r="E400" s="5">
        <f>IFERROR(__xludf.DUMMYFUNCTION("GOOGLEFINANCE(C400,""price"")"),235.2)</f>
        <v>235.2</v>
      </c>
      <c r="F400" s="5">
        <f>IFERROR(__xludf.DUMMYFUNCTION("GOOGLEFINANCE(C400,""change"")"),0.35)</f>
        <v>0.35</v>
      </c>
      <c r="G400" s="6">
        <f>IFERROR(__xludf.DUMMYFUNCTION("GOOGLEFINANCE(C400, ""changepct"")/100"),0.0015)</f>
        <v>0.0015</v>
      </c>
      <c r="H400" s="5">
        <f>IFERROR(__xludf.DUMMYFUNCTION("GOOGLEFINANCE(C400, ""marketcap"")"),2.5721212946E10)</f>
        <v>25721212946</v>
      </c>
    </row>
    <row r="401">
      <c r="A401" s="4" t="s">
        <v>830</v>
      </c>
      <c r="B401" s="4" t="s">
        <v>20</v>
      </c>
      <c r="C401" s="4" t="s">
        <v>831</v>
      </c>
      <c r="D401" s="4" t="s">
        <v>22</v>
      </c>
      <c r="E401" s="5">
        <f>IFERROR(__xludf.DUMMYFUNCTION("GOOGLEFINANCE(C401,""price"")"),28480.0)</f>
        <v>28480</v>
      </c>
      <c r="F401" s="5">
        <f>IFERROR(__xludf.DUMMYFUNCTION("GOOGLEFINANCE(C401,""change"")"),145.95)</f>
        <v>145.95</v>
      </c>
      <c r="G401" s="6">
        <f>IFERROR(__xludf.DUMMYFUNCTION("GOOGLEFINANCE(C401, ""changepct"")/100"),0.0052)</f>
        <v>0.0052</v>
      </c>
      <c r="H401" s="5">
        <f>IFERROR(__xludf.DUMMYFUNCTION("GOOGLEFINANCE(C401, ""marketcap"")"),1.02761527113E12)</f>
        <v>1027615271130</v>
      </c>
    </row>
    <row r="402">
      <c r="A402" s="4" t="s">
        <v>832</v>
      </c>
      <c r="B402" s="4" t="s">
        <v>29</v>
      </c>
      <c r="C402" s="4" t="s">
        <v>833</v>
      </c>
      <c r="D402" s="4" t="s">
        <v>13</v>
      </c>
      <c r="E402" s="5">
        <f>IFERROR(__xludf.DUMMYFUNCTION("GOOGLEFINANCE(C402,""price"")"),1741.15)</f>
        <v>1741.15</v>
      </c>
      <c r="F402" s="5">
        <f>IFERROR(__xludf.DUMMYFUNCTION("GOOGLEFINANCE(C402,""change"")"),53.6)</f>
        <v>53.6</v>
      </c>
      <c r="G402" s="6">
        <f>IFERROR(__xludf.DUMMYFUNCTION("GOOGLEFINANCE(C402, ""changepct"")/100"),0.0318)</f>
        <v>0.0318</v>
      </c>
      <c r="H402" s="5">
        <f>IFERROR(__xludf.DUMMYFUNCTION("GOOGLEFINANCE(C402, ""marketcap"")"),1.14924607361E11)</f>
        <v>114924607361</v>
      </c>
    </row>
    <row r="403">
      <c r="A403" s="4" t="s">
        <v>834</v>
      </c>
      <c r="B403" s="4" t="s">
        <v>29</v>
      </c>
      <c r="C403" s="4" t="s">
        <v>835</v>
      </c>
      <c r="D403" s="4" t="s">
        <v>22</v>
      </c>
      <c r="E403" s="5">
        <f>IFERROR(__xludf.DUMMYFUNCTION("GOOGLEFINANCE(C403,""price"")"),1457.1)</f>
        <v>1457.1</v>
      </c>
      <c r="F403" s="5">
        <f>IFERROR(__xludf.DUMMYFUNCTION("GOOGLEFINANCE(C403,""change"")"),-19.9)</f>
        <v>-19.9</v>
      </c>
      <c r="G403" s="6">
        <f>IFERROR(__xludf.DUMMYFUNCTION("GOOGLEFINANCE(C403, ""changepct"")/100"),-0.013500000000000002)</f>
        <v>-0.0135</v>
      </c>
      <c r="H403" s="5">
        <f>IFERROR(__xludf.DUMMYFUNCTION("GOOGLEFINANCE(C403, ""marketcap"")"),3.6858407475E11)</f>
        <v>368584074750</v>
      </c>
    </row>
    <row r="404">
      <c r="A404" s="4" t="s">
        <v>836</v>
      </c>
      <c r="B404" s="4" t="s">
        <v>15</v>
      </c>
      <c r="C404" s="4" t="s">
        <v>837</v>
      </c>
      <c r="D404" s="4" t="s">
        <v>22</v>
      </c>
      <c r="E404" s="5">
        <f>IFERROR(__xludf.DUMMYFUNCTION("GOOGLEFINANCE(C404,""price"")"),2066.4)</f>
        <v>2066.4</v>
      </c>
      <c r="F404" s="5">
        <f>IFERROR(__xludf.DUMMYFUNCTION("GOOGLEFINANCE(C404,""change"")"),-1.9)</f>
        <v>-1.9</v>
      </c>
      <c r="G404" s="6">
        <f>IFERROR(__xludf.DUMMYFUNCTION("GOOGLEFINANCE(C404, ""changepct"")/100"),-9.0E-4)</f>
        <v>-0.0009</v>
      </c>
      <c r="H404" s="5">
        <f>IFERROR(__xludf.DUMMYFUNCTION("GOOGLEFINANCE(C404, ""marketcap"")"),7.36064806602E11)</f>
        <v>736064806602</v>
      </c>
    </row>
    <row r="405">
      <c r="A405" s="4" t="s">
        <v>838</v>
      </c>
      <c r="B405" s="4" t="s">
        <v>100</v>
      </c>
      <c r="C405" s="4" t="s">
        <v>839</v>
      </c>
      <c r="D405" s="4" t="s">
        <v>13</v>
      </c>
      <c r="E405" s="5">
        <f>IFERROR(__xludf.DUMMYFUNCTION("GOOGLEFINANCE(C405,""price"")"),510.6)</f>
        <v>510.6</v>
      </c>
      <c r="F405" s="5">
        <f>IFERROR(__xludf.DUMMYFUNCTION("GOOGLEFINANCE(C405,""change"")"),9.65)</f>
        <v>9.65</v>
      </c>
      <c r="G405" s="6">
        <f>IFERROR(__xludf.DUMMYFUNCTION("GOOGLEFINANCE(C405, ""changepct"")/100"),0.019299999999999998)</f>
        <v>0.0193</v>
      </c>
      <c r="H405" s="5">
        <f>IFERROR(__xludf.DUMMYFUNCTION("GOOGLEFINANCE(C405, ""marketcap"")"),4.846622935E10)</f>
        <v>48466229350</v>
      </c>
    </row>
    <row r="406">
      <c r="A406" s="4" t="s">
        <v>840</v>
      </c>
      <c r="B406" s="4" t="s">
        <v>35</v>
      </c>
      <c r="C406" s="4" t="s">
        <v>841</v>
      </c>
      <c r="D406" s="4" t="s">
        <v>13</v>
      </c>
      <c r="E406" s="5">
        <f>IFERROR(__xludf.DUMMYFUNCTION("GOOGLEFINANCE(C406,""price"")"),1633.6)</f>
        <v>1633.6</v>
      </c>
      <c r="F406" s="5">
        <f>IFERROR(__xludf.DUMMYFUNCTION("GOOGLEFINANCE(C406,""change"")"),11.7)</f>
        <v>11.7</v>
      </c>
      <c r="G406" s="6">
        <f>IFERROR(__xludf.DUMMYFUNCTION("GOOGLEFINANCE(C406, ""changepct"")/100"),0.0072)</f>
        <v>0.0072</v>
      </c>
      <c r="H406" s="5">
        <f>IFERROR(__xludf.DUMMYFUNCTION("GOOGLEFINANCE(C406, ""marketcap"")"),1.4792411301E11)</f>
        <v>147924113010</v>
      </c>
    </row>
    <row r="407">
      <c r="A407" s="4" t="s">
        <v>842</v>
      </c>
      <c r="B407" s="4" t="s">
        <v>32</v>
      </c>
      <c r="C407" s="4" t="s">
        <v>843</v>
      </c>
      <c r="D407" s="4" t="s">
        <v>13</v>
      </c>
      <c r="E407" s="5">
        <f>IFERROR(__xludf.DUMMYFUNCTION("GOOGLEFINANCE(C407,""price"")"),1681.0)</f>
        <v>1681</v>
      </c>
      <c r="F407" s="5">
        <f>IFERROR(__xludf.DUMMYFUNCTION("GOOGLEFINANCE(C407,""change"")"),10.3)</f>
        <v>10.3</v>
      </c>
      <c r="G407" s="6">
        <f>IFERROR(__xludf.DUMMYFUNCTION("GOOGLEFINANCE(C407, ""changepct"")/100"),0.0062)</f>
        <v>0.0062</v>
      </c>
      <c r="H407" s="5">
        <f>IFERROR(__xludf.DUMMYFUNCTION("GOOGLEFINANCE(C407, ""marketcap"")"),6.039792656E10)</f>
        <v>60397926560</v>
      </c>
    </row>
    <row r="408">
      <c r="A408" s="4" t="s">
        <v>844</v>
      </c>
      <c r="B408" s="4" t="s">
        <v>64</v>
      </c>
      <c r="C408" s="4" t="s">
        <v>845</v>
      </c>
      <c r="D408" s="4" t="s">
        <v>13</v>
      </c>
      <c r="E408" s="5">
        <f>IFERROR(__xludf.DUMMYFUNCTION("GOOGLEFINANCE(C408,""price"")"),722.55)</f>
        <v>722.55</v>
      </c>
      <c r="F408" s="5">
        <f>IFERROR(__xludf.DUMMYFUNCTION("GOOGLEFINANCE(C408,""change"")"),-0.9)</f>
        <v>-0.9</v>
      </c>
      <c r="G408" s="6">
        <f>IFERROR(__xludf.DUMMYFUNCTION("GOOGLEFINANCE(C408, ""changepct"")/100"),-0.0012)</f>
        <v>-0.0012</v>
      </c>
      <c r="H408" s="5">
        <f>IFERROR(__xludf.DUMMYFUNCTION("GOOGLEFINANCE(C408, ""marketcap"")"),7.5083990523E10)</f>
        <v>75083990523</v>
      </c>
    </row>
    <row r="409">
      <c r="A409" s="4" t="s">
        <v>846</v>
      </c>
      <c r="B409" s="4" t="s">
        <v>29</v>
      </c>
      <c r="C409" s="4" t="s">
        <v>847</v>
      </c>
      <c r="D409" s="4" t="s">
        <v>13</v>
      </c>
      <c r="E409" s="5">
        <f>IFERROR(__xludf.DUMMYFUNCTION("GOOGLEFINANCE(C409,""price"")"),719.9)</f>
        <v>719.9</v>
      </c>
      <c r="F409" s="5">
        <f>IFERROR(__xludf.DUMMYFUNCTION("GOOGLEFINANCE(C409,""change"")"),23.55)</f>
        <v>23.55</v>
      </c>
      <c r="G409" s="6">
        <f>IFERROR(__xludf.DUMMYFUNCTION("GOOGLEFINANCE(C409, ""changepct"")/100"),0.0338)</f>
        <v>0.0338</v>
      </c>
      <c r="H409" s="5">
        <f>IFERROR(__xludf.DUMMYFUNCTION("GOOGLEFINANCE(C409, ""marketcap"")"),4.6300708423E10)</f>
        <v>46300708423</v>
      </c>
    </row>
    <row r="410">
      <c r="A410" s="4" t="s">
        <v>848</v>
      </c>
      <c r="B410" s="4" t="s">
        <v>47</v>
      </c>
      <c r="C410" s="4" t="s">
        <v>849</v>
      </c>
      <c r="D410" s="4" t="s">
        <v>13</v>
      </c>
      <c r="E410" s="5">
        <f>IFERROR(__xludf.DUMMYFUNCTION("GOOGLEFINANCE(C410,""price"")"),79.0)</f>
        <v>79</v>
      </c>
      <c r="F410" s="5">
        <f>IFERROR(__xludf.DUMMYFUNCTION("GOOGLEFINANCE(C410,""change"")"),0.45)</f>
        <v>0.45</v>
      </c>
      <c r="G410" s="6">
        <f>IFERROR(__xludf.DUMMYFUNCTION("GOOGLEFINANCE(C410, ""changepct"")/100"),0.005699999999999999)</f>
        <v>0.0057</v>
      </c>
      <c r="H410" s="5">
        <f>IFERROR(__xludf.DUMMYFUNCTION("GOOGLEFINANCE(C410, ""marketcap"")"),4.7567005562E10)</f>
        <v>47567005562</v>
      </c>
    </row>
    <row r="411">
      <c r="A411" s="4" t="s">
        <v>850</v>
      </c>
      <c r="B411" s="4" t="s">
        <v>20</v>
      </c>
      <c r="C411" s="4" t="s">
        <v>851</v>
      </c>
      <c r="D411" s="4" t="s">
        <v>13</v>
      </c>
      <c r="E411" s="5">
        <f>IFERROR(__xludf.DUMMYFUNCTION("GOOGLEFINANCE(C411,""price"")"),111.4)</f>
        <v>111.4</v>
      </c>
      <c r="F411" s="5">
        <f>IFERROR(__xludf.DUMMYFUNCTION("GOOGLEFINANCE(C411,""change"")"),0.55)</f>
        <v>0.55</v>
      </c>
      <c r="G411" s="6">
        <f>IFERROR(__xludf.DUMMYFUNCTION("GOOGLEFINANCE(C411, ""changepct"")/100"),0.005)</f>
        <v>0.005</v>
      </c>
      <c r="H411" s="5">
        <f>IFERROR(__xludf.DUMMYFUNCTION("GOOGLEFINANCE(C411, ""marketcap"")"),4.6108722329E10)</f>
        <v>46108722329</v>
      </c>
    </row>
    <row r="412">
      <c r="A412" s="4" t="s">
        <v>852</v>
      </c>
      <c r="B412" s="4" t="s">
        <v>29</v>
      </c>
      <c r="C412" s="4" t="s">
        <v>853</v>
      </c>
      <c r="D412" s="4" t="s">
        <v>22</v>
      </c>
      <c r="E412" s="5">
        <f>IFERROR(__xludf.DUMMYFUNCTION("GOOGLEFINANCE(C412,""price"")"),429.4)</f>
        <v>429.4</v>
      </c>
      <c r="F412" s="5">
        <f>IFERROR(__xludf.DUMMYFUNCTION("GOOGLEFINANCE(C412,""change"")"),-0.95)</f>
        <v>-0.95</v>
      </c>
      <c r="G412" s="6">
        <f>IFERROR(__xludf.DUMMYFUNCTION("GOOGLEFINANCE(C412, ""changepct"")/100"),-0.0022)</f>
        <v>-0.0022</v>
      </c>
      <c r="H412" s="5">
        <f>IFERROR(__xludf.DUMMYFUNCTION("GOOGLEFINANCE(C412, ""marketcap"")"),3.832227908928E12)</f>
        <v>3832227908928</v>
      </c>
    </row>
    <row r="413">
      <c r="A413" s="4" t="s">
        <v>854</v>
      </c>
      <c r="B413" s="4" t="s">
        <v>26</v>
      </c>
      <c r="C413" s="4" t="s">
        <v>855</v>
      </c>
      <c r="D413" s="4" t="s">
        <v>22</v>
      </c>
      <c r="E413" s="5">
        <f>IFERROR(__xludf.DUMMYFUNCTION("GOOGLEFINANCE(C413,""price"")"),138.15)</f>
        <v>138.15</v>
      </c>
      <c r="F413" s="5">
        <f>IFERROR(__xludf.DUMMYFUNCTION("GOOGLEFINANCE(C413,""change"")"),0.85)</f>
        <v>0.85</v>
      </c>
      <c r="G413" s="6">
        <f>IFERROR(__xludf.DUMMYFUNCTION("GOOGLEFINANCE(C413, ""changepct"")/100"),0.0062)</f>
        <v>0.0062</v>
      </c>
      <c r="H413" s="5">
        <f>IFERROR(__xludf.DUMMYFUNCTION("GOOGLEFINANCE(C413, ""marketcap"")"),5.70631865389E11)</f>
        <v>570631865389</v>
      </c>
    </row>
    <row r="414">
      <c r="A414" s="4" t="s">
        <v>856</v>
      </c>
      <c r="B414" s="4" t="s">
        <v>100</v>
      </c>
      <c r="C414" s="4" t="s">
        <v>857</v>
      </c>
      <c r="D414" s="4" t="s">
        <v>13</v>
      </c>
      <c r="E414" s="5">
        <f>IFERROR(__xludf.DUMMYFUNCTION("GOOGLEFINANCE(C414,""price"")"),241.95)</f>
        <v>241.95</v>
      </c>
      <c r="F414" s="5">
        <f>IFERROR(__xludf.DUMMYFUNCTION("GOOGLEFINANCE(C414,""change"")"),1.9)</f>
        <v>1.9</v>
      </c>
      <c r="G414" s="6">
        <f>IFERROR(__xludf.DUMMYFUNCTION("GOOGLEFINANCE(C414, ""changepct"")/100"),0.0079)</f>
        <v>0.0079</v>
      </c>
      <c r="H414" s="5">
        <f>IFERROR(__xludf.DUMMYFUNCTION("GOOGLEFINANCE(C414, ""marketcap"")"),3.879910151E10)</f>
        <v>38799101510</v>
      </c>
    </row>
    <row r="415">
      <c r="A415" s="4" t="s">
        <v>858</v>
      </c>
      <c r="B415" s="4" t="s">
        <v>174</v>
      </c>
      <c r="C415" s="4" t="s">
        <v>859</v>
      </c>
      <c r="D415" s="4" t="s">
        <v>13</v>
      </c>
      <c r="E415" s="5">
        <f>IFERROR(__xludf.DUMMYFUNCTION("GOOGLEFINANCE(C415,""price"")"),267.15)</f>
        <v>267.15</v>
      </c>
      <c r="F415" s="5">
        <f>IFERROR(__xludf.DUMMYFUNCTION("GOOGLEFINANCE(C415,""change"")"),-0.65)</f>
        <v>-0.65</v>
      </c>
      <c r="G415" s="6">
        <f>IFERROR(__xludf.DUMMYFUNCTION("GOOGLEFINANCE(C415, ""changepct"")/100"),-0.0024)</f>
        <v>-0.0024</v>
      </c>
      <c r="H415" s="5">
        <f>IFERROR(__xludf.DUMMYFUNCTION("GOOGLEFINANCE(C415, ""marketcap"")"),1.05981367943E11)</f>
        <v>105981367943</v>
      </c>
    </row>
    <row r="416">
      <c r="A416" s="4" t="s">
        <v>860</v>
      </c>
      <c r="B416" s="4" t="s">
        <v>32</v>
      </c>
      <c r="C416" s="4" t="s">
        <v>861</v>
      </c>
      <c r="D416" s="4" t="s">
        <v>13</v>
      </c>
      <c r="E416" s="5">
        <f>IFERROR(__xludf.DUMMYFUNCTION("GOOGLEFINANCE(C416,""price"")"),819.4)</f>
        <v>819.4</v>
      </c>
      <c r="F416" s="5">
        <f>IFERROR(__xludf.DUMMYFUNCTION("GOOGLEFINANCE(C416,""change"")"),1.6)</f>
        <v>1.6</v>
      </c>
      <c r="G416" s="6">
        <f>IFERROR(__xludf.DUMMYFUNCTION("GOOGLEFINANCE(C416, ""changepct"")/100"),0.002)</f>
        <v>0.002</v>
      </c>
      <c r="H416" s="5">
        <f>IFERROR(__xludf.DUMMYFUNCTION("GOOGLEFINANCE(C416, ""marketcap"")"),7.3405088933E10)</f>
        <v>73405088933</v>
      </c>
    </row>
    <row r="417">
      <c r="A417" s="4" t="s">
        <v>862</v>
      </c>
      <c r="B417" s="4" t="s">
        <v>35</v>
      </c>
      <c r="C417" s="4" t="s">
        <v>863</v>
      </c>
      <c r="D417" s="4" t="s">
        <v>13</v>
      </c>
      <c r="E417" s="5">
        <f>IFERROR(__xludf.DUMMYFUNCTION("GOOGLEFINANCE(C417,""price"")"),691.0)</f>
        <v>691</v>
      </c>
      <c r="F417" s="5">
        <f>IFERROR(__xludf.DUMMYFUNCTION("GOOGLEFINANCE(C417,""change"")"),11.5)</f>
        <v>11.5</v>
      </c>
      <c r="G417" s="6">
        <f>IFERROR(__xludf.DUMMYFUNCTION("GOOGLEFINANCE(C417, ""changepct"")/100"),0.0169)</f>
        <v>0.0169</v>
      </c>
      <c r="H417" s="5">
        <f>IFERROR(__xludf.DUMMYFUNCTION("GOOGLEFINANCE(C417, ""marketcap"")"),4.783602284E10)</f>
        <v>47836022840</v>
      </c>
    </row>
    <row r="418">
      <c r="A418" s="4" t="s">
        <v>864</v>
      </c>
      <c r="B418" s="4" t="s">
        <v>157</v>
      </c>
      <c r="C418" s="4" t="s">
        <v>865</v>
      </c>
      <c r="D418" s="4" t="s">
        <v>13</v>
      </c>
      <c r="E418" s="5">
        <f>IFERROR(__xludf.DUMMYFUNCTION("GOOGLEFINANCE(C418,""price"")"),389.4)</f>
        <v>389.4</v>
      </c>
      <c r="F418" s="5">
        <f>IFERROR(__xludf.DUMMYFUNCTION("GOOGLEFINANCE(C418,""change"")"),-4.05)</f>
        <v>-4.05</v>
      </c>
      <c r="G418" s="6">
        <f>IFERROR(__xludf.DUMMYFUNCTION("GOOGLEFINANCE(C418, ""changepct"")/100"),-0.0103)</f>
        <v>-0.0103</v>
      </c>
      <c r="H418" s="5">
        <f>IFERROR(__xludf.DUMMYFUNCTION("GOOGLEFINANCE(C418, ""marketcap"")"),1.94741691808E11)</f>
        <v>194741691808</v>
      </c>
    </row>
    <row r="419">
      <c r="A419" s="4" t="s">
        <v>866</v>
      </c>
      <c r="B419" s="4" t="s">
        <v>32</v>
      </c>
      <c r="C419" s="4" t="s">
        <v>867</v>
      </c>
      <c r="D419" s="4" t="s">
        <v>13</v>
      </c>
      <c r="E419" s="5">
        <f>IFERROR(__xludf.DUMMYFUNCTION("GOOGLEFINANCE(C419,""price"")"),250.75)</f>
        <v>250.75</v>
      </c>
      <c r="F419" s="5">
        <f>IFERROR(__xludf.DUMMYFUNCTION("GOOGLEFINANCE(C419,""change"")"),7.4)</f>
        <v>7.4</v>
      </c>
      <c r="G419" s="6">
        <f>IFERROR(__xludf.DUMMYFUNCTION("GOOGLEFINANCE(C419, ""changepct"")/100"),0.0304)</f>
        <v>0.0304</v>
      </c>
      <c r="H419" s="5">
        <f>IFERROR(__xludf.DUMMYFUNCTION("GOOGLEFINANCE(C419, ""marketcap"")"),6.5721488719E10)</f>
        <v>65721488719</v>
      </c>
    </row>
    <row r="420">
      <c r="A420" s="4" t="s">
        <v>868</v>
      </c>
      <c r="B420" s="4" t="s">
        <v>32</v>
      </c>
      <c r="C420" s="4" t="s">
        <v>869</v>
      </c>
      <c r="D420" s="4" t="s">
        <v>22</v>
      </c>
      <c r="E420" s="5">
        <f>IFERROR(__xludf.DUMMYFUNCTION("GOOGLEFINANCE(C420,""price"")"),676.55)</f>
        <v>676.55</v>
      </c>
      <c r="F420" s="5">
        <f>IFERROR(__xludf.DUMMYFUNCTION("GOOGLEFINANCE(C420,""change"")"),-0.55)</f>
        <v>-0.55</v>
      </c>
      <c r="G420" s="6">
        <f>IFERROR(__xludf.DUMMYFUNCTION("GOOGLEFINANCE(C420, ""changepct"")/100"),-8.0E-4)</f>
        <v>-0.0008</v>
      </c>
      <c r="H420" s="5">
        <f>IFERROR(__xludf.DUMMYFUNCTION("GOOGLEFINANCE(C420, ""marketcap"")"),1.6231501275E12)</f>
        <v>1623150127500</v>
      </c>
    </row>
    <row r="421">
      <c r="A421" s="4" t="s">
        <v>870</v>
      </c>
      <c r="B421" s="4" t="s">
        <v>288</v>
      </c>
      <c r="C421" s="4" t="s">
        <v>871</v>
      </c>
      <c r="D421" s="4" t="s">
        <v>22</v>
      </c>
      <c r="E421" s="5">
        <f>IFERROR(__xludf.DUMMYFUNCTION("GOOGLEFINANCE(C421,""price"")"),524.0)</f>
        <v>524</v>
      </c>
      <c r="F421" s="5">
        <f>IFERROR(__xludf.DUMMYFUNCTION("GOOGLEFINANCE(C421,""change"")"),9.3)</f>
        <v>9.3</v>
      </c>
      <c r="G421" s="6">
        <f>IFERROR(__xludf.DUMMYFUNCTION("GOOGLEFINANCE(C421, ""changepct"")/100"),0.0181)</f>
        <v>0.0181</v>
      </c>
      <c r="H421" s="5">
        <f>IFERROR(__xludf.DUMMYFUNCTION("GOOGLEFINANCE(C421, ""marketcap"")"),2.06617995351E11)</f>
        <v>206617995351</v>
      </c>
    </row>
    <row r="422">
      <c r="A422" s="4" t="s">
        <v>872</v>
      </c>
      <c r="B422" s="4" t="s">
        <v>82</v>
      </c>
      <c r="C422" s="4" t="s">
        <v>873</v>
      </c>
      <c r="D422" s="4" t="s">
        <v>13</v>
      </c>
      <c r="E422" s="5">
        <f>IFERROR(__xludf.DUMMYFUNCTION("GOOGLEFINANCE(C422,""price"")"),3590.0)</f>
        <v>3590</v>
      </c>
      <c r="F422" s="5">
        <f>IFERROR(__xludf.DUMMYFUNCTION("GOOGLEFINANCE(C422,""change"")"),38.65)</f>
        <v>38.65</v>
      </c>
      <c r="G422" s="6">
        <f>IFERROR(__xludf.DUMMYFUNCTION("GOOGLEFINANCE(C422, ""changepct"")/100"),0.0109)</f>
        <v>0.0109</v>
      </c>
      <c r="H422" s="5">
        <f>IFERROR(__xludf.DUMMYFUNCTION("GOOGLEFINANCE(C422, ""marketcap"")"),7.26616E10)</f>
        <v>72661600000</v>
      </c>
    </row>
    <row r="423">
      <c r="A423" s="4" t="s">
        <v>874</v>
      </c>
      <c r="B423" s="4" t="s">
        <v>29</v>
      </c>
      <c r="C423" s="4" t="s">
        <v>875</v>
      </c>
      <c r="D423" s="4" t="s">
        <v>13</v>
      </c>
      <c r="E423" s="5">
        <f>IFERROR(__xludf.DUMMYFUNCTION("GOOGLEFINANCE(C423,""price"")"),2599.9)</f>
        <v>2599.9</v>
      </c>
      <c r="F423" s="5">
        <f>IFERROR(__xludf.DUMMYFUNCTION("GOOGLEFINANCE(C423,""change"")"),20.6)</f>
        <v>20.6</v>
      </c>
      <c r="G423" s="6">
        <f>IFERROR(__xludf.DUMMYFUNCTION("GOOGLEFINANCE(C423, ""changepct"")/100"),0.008)</f>
        <v>0.008</v>
      </c>
      <c r="H423" s="5">
        <f>IFERROR(__xludf.DUMMYFUNCTION("GOOGLEFINANCE(C423, ""marketcap"")"),2.8645931115E11)</f>
        <v>286459311150</v>
      </c>
    </row>
    <row r="424">
      <c r="A424" s="4" t="s">
        <v>876</v>
      </c>
      <c r="B424" s="4" t="s">
        <v>82</v>
      </c>
      <c r="C424" s="4" t="s">
        <v>877</v>
      </c>
      <c r="D424" s="4" t="s">
        <v>13</v>
      </c>
      <c r="E424" s="5">
        <f>IFERROR(__xludf.DUMMYFUNCTION("GOOGLEFINANCE(C424,""price"")"),849.75)</f>
        <v>849.75</v>
      </c>
      <c r="F424" s="5">
        <f>IFERROR(__xludf.DUMMYFUNCTION("GOOGLEFINANCE(C424,""change"")"),16.3)</f>
        <v>16.3</v>
      </c>
      <c r="G424" s="6">
        <f>IFERROR(__xludf.DUMMYFUNCTION("GOOGLEFINANCE(C424, ""changepct"")/100"),0.0196)</f>
        <v>0.0196</v>
      </c>
      <c r="H424" s="5">
        <f>IFERROR(__xludf.DUMMYFUNCTION("GOOGLEFINANCE(C424, ""marketcap"")"),1.78196320129E11)</f>
        <v>178196320129</v>
      </c>
    </row>
    <row r="425">
      <c r="A425" s="4" t="s">
        <v>878</v>
      </c>
      <c r="B425" s="4" t="s">
        <v>100</v>
      </c>
      <c r="C425" s="4" t="s">
        <v>879</v>
      </c>
      <c r="D425" s="4" t="s">
        <v>13</v>
      </c>
      <c r="E425" s="5">
        <f>IFERROR(__xludf.DUMMYFUNCTION("GOOGLEFINANCE(C425,""price"")"),302.75)</f>
        <v>302.75</v>
      </c>
      <c r="F425" s="5">
        <f>IFERROR(__xludf.DUMMYFUNCTION("GOOGLEFINANCE(C425,""change"")"),2.1)</f>
        <v>2.1</v>
      </c>
      <c r="G425" s="6">
        <f>IFERROR(__xludf.DUMMYFUNCTION("GOOGLEFINANCE(C425, ""changepct"")/100"),0.006999999999999999)</f>
        <v>0.007</v>
      </c>
      <c r="H425" s="5">
        <f>IFERROR(__xludf.DUMMYFUNCTION("GOOGLEFINANCE(C425, ""marketcap"")"),4.43209046E10)</f>
        <v>44320904600</v>
      </c>
    </row>
    <row r="426">
      <c r="A426" s="4" t="s">
        <v>880</v>
      </c>
      <c r="B426" s="4" t="s">
        <v>82</v>
      </c>
      <c r="C426" s="4" t="s">
        <v>881</v>
      </c>
      <c r="D426" s="4" t="s">
        <v>13</v>
      </c>
      <c r="E426" s="5">
        <f>IFERROR(__xludf.DUMMYFUNCTION("GOOGLEFINANCE(C426,""price"")"),301.5)</f>
        <v>301.5</v>
      </c>
      <c r="F426" s="5">
        <f>IFERROR(__xludf.DUMMYFUNCTION("GOOGLEFINANCE(C426,""change"")"),6.3)</f>
        <v>6.3</v>
      </c>
      <c r="G426" s="6">
        <f>IFERROR(__xludf.DUMMYFUNCTION("GOOGLEFINANCE(C426, ""changepct"")/100"),0.0213)</f>
        <v>0.0213</v>
      </c>
      <c r="H426" s="5">
        <f>IFERROR(__xludf.DUMMYFUNCTION("GOOGLEFINANCE(C426, ""marketcap"")"),4.17192786E10)</f>
        <v>41719278600</v>
      </c>
    </row>
    <row r="427">
      <c r="A427" s="4" t="s">
        <v>882</v>
      </c>
      <c r="B427" s="4" t="s">
        <v>15</v>
      </c>
      <c r="C427" s="4" t="s">
        <v>883</v>
      </c>
      <c r="D427" s="4" t="s">
        <v>13</v>
      </c>
      <c r="E427" s="5">
        <f>IFERROR(__xludf.DUMMYFUNCTION("GOOGLEFINANCE(C427,""price"")"),2253.05)</f>
        <v>2253.05</v>
      </c>
      <c r="F427" s="5">
        <f>IFERROR(__xludf.DUMMYFUNCTION("GOOGLEFINANCE(C427,""change"")"),-21.4)</f>
        <v>-21.4</v>
      </c>
      <c r="G427" s="6">
        <f>IFERROR(__xludf.DUMMYFUNCTION("GOOGLEFINANCE(C427, ""changepct"")/100"),-0.009399999999999999)</f>
        <v>-0.0094</v>
      </c>
      <c r="H427" s="5">
        <f>IFERROR(__xludf.DUMMYFUNCTION("GOOGLEFINANCE(C427, ""marketcap"")"),2.86197737942E11)</f>
        <v>286197737942</v>
      </c>
    </row>
    <row r="428">
      <c r="A428" s="4" t="s">
        <v>884</v>
      </c>
      <c r="B428" s="4" t="s">
        <v>35</v>
      </c>
      <c r="C428" s="4" t="s">
        <v>885</v>
      </c>
      <c r="D428" s="4" t="s">
        <v>13</v>
      </c>
      <c r="E428" s="5">
        <f>IFERROR(__xludf.DUMMYFUNCTION("GOOGLEFINANCE(C428,""price"")"),763.0)</f>
        <v>763</v>
      </c>
      <c r="F428" s="5">
        <f>IFERROR(__xludf.DUMMYFUNCTION("GOOGLEFINANCE(C428,""change"")"),15.5)</f>
        <v>15.5</v>
      </c>
      <c r="G428" s="6">
        <f>IFERROR(__xludf.DUMMYFUNCTION("GOOGLEFINANCE(C428, ""changepct"")/100"),0.0207)</f>
        <v>0.0207</v>
      </c>
      <c r="H428" s="5">
        <f>IFERROR(__xludf.DUMMYFUNCTION("GOOGLEFINANCE(C428, ""marketcap"")"),7.173776358E10)</f>
        <v>71737763580</v>
      </c>
    </row>
    <row r="429">
      <c r="A429" s="4" t="s">
        <v>886</v>
      </c>
      <c r="B429" s="4" t="s">
        <v>32</v>
      </c>
      <c r="C429" s="4" t="s">
        <v>887</v>
      </c>
      <c r="D429" s="4" t="s">
        <v>13</v>
      </c>
      <c r="E429" s="5">
        <f>IFERROR(__xludf.DUMMYFUNCTION("GOOGLEFINANCE(C429,""price"")"),485.8)</f>
        <v>485.8</v>
      </c>
      <c r="F429" s="5">
        <f>IFERROR(__xludf.DUMMYFUNCTION("GOOGLEFINANCE(C429,""change"")"),-0.1)</f>
        <v>-0.1</v>
      </c>
      <c r="G429" s="6">
        <f>IFERROR(__xludf.DUMMYFUNCTION("GOOGLEFINANCE(C429, ""changepct"")/100"),-2.0E-4)</f>
        <v>-0.0002</v>
      </c>
      <c r="H429" s="5">
        <f>IFERROR(__xludf.DUMMYFUNCTION("GOOGLEFINANCE(C429, ""marketcap"")"),1.235913075E11)</f>
        <v>123591307500</v>
      </c>
    </row>
    <row r="430">
      <c r="A430" s="4" t="s">
        <v>888</v>
      </c>
      <c r="B430" s="4" t="s">
        <v>15</v>
      </c>
      <c r="C430" s="4" t="s">
        <v>889</v>
      </c>
      <c r="D430" s="4" t="s">
        <v>13</v>
      </c>
      <c r="E430" s="5">
        <f>IFERROR(__xludf.DUMMYFUNCTION("GOOGLEFINANCE(C430,""price"")"),7.25)</f>
        <v>7.25</v>
      </c>
      <c r="F430" s="5">
        <f>IFERROR(__xludf.DUMMYFUNCTION("GOOGLEFINANCE(C430,""change"")"),0.2)</f>
        <v>0.2</v>
      </c>
      <c r="G430" s="6">
        <f>IFERROR(__xludf.DUMMYFUNCTION("GOOGLEFINANCE(C430, ""changepct"")/100"),0.028399999999999998)</f>
        <v>0.0284</v>
      </c>
      <c r="H430" s="5">
        <f>IFERROR(__xludf.DUMMYFUNCTION("GOOGLEFINANCE(C430, ""marketcap"")"),6.4563099686E10)</f>
        <v>64563099686</v>
      </c>
    </row>
    <row r="431">
      <c r="A431" s="4" t="s">
        <v>890</v>
      </c>
      <c r="B431" s="4" t="s">
        <v>79</v>
      </c>
      <c r="C431" s="4" t="s">
        <v>891</v>
      </c>
      <c r="D431" s="4" t="s">
        <v>13</v>
      </c>
      <c r="E431" s="5">
        <f>IFERROR(__xludf.DUMMYFUNCTION("GOOGLEFINANCE(C431,""price"")"),139.45)</f>
        <v>139.45</v>
      </c>
      <c r="F431" s="5">
        <f>IFERROR(__xludf.DUMMYFUNCTION("GOOGLEFINANCE(C431,""change"")"),-1.45)</f>
        <v>-1.45</v>
      </c>
      <c r="G431" s="6">
        <f>IFERROR(__xludf.DUMMYFUNCTION("GOOGLEFINANCE(C431, ""changepct"")/100"),-0.0103)</f>
        <v>-0.0103</v>
      </c>
      <c r="H431" s="5">
        <f>IFERROR(__xludf.DUMMYFUNCTION("GOOGLEFINANCE(C431, ""marketcap"")"),3.4061637904E10)</f>
        <v>34061637904</v>
      </c>
    </row>
    <row r="432">
      <c r="A432" s="4" t="s">
        <v>892</v>
      </c>
      <c r="B432" s="4" t="s">
        <v>11</v>
      </c>
      <c r="C432" s="4" t="s">
        <v>893</v>
      </c>
      <c r="D432" s="4" t="s">
        <v>13</v>
      </c>
      <c r="E432" s="5">
        <f>IFERROR(__xludf.DUMMYFUNCTION("GOOGLEFINANCE(C432,""price"")"),1079.1)</f>
        <v>1079.1</v>
      </c>
      <c r="F432" s="5">
        <f>IFERROR(__xludf.DUMMYFUNCTION("GOOGLEFINANCE(C432,""change"")"),4.15)</f>
        <v>4.15</v>
      </c>
      <c r="G432" s="6">
        <f>IFERROR(__xludf.DUMMYFUNCTION("GOOGLEFINANCE(C432, ""changepct"")/100"),0.0039000000000000003)</f>
        <v>0.0039</v>
      </c>
      <c r="H432" s="5">
        <f>IFERROR(__xludf.DUMMYFUNCTION("GOOGLEFINANCE(C432, ""marketcap"")"),7.5490596992E10)</f>
        <v>75490596992</v>
      </c>
    </row>
    <row r="433">
      <c r="A433" s="4" t="s">
        <v>894</v>
      </c>
      <c r="B433" s="4" t="s">
        <v>91</v>
      </c>
      <c r="C433" s="4" t="s">
        <v>895</v>
      </c>
      <c r="D433" s="4" t="s">
        <v>13</v>
      </c>
      <c r="E433" s="5">
        <f>IFERROR(__xludf.DUMMYFUNCTION("GOOGLEFINANCE(C433,""price"")"),586.85)</f>
        <v>586.85</v>
      </c>
      <c r="F433" s="5">
        <f>IFERROR(__xludf.DUMMYFUNCTION("GOOGLEFINANCE(C433,""change"")"),-0.45)</f>
        <v>-0.45</v>
      </c>
      <c r="G433" s="6">
        <f>IFERROR(__xludf.DUMMYFUNCTION("GOOGLEFINANCE(C433, ""changepct"")/100"),-8.0E-4)</f>
        <v>-0.0008</v>
      </c>
      <c r="H433" s="5">
        <f>IFERROR(__xludf.DUMMYFUNCTION("GOOGLEFINANCE(C433, ""marketcap"")"),2.33618421202E11)</f>
        <v>233618421202</v>
      </c>
    </row>
    <row r="434">
      <c r="A434" s="4" t="s">
        <v>896</v>
      </c>
      <c r="B434" s="4" t="s">
        <v>47</v>
      </c>
      <c r="C434" s="4" t="s">
        <v>897</v>
      </c>
      <c r="D434" s="4" t="s">
        <v>13</v>
      </c>
      <c r="E434" s="5">
        <f>IFERROR(__xludf.DUMMYFUNCTION("GOOGLEFINANCE(C434,""price"")"),1527.25)</f>
        <v>1527.25</v>
      </c>
      <c r="F434" s="5">
        <f>IFERROR(__xludf.DUMMYFUNCTION("GOOGLEFINANCE(C434,""change"")"),4.5)</f>
        <v>4.5</v>
      </c>
      <c r="G434" s="6">
        <f>IFERROR(__xludf.DUMMYFUNCTION("GOOGLEFINANCE(C434, ""changepct"")/100"),0.003)</f>
        <v>0.003</v>
      </c>
      <c r="H434" s="5">
        <f>IFERROR(__xludf.DUMMYFUNCTION("GOOGLEFINANCE(C434, ""marketcap"")"),5.8788007895E10)</f>
        <v>58788007895</v>
      </c>
    </row>
    <row r="435">
      <c r="A435" s="4" t="s">
        <v>898</v>
      </c>
      <c r="B435" s="4" t="s">
        <v>79</v>
      </c>
      <c r="C435" s="4" t="s">
        <v>899</v>
      </c>
      <c r="D435" s="4" t="s">
        <v>13</v>
      </c>
      <c r="E435" s="5">
        <f>IFERROR(__xludf.DUMMYFUNCTION("GOOGLEFINANCE(C435,""price"")"),552.0)</f>
        <v>552</v>
      </c>
      <c r="F435" s="5">
        <f>IFERROR(__xludf.DUMMYFUNCTION("GOOGLEFINANCE(C435,""change"")"),3.15)</f>
        <v>3.15</v>
      </c>
      <c r="G435" s="6">
        <f>IFERROR(__xludf.DUMMYFUNCTION("GOOGLEFINANCE(C435, ""changepct"")/100"),0.005699999999999999)</f>
        <v>0.0057</v>
      </c>
      <c r="H435" s="5">
        <f>IFERROR(__xludf.DUMMYFUNCTION("GOOGLEFINANCE(C435, ""marketcap"")"),3.396042552E10)</f>
        <v>33960425520</v>
      </c>
    </row>
    <row r="436">
      <c r="A436" s="4" t="s">
        <v>900</v>
      </c>
      <c r="B436" s="4" t="s">
        <v>11</v>
      </c>
      <c r="C436" s="4" t="s">
        <v>901</v>
      </c>
      <c r="D436" s="4" t="s">
        <v>13</v>
      </c>
      <c r="E436" s="5">
        <f>IFERROR(__xludf.DUMMYFUNCTION("GOOGLEFINANCE(C436,""price"")"),8851.3)</f>
        <v>8851.3</v>
      </c>
      <c r="F436" s="5">
        <f>IFERROR(__xludf.DUMMYFUNCTION("GOOGLEFINANCE(C436,""change"")"),-4.4)</f>
        <v>-4.4</v>
      </c>
      <c r="G436" s="6">
        <f>IFERROR(__xludf.DUMMYFUNCTION("GOOGLEFINANCE(C436, ""changepct"")/100"),-5.0E-4)</f>
        <v>-0.0005</v>
      </c>
      <c r="H436" s="5">
        <f>IFERROR(__xludf.DUMMYFUNCTION("GOOGLEFINANCE(C436, ""marketcap"")"),1.22691318599E11)</f>
        <v>122691318599</v>
      </c>
    </row>
    <row r="437">
      <c r="A437" s="4" t="s">
        <v>902</v>
      </c>
      <c r="B437" s="4" t="s">
        <v>288</v>
      </c>
      <c r="C437" s="4" t="s">
        <v>903</v>
      </c>
      <c r="D437" s="4" t="s">
        <v>13</v>
      </c>
      <c r="E437" s="5">
        <f>IFERROR(__xludf.DUMMYFUNCTION("GOOGLEFINANCE(C437,""price"")"),46.3)</f>
        <v>46.3</v>
      </c>
      <c r="F437" s="5">
        <f>IFERROR(__xludf.DUMMYFUNCTION("GOOGLEFINANCE(C437,""change"")"),0.6)</f>
        <v>0.6</v>
      </c>
      <c r="G437" s="6">
        <f>IFERROR(__xludf.DUMMYFUNCTION("GOOGLEFINANCE(C437, ""changepct"")/100"),0.0131)</f>
        <v>0.0131</v>
      </c>
      <c r="H437" s="5">
        <f>IFERROR(__xludf.DUMMYFUNCTION("GOOGLEFINANCE(C437, ""marketcap"")"),7.9374866692E10)</f>
        <v>79374866692</v>
      </c>
    </row>
    <row r="438">
      <c r="A438" s="4" t="s">
        <v>904</v>
      </c>
      <c r="B438" s="4" t="s">
        <v>82</v>
      </c>
      <c r="C438" s="4" t="s">
        <v>905</v>
      </c>
      <c r="D438" s="4" t="s">
        <v>22</v>
      </c>
      <c r="E438" s="5">
        <f>IFERROR(__xludf.DUMMYFUNCTION("GOOGLEFINANCE(C438,""price"")"),628.05)</f>
        <v>628.05</v>
      </c>
      <c r="F438" s="5">
        <f>IFERROR(__xludf.DUMMYFUNCTION("GOOGLEFINANCE(C438,""change"")"),-1.35)</f>
        <v>-1.35</v>
      </c>
      <c r="G438" s="6">
        <f>IFERROR(__xludf.DUMMYFUNCTION("GOOGLEFINANCE(C438, ""changepct"")/100"),-0.0021)</f>
        <v>-0.0021</v>
      </c>
      <c r="H438" s="5">
        <f>IFERROR(__xludf.DUMMYFUNCTION("GOOGLEFINANCE(C438, ""marketcap"")"),2.9837838455E11)</f>
        <v>298378384550</v>
      </c>
    </row>
    <row r="439">
      <c r="A439" s="4" t="s">
        <v>906</v>
      </c>
      <c r="B439" s="4" t="s">
        <v>64</v>
      </c>
      <c r="C439" s="4" t="s">
        <v>907</v>
      </c>
      <c r="D439" s="4" t="s">
        <v>13</v>
      </c>
      <c r="E439" s="5">
        <f>IFERROR(__xludf.DUMMYFUNCTION("GOOGLEFINANCE(C439,""price"")"),811.75)</f>
        <v>811.75</v>
      </c>
      <c r="F439" s="5">
        <f>IFERROR(__xludf.DUMMYFUNCTION("GOOGLEFINANCE(C439,""change"")"),-0.45)</f>
        <v>-0.45</v>
      </c>
      <c r="G439" s="6">
        <f>IFERROR(__xludf.DUMMYFUNCTION("GOOGLEFINANCE(C439, ""changepct"")/100"),-6.0E-4)</f>
        <v>-0.0006</v>
      </c>
      <c r="H439" s="5">
        <f>IFERROR(__xludf.DUMMYFUNCTION("GOOGLEFINANCE(C439, ""marketcap"")"),1.09730588458E11)</f>
        <v>109730588458</v>
      </c>
    </row>
    <row r="440">
      <c r="A440" s="4" t="s">
        <v>908</v>
      </c>
      <c r="B440" s="4" t="s">
        <v>11</v>
      </c>
      <c r="C440" s="4" t="s">
        <v>909</v>
      </c>
      <c r="D440" s="4" t="s">
        <v>13</v>
      </c>
      <c r="E440" s="5">
        <f>IFERROR(__xludf.DUMMYFUNCTION("GOOGLEFINANCE(C440,""price"")"),15342.35)</f>
        <v>15342.35</v>
      </c>
      <c r="F440" s="5">
        <f>IFERROR(__xludf.DUMMYFUNCTION("GOOGLEFINANCE(C440,""change"")"),38.8)</f>
        <v>38.8</v>
      </c>
      <c r="G440" s="6">
        <f>IFERROR(__xludf.DUMMYFUNCTION("GOOGLEFINANCE(C440, ""changepct"")/100"),0.0025)</f>
        <v>0.0025</v>
      </c>
      <c r="H440" s="5">
        <f>IFERROR(__xludf.DUMMYFUNCTION("GOOGLEFINANCE(C440, ""marketcap"")"),3.9368469097E10)</f>
        <v>39368469097</v>
      </c>
    </row>
    <row r="441">
      <c r="A441" s="4" t="s">
        <v>910</v>
      </c>
      <c r="B441" s="4" t="s">
        <v>35</v>
      </c>
      <c r="C441" s="4" t="s">
        <v>911</v>
      </c>
      <c r="D441" s="4" t="s">
        <v>22</v>
      </c>
      <c r="E441" s="5">
        <f>IFERROR(__xludf.DUMMYFUNCTION("GOOGLEFINANCE(C441,""price"")"),751.2)</f>
        <v>751.2</v>
      </c>
      <c r="F441" s="5">
        <f>IFERROR(__xludf.DUMMYFUNCTION("GOOGLEFINANCE(C441,""change"")"),12.9)</f>
        <v>12.9</v>
      </c>
      <c r="G441" s="6">
        <f>IFERROR(__xludf.DUMMYFUNCTION("GOOGLEFINANCE(C441, ""changepct"")/100"),0.0175)</f>
        <v>0.0175</v>
      </c>
      <c r="H441" s="5">
        <f>IFERROR(__xludf.DUMMYFUNCTION("GOOGLEFINANCE(C441, ""marketcap"")"),1.91372935669E11)</f>
        <v>191372935669</v>
      </c>
    </row>
    <row r="442">
      <c r="A442" s="4" t="s">
        <v>912</v>
      </c>
      <c r="B442" s="4" t="s">
        <v>11</v>
      </c>
      <c r="C442" s="4" t="s">
        <v>913</v>
      </c>
      <c r="D442" s="4" t="s">
        <v>13</v>
      </c>
      <c r="E442" s="5">
        <f>IFERROR(__xludf.DUMMYFUNCTION("GOOGLEFINANCE(C442,""price"")"),183.9)</f>
        <v>183.9</v>
      </c>
      <c r="F442" s="5">
        <f>IFERROR(__xludf.DUMMYFUNCTION("GOOGLEFINANCE(C442,""change"")"),-0.75)</f>
        <v>-0.75</v>
      </c>
      <c r="G442" s="6">
        <f>IFERROR(__xludf.DUMMYFUNCTION("GOOGLEFINANCE(C442, ""changepct"")/100"),-0.0040999999999999995)</f>
        <v>-0.0041</v>
      </c>
      <c r="H442" s="5">
        <f>IFERROR(__xludf.DUMMYFUNCTION("GOOGLEFINANCE(C442, ""marketcap"")"),3.4300364455E10)</f>
        <v>34300364455</v>
      </c>
    </row>
    <row r="443">
      <c r="A443" s="4" t="s">
        <v>914</v>
      </c>
      <c r="B443" s="4" t="s">
        <v>174</v>
      </c>
      <c r="C443" s="4" t="s">
        <v>915</v>
      </c>
      <c r="D443" s="4" t="s">
        <v>13</v>
      </c>
      <c r="E443" s="5">
        <f>IFERROR(__xludf.DUMMYFUNCTION("GOOGLEFINANCE(C443,""price"")"),1328.75)</f>
        <v>1328.75</v>
      </c>
      <c r="F443" s="5">
        <f>IFERROR(__xludf.DUMMYFUNCTION("GOOGLEFINANCE(C443,""change"")"),-7.95)</f>
        <v>-7.95</v>
      </c>
      <c r="G443" s="6">
        <f>IFERROR(__xludf.DUMMYFUNCTION("GOOGLEFINANCE(C443, ""changepct"")/100"),-0.0059)</f>
        <v>-0.0059</v>
      </c>
      <c r="H443" s="5">
        <f>IFERROR(__xludf.DUMMYFUNCTION("GOOGLEFINANCE(C443, ""marketcap"")"),3.7869375E11)</f>
        <v>378693750000</v>
      </c>
    </row>
    <row r="444">
      <c r="A444" s="4" t="s">
        <v>916</v>
      </c>
      <c r="B444" s="4" t="s">
        <v>64</v>
      </c>
      <c r="C444" s="4" t="s">
        <v>917</v>
      </c>
      <c r="D444" s="4" t="s">
        <v>22</v>
      </c>
      <c r="E444" s="5">
        <f>IFERROR(__xludf.DUMMYFUNCTION("GOOGLEFINANCE(C444,""price"")"),3274.25)</f>
        <v>3274.25</v>
      </c>
      <c r="F444" s="5">
        <f>IFERROR(__xludf.DUMMYFUNCTION("GOOGLEFINANCE(C444,""change"")"),-2.1)</f>
        <v>-2.1</v>
      </c>
      <c r="G444" s="6">
        <f>IFERROR(__xludf.DUMMYFUNCTION("GOOGLEFINANCE(C444, ""changepct"")/100"),-6.0E-4)</f>
        <v>-0.0006</v>
      </c>
      <c r="H444" s="5">
        <f>IFERROR(__xludf.DUMMYFUNCTION("GOOGLEFINANCE(C444, ""marketcap"")"),1.2111059966235E13)</f>
        <v>12111059966235</v>
      </c>
    </row>
    <row r="445">
      <c r="A445" s="4" t="s">
        <v>918</v>
      </c>
      <c r="B445" s="4" t="s">
        <v>11</v>
      </c>
      <c r="C445" s="4" t="s">
        <v>919</v>
      </c>
      <c r="D445" s="4" t="s">
        <v>22</v>
      </c>
      <c r="E445" s="5">
        <f>IFERROR(__xludf.DUMMYFUNCTION("GOOGLEFINANCE(C445,""price"")"),719.85)</f>
        <v>719.85</v>
      </c>
      <c r="F445" s="5">
        <f>IFERROR(__xludf.DUMMYFUNCTION("GOOGLEFINANCE(C445,""change"")"),5.1)</f>
        <v>5.1</v>
      </c>
      <c r="G445" s="6">
        <f>IFERROR(__xludf.DUMMYFUNCTION("GOOGLEFINANCE(C445, ""changepct"")/100"),0.0070999999999999995)</f>
        <v>0.0071</v>
      </c>
      <c r="H445" s="5">
        <f>IFERROR(__xludf.DUMMYFUNCTION("GOOGLEFINANCE(C445, ""marketcap"")"),6.63378968746E11)</f>
        <v>663378968746</v>
      </c>
    </row>
    <row r="446">
      <c r="A446" s="4" t="s">
        <v>920</v>
      </c>
      <c r="B446" s="4" t="s">
        <v>64</v>
      </c>
      <c r="C446" s="4" t="s">
        <v>921</v>
      </c>
      <c r="D446" s="4" t="s">
        <v>13</v>
      </c>
      <c r="E446" s="5">
        <f>IFERROR(__xludf.DUMMYFUNCTION("GOOGLEFINANCE(C446,""price"")"),3798.45)</f>
        <v>3798.45</v>
      </c>
      <c r="F446" s="5">
        <f>IFERROR(__xludf.DUMMYFUNCTION("GOOGLEFINANCE(C446,""change"")"),-11.15)</f>
        <v>-11.15</v>
      </c>
      <c r="G446" s="6">
        <f>IFERROR(__xludf.DUMMYFUNCTION("GOOGLEFINANCE(C446, ""changepct"")/100"),-0.0029)</f>
        <v>-0.0029</v>
      </c>
      <c r="H446" s="5">
        <f>IFERROR(__xludf.DUMMYFUNCTION("GOOGLEFINANCE(C446, ""marketcap"")"),2.36606843539E11)</f>
        <v>236606843539</v>
      </c>
    </row>
    <row r="447">
      <c r="A447" s="4" t="s">
        <v>922</v>
      </c>
      <c r="B447" s="4" t="s">
        <v>29</v>
      </c>
      <c r="C447" s="4" t="s">
        <v>923</v>
      </c>
      <c r="D447" s="4" t="s">
        <v>13</v>
      </c>
      <c r="E447" s="5">
        <f>IFERROR(__xludf.DUMMYFUNCTION("GOOGLEFINANCE(C447,""price"")"),1185.0)</f>
        <v>1185</v>
      </c>
      <c r="F447" s="5">
        <f>IFERROR(__xludf.DUMMYFUNCTION("GOOGLEFINANCE(C447,""change"")"),8.0)</f>
        <v>8</v>
      </c>
      <c r="G447" s="6">
        <f>IFERROR(__xludf.DUMMYFUNCTION("GOOGLEFINANCE(C447, ""changepct"")/100"),0.0068000000000000005)</f>
        <v>0.0068</v>
      </c>
      <c r="H447" s="5">
        <f>IFERROR(__xludf.DUMMYFUNCTION("GOOGLEFINANCE(C447, ""marketcap"")"),5.995541865E10)</f>
        <v>59955418650</v>
      </c>
    </row>
    <row r="448">
      <c r="A448" s="4" t="s">
        <v>924</v>
      </c>
      <c r="B448" s="4" t="s">
        <v>82</v>
      </c>
      <c r="C448" s="4" t="s">
        <v>925</v>
      </c>
      <c r="D448" s="4" t="s">
        <v>13</v>
      </c>
      <c r="E448" s="5">
        <f>IFERROR(__xludf.DUMMYFUNCTION("GOOGLEFINANCE(C448,""price"")"),167.35)</f>
        <v>167.35</v>
      </c>
      <c r="F448" s="5">
        <f>IFERROR(__xludf.DUMMYFUNCTION("GOOGLEFINANCE(C448,""change"")"),1.45)</f>
        <v>1.45</v>
      </c>
      <c r="G448" s="6">
        <f>IFERROR(__xludf.DUMMYFUNCTION("GOOGLEFINANCE(C448, ""changepct"")/100"),0.0087)</f>
        <v>0.0087</v>
      </c>
      <c r="H448" s="5">
        <f>IFERROR(__xludf.DUMMYFUNCTION("GOOGLEFINANCE(C448, ""marketcap"")"),1.264011514495E12)</f>
        <v>1264011514495</v>
      </c>
    </row>
    <row r="449">
      <c r="A449" s="4" t="s">
        <v>926</v>
      </c>
      <c r="B449" s="4" t="s">
        <v>82</v>
      </c>
      <c r="C449" s="4" t="s">
        <v>927</v>
      </c>
      <c r="D449" s="4" t="s">
        <v>22</v>
      </c>
      <c r="E449" s="5">
        <f>IFERROR(__xludf.DUMMYFUNCTION("GOOGLEFINANCE(C449,""price"")"),356.0)</f>
        <v>356</v>
      </c>
      <c r="F449" s="5">
        <f>IFERROR(__xludf.DUMMYFUNCTION("GOOGLEFINANCE(C449,""change"")"),0.05)</f>
        <v>0.05</v>
      </c>
      <c r="G449" s="6">
        <f>IFERROR(__xludf.DUMMYFUNCTION("GOOGLEFINANCE(C449, ""changepct"")/100"),1.0E-4)</f>
        <v>0.0001</v>
      </c>
      <c r="H449" s="5">
        <f>IFERROR(__xludf.DUMMYFUNCTION("GOOGLEFINANCE(C449, ""marketcap"")"),1.265077847504E12)</f>
        <v>1265077847504</v>
      </c>
    </row>
    <row r="450">
      <c r="A450" s="4" t="s">
        <v>928</v>
      </c>
      <c r="B450" s="4" t="s">
        <v>44</v>
      </c>
      <c r="C450" s="4" t="s">
        <v>929</v>
      </c>
      <c r="D450" s="4" t="s">
        <v>22</v>
      </c>
      <c r="E450" s="5">
        <f>IFERROR(__xludf.DUMMYFUNCTION("GOOGLEFINANCE(C450,""price"")"),123.1)</f>
        <v>123.1</v>
      </c>
      <c r="F450" s="5">
        <f>IFERROR(__xludf.DUMMYFUNCTION("GOOGLEFINANCE(C450,""change"")"),-0.3)</f>
        <v>-0.3</v>
      </c>
      <c r="G450" s="6">
        <f>IFERROR(__xludf.DUMMYFUNCTION("GOOGLEFINANCE(C450, ""changepct"")/100"),-0.0024)</f>
        <v>-0.0024</v>
      </c>
      <c r="H450" s="5">
        <f>IFERROR(__xludf.DUMMYFUNCTION("GOOGLEFINANCE(C450, ""marketcap"")"),3.93346226024E11)</f>
        <v>393346226024</v>
      </c>
    </row>
    <row r="451">
      <c r="A451" s="4" t="s">
        <v>930</v>
      </c>
      <c r="B451" s="4" t="s">
        <v>26</v>
      </c>
      <c r="C451" s="4" t="s">
        <v>931</v>
      </c>
      <c r="D451" s="4" t="s">
        <v>22</v>
      </c>
      <c r="E451" s="5">
        <f>IFERROR(__xludf.DUMMYFUNCTION("GOOGLEFINANCE(C451,""price"")"),1180.35)</f>
        <v>1180.35</v>
      </c>
      <c r="F451" s="5">
        <f>IFERROR(__xludf.DUMMYFUNCTION("GOOGLEFINANCE(C451,""change"")"),15.55)</f>
        <v>15.55</v>
      </c>
      <c r="G451" s="6">
        <f>IFERROR(__xludf.DUMMYFUNCTION("GOOGLEFINANCE(C451, ""changepct"")/100"),0.013300000000000001)</f>
        <v>0.0133</v>
      </c>
      <c r="H451" s="5">
        <f>IFERROR(__xludf.DUMMYFUNCTION("GOOGLEFINANCE(C451, ""marketcap"")"),1.418744264692E12)</f>
        <v>1418744264692</v>
      </c>
    </row>
    <row r="452">
      <c r="A452" s="4" t="s">
        <v>932</v>
      </c>
      <c r="B452" s="4" t="s">
        <v>47</v>
      </c>
      <c r="C452" s="4" t="s">
        <v>933</v>
      </c>
      <c r="D452" s="4" t="s">
        <v>13</v>
      </c>
      <c r="E452" s="5">
        <f>IFERROR(__xludf.DUMMYFUNCTION("GOOGLEFINANCE(C452,""price"")"),3593.0)</f>
        <v>3593</v>
      </c>
      <c r="F452" s="5">
        <f>IFERROR(__xludf.DUMMYFUNCTION("GOOGLEFINANCE(C452,""change"")"),-17.55)</f>
        <v>-17.55</v>
      </c>
      <c r="G452" s="6">
        <f>IFERROR(__xludf.DUMMYFUNCTION("GOOGLEFINANCE(C452, ""changepct"")/100"),-0.0049)</f>
        <v>-0.0049</v>
      </c>
      <c r="H452" s="5">
        <f>IFERROR(__xludf.DUMMYFUNCTION("GOOGLEFINANCE(C452, ""marketcap"")"),6.136344573E10)</f>
        <v>61363445730</v>
      </c>
    </row>
    <row r="453">
      <c r="A453" s="4" t="s">
        <v>934</v>
      </c>
      <c r="B453" s="4" t="s">
        <v>64</v>
      </c>
      <c r="C453" s="4" t="s">
        <v>935</v>
      </c>
      <c r="D453" s="4" t="s">
        <v>22</v>
      </c>
      <c r="E453" s="5">
        <f>IFERROR(__xludf.DUMMYFUNCTION("GOOGLEFINANCE(C453,""price"")"),1078.45)</f>
        <v>1078.45</v>
      </c>
      <c r="F453" s="5">
        <f>IFERROR(__xludf.DUMMYFUNCTION("GOOGLEFINANCE(C453,""change"")"),9.2)</f>
        <v>9.2</v>
      </c>
      <c r="G453" s="6">
        <f>IFERROR(__xludf.DUMMYFUNCTION("GOOGLEFINANCE(C453, ""changepct"")/100"),0.0086)</f>
        <v>0.0086</v>
      </c>
      <c r="H453" s="5">
        <f>IFERROR(__xludf.DUMMYFUNCTION("GOOGLEFINANCE(C453, ""marketcap"")"),1.044755615812E12)</f>
        <v>1044755615812</v>
      </c>
    </row>
    <row r="454">
      <c r="A454" s="4" t="s">
        <v>936</v>
      </c>
      <c r="B454" s="4" t="s">
        <v>29</v>
      </c>
      <c r="C454" s="4" t="s">
        <v>937</v>
      </c>
      <c r="D454" s="4" t="s">
        <v>13</v>
      </c>
      <c r="E454" s="5">
        <f>IFERROR(__xludf.DUMMYFUNCTION("GOOGLEFINANCE(C454,""price"")"),167.45)</f>
        <v>167.45</v>
      </c>
      <c r="F454" s="5">
        <f>IFERROR(__xludf.DUMMYFUNCTION("GOOGLEFINANCE(C454,""change"")"),0.6)</f>
        <v>0.6</v>
      </c>
      <c r="G454" s="6">
        <f>IFERROR(__xludf.DUMMYFUNCTION("GOOGLEFINANCE(C454, ""changepct"")/100"),0.0036)</f>
        <v>0.0036</v>
      </c>
      <c r="H454" s="5">
        <f>IFERROR(__xludf.DUMMYFUNCTION("GOOGLEFINANCE(C454, ""marketcap"")"),2.75875189941E11)</f>
        <v>275875189941</v>
      </c>
    </row>
    <row r="455">
      <c r="A455" s="4" t="s">
        <v>938</v>
      </c>
      <c r="B455" s="4" t="s">
        <v>20</v>
      </c>
      <c r="C455" s="4" t="s">
        <v>939</v>
      </c>
      <c r="D455" s="4" t="s">
        <v>22</v>
      </c>
      <c r="E455" s="5">
        <f>IFERROR(__xludf.DUMMYFUNCTION("GOOGLEFINANCE(C455,""price"")"),1020.0)</f>
        <v>1020</v>
      </c>
      <c r="F455" s="5">
        <f>IFERROR(__xludf.DUMMYFUNCTION("GOOGLEFINANCE(C455,""change"")"),26.9)</f>
        <v>26.9</v>
      </c>
      <c r="G455" s="6">
        <f>IFERROR(__xludf.DUMMYFUNCTION("GOOGLEFINANCE(C455, ""changepct"")/100"),0.0271)</f>
        <v>0.0271</v>
      </c>
      <c r="H455" s="5">
        <f>IFERROR(__xludf.DUMMYFUNCTION("GOOGLEFINANCE(C455, ""marketcap"")"),2.4072564295E11)</f>
        <v>240725642950</v>
      </c>
    </row>
    <row r="456">
      <c r="A456" s="4" t="s">
        <v>940</v>
      </c>
      <c r="B456" s="4" t="s">
        <v>15</v>
      </c>
      <c r="C456" s="4" t="s">
        <v>941</v>
      </c>
      <c r="D456" s="4" t="s">
        <v>13</v>
      </c>
      <c r="E456" s="5">
        <f>IFERROR(__xludf.DUMMYFUNCTION("GOOGLEFINANCE(C456,""price"")"),1508.0)</f>
        <v>1508</v>
      </c>
      <c r="F456" s="5">
        <f>IFERROR(__xludf.DUMMYFUNCTION("GOOGLEFINANCE(C456,""change"")"),21.0)</f>
        <v>21</v>
      </c>
      <c r="G456" s="6">
        <f>IFERROR(__xludf.DUMMYFUNCTION("GOOGLEFINANCE(C456, ""changepct"")/100"),0.0141)</f>
        <v>0.0141</v>
      </c>
      <c r="H456" s="5">
        <f>IFERROR(__xludf.DUMMYFUNCTION("GOOGLEFINANCE(C456, ""marketcap"")"),1.698794258E11)</f>
        <v>169879425800</v>
      </c>
    </row>
    <row r="457">
      <c r="A457" s="4" t="s">
        <v>942</v>
      </c>
      <c r="B457" s="4" t="s">
        <v>91</v>
      </c>
      <c r="C457" s="4" t="s">
        <v>943</v>
      </c>
      <c r="D457" s="4" t="s">
        <v>13</v>
      </c>
      <c r="E457" s="5">
        <f>IFERROR(__xludf.DUMMYFUNCTION("GOOGLEFINANCE(C457,""price"")"),1247.5)</f>
        <v>1247.5</v>
      </c>
      <c r="F457" s="5">
        <f>IFERROR(__xludf.DUMMYFUNCTION("GOOGLEFINANCE(C457,""change"")"),21.0)</f>
        <v>21</v>
      </c>
      <c r="G457" s="6">
        <f>IFERROR(__xludf.DUMMYFUNCTION("GOOGLEFINANCE(C457, ""changepct"")/100"),0.0171)</f>
        <v>0.0171</v>
      </c>
      <c r="H457" s="5">
        <f>IFERROR(__xludf.DUMMYFUNCTION("GOOGLEFINANCE(C457, ""marketcap"")"),6.585198299E10)</f>
        <v>65851982990</v>
      </c>
    </row>
    <row r="458">
      <c r="A458" s="4" t="s">
        <v>944</v>
      </c>
      <c r="B458" s="4" t="s">
        <v>15</v>
      </c>
      <c r="C458" s="4" t="s">
        <v>945</v>
      </c>
      <c r="D458" s="4" t="s">
        <v>13</v>
      </c>
      <c r="E458" s="5">
        <f>IFERROR(__xludf.DUMMYFUNCTION("GOOGLEFINANCE(C458,""price"")"),1388.4)</f>
        <v>1388.4</v>
      </c>
      <c r="F458" s="5">
        <f>IFERROR(__xludf.DUMMYFUNCTION("GOOGLEFINANCE(C458,""change"")"),6.4)</f>
        <v>6.4</v>
      </c>
      <c r="G458" s="6">
        <f>IFERROR(__xludf.DUMMYFUNCTION("GOOGLEFINANCE(C458, ""changepct"")/100"),0.0046)</f>
        <v>0.0046</v>
      </c>
      <c r="H458" s="5">
        <f>IFERROR(__xludf.DUMMYFUNCTION("GOOGLEFINANCE(C458, ""marketcap"")"),1.044713376E11)</f>
        <v>104471337600</v>
      </c>
    </row>
    <row r="459">
      <c r="A459" s="4" t="s">
        <v>946</v>
      </c>
      <c r="B459" s="4" t="s">
        <v>11</v>
      </c>
      <c r="C459" s="4" t="s">
        <v>947</v>
      </c>
      <c r="D459" s="4" t="s">
        <v>22</v>
      </c>
      <c r="E459" s="5">
        <f>IFERROR(__xludf.DUMMYFUNCTION("GOOGLEFINANCE(C459,""price"")"),1732.1)</f>
        <v>1732.1</v>
      </c>
      <c r="F459" s="5">
        <f>IFERROR(__xludf.DUMMYFUNCTION("GOOGLEFINANCE(C459,""change"")"),-2.7)</f>
        <v>-2.7</v>
      </c>
      <c r="G459" s="6">
        <f>IFERROR(__xludf.DUMMYFUNCTION("GOOGLEFINANCE(C459, ""changepct"")/100"),-0.0016)</f>
        <v>-0.0016</v>
      </c>
      <c r="H459" s="5">
        <f>IFERROR(__xludf.DUMMYFUNCTION("GOOGLEFINANCE(C459, ""marketcap"")"),1.538622068235E12)</f>
        <v>1538622068235</v>
      </c>
    </row>
    <row r="460">
      <c r="A460" s="4" t="s">
        <v>948</v>
      </c>
      <c r="B460" s="4" t="s">
        <v>32</v>
      </c>
      <c r="C460" s="4" t="s">
        <v>949</v>
      </c>
      <c r="D460" s="4" t="s">
        <v>22</v>
      </c>
      <c r="E460" s="5">
        <f>IFERROR(__xludf.DUMMYFUNCTION("GOOGLEFINANCE(C460,""price"")"),2964.0)</f>
        <v>2964</v>
      </c>
      <c r="F460" s="5">
        <f>IFERROR(__xludf.DUMMYFUNCTION("GOOGLEFINANCE(C460,""change"")"),-15.75)</f>
        <v>-15.75</v>
      </c>
      <c r="G460" s="6">
        <f>IFERROR(__xludf.DUMMYFUNCTION("GOOGLEFINANCE(C460, ""changepct"")/100"),-0.0053)</f>
        <v>-0.0053</v>
      </c>
      <c r="H460" s="5">
        <f>IFERROR(__xludf.DUMMYFUNCTION("GOOGLEFINANCE(C460, ""marketcap"")"),5.01271473677E11)</f>
        <v>501271473677</v>
      </c>
    </row>
    <row r="461">
      <c r="A461" s="4" t="s">
        <v>950</v>
      </c>
      <c r="B461" s="4" t="s">
        <v>44</v>
      </c>
      <c r="C461" s="4" t="s">
        <v>951</v>
      </c>
      <c r="D461" s="4" t="s">
        <v>22</v>
      </c>
      <c r="E461" s="5">
        <f>IFERROR(__xludf.DUMMYFUNCTION("GOOGLEFINANCE(C461,""price"")"),462.0)</f>
        <v>462</v>
      </c>
      <c r="F461" s="5">
        <f>IFERROR(__xludf.DUMMYFUNCTION("GOOGLEFINANCE(C461,""change"")"),3.2)</f>
        <v>3.2</v>
      </c>
      <c r="G461" s="6">
        <f>IFERROR(__xludf.DUMMYFUNCTION("GOOGLEFINANCE(C461, ""changepct"")/100"),0.006999999999999999)</f>
        <v>0.007</v>
      </c>
      <c r="H461" s="5">
        <f>IFERROR(__xludf.DUMMYFUNCTION("GOOGLEFINANCE(C461, ""marketcap"")"),2.2228527E11)</f>
        <v>222285270000</v>
      </c>
    </row>
    <row r="462">
      <c r="A462" s="4" t="s">
        <v>952</v>
      </c>
      <c r="B462" s="4" t="s">
        <v>57</v>
      </c>
      <c r="C462" s="4" t="s">
        <v>953</v>
      </c>
      <c r="D462" s="4" t="s">
        <v>22</v>
      </c>
      <c r="E462" s="5">
        <f>IFERROR(__xludf.DUMMYFUNCTION("GOOGLEFINANCE(C462,""price"")"),861.25)</f>
        <v>861.25</v>
      </c>
      <c r="F462" s="5">
        <f>IFERROR(__xludf.DUMMYFUNCTION("GOOGLEFINANCE(C462,""change"")"),-6.3)</f>
        <v>-6.3</v>
      </c>
      <c r="G462" s="6">
        <f>IFERROR(__xludf.DUMMYFUNCTION("GOOGLEFINANCE(C462, ""changepct"")/100"),-0.0073)</f>
        <v>-0.0073</v>
      </c>
      <c r="H462" s="5">
        <f>IFERROR(__xludf.DUMMYFUNCTION("GOOGLEFINANCE(C462, ""marketcap"")"),3.062523951E11)</f>
        <v>306252395100</v>
      </c>
    </row>
    <row r="463">
      <c r="A463" s="4" t="s">
        <v>954</v>
      </c>
      <c r="B463" s="4" t="s">
        <v>79</v>
      </c>
      <c r="C463" s="4" t="s">
        <v>955</v>
      </c>
      <c r="D463" s="4" t="s">
        <v>13</v>
      </c>
      <c r="E463" s="5">
        <f>IFERROR(__xludf.DUMMYFUNCTION("GOOGLEFINANCE(C463,""price"")"),16.7)</f>
        <v>16.7</v>
      </c>
      <c r="F463" s="5">
        <f>IFERROR(__xludf.DUMMYFUNCTION("GOOGLEFINANCE(C463,""change"")"),-0.1)</f>
        <v>-0.1</v>
      </c>
      <c r="G463" s="6">
        <f>IFERROR(__xludf.DUMMYFUNCTION("GOOGLEFINANCE(C463, ""changepct"")/100"),-0.006)</f>
        <v>-0.006</v>
      </c>
      <c r="H463" s="5">
        <f>IFERROR(__xludf.DUMMYFUNCTION("GOOGLEFINANCE(C463, ""marketcap"")"),8.4847648806E10)</f>
        <v>84847648806</v>
      </c>
    </row>
    <row r="464">
      <c r="A464" s="4" t="s">
        <v>956</v>
      </c>
      <c r="B464" s="4" t="s">
        <v>15</v>
      </c>
      <c r="C464" s="4" t="s">
        <v>957</v>
      </c>
      <c r="D464" s="4" t="s">
        <v>13</v>
      </c>
      <c r="E464" s="5">
        <f>IFERROR(__xludf.DUMMYFUNCTION("GOOGLEFINANCE(C464,""price"")"),120.35)</f>
        <v>120.35</v>
      </c>
      <c r="F464" s="5">
        <f>IFERROR(__xludf.DUMMYFUNCTION("GOOGLEFINANCE(C464,""change"")"),5.65)</f>
        <v>5.65</v>
      </c>
      <c r="G464" s="6">
        <f>IFERROR(__xludf.DUMMYFUNCTION("GOOGLEFINANCE(C464, ""changepct"")/100"),0.0493)</f>
        <v>0.0493</v>
      </c>
      <c r="H464" s="5">
        <f>IFERROR(__xludf.DUMMYFUNCTION("GOOGLEFINANCE(C464, ""marketcap"")"),3.8909804396E10)</f>
        <v>38909804396</v>
      </c>
    </row>
    <row r="465">
      <c r="A465" s="4" t="s">
        <v>958</v>
      </c>
      <c r="B465" s="4" t="s">
        <v>82</v>
      </c>
      <c r="C465" s="4" t="s">
        <v>959</v>
      </c>
      <c r="D465" s="4" t="s">
        <v>13</v>
      </c>
      <c r="E465" s="5">
        <f>IFERROR(__xludf.DUMMYFUNCTION("GOOGLEFINANCE(C465,""price"")"),1334.8)</f>
        <v>1334.8</v>
      </c>
      <c r="F465" s="5">
        <f>IFERROR(__xludf.DUMMYFUNCTION("GOOGLEFINANCE(C465,""change"")"),5.0)</f>
        <v>5</v>
      </c>
      <c r="G465" s="6">
        <f>IFERROR(__xludf.DUMMYFUNCTION("GOOGLEFINANCE(C465, ""changepct"")/100"),0.0038)</f>
        <v>0.0038</v>
      </c>
      <c r="H465" s="5">
        <f>IFERROR(__xludf.DUMMYFUNCTION("GOOGLEFINANCE(C465, ""marketcap"")"),2.57087982055E11)</f>
        <v>257087982055</v>
      </c>
    </row>
    <row r="466">
      <c r="A466" s="4" t="s">
        <v>960</v>
      </c>
      <c r="B466" s="4" t="s">
        <v>29</v>
      </c>
      <c r="C466" s="4" t="s">
        <v>961</v>
      </c>
      <c r="D466" s="4" t="s">
        <v>13</v>
      </c>
      <c r="E466" s="5">
        <f>IFERROR(__xludf.DUMMYFUNCTION("GOOGLEFINANCE(C466,""price"")"),13.7)</f>
        <v>13.7</v>
      </c>
      <c r="F466" s="5">
        <f>IFERROR(__xludf.DUMMYFUNCTION("GOOGLEFINANCE(C466,""change"")"),0.0)</f>
        <v>0</v>
      </c>
      <c r="G466" s="6">
        <f>IFERROR(__xludf.DUMMYFUNCTION("GOOGLEFINANCE(C466, ""changepct"")/100"),0.0)</f>
        <v>0</v>
      </c>
      <c r="H466" s="5">
        <f>IFERROR(__xludf.DUMMYFUNCTION("GOOGLEFINANCE(C466, ""marketcap"")"),1.643943125E11)</f>
        <v>164394312500</v>
      </c>
    </row>
    <row r="467">
      <c r="A467" s="4" t="s">
        <v>962</v>
      </c>
      <c r="B467" s="4" t="s">
        <v>15</v>
      </c>
      <c r="C467" s="4" t="s">
        <v>963</v>
      </c>
      <c r="D467" s="4" t="s">
        <v>13</v>
      </c>
      <c r="E467" s="5">
        <f>IFERROR(__xludf.DUMMYFUNCTION("GOOGLEFINANCE(C467,""price"")"),472.05)</f>
        <v>472.05</v>
      </c>
      <c r="F467" s="5">
        <f>IFERROR(__xludf.DUMMYFUNCTION("GOOGLEFINANCE(C467,""change"")"),0.4)</f>
        <v>0.4</v>
      </c>
      <c r="G467" s="6">
        <f>IFERROR(__xludf.DUMMYFUNCTION("GOOGLEFINANCE(C467, ""changepct"")/100"),8.0E-4)</f>
        <v>0.0008</v>
      </c>
      <c r="H467" s="5">
        <f>IFERROR(__xludf.DUMMYFUNCTION("GOOGLEFINANCE(C467, ""marketcap"")"),3.4087432973E10)</f>
        <v>34087432973</v>
      </c>
    </row>
    <row r="468">
      <c r="A468" s="4" t="s">
        <v>964</v>
      </c>
      <c r="B468" s="4" t="s">
        <v>157</v>
      </c>
      <c r="C468" s="4" t="s">
        <v>965</v>
      </c>
      <c r="D468" s="4" t="s">
        <v>22</v>
      </c>
      <c r="E468" s="5">
        <f>IFERROR(__xludf.DUMMYFUNCTION("GOOGLEFINANCE(C468,""price"")"),840.0)</f>
        <v>840</v>
      </c>
      <c r="F468" s="5">
        <f>IFERROR(__xludf.DUMMYFUNCTION("GOOGLEFINANCE(C468,""change"")"),5.4)</f>
        <v>5.4</v>
      </c>
      <c r="G468" s="6">
        <f>IFERROR(__xludf.DUMMYFUNCTION("GOOGLEFINANCE(C468, ""changepct"")/100"),0.006500000000000001)</f>
        <v>0.0065</v>
      </c>
      <c r="H468" s="5">
        <f>IFERROR(__xludf.DUMMYFUNCTION("GOOGLEFINANCE(C468, ""marketcap"")"),6.4179822E11)</f>
        <v>641798220000</v>
      </c>
    </row>
    <row r="469">
      <c r="A469" s="4" t="s">
        <v>966</v>
      </c>
      <c r="B469" s="4" t="s">
        <v>29</v>
      </c>
      <c r="C469" s="4" t="s">
        <v>967</v>
      </c>
      <c r="D469" s="4" t="s">
        <v>13</v>
      </c>
      <c r="E469" s="5">
        <f>IFERROR(__xludf.DUMMYFUNCTION("GOOGLEFINANCE(C469,""price"")"),792.0)</f>
        <v>792</v>
      </c>
      <c r="F469" s="5">
        <f>IFERROR(__xludf.DUMMYFUNCTION("GOOGLEFINANCE(C469,""change"")"),4.4)</f>
        <v>4.4</v>
      </c>
      <c r="G469" s="6">
        <f>IFERROR(__xludf.DUMMYFUNCTION("GOOGLEFINANCE(C469, ""changepct"")/100"),0.005600000000000001)</f>
        <v>0.0056</v>
      </c>
      <c r="H469" s="5">
        <f>IFERROR(__xludf.DUMMYFUNCTION("GOOGLEFINANCE(C469, ""marketcap"")"),1.004154624E11)</f>
        <v>100415462400</v>
      </c>
    </row>
    <row r="470">
      <c r="A470" s="4" t="s">
        <v>968</v>
      </c>
      <c r="B470" s="4" t="s">
        <v>29</v>
      </c>
      <c r="C470" s="4" t="s">
        <v>969</v>
      </c>
      <c r="D470" s="4" t="s">
        <v>13</v>
      </c>
      <c r="E470" s="5">
        <f>IFERROR(__xludf.DUMMYFUNCTION("GOOGLEFINANCE(C470,""price"")"),218.95)</f>
        <v>218.95</v>
      </c>
      <c r="F470" s="5">
        <f>IFERROR(__xludf.DUMMYFUNCTION("GOOGLEFINANCE(C470,""change"")"),0.4)</f>
        <v>0.4</v>
      </c>
      <c r="G470" s="6">
        <f>IFERROR(__xludf.DUMMYFUNCTION("GOOGLEFINANCE(C470, ""changepct"")/100"),0.0018)</f>
        <v>0.0018</v>
      </c>
      <c r="H470" s="5">
        <f>IFERROR(__xludf.DUMMYFUNCTION("GOOGLEFINANCE(C470, ""marketcap"")"),2.65895E10)</f>
        <v>26589500000</v>
      </c>
    </row>
    <row r="471">
      <c r="A471" s="4" t="s">
        <v>970</v>
      </c>
      <c r="B471" s="4" t="s">
        <v>29</v>
      </c>
      <c r="C471" s="4" t="s">
        <v>971</v>
      </c>
      <c r="D471" s="4" t="s">
        <v>13</v>
      </c>
      <c r="E471" s="5">
        <f>IFERROR(__xludf.DUMMYFUNCTION("GOOGLEFINANCE(C471,""price"")"),33.2)</f>
        <v>33.2</v>
      </c>
      <c r="F471" s="5">
        <f>IFERROR(__xludf.DUMMYFUNCTION("GOOGLEFINANCE(C471,""change"")"),0.7)</f>
        <v>0.7</v>
      </c>
      <c r="G471" s="6">
        <f>IFERROR(__xludf.DUMMYFUNCTION("GOOGLEFINANCE(C471, ""changepct"")/100"),0.0215)</f>
        <v>0.0215</v>
      </c>
      <c r="H471" s="5">
        <f>IFERROR(__xludf.DUMMYFUNCTION("GOOGLEFINANCE(C471, ""marketcap"")"),5.7293611737E10)</f>
        <v>57293611737</v>
      </c>
    </row>
    <row r="472">
      <c r="A472" s="4" t="s">
        <v>972</v>
      </c>
      <c r="B472" s="4" t="s">
        <v>20</v>
      </c>
      <c r="C472" s="4" t="s">
        <v>973</v>
      </c>
      <c r="D472" s="4" t="s">
        <v>22</v>
      </c>
      <c r="E472" s="5">
        <f>IFERROR(__xludf.DUMMYFUNCTION("GOOGLEFINANCE(C472,""price"")"),6713.2)</f>
        <v>6713.2</v>
      </c>
      <c r="F472" s="5">
        <f>IFERROR(__xludf.DUMMYFUNCTION("GOOGLEFINANCE(C472,""change"")"),34.7)</f>
        <v>34.7</v>
      </c>
      <c r="G472" s="6">
        <f>IFERROR(__xludf.DUMMYFUNCTION("GOOGLEFINANCE(C472, ""changepct"")/100"),0.0052)</f>
        <v>0.0052</v>
      </c>
      <c r="H472" s="5">
        <f>IFERROR(__xludf.DUMMYFUNCTION("GOOGLEFINANCE(C472, ""marketcap"")"),1.9365018121E12)</f>
        <v>1936501812100</v>
      </c>
    </row>
    <row r="473">
      <c r="A473" s="4" t="s">
        <v>974</v>
      </c>
      <c r="B473" s="4" t="s">
        <v>29</v>
      </c>
      <c r="C473" s="4" t="s">
        <v>975</v>
      </c>
      <c r="D473" s="4" t="s">
        <v>13</v>
      </c>
      <c r="E473" s="5">
        <f>IFERROR(__xludf.DUMMYFUNCTION("GOOGLEFINANCE(C473,""price"")"),37.6)</f>
        <v>37.6</v>
      </c>
      <c r="F473" s="5">
        <f>IFERROR(__xludf.DUMMYFUNCTION("GOOGLEFINANCE(C473,""change"")"),0.2)</f>
        <v>0.2</v>
      </c>
      <c r="G473" s="6">
        <f>IFERROR(__xludf.DUMMYFUNCTION("GOOGLEFINANCE(C473, ""changepct"")/100"),0.0053)</f>
        <v>0.0053</v>
      </c>
      <c r="H473" s="5">
        <f>IFERROR(__xludf.DUMMYFUNCTION("GOOGLEFINANCE(C473, ""marketcap"")"),2.56986514371E11)</f>
        <v>256986514371</v>
      </c>
    </row>
    <row r="474">
      <c r="A474" s="4" t="s">
        <v>976</v>
      </c>
      <c r="B474" s="4" t="s">
        <v>11</v>
      </c>
      <c r="C474" s="4" t="s">
        <v>977</v>
      </c>
      <c r="D474" s="4" t="s">
        <v>22</v>
      </c>
      <c r="E474" s="5">
        <f>IFERROR(__xludf.DUMMYFUNCTION("GOOGLEFINANCE(C474,""price"")"),1375.55)</f>
        <v>1375.55</v>
      </c>
      <c r="F474" s="5">
        <f>IFERROR(__xludf.DUMMYFUNCTION("GOOGLEFINANCE(C474,""change"")"),6.6)</f>
        <v>6.6</v>
      </c>
      <c r="G474" s="6">
        <f>IFERROR(__xludf.DUMMYFUNCTION("GOOGLEFINANCE(C474, ""changepct"")/100"),0.0048)</f>
        <v>0.0048</v>
      </c>
      <c r="H474" s="5">
        <f>IFERROR(__xludf.DUMMYFUNCTION("GOOGLEFINANCE(C474, ""marketcap"")"),3.64019721425E11)</f>
        <v>364019721425</v>
      </c>
    </row>
    <row r="475">
      <c r="A475" s="4" t="s">
        <v>978</v>
      </c>
      <c r="B475" s="4" t="s">
        <v>11</v>
      </c>
      <c r="C475" s="4" t="s">
        <v>979</v>
      </c>
      <c r="D475" s="4" t="s">
        <v>22</v>
      </c>
      <c r="E475" s="5">
        <f>IFERROR(__xludf.DUMMYFUNCTION("GOOGLEFINANCE(C475,""price"")"),655.8)</f>
        <v>655.8</v>
      </c>
      <c r="F475" s="5">
        <f>IFERROR(__xludf.DUMMYFUNCTION("GOOGLEFINANCE(C475,""change"")"),8.05)</f>
        <v>8.05</v>
      </c>
      <c r="G475" s="6">
        <f>IFERROR(__xludf.DUMMYFUNCTION("GOOGLEFINANCE(C475, ""changepct"")/100"),0.0124)</f>
        <v>0.0124</v>
      </c>
      <c r="H475" s="5">
        <f>IFERROR(__xludf.DUMMYFUNCTION("GOOGLEFINANCE(C475, ""marketcap"")"),4.76347925359E11)</f>
        <v>476347925359</v>
      </c>
    </row>
    <row r="476">
      <c r="A476" s="4" t="s">
        <v>980</v>
      </c>
      <c r="B476" s="4" t="s">
        <v>11</v>
      </c>
      <c r="C476" s="4" t="s">
        <v>981</v>
      </c>
      <c r="D476" s="4" t="s">
        <v>13</v>
      </c>
      <c r="E476" s="5">
        <f>IFERROR(__xludf.DUMMYFUNCTION("GOOGLEFINANCE(C476,""price"")"),272.5)</f>
        <v>272.5</v>
      </c>
      <c r="F476" s="5">
        <f>IFERROR(__xludf.DUMMYFUNCTION("GOOGLEFINANCE(C476,""change"")"),3.55)</f>
        <v>3.55</v>
      </c>
      <c r="G476" s="6">
        <f>IFERROR(__xludf.DUMMYFUNCTION("GOOGLEFINANCE(C476, ""changepct"")/100"),0.0132)</f>
        <v>0.0132</v>
      </c>
      <c r="H476" s="5">
        <f>IFERROR(__xludf.DUMMYFUNCTION("GOOGLEFINANCE(C476, ""marketcap"")"),1.1722631175E11)</f>
        <v>117226311750</v>
      </c>
    </row>
    <row r="477">
      <c r="A477" s="4" t="s">
        <v>982</v>
      </c>
      <c r="B477" s="4" t="s">
        <v>57</v>
      </c>
      <c r="C477" s="4" t="s">
        <v>983</v>
      </c>
      <c r="D477" s="4" t="s">
        <v>13</v>
      </c>
      <c r="E477" s="5">
        <f>IFERROR(__xludf.DUMMYFUNCTION("GOOGLEFINANCE(C477,""price"")"),2797.1)</f>
        <v>2797.1</v>
      </c>
      <c r="F477" s="5">
        <f>IFERROR(__xludf.DUMMYFUNCTION("GOOGLEFINANCE(C477,""change"")"),-2.45)</f>
        <v>-2.45</v>
      </c>
      <c r="G477" s="6">
        <f>IFERROR(__xludf.DUMMYFUNCTION("GOOGLEFINANCE(C477, ""changepct"")/100"),-9.0E-4)</f>
        <v>-0.0009</v>
      </c>
      <c r="H477" s="5">
        <f>IFERROR(__xludf.DUMMYFUNCTION("GOOGLEFINANCE(C477, ""marketcap"")"),5.5133947705E10)</f>
        <v>55133947705</v>
      </c>
    </row>
    <row r="478">
      <c r="A478" s="4" t="s">
        <v>984</v>
      </c>
      <c r="B478" s="4" t="s">
        <v>11</v>
      </c>
      <c r="C478" s="4" t="s">
        <v>985</v>
      </c>
      <c r="D478" s="4" t="s">
        <v>13</v>
      </c>
      <c r="E478" s="5">
        <f>IFERROR(__xludf.DUMMYFUNCTION("GOOGLEFINANCE(C478,""price"")"),403.85)</f>
        <v>403.85</v>
      </c>
      <c r="F478" s="5">
        <f>IFERROR(__xludf.DUMMYFUNCTION("GOOGLEFINANCE(C478,""change"")"),-6.5)</f>
        <v>-6.5</v>
      </c>
      <c r="G478" s="6">
        <f>IFERROR(__xludf.DUMMYFUNCTION("GOOGLEFINANCE(C478, ""changepct"")/100"),-0.0158)</f>
        <v>-0.0158</v>
      </c>
      <c r="H478" s="5">
        <f>IFERROR(__xludf.DUMMYFUNCTION("GOOGLEFINANCE(C478, ""marketcap"")"),5.7070992467E10)</f>
        <v>57070992467</v>
      </c>
    </row>
    <row r="479">
      <c r="A479" s="4" t="s">
        <v>986</v>
      </c>
      <c r="B479" s="4" t="s">
        <v>11</v>
      </c>
      <c r="C479" s="4" t="s">
        <v>987</v>
      </c>
      <c r="D479" s="4" t="s">
        <v>13</v>
      </c>
      <c r="E479" s="5">
        <f>IFERROR(__xludf.DUMMYFUNCTION("GOOGLEFINANCE(C479,""price"")"),3498.5)</f>
        <v>3498.5</v>
      </c>
      <c r="F479" s="5">
        <f>IFERROR(__xludf.DUMMYFUNCTION("GOOGLEFINANCE(C479,""change"")"),22.9)</f>
        <v>22.9</v>
      </c>
      <c r="G479" s="6">
        <f>IFERROR(__xludf.DUMMYFUNCTION("GOOGLEFINANCE(C479, ""changepct"")/100"),0.0066)</f>
        <v>0.0066</v>
      </c>
      <c r="H479" s="5">
        <f>IFERROR(__xludf.DUMMYFUNCTION("GOOGLEFINANCE(C479, ""marketcap"")"),5.402355712E10)</f>
        <v>54023557120</v>
      </c>
    </row>
    <row r="480">
      <c r="A480" s="4" t="s">
        <v>988</v>
      </c>
      <c r="B480" s="4" t="s">
        <v>57</v>
      </c>
      <c r="C480" s="4" t="s">
        <v>989</v>
      </c>
      <c r="D480" s="4" t="s">
        <v>13</v>
      </c>
      <c r="E480" s="5">
        <f>IFERROR(__xludf.DUMMYFUNCTION("GOOGLEFINANCE(C480,""price"")"),815.75)</f>
        <v>815.75</v>
      </c>
      <c r="F480" s="5">
        <f>IFERROR(__xludf.DUMMYFUNCTION("GOOGLEFINANCE(C480,""change"")"),0.15)</f>
        <v>0.15</v>
      </c>
      <c r="G480" s="6">
        <f>IFERROR(__xludf.DUMMYFUNCTION("GOOGLEFINANCE(C480, ""changepct"")/100"),2.0E-4)</f>
        <v>0.0002</v>
      </c>
      <c r="H480" s="5">
        <f>IFERROR(__xludf.DUMMYFUNCTION("GOOGLEFINANCE(C480, ""marketcap"")"),1.32939803E11)</f>
        <v>132939803000</v>
      </c>
    </row>
    <row r="481">
      <c r="A481" s="4" t="s">
        <v>990</v>
      </c>
      <c r="B481" s="4" t="s">
        <v>64</v>
      </c>
      <c r="C481" s="4" t="s">
        <v>991</v>
      </c>
      <c r="D481" s="4" t="s">
        <v>13</v>
      </c>
      <c r="E481" s="5">
        <f>IFERROR(__xludf.DUMMYFUNCTION("GOOGLEFINANCE(C481,""price"")"),49.85)</f>
        <v>49.85</v>
      </c>
      <c r="F481" s="5">
        <f>IFERROR(__xludf.DUMMYFUNCTION("GOOGLEFINANCE(C481,""change"")"),0.5)</f>
        <v>0.5</v>
      </c>
      <c r="G481" s="6">
        <f>IFERROR(__xludf.DUMMYFUNCTION("GOOGLEFINANCE(C481, ""changepct"")/100"),0.0101)</f>
        <v>0.0101</v>
      </c>
      <c r="H481" s="5">
        <f>IFERROR(__xludf.DUMMYFUNCTION("GOOGLEFINANCE(C481, ""marketcap"")"),5.2811337633E10)</f>
        <v>52811337633</v>
      </c>
    </row>
    <row r="482">
      <c r="A482" s="4" t="s">
        <v>992</v>
      </c>
      <c r="B482" s="4" t="s">
        <v>35</v>
      </c>
      <c r="C482" s="4" t="s">
        <v>993</v>
      </c>
      <c r="D482" s="4" t="s">
        <v>13</v>
      </c>
      <c r="E482" s="5">
        <f>IFERROR(__xludf.DUMMYFUNCTION("GOOGLEFINANCE(C482,""price"")"),1586.0)</f>
        <v>1586</v>
      </c>
      <c r="F482" s="5">
        <f>IFERROR(__xludf.DUMMYFUNCTION("GOOGLEFINANCE(C482,""change"")"),-13.85)</f>
        <v>-13.85</v>
      </c>
      <c r="G482" s="6">
        <f>IFERROR(__xludf.DUMMYFUNCTION("GOOGLEFINANCE(C482, ""changepct"")/100"),-0.0087)</f>
        <v>-0.0087</v>
      </c>
      <c r="H482" s="5">
        <f>IFERROR(__xludf.DUMMYFUNCTION("GOOGLEFINANCE(C482, ""marketcap"")"),4.3299592395E10)</f>
        <v>43299592395</v>
      </c>
    </row>
    <row r="483">
      <c r="A483" s="4" t="s">
        <v>994</v>
      </c>
      <c r="B483" s="4" t="s">
        <v>79</v>
      </c>
      <c r="C483" s="4" t="s">
        <v>995</v>
      </c>
      <c r="D483" s="4" t="s">
        <v>13</v>
      </c>
      <c r="E483" s="5">
        <f>IFERROR(__xludf.DUMMYFUNCTION("GOOGLEFINANCE(C483,""price"")"),1447.0)</f>
        <v>1447</v>
      </c>
      <c r="F483" s="5">
        <f>IFERROR(__xludf.DUMMYFUNCTION("GOOGLEFINANCE(C483,""change"")"),-9.55)</f>
        <v>-9.55</v>
      </c>
      <c r="G483" s="6">
        <f>IFERROR(__xludf.DUMMYFUNCTION("GOOGLEFINANCE(C483, ""changepct"")/100"),-0.0066)</f>
        <v>-0.0066</v>
      </c>
      <c r="H483" s="5">
        <f>IFERROR(__xludf.DUMMYFUNCTION("GOOGLEFINANCE(C483, ""marketcap"")"),8.339272262E10)</f>
        <v>83392722620</v>
      </c>
    </row>
    <row r="484">
      <c r="A484" s="4" t="s">
        <v>996</v>
      </c>
      <c r="B484" s="4" t="s">
        <v>82</v>
      </c>
      <c r="C484" s="4" t="s">
        <v>997</v>
      </c>
      <c r="D484" s="4" t="s">
        <v>13</v>
      </c>
      <c r="E484" s="5">
        <f>IFERROR(__xludf.DUMMYFUNCTION("GOOGLEFINANCE(C484,""price"")"),375.1)</f>
        <v>375.1</v>
      </c>
      <c r="F484" s="5">
        <f>IFERROR(__xludf.DUMMYFUNCTION("GOOGLEFINANCE(C484,""change"")"),1.05)</f>
        <v>1.05</v>
      </c>
      <c r="G484" s="6">
        <f>IFERROR(__xludf.DUMMYFUNCTION("GOOGLEFINANCE(C484, ""changepct"")/100"),0.0028000000000000004)</f>
        <v>0.0028</v>
      </c>
      <c r="H484" s="5">
        <f>IFERROR(__xludf.DUMMYFUNCTION("GOOGLEFINANCE(C484, ""marketcap"")"),5.7264303374E10)</f>
        <v>57264303374</v>
      </c>
    </row>
    <row r="485">
      <c r="A485" s="4" t="s">
        <v>998</v>
      </c>
      <c r="B485" s="4" t="s">
        <v>11</v>
      </c>
      <c r="C485" s="4" t="s">
        <v>999</v>
      </c>
      <c r="D485" s="4" t="s">
        <v>13</v>
      </c>
      <c r="E485" s="5">
        <f>IFERROR(__xludf.DUMMYFUNCTION("GOOGLEFINANCE(C485,""price"")"),788.4)</f>
        <v>788.4</v>
      </c>
      <c r="F485" s="5">
        <f>IFERROR(__xludf.DUMMYFUNCTION("GOOGLEFINANCE(C485,""change"")"),12.7)</f>
        <v>12.7</v>
      </c>
      <c r="G485" s="6">
        <f>IFERROR(__xludf.DUMMYFUNCTION("GOOGLEFINANCE(C485, ""changepct"")/100"),0.016399999999999998)</f>
        <v>0.0164</v>
      </c>
      <c r="H485" s="5">
        <f>IFERROR(__xludf.DUMMYFUNCTION("GOOGLEFINANCE(C485, ""marketcap"")"),3.41035133863E11)</f>
        <v>341035133863</v>
      </c>
    </row>
    <row r="486">
      <c r="A486" s="4" t="s">
        <v>1000</v>
      </c>
      <c r="B486" s="4" t="s">
        <v>26</v>
      </c>
      <c r="C486" s="4" t="s">
        <v>1001</v>
      </c>
      <c r="D486" s="4" t="s">
        <v>22</v>
      </c>
      <c r="E486" s="5">
        <f>IFERROR(__xludf.DUMMYFUNCTION("GOOGLEFINANCE(C486,""price"")"),273.45)</f>
        <v>273.45</v>
      </c>
      <c r="F486" s="5">
        <f>IFERROR(__xludf.DUMMYFUNCTION("GOOGLEFINANCE(C486,""change"")"),-0.45)</f>
        <v>-0.45</v>
      </c>
      <c r="G486" s="6">
        <f>IFERROR(__xludf.DUMMYFUNCTION("GOOGLEFINANCE(C486, ""changepct"")/100"),-0.0016)</f>
        <v>-0.0016</v>
      </c>
      <c r="H486" s="5">
        <f>IFERROR(__xludf.DUMMYFUNCTION("GOOGLEFINANCE(C486, ""marketcap"")"),1.016134229461E12)</f>
        <v>1016134229461</v>
      </c>
    </row>
    <row r="487">
      <c r="A487" s="4" t="s">
        <v>1002</v>
      </c>
      <c r="B487" s="4" t="s">
        <v>11</v>
      </c>
      <c r="C487" s="4" t="s">
        <v>1003</v>
      </c>
      <c r="D487" s="4" t="s">
        <v>13</v>
      </c>
      <c r="E487" s="5">
        <f>IFERROR(__xludf.DUMMYFUNCTION("GOOGLEFINANCE(C487,""price"")"),2708.0)</f>
        <v>2708</v>
      </c>
      <c r="F487" s="5">
        <f>IFERROR(__xludf.DUMMYFUNCTION("GOOGLEFINANCE(C487,""change"")"),138.15)</f>
        <v>138.15</v>
      </c>
      <c r="G487" s="6">
        <f>IFERROR(__xludf.DUMMYFUNCTION("GOOGLEFINANCE(C487, ""changepct"")/100"),0.0538)</f>
        <v>0.0538</v>
      </c>
      <c r="H487" s="5">
        <f>IFERROR(__xludf.DUMMYFUNCTION("GOOGLEFINANCE(C487, ""marketcap"")"),3.814848964E10)</f>
        <v>38148489640</v>
      </c>
    </row>
    <row r="488">
      <c r="A488" s="4" t="s">
        <v>1004</v>
      </c>
      <c r="B488" s="4" t="s">
        <v>35</v>
      </c>
      <c r="C488" s="4" t="s">
        <v>1005</v>
      </c>
      <c r="D488" s="4" t="s">
        <v>13</v>
      </c>
      <c r="E488" s="5">
        <f>IFERROR(__xludf.DUMMYFUNCTION("GOOGLEFINANCE(C488,""price"")"),1760.2)</f>
        <v>1760.2</v>
      </c>
      <c r="F488" s="5">
        <f>IFERROR(__xludf.DUMMYFUNCTION("GOOGLEFINANCE(C488,""change"")"),-8.0)</f>
        <v>-8</v>
      </c>
      <c r="G488" s="6">
        <f>IFERROR(__xludf.DUMMYFUNCTION("GOOGLEFINANCE(C488, ""changepct"")/100"),-0.0045000000000000005)</f>
        <v>-0.0045</v>
      </c>
      <c r="H488" s="5">
        <f>IFERROR(__xludf.DUMMYFUNCTION("GOOGLEFINANCE(C488, ""marketcap"")"),1.809220155E11)</f>
        <v>180922015500</v>
      </c>
    </row>
    <row r="489">
      <c r="A489" s="4" t="s">
        <v>1006</v>
      </c>
      <c r="B489" s="4" t="s">
        <v>174</v>
      </c>
      <c r="C489" s="4" t="s">
        <v>1007</v>
      </c>
      <c r="D489" s="4" t="s">
        <v>22</v>
      </c>
      <c r="E489" s="5">
        <f>IFERROR(__xludf.DUMMYFUNCTION("GOOGLEFINANCE(C489,""price"")"),9.75)</f>
        <v>9.75</v>
      </c>
      <c r="F489" s="5">
        <f>IFERROR(__xludf.DUMMYFUNCTION("GOOGLEFINANCE(C489,""change"")"),0.1)</f>
        <v>0.1</v>
      </c>
      <c r="G489" s="6">
        <f>IFERROR(__xludf.DUMMYFUNCTION("GOOGLEFINANCE(C489, ""changepct"")/100"),0.0104)</f>
        <v>0.0104</v>
      </c>
      <c r="H489" s="5">
        <f>IFERROR(__xludf.DUMMYFUNCTION("GOOGLEFINANCE(C489, ""marketcap"")"),2.79028753672E11)</f>
        <v>279028753672</v>
      </c>
    </row>
    <row r="490">
      <c r="A490" s="4" t="s">
        <v>1008</v>
      </c>
      <c r="B490" s="4" t="s">
        <v>11</v>
      </c>
      <c r="C490" s="4" t="s">
        <v>1009</v>
      </c>
      <c r="D490" s="4" t="s">
        <v>22</v>
      </c>
      <c r="E490" s="5">
        <f>IFERROR(__xludf.DUMMYFUNCTION("GOOGLEFINANCE(C490,""price"")"),1065.1)</f>
        <v>1065.1</v>
      </c>
      <c r="F490" s="5">
        <f>IFERROR(__xludf.DUMMYFUNCTION("GOOGLEFINANCE(C490,""change"")"),22.05)</f>
        <v>22.05</v>
      </c>
      <c r="G490" s="6">
        <f>IFERROR(__xludf.DUMMYFUNCTION("GOOGLEFINANCE(C490, ""changepct"")/100"),0.021099999999999997)</f>
        <v>0.0211</v>
      </c>
      <c r="H490" s="5">
        <f>IFERROR(__xludf.DUMMYFUNCTION("GOOGLEFINANCE(C490, ""marketcap"")"),3.52590728241E11)</f>
        <v>352590728241</v>
      </c>
    </row>
    <row r="491">
      <c r="A491" s="4" t="s">
        <v>1010</v>
      </c>
      <c r="B491" s="4" t="s">
        <v>82</v>
      </c>
      <c r="C491" s="4" t="s">
        <v>1011</v>
      </c>
      <c r="D491" s="4" t="s">
        <v>13</v>
      </c>
      <c r="E491" s="5">
        <f>IFERROR(__xludf.DUMMYFUNCTION("GOOGLEFINANCE(C491,""price"")"),6864.0)</f>
        <v>6864</v>
      </c>
      <c r="F491" s="5">
        <f>IFERROR(__xludf.DUMMYFUNCTION("GOOGLEFINANCE(C491,""change"")"),-5.55)</f>
        <v>-5.55</v>
      </c>
      <c r="G491" s="6">
        <f>IFERROR(__xludf.DUMMYFUNCTION("GOOGLEFINANCE(C491, ""changepct"")/100"),-8.0E-4)</f>
        <v>-0.0008</v>
      </c>
      <c r="H491" s="5">
        <f>IFERROR(__xludf.DUMMYFUNCTION("GOOGLEFINANCE(C491, ""marketcap"")"),1.30004737994E11)</f>
        <v>130004737994</v>
      </c>
    </row>
    <row r="492">
      <c r="A492" s="4" t="s">
        <v>1012</v>
      </c>
      <c r="B492" s="4" t="s">
        <v>26</v>
      </c>
      <c r="C492" s="4" t="s">
        <v>1013</v>
      </c>
      <c r="D492" s="4" t="s">
        <v>13</v>
      </c>
      <c r="E492" s="5">
        <f>IFERROR(__xludf.DUMMYFUNCTION("GOOGLEFINANCE(C492,""price"")"),154.75)</f>
        <v>154.75</v>
      </c>
      <c r="F492" s="5">
        <f>IFERROR(__xludf.DUMMYFUNCTION("GOOGLEFINANCE(C492,""change"")"),5.15)</f>
        <v>5.15</v>
      </c>
      <c r="G492" s="6">
        <f>IFERROR(__xludf.DUMMYFUNCTION("GOOGLEFINANCE(C492, ""changepct"")/100"),0.0344)</f>
        <v>0.0344</v>
      </c>
      <c r="H492" s="5">
        <f>IFERROR(__xludf.DUMMYFUNCTION("GOOGLEFINANCE(C492, ""marketcap"")"),4.0342763372E10)</f>
        <v>40342763372</v>
      </c>
    </row>
    <row r="493">
      <c r="A493" s="4" t="s">
        <v>1014</v>
      </c>
      <c r="B493" s="4" t="s">
        <v>79</v>
      </c>
      <c r="C493" s="4" t="s">
        <v>1015</v>
      </c>
      <c r="D493" s="4" t="s">
        <v>13</v>
      </c>
      <c r="E493" s="5">
        <f>IFERROR(__xludf.DUMMYFUNCTION("GOOGLEFINANCE(C493,""price"")"),96.4)</f>
        <v>96.4</v>
      </c>
      <c r="F493" s="5">
        <f>IFERROR(__xludf.DUMMYFUNCTION("GOOGLEFINANCE(C493,""change"")"),0.3)</f>
        <v>0.3</v>
      </c>
      <c r="G493" s="6">
        <f>IFERROR(__xludf.DUMMYFUNCTION("GOOGLEFINANCE(C493, ""changepct"")/100"),0.0031)</f>
        <v>0.0031</v>
      </c>
      <c r="H493" s="5">
        <f>IFERROR(__xludf.DUMMYFUNCTION("GOOGLEFINANCE(C493, ""marketcap"")"),9.6855491533E10)</f>
        <v>96855491533</v>
      </c>
    </row>
    <row r="494">
      <c r="A494" s="4" t="s">
        <v>1016</v>
      </c>
      <c r="B494" s="4" t="s">
        <v>57</v>
      </c>
      <c r="C494" s="4" t="s">
        <v>1017</v>
      </c>
      <c r="D494" s="4" t="s">
        <v>13</v>
      </c>
      <c r="E494" s="5">
        <f>IFERROR(__xludf.DUMMYFUNCTION("GOOGLEFINANCE(C494,""price"")"),479.95)</f>
        <v>479.95</v>
      </c>
      <c r="F494" s="5">
        <f>IFERROR(__xludf.DUMMYFUNCTION("GOOGLEFINANCE(C494,""change"")"),-0.8)</f>
        <v>-0.8</v>
      </c>
      <c r="G494" s="6">
        <f>IFERROR(__xludf.DUMMYFUNCTION("GOOGLEFINANCE(C494, ""changepct"")/100"),-0.0017000000000000001)</f>
        <v>-0.0017</v>
      </c>
      <c r="H494" s="5">
        <f>IFERROR(__xludf.DUMMYFUNCTION("GOOGLEFINANCE(C494, ""marketcap"")"),7.4777555761E10)</f>
        <v>74777555761</v>
      </c>
    </row>
    <row r="495">
      <c r="A495" s="4" t="s">
        <v>1018</v>
      </c>
      <c r="B495" s="4" t="s">
        <v>11</v>
      </c>
      <c r="C495" s="4" t="s">
        <v>1019</v>
      </c>
      <c r="D495" s="4" t="s">
        <v>13</v>
      </c>
      <c r="E495" s="5">
        <f>IFERROR(__xludf.DUMMYFUNCTION("GOOGLEFINANCE(C495,""price"")"),2220.05)</f>
        <v>2220.05</v>
      </c>
      <c r="F495" s="5">
        <f>IFERROR(__xludf.DUMMYFUNCTION("GOOGLEFINANCE(C495,""change"")"),28.25)</f>
        <v>28.25</v>
      </c>
      <c r="G495" s="6">
        <f>IFERROR(__xludf.DUMMYFUNCTION("GOOGLEFINANCE(C495, ""changepct"")/100"),0.0129)</f>
        <v>0.0129</v>
      </c>
      <c r="H495" s="5">
        <f>IFERROR(__xludf.DUMMYFUNCTION("GOOGLEFINANCE(C495, ""marketcap"")"),2.818457037E11)</f>
        <v>281845703700</v>
      </c>
    </row>
    <row r="496">
      <c r="A496" s="4" t="s">
        <v>1020</v>
      </c>
      <c r="B496" s="4" t="s">
        <v>64</v>
      </c>
      <c r="C496" s="4" t="s">
        <v>1021</v>
      </c>
      <c r="D496" s="4" t="s">
        <v>22</v>
      </c>
      <c r="E496" s="5">
        <f>IFERROR(__xludf.DUMMYFUNCTION("GOOGLEFINANCE(C496,""price"")"),561.65)</f>
        <v>561.65</v>
      </c>
      <c r="F496" s="5">
        <f>IFERROR(__xludf.DUMMYFUNCTION("GOOGLEFINANCE(C496,""change"")"),0.05)</f>
        <v>0.05</v>
      </c>
      <c r="G496" s="6">
        <f>IFERROR(__xludf.DUMMYFUNCTION("GOOGLEFINANCE(C496, ""changepct"")/100"),1.0E-4)</f>
        <v>0.0001</v>
      </c>
      <c r="H496" s="5">
        <f>IFERROR(__xludf.DUMMYFUNCTION("GOOGLEFINANCE(C496, ""marketcap"")"),3.0656906145E12)</f>
        <v>3065690614500</v>
      </c>
    </row>
    <row r="497">
      <c r="A497" s="4" t="s">
        <v>1022</v>
      </c>
      <c r="B497" s="4" t="s">
        <v>32</v>
      </c>
      <c r="C497" s="4" t="s">
        <v>1023</v>
      </c>
      <c r="D497" s="4" t="s">
        <v>13</v>
      </c>
      <c r="E497" s="5">
        <f>IFERROR(__xludf.DUMMYFUNCTION("GOOGLEFINANCE(C497,""price"")"),648.0)</f>
        <v>648</v>
      </c>
      <c r="F497" s="5">
        <f>IFERROR(__xludf.DUMMYFUNCTION("GOOGLEFINANCE(C497,""change"")"),1.45)</f>
        <v>1.45</v>
      </c>
      <c r="G497" s="6">
        <f>IFERROR(__xludf.DUMMYFUNCTION("GOOGLEFINANCE(C497, ""changepct"")/100"),0.0022)</f>
        <v>0.0022</v>
      </c>
      <c r="H497" s="5">
        <f>IFERROR(__xludf.DUMMYFUNCTION("GOOGLEFINANCE(C497, ""marketcap"")"),7.1813848075E10)</f>
        <v>71813848075</v>
      </c>
    </row>
    <row r="498">
      <c r="A498" s="4" t="s">
        <v>1024</v>
      </c>
      <c r="B498" s="4" t="s">
        <v>29</v>
      </c>
      <c r="C498" s="4" t="s">
        <v>1025</v>
      </c>
      <c r="D498" s="4" t="s">
        <v>13</v>
      </c>
      <c r="E498" s="5">
        <f>IFERROR(__xludf.DUMMYFUNCTION("GOOGLEFINANCE(C498,""price"")"),14.1)</f>
        <v>14.1</v>
      </c>
      <c r="F498" s="5">
        <f>IFERROR(__xludf.DUMMYFUNCTION("GOOGLEFINANCE(C498,""change"")"),0.0)</f>
        <v>0</v>
      </c>
      <c r="G498" s="6">
        <f>IFERROR(__xludf.DUMMYFUNCTION("GOOGLEFINANCE(C498, ""changepct"")/100"),0.0)</f>
        <v>0</v>
      </c>
      <c r="H498" s="5">
        <f>IFERROR(__xludf.DUMMYFUNCTION("GOOGLEFINANCE(C498, ""marketcap"")"),3.53274099557E11)</f>
        <v>353274099557</v>
      </c>
    </row>
    <row r="499">
      <c r="A499" s="4" t="s">
        <v>1026</v>
      </c>
      <c r="B499" s="4" t="s">
        <v>288</v>
      </c>
      <c r="C499" s="4" t="s">
        <v>1027</v>
      </c>
      <c r="D499" s="4" t="s">
        <v>22</v>
      </c>
      <c r="E499" s="5">
        <f>IFERROR(__xludf.DUMMYFUNCTION("GOOGLEFINANCE(C499,""price"")"),226.6)</f>
        <v>226.6</v>
      </c>
      <c r="F499" s="5">
        <f>IFERROR(__xludf.DUMMYFUNCTION("GOOGLEFINANCE(C499,""change"")"),8.4)</f>
        <v>8.4</v>
      </c>
      <c r="G499" s="6">
        <f>IFERROR(__xludf.DUMMYFUNCTION("GOOGLEFINANCE(C499, ""changepct"")/100"),0.0385)</f>
        <v>0.0385</v>
      </c>
      <c r="H499" s="5">
        <f>IFERROR(__xludf.DUMMYFUNCTION("GOOGLEFINANCE(C499, ""marketcap"")"),2.17604812111E11)</f>
        <v>217604812111</v>
      </c>
    </row>
    <row r="500">
      <c r="A500" s="4" t="s">
        <v>1028</v>
      </c>
      <c r="B500" s="4" t="s">
        <v>64</v>
      </c>
      <c r="C500" s="4" t="s">
        <v>1029</v>
      </c>
      <c r="D500" s="4" t="s">
        <v>13</v>
      </c>
      <c r="E500" s="5">
        <f>IFERROR(__xludf.DUMMYFUNCTION("GOOGLEFINANCE(C500,""price"")"),298.8)</f>
        <v>298.8</v>
      </c>
      <c r="F500" s="5">
        <f>IFERROR(__xludf.DUMMYFUNCTION("GOOGLEFINANCE(C500,""change"")"),8.65)</f>
        <v>8.65</v>
      </c>
      <c r="G500" s="6">
        <f>IFERROR(__xludf.DUMMYFUNCTION("GOOGLEFINANCE(C500, ""changepct"")/100"),0.0298)</f>
        <v>0.0298</v>
      </c>
      <c r="H500" s="5">
        <f>IFERROR(__xludf.DUMMYFUNCTION("GOOGLEFINANCE(C500, ""marketcap"")"),6.7517384994E10)</f>
        <v>67517384994</v>
      </c>
    </row>
    <row r="501">
      <c r="A501" s="4" t="s">
        <v>1030</v>
      </c>
      <c r="B501" s="4" t="s">
        <v>11</v>
      </c>
      <c r="C501" s="4" t="s">
        <v>1031</v>
      </c>
      <c r="D501" s="4" t="s">
        <v>13</v>
      </c>
      <c r="E501" s="5">
        <f>IFERROR(__xludf.DUMMYFUNCTION("GOOGLEFINANCE(C501,""price"")"),2045.0)</f>
        <v>2045</v>
      </c>
      <c r="F501" s="5">
        <f>IFERROR(__xludf.DUMMYFUNCTION("GOOGLEFINANCE(C501,""change"")"),0.3)</f>
        <v>0.3</v>
      </c>
      <c r="G501" s="6">
        <f>IFERROR(__xludf.DUMMYFUNCTION("GOOGLEFINANCE(C501, ""changepct"")/100"),1.0E-4)</f>
        <v>0.0001</v>
      </c>
      <c r="H501" s="5">
        <f>IFERROR(__xludf.DUMMYFUNCTION("GOOGLEFINANCE(C501, ""marketcap"")"),1.298095452E11)</f>
        <v>129809545200</v>
      </c>
    </row>
    <row r="502">
      <c r="A502" s="4" t="s">
        <v>1032</v>
      </c>
      <c r="B502" s="4" t="s">
        <v>64</v>
      </c>
      <c r="C502" s="4" t="s">
        <v>1033</v>
      </c>
      <c r="D502" s="4" t="s">
        <v>13</v>
      </c>
      <c r="E502" s="5">
        <f>IFERROR(__xludf.DUMMYFUNCTION("GOOGLEFINANCE(C502,""price"")"),1785.0)</f>
        <v>1785</v>
      </c>
      <c r="F502" s="5">
        <f>IFERROR(__xludf.DUMMYFUNCTION("GOOGLEFINANCE(C502,""change"")"),15.1)</f>
        <v>15.1</v>
      </c>
      <c r="G502" s="6">
        <f>IFERROR(__xludf.DUMMYFUNCTION("GOOGLEFINANCE(C502, ""changepct"")/100"),0.0085)</f>
        <v>0.0085</v>
      </c>
      <c r="H502" s="5">
        <f>IFERROR(__xludf.DUMMYFUNCTION("GOOGLEFINANCE(C502, ""marketcap"")"),6.07006743E10)</f>
        <v>60700674300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