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62c07a0a4781c5/Documents/"/>
    </mc:Choice>
  </mc:AlternateContent>
  <xr:revisionPtr revIDLastSave="805" documentId="8_{1ADA3CF6-3C01-45FC-8CA5-28BBF25FA5C3}" xr6:coauthVersionLast="47" xr6:coauthVersionMax="47" xr10:uidLastSave="{7FB6AD48-ED16-4531-9F37-E836AB55132C}"/>
  <bookViews>
    <workbookView minimized="1" xWindow="4590" yWindow="4590" windowWidth="21600" windowHeight="11835" xr2:uid="{FAFF671B-5AE1-4250-B518-35A5453A471B}"/>
  </bookViews>
  <sheets>
    <sheet name="Static" sheetId="1" r:id="rId1"/>
    <sheet name="MA" sheetId="2" r:id="rId2"/>
    <sheet name="SES" sheetId="3" r:id="rId3"/>
    <sheet name="Holts" sheetId="4" r:id="rId4"/>
    <sheet name="Winters" sheetId="5" r:id="rId5"/>
    <sheet name="Error Analys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F4" i="4"/>
  <c r="F3" i="4"/>
  <c r="E3" i="3"/>
  <c r="D4" i="3"/>
  <c r="D3" i="3"/>
  <c r="E4" i="3"/>
  <c r="D2" i="3"/>
  <c r="J3" i="1"/>
  <c r="J25" i="1"/>
  <c r="J23" i="1"/>
  <c r="J4" i="1"/>
  <c r="F7" i="5"/>
  <c r="M5" i="1"/>
  <c r="M4" i="1"/>
  <c r="M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7" i="2"/>
  <c r="Q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  <c r="G3" i="5"/>
  <c r="D2" i="4"/>
  <c r="M23" i="6" l="1"/>
  <c r="J23" i="6"/>
  <c r="G23" i="6"/>
  <c r="D23" i="6"/>
  <c r="P23" i="6"/>
  <c r="H23" i="6"/>
  <c r="F23" i="6"/>
  <c r="E23" i="6"/>
  <c r="C23" i="6"/>
  <c r="I23" i="6"/>
  <c r="K23" i="6"/>
  <c r="L23" i="6"/>
  <c r="N23" i="6"/>
  <c r="O23" i="6"/>
  <c r="B23" i="6"/>
  <c r="H3" i="5" l="1"/>
  <c r="F3" i="3"/>
  <c r="I3" i="5"/>
  <c r="D3" i="5"/>
  <c r="E2" i="1"/>
  <c r="E2" i="4"/>
  <c r="E22" i="2"/>
  <c r="F22" i="2" s="1"/>
  <c r="G22" i="2" s="1"/>
  <c r="J22" i="2" s="1"/>
  <c r="E10" i="2"/>
  <c r="F10" i="2" s="1"/>
  <c r="G10" i="2" s="1"/>
  <c r="J10" i="2" s="1"/>
  <c r="E11" i="2"/>
  <c r="F11" i="2" s="1"/>
  <c r="G11" i="2" s="1"/>
  <c r="J11" i="2" s="1"/>
  <c r="E12" i="2"/>
  <c r="F12" i="2" s="1"/>
  <c r="G12" i="2" s="1"/>
  <c r="J12" i="2" s="1"/>
  <c r="E13" i="2"/>
  <c r="F13" i="2" s="1"/>
  <c r="G13" i="2" s="1"/>
  <c r="J13" i="2" s="1"/>
  <c r="E14" i="2"/>
  <c r="F14" i="2" s="1"/>
  <c r="G14" i="2" s="1"/>
  <c r="J14" i="2" s="1"/>
  <c r="E15" i="2"/>
  <c r="F15" i="2" s="1"/>
  <c r="G15" i="2" s="1"/>
  <c r="J15" i="2" s="1"/>
  <c r="E16" i="2"/>
  <c r="F16" i="2" s="1"/>
  <c r="G16" i="2" s="1"/>
  <c r="J16" i="2" s="1"/>
  <c r="E17" i="2"/>
  <c r="F17" i="2" s="1"/>
  <c r="G17" i="2" s="1"/>
  <c r="J17" i="2" s="1"/>
  <c r="E18" i="2"/>
  <c r="F18" i="2" s="1"/>
  <c r="G18" i="2" s="1"/>
  <c r="J18" i="2" s="1"/>
  <c r="E24" i="2"/>
  <c r="E25" i="2"/>
  <c r="E26" i="2"/>
  <c r="D22" i="2"/>
  <c r="E23" i="2" s="1"/>
  <c r="D6" i="2"/>
  <c r="E7" i="2" s="1"/>
  <c r="F7" i="2" s="1"/>
  <c r="D7" i="2"/>
  <c r="E8" i="2" s="1"/>
  <c r="F8" i="2" s="1"/>
  <c r="G8" i="2" s="1"/>
  <c r="J8" i="2" s="1"/>
  <c r="D8" i="2"/>
  <c r="E9" i="2" s="1"/>
  <c r="F9" i="2" s="1"/>
  <c r="G9" i="2" s="1"/>
  <c r="J9" i="2" s="1"/>
  <c r="D9" i="2"/>
  <c r="D10" i="2"/>
  <c r="D11" i="2"/>
  <c r="D12" i="2"/>
  <c r="D13" i="2"/>
  <c r="D14" i="2"/>
  <c r="D15" i="2"/>
  <c r="D16" i="2"/>
  <c r="D17" i="2"/>
  <c r="D18" i="2"/>
  <c r="E19" i="2" s="1"/>
  <c r="F19" i="2" s="1"/>
  <c r="G19" i="2" s="1"/>
  <c r="J19" i="2" s="1"/>
  <c r="D19" i="2"/>
  <c r="E20" i="2" s="1"/>
  <c r="F20" i="2" s="1"/>
  <c r="G20" i="2" s="1"/>
  <c r="J20" i="2" s="1"/>
  <c r="D20" i="2"/>
  <c r="E21" i="2" s="1"/>
  <c r="F21" i="2" s="1"/>
  <c r="G21" i="2" s="1"/>
  <c r="J21" i="2" s="1"/>
  <c r="D21" i="2"/>
  <c r="D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F2" i="1" s="1"/>
  <c r="L3" i="3" l="1"/>
  <c r="L3" i="5"/>
  <c r="E3" i="5"/>
  <c r="D4" i="5" s="1"/>
  <c r="K3" i="5"/>
  <c r="O3" i="5" s="1"/>
  <c r="G4" i="5"/>
  <c r="H4" i="5" s="1"/>
  <c r="J3" i="5"/>
  <c r="G3" i="4"/>
  <c r="D3" i="4"/>
  <c r="H3" i="3"/>
  <c r="G3" i="3"/>
  <c r="H7" i="2"/>
  <c r="H16" i="2"/>
  <c r="H10" i="2"/>
  <c r="H17" i="2"/>
  <c r="H22" i="2"/>
  <c r="H12" i="2"/>
  <c r="H18" i="2"/>
  <c r="H19" i="2"/>
  <c r="H20" i="2"/>
  <c r="H9" i="2"/>
  <c r="G7" i="2"/>
  <c r="H8" i="2"/>
  <c r="H21" i="2"/>
  <c r="H11" i="2"/>
  <c r="H13" i="2"/>
  <c r="H15" i="2"/>
  <c r="H14" i="2"/>
  <c r="J12" i="1"/>
  <c r="K12" i="1" s="1"/>
  <c r="L12" i="1" s="1"/>
  <c r="O12" i="1" s="1"/>
  <c r="J13" i="1"/>
  <c r="K13" i="1" s="1"/>
  <c r="L13" i="1" s="1"/>
  <c r="O13" i="1" s="1"/>
  <c r="J14" i="1"/>
  <c r="K14" i="1" s="1"/>
  <c r="L14" i="1" s="1"/>
  <c r="O14" i="1" s="1"/>
  <c r="J26" i="1"/>
  <c r="J15" i="1"/>
  <c r="K15" i="1" s="1"/>
  <c r="L15" i="1" s="1"/>
  <c r="O15" i="1" s="1"/>
  <c r="J16" i="1"/>
  <c r="K16" i="1" s="1"/>
  <c r="L16" i="1" s="1"/>
  <c r="O16" i="1" s="1"/>
  <c r="J10" i="1"/>
  <c r="K10" i="1" s="1"/>
  <c r="L10" i="1" s="1"/>
  <c r="O10" i="1" s="1"/>
  <c r="J22" i="1"/>
  <c r="K22" i="1" s="1"/>
  <c r="L22" i="1" s="1"/>
  <c r="O22" i="1" s="1"/>
  <c r="J11" i="1"/>
  <c r="K11" i="1" s="1"/>
  <c r="L11" i="1" s="1"/>
  <c r="O11" i="1" s="1"/>
  <c r="J17" i="1"/>
  <c r="K17" i="1" s="1"/>
  <c r="L17" i="1" s="1"/>
  <c r="O17" i="1" s="1"/>
  <c r="J18" i="1"/>
  <c r="K18" i="1" s="1"/>
  <c r="L18" i="1" s="1"/>
  <c r="O18" i="1" s="1"/>
  <c r="J7" i="1"/>
  <c r="K7" i="1" s="1"/>
  <c r="L7" i="1" s="1"/>
  <c r="O7" i="1" s="1"/>
  <c r="J19" i="1"/>
  <c r="K19" i="1" s="1"/>
  <c r="L19" i="1" s="1"/>
  <c r="O19" i="1" s="1"/>
  <c r="J8" i="1"/>
  <c r="K8" i="1" s="1"/>
  <c r="L8" i="1" s="1"/>
  <c r="O8" i="1" s="1"/>
  <c r="J20" i="1"/>
  <c r="K20" i="1" s="1"/>
  <c r="L20" i="1" s="1"/>
  <c r="O20" i="1" s="1"/>
  <c r="J21" i="1"/>
  <c r="K21" i="1" s="1"/>
  <c r="L21" i="1" s="1"/>
  <c r="O21" i="1" s="1"/>
  <c r="J9" i="1"/>
  <c r="K9" i="1" s="1"/>
  <c r="L9" i="1" s="1"/>
  <c r="O9" i="1" s="1"/>
  <c r="H3" i="4"/>
  <c r="I3" i="4"/>
  <c r="G15" i="1"/>
  <c r="H15" i="1" s="1"/>
  <c r="G3" i="1"/>
  <c r="H3" i="1" s="1"/>
  <c r="I3" i="1" s="1"/>
  <c r="K3" i="1" s="1"/>
  <c r="G23" i="1"/>
  <c r="G25" i="1"/>
  <c r="G14" i="1"/>
  <c r="H14" i="1" s="1"/>
  <c r="G24" i="1"/>
  <c r="G12" i="1"/>
  <c r="H12" i="1" s="1"/>
  <c r="G11" i="1"/>
  <c r="H11" i="1" s="1"/>
  <c r="G22" i="1"/>
  <c r="H22" i="1" s="1"/>
  <c r="G10" i="1"/>
  <c r="H10" i="1" s="1"/>
  <c r="G9" i="1"/>
  <c r="H9" i="1" s="1"/>
  <c r="G26" i="1"/>
  <c r="G8" i="1"/>
  <c r="H8" i="1" s="1"/>
  <c r="G19" i="1"/>
  <c r="H19" i="1" s="1"/>
  <c r="G13" i="1"/>
  <c r="H13" i="1" s="1"/>
  <c r="G21" i="1"/>
  <c r="H21" i="1" s="1"/>
  <c r="G20" i="1"/>
  <c r="H20" i="1" s="1"/>
  <c r="G7" i="1"/>
  <c r="H7" i="1" s="1"/>
  <c r="G18" i="1"/>
  <c r="H18" i="1" s="1"/>
  <c r="G6" i="1"/>
  <c r="H6" i="1" s="1"/>
  <c r="G17" i="1"/>
  <c r="H17" i="1" s="1"/>
  <c r="G5" i="1"/>
  <c r="H5" i="1" s="1"/>
  <c r="G16" i="1"/>
  <c r="H16" i="1" s="1"/>
  <c r="G4" i="1"/>
  <c r="H4" i="1" s="1"/>
  <c r="I4" i="1" s="1"/>
  <c r="K4" i="1" s="1"/>
  <c r="L4" i="1" s="1"/>
  <c r="O4" i="1" s="1"/>
  <c r="G5" i="5" l="1"/>
  <c r="H5" i="5" s="1"/>
  <c r="I5" i="5" s="1"/>
  <c r="L5" i="5" s="1"/>
  <c r="M5" i="5" s="1"/>
  <c r="E4" i="5"/>
  <c r="F8" i="5"/>
  <c r="D5" i="5"/>
  <c r="I4" i="5"/>
  <c r="J4" i="5"/>
  <c r="J5" i="5"/>
  <c r="M3" i="5"/>
  <c r="G4" i="4"/>
  <c r="E3" i="4"/>
  <c r="D4" i="4" s="1"/>
  <c r="E4" i="4" s="1"/>
  <c r="D5" i="4" s="1"/>
  <c r="E5" i="4" s="1"/>
  <c r="D6" i="4" s="1"/>
  <c r="E6" i="4" s="1"/>
  <c r="D7" i="4" s="1"/>
  <c r="J3" i="3"/>
  <c r="I3" i="3"/>
  <c r="M3" i="3" s="1"/>
  <c r="F4" i="3"/>
  <c r="I8" i="2"/>
  <c r="M8" i="2" s="1"/>
  <c r="I20" i="2"/>
  <c r="M20" i="2" s="1"/>
  <c r="I12" i="2"/>
  <c r="M12" i="2" s="1"/>
  <c r="I13" i="2"/>
  <c r="M13" i="2" s="1"/>
  <c r="I17" i="2"/>
  <c r="M17" i="2" s="1"/>
  <c r="I9" i="2"/>
  <c r="M9" i="2" s="1"/>
  <c r="I21" i="2"/>
  <c r="M21" i="2" s="1"/>
  <c r="I14" i="2"/>
  <c r="M14" i="2" s="1"/>
  <c r="I15" i="2"/>
  <c r="M15" i="2" s="1"/>
  <c r="J7" i="2"/>
  <c r="I22" i="2"/>
  <c r="M22" i="2" s="1"/>
  <c r="I10" i="2"/>
  <c r="M10" i="2" s="1"/>
  <c r="I7" i="2"/>
  <c r="M7" i="2" s="1"/>
  <c r="I18" i="2"/>
  <c r="M18" i="2" s="1"/>
  <c r="I11" i="2"/>
  <c r="M11" i="2" s="1"/>
  <c r="I19" i="2"/>
  <c r="M19" i="2" s="1"/>
  <c r="I16" i="2"/>
  <c r="M16" i="2" s="1"/>
  <c r="L3" i="1"/>
  <c r="I6" i="1"/>
  <c r="J6" i="1" s="1"/>
  <c r="K6" i="1" s="1"/>
  <c r="L6" i="1" s="1"/>
  <c r="O6" i="1" s="1"/>
  <c r="J33" i="1"/>
  <c r="K3" i="4"/>
  <c r="J3" i="4"/>
  <c r="N3" i="4" s="1"/>
  <c r="E5" i="5"/>
  <c r="D6" i="5" s="1"/>
  <c r="I5" i="1"/>
  <c r="J5" i="1" s="1"/>
  <c r="K5" i="1" s="1"/>
  <c r="L5" i="1" s="1"/>
  <c r="O5" i="1" s="1"/>
  <c r="L4" i="3" l="1"/>
  <c r="L4" i="5"/>
  <c r="M4" i="5" s="1"/>
  <c r="K5" i="5"/>
  <c r="O5" i="5" s="1"/>
  <c r="K4" i="5"/>
  <c r="O4" i="5" s="1"/>
  <c r="G6" i="5"/>
  <c r="H6" i="5" s="1"/>
  <c r="F9" i="5"/>
  <c r="F10" i="5"/>
  <c r="F5" i="4"/>
  <c r="G5" i="4" s="1"/>
  <c r="H4" i="4"/>
  <c r="I4" i="4"/>
  <c r="D5" i="3"/>
  <c r="E5" i="3"/>
  <c r="F5" i="3" s="1"/>
  <c r="G5" i="3" s="1"/>
  <c r="J5" i="3" s="1"/>
  <c r="K3" i="3"/>
  <c r="G4" i="3"/>
  <c r="H4" i="3"/>
  <c r="K18" i="2"/>
  <c r="K21" i="2"/>
  <c r="K7" i="2"/>
  <c r="K19" i="2"/>
  <c r="K22" i="2"/>
  <c r="K11" i="2"/>
  <c r="K13" i="2"/>
  <c r="K14" i="2"/>
  <c r="K8" i="2"/>
  <c r="K20" i="2"/>
  <c r="K9" i="2"/>
  <c r="K12" i="2"/>
  <c r="K15" i="2"/>
  <c r="K17" i="2"/>
  <c r="K10" i="2"/>
  <c r="K16" i="2"/>
  <c r="M14" i="1"/>
  <c r="M21" i="1"/>
  <c r="M17" i="1"/>
  <c r="M13" i="1"/>
  <c r="M9" i="1"/>
  <c r="M16" i="1"/>
  <c r="M6" i="1"/>
  <c r="M15" i="1"/>
  <c r="M11" i="1"/>
  <c r="M10" i="1"/>
  <c r="M18" i="1"/>
  <c r="M12" i="1"/>
  <c r="M22" i="1"/>
  <c r="N19" i="1"/>
  <c r="R19" i="1" s="1"/>
  <c r="N5" i="1"/>
  <c r="R5" i="1" s="1"/>
  <c r="N17" i="1"/>
  <c r="R17" i="1" s="1"/>
  <c r="N3" i="1"/>
  <c r="R3" i="1" s="1"/>
  <c r="N6" i="1"/>
  <c r="R6" i="1" s="1"/>
  <c r="N12" i="1"/>
  <c r="R12" i="1" s="1"/>
  <c r="N15" i="1"/>
  <c r="R15" i="1" s="1"/>
  <c r="N18" i="1"/>
  <c r="R18" i="1" s="1"/>
  <c r="N7" i="1"/>
  <c r="R7" i="1" s="1"/>
  <c r="N13" i="1"/>
  <c r="R13" i="1" s="1"/>
  <c r="N8" i="1"/>
  <c r="R8" i="1" s="1"/>
  <c r="N4" i="1"/>
  <c r="R4" i="1" s="1"/>
  <c r="N14" i="1"/>
  <c r="R14" i="1" s="1"/>
  <c r="N20" i="1"/>
  <c r="R20" i="1" s="1"/>
  <c r="N10" i="1"/>
  <c r="R10" i="1" s="1"/>
  <c r="O3" i="1"/>
  <c r="N21" i="1"/>
  <c r="R21" i="1" s="1"/>
  <c r="N22" i="1"/>
  <c r="R22" i="1" s="1"/>
  <c r="N16" i="1"/>
  <c r="R16" i="1" s="1"/>
  <c r="N9" i="1"/>
  <c r="R9" i="1" s="1"/>
  <c r="N11" i="1"/>
  <c r="R11" i="1" s="1"/>
  <c r="M20" i="1"/>
  <c r="M19" i="1"/>
  <c r="M7" i="1"/>
  <c r="M8" i="1"/>
  <c r="L3" i="4"/>
  <c r="H5" i="4"/>
  <c r="I5" i="4"/>
  <c r="F7" i="4"/>
  <c r="G7" i="4" s="1"/>
  <c r="H7" i="4" s="1"/>
  <c r="K7" i="4" s="1"/>
  <c r="F6" i="4"/>
  <c r="G6" i="4" s="1"/>
  <c r="H6" i="4" s="1"/>
  <c r="K6" i="4" s="1"/>
  <c r="E6" i="5"/>
  <c r="G7" i="5" s="1"/>
  <c r="H7" i="5" s="1"/>
  <c r="E7" i="4"/>
  <c r="D8" i="4" s="1"/>
  <c r="H5" i="3" l="1"/>
  <c r="L5" i="3"/>
  <c r="I7" i="5"/>
  <c r="L7" i="5" s="1"/>
  <c r="M7" i="5" s="1"/>
  <c r="I6" i="5"/>
  <c r="J7" i="5"/>
  <c r="J6" i="5"/>
  <c r="I7" i="4"/>
  <c r="K4" i="4"/>
  <c r="L4" i="4" s="1"/>
  <c r="J4" i="4"/>
  <c r="N4" i="4" s="1"/>
  <c r="D6" i="3"/>
  <c r="E6" i="3"/>
  <c r="F6" i="3" s="1"/>
  <c r="J4" i="3"/>
  <c r="I5" i="3"/>
  <c r="M5" i="3" s="1"/>
  <c r="I4" i="3"/>
  <c r="M4" i="3" s="1"/>
  <c r="P13" i="1"/>
  <c r="P10" i="1"/>
  <c r="P18" i="1"/>
  <c r="P20" i="1"/>
  <c r="P15" i="1"/>
  <c r="P21" i="1"/>
  <c r="P16" i="1"/>
  <c r="P3" i="1"/>
  <c r="P5" i="1"/>
  <c r="P11" i="1"/>
  <c r="P7" i="1"/>
  <c r="P22" i="1"/>
  <c r="P9" i="1"/>
  <c r="P4" i="1"/>
  <c r="P17" i="1"/>
  <c r="P12" i="1"/>
  <c r="P19" i="1"/>
  <c r="P14" i="1"/>
  <c r="P8" i="1"/>
  <c r="P6" i="1"/>
  <c r="K5" i="4"/>
  <c r="J6" i="4"/>
  <c r="N6" i="4" s="1"/>
  <c r="J7" i="4"/>
  <c r="N7" i="4" s="1"/>
  <c r="J5" i="4"/>
  <c r="N5" i="4" s="1"/>
  <c r="I6" i="4"/>
  <c r="F8" i="4"/>
  <c r="G8" i="4" s="1"/>
  <c r="E8" i="4"/>
  <c r="D9" i="4" s="1"/>
  <c r="L6" i="3" l="1"/>
  <c r="L6" i="5"/>
  <c r="M6" i="5" s="1"/>
  <c r="K6" i="5"/>
  <c r="O6" i="5" s="1"/>
  <c r="K7" i="5"/>
  <c r="O7" i="5" s="1"/>
  <c r="K5" i="3"/>
  <c r="K4" i="3"/>
  <c r="G6" i="3"/>
  <c r="D7" i="3"/>
  <c r="E7" i="3"/>
  <c r="F7" i="3" s="1"/>
  <c r="H6" i="3"/>
  <c r="H7" i="3"/>
  <c r="F9" i="4"/>
  <c r="G9" i="4" s="1"/>
  <c r="I8" i="4"/>
  <c r="H8" i="4"/>
  <c r="L7" i="4"/>
  <c r="L5" i="4"/>
  <c r="L6" i="4"/>
  <c r="E9" i="4"/>
  <c r="D10" i="4" s="1"/>
  <c r="L7" i="3" l="1"/>
  <c r="J6" i="3"/>
  <c r="I6" i="3"/>
  <c r="M6" i="3" s="1"/>
  <c r="G7" i="3"/>
  <c r="J7" i="3" s="1"/>
  <c r="D8" i="3"/>
  <c r="E8" i="3"/>
  <c r="F8" i="3" s="1"/>
  <c r="L8" i="3" s="1"/>
  <c r="F10" i="4"/>
  <c r="G10" i="4" s="1"/>
  <c r="H9" i="4"/>
  <c r="K9" i="4" s="1"/>
  <c r="K8" i="4"/>
  <c r="J8" i="4"/>
  <c r="N8" i="4" s="1"/>
  <c r="I10" i="4"/>
  <c r="I9" i="4"/>
  <c r="E10" i="4"/>
  <c r="D11" i="4" s="1"/>
  <c r="I7" i="3" l="1"/>
  <c r="M7" i="3" s="1"/>
  <c r="J9" i="4"/>
  <c r="N9" i="4" s="1"/>
  <c r="K6" i="3"/>
  <c r="K7" i="3"/>
  <c r="G8" i="3"/>
  <c r="H8" i="3"/>
  <c r="D9" i="3"/>
  <c r="E9" i="3"/>
  <c r="F9" i="3" s="1"/>
  <c r="F12" i="4"/>
  <c r="G12" i="4" s="1"/>
  <c r="H12" i="4" s="1"/>
  <c r="K12" i="4" s="1"/>
  <c r="F11" i="4"/>
  <c r="G11" i="4" s="1"/>
  <c r="I11" i="4" s="1"/>
  <c r="L8" i="4"/>
  <c r="L9" i="4"/>
  <c r="H10" i="4"/>
  <c r="E11" i="4"/>
  <c r="D12" i="4" s="1"/>
  <c r="L10" i="3" l="1"/>
  <c r="H9" i="3"/>
  <c r="L9" i="3"/>
  <c r="G9" i="3"/>
  <c r="J8" i="3"/>
  <c r="I8" i="3"/>
  <c r="M8" i="3" s="1"/>
  <c r="D10" i="3"/>
  <c r="E10" i="3"/>
  <c r="F10" i="3" s="1"/>
  <c r="K10" i="4"/>
  <c r="J10" i="4"/>
  <c r="N10" i="4" s="1"/>
  <c r="H11" i="4"/>
  <c r="K11" i="4" s="1"/>
  <c r="I12" i="4"/>
  <c r="E12" i="4"/>
  <c r="D13" i="4" s="1"/>
  <c r="J12" i="4" l="1"/>
  <c r="N12" i="4" s="1"/>
  <c r="J9" i="3"/>
  <c r="I9" i="3"/>
  <c r="M9" i="3" s="1"/>
  <c r="G10" i="3"/>
  <c r="H10" i="3"/>
  <c r="D11" i="3"/>
  <c r="E11" i="3"/>
  <c r="F11" i="3" s="1"/>
  <c r="L11" i="3" s="1"/>
  <c r="K9" i="3"/>
  <c r="K8" i="3"/>
  <c r="F13" i="4"/>
  <c r="G13" i="4" s="1"/>
  <c r="L11" i="4"/>
  <c r="L10" i="4"/>
  <c r="L12" i="4"/>
  <c r="J11" i="4"/>
  <c r="N11" i="4" s="1"/>
  <c r="E13" i="4"/>
  <c r="D14" i="4" s="1"/>
  <c r="G11" i="3" l="1"/>
  <c r="H11" i="3"/>
  <c r="J10" i="3"/>
  <c r="D12" i="3"/>
  <c r="E12" i="3"/>
  <c r="F12" i="3" s="1"/>
  <c r="L12" i="3" s="1"/>
  <c r="I10" i="3"/>
  <c r="M10" i="3" s="1"/>
  <c r="H13" i="4"/>
  <c r="I13" i="4"/>
  <c r="F14" i="4"/>
  <c r="G14" i="4" s="1"/>
  <c r="E14" i="4"/>
  <c r="D15" i="4" s="1"/>
  <c r="D13" i="3" l="1"/>
  <c r="E13" i="3"/>
  <c r="F13" i="3" s="1"/>
  <c r="L13" i="3" s="1"/>
  <c r="J11" i="3"/>
  <c r="I11" i="3"/>
  <c r="M11" i="3" s="1"/>
  <c r="G12" i="3"/>
  <c r="H12" i="3"/>
  <c r="K11" i="3"/>
  <c r="K10" i="3"/>
  <c r="F16" i="4"/>
  <c r="G16" i="4" s="1"/>
  <c r="F15" i="4"/>
  <c r="G15" i="4" s="1"/>
  <c r="H14" i="4"/>
  <c r="I14" i="4"/>
  <c r="K13" i="4"/>
  <c r="J13" i="4"/>
  <c r="N13" i="4" s="1"/>
  <c r="E15" i="4"/>
  <c r="D16" i="4" s="1"/>
  <c r="J12" i="3" l="1"/>
  <c r="K12" i="3" s="1"/>
  <c r="I12" i="3"/>
  <c r="M12" i="3" s="1"/>
  <c r="G13" i="3"/>
  <c r="H13" i="3"/>
  <c r="D14" i="3"/>
  <c r="E14" i="3"/>
  <c r="F14" i="3" s="1"/>
  <c r="L14" i="3" s="1"/>
  <c r="H16" i="4"/>
  <c r="I16" i="4"/>
  <c r="L13" i="4"/>
  <c r="K14" i="4"/>
  <c r="L14" i="4" s="1"/>
  <c r="J14" i="4"/>
  <c r="N14" i="4" s="1"/>
  <c r="H15" i="4"/>
  <c r="I15" i="4"/>
  <c r="E16" i="4"/>
  <c r="D17" i="4" s="1"/>
  <c r="J13" i="3" l="1"/>
  <c r="K13" i="3" s="1"/>
  <c r="I13" i="3"/>
  <c r="M13" i="3" s="1"/>
  <c r="G14" i="3"/>
  <c r="H14" i="3"/>
  <c r="D15" i="3"/>
  <c r="E15" i="3"/>
  <c r="F15" i="3" s="1"/>
  <c r="L15" i="3" s="1"/>
  <c r="K16" i="4"/>
  <c r="J16" i="4"/>
  <c r="N16" i="4" s="1"/>
  <c r="K15" i="4"/>
  <c r="L15" i="4" s="1"/>
  <c r="J15" i="4"/>
  <c r="N15" i="4" s="1"/>
  <c r="F18" i="4"/>
  <c r="G18" i="4" s="1"/>
  <c r="F17" i="4"/>
  <c r="G17" i="4" s="1"/>
  <c r="E17" i="4"/>
  <c r="D18" i="4" s="1"/>
  <c r="L16" i="4" l="1"/>
  <c r="D16" i="3"/>
  <c r="E16" i="3"/>
  <c r="F16" i="3" s="1"/>
  <c r="L16" i="3" s="1"/>
  <c r="G15" i="3"/>
  <c r="H15" i="3"/>
  <c r="J14" i="3"/>
  <c r="K14" i="3" s="1"/>
  <c r="I14" i="3"/>
  <c r="M14" i="3" s="1"/>
  <c r="H18" i="4"/>
  <c r="I18" i="4"/>
  <c r="H17" i="4"/>
  <c r="I17" i="4"/>
  <c r="E18" i="4"/>
  <c r="D19" i="4" s="1"/>
  <c r="D17" i="3" l="1"/>
  <c r="E17" i="3"/>
  <c r="F17" i="3" s="1"/>
  <c r="L17" i="3" s="1"/>
  <c r="J15" i="3"/>
  <c r="K15" i="3" s="1"/>
  <c r="I15" i="3"/>
  <c r="M15" i="3" s="1"/>
  <c r="G16" i="3"/>
  <c r="H16" i="3"/>
  <c r="K18" i="4"/>
  <c r="L18" i="4" s="1"/>
  <c r="J18" i="4"/>
  <c r="N18" i="4" s="1"/>
  <c r="K17" i="4"/>
  <c r="L17" i="4" s="1"/>
  <c r="J17" i="4"/>
  <c r="N17" i="4" s="1"/>
  <c r="F20" i="4"/>
  <c r="G20" i="4" s="1"/>
  <c r="F19" i="4"/>
  <c r="G19" i="4" s="1"/>
  <c r="E19" i="4"/>
  <c r="D20" i="4" s="1"/>
  <c r="J16" i="3" l="1"/>
  <c r="K16" i="3" s="1"/>
  <c r="I16" i="3"/>
  <c r="M16" i="3" s="1"/>
  <c r="G17" i="3"/>
  <c r="H17" i="3"/>
  <c r="D18" i="3"/>
  <c r="E18" i="3"/>
  <c r="F18" i="3" s="1"/>
  <c r="L18" i="3" s="1"/>
  <c r="H20" i="4"/>
  <c r="I20" i="4"/>
  <c r="H19" i="4"/>
  <c r="I19" i="4"/>
  <c r="E20" i="4"/>
  <c r="D21" i="4" s="1"/>
  <c r="G18" i="3" l="1"/>
  <c r="H18" i="3"/>
  <c r="D19" i="3"/>
  <c r="E19" i="3"/>
  <c r="F19" i="3" s="1"/>
  <c r="L19" i="3" s="1"/>
  <c r="J17" i="3"/>
  <c r="K17" i="3" s="1"/>
  <c r="I17" i="3"/>
  <c r="M17" i="3" s="1"/>
  <c r="F21" i="4"/>
  <c r="G21" i="4" s="1"/>
  <c r="K19" i="4"/>
  <c r="L19" i="4" s="1"/>
  <c r="J19" i="4"/>
  <c r="N19" i="4" s="1"/>
  <c r="K20" i="4"/>
  <c r="L20" i="4" s="1"/>
  <c r="J20" i="4"/>
  <c r="N20" i="4" s="1"/>
  <c r="E21" i="4"/>
  <c r="D22" i="4" s="1"/>
  <c r="F24" i="4" l="1"/>
  <c r="D20" i="3"/>
  <c r="E20" i="3"/>
  <c r="F20" i="3" s="1"/>
  <c r="L20" i="3" s="1"/>
  <c r="G19" i="3"/>
  <c r="H19" i="3"/>
  <c r="J18" i="3"/>
  <c r="K18" i="3" s="1"/>
  <c r="I18" i="3"/>
  <c r="M18" i="3" s="1"/>
  <c r="E22" i="4"/>
  <c r="F25" i="4" s="1"/>
  <c r="F23" i="4"/>
  <c r="F26" i="4"/>
  <c r="F22" i="4"/>
  <c r="G22" i="4" s="1"/>
  <c r="H21" i="4"/>
  <c r="I21" i="4"/>
  <c r="D7" i="5"/>
  <c r="E7" i="5" l="1"/>
  <c r="D8" i="5" s="1"/>
  <c r="G8" i="5"/>
  <c r="H8" i="5" s="1"/>
  <c r="F11" i="5"/>
  <c r="G20" i="3"/>
  <c r="H20" i="3"/>
  <c r="J19" i="3"/>
  <c r="K19" i="3" s="1"/>
  <c r="I19" i="3"/>
  <c r="M19" i="3" s="1"/>
  <c r="D21" i="3"/>
  <c r="E21" i="3"/>
  <c r="F21" i="3" s="1"/>
  <c r="L21" i="3" s="1"/>
  <c r="K21" i="4"/>
  <c r="L21" i="4" s="1"/>
  <c r="J21" i="4"/>
  <c r="N21" i="4" s="1"/>
  <c r="H22" i="4"/>
  <c r="I22" i="4"/>
  <c r="I8" i="5" l="1"/>
  <c r="J8" i="5"/>
  <c r="F12" i="5"/>
  <c r="E8" i="5"/>
  <c r="G9" i="5" s="1"/>
  <c r="H9" i="5" s="1"/>
  <c r="D9" i="5"/>
  <c r="G21" i="3"/>
  <c r="H21" i="3"/>
  <c r="D22" i="3"/>
  <c r="E22" i="3"/>
  <c r="F22" i="3" s="1"/>
  <c r="L22" i="3" s="1"/>
  <c r="J20" i="3"/>
  <c r="K20" i="3" s="1"/>
  <c r="I20" i="3"/>
  <c r="M20" i="3" s="1"/>
  <c r="K22" i="4"/>
  <c r="L22" i="4" s="1"/>
  <c r="J22" i="4"/>
  <c r="N22" i="4" s="1"/>
  <c r="I9" i="5" l="1"/>
  <c r="L9" i="5" s="1"/>
  <c r="M9" i="5" s="1"/>
  <c r="J9" i="5"/>
  <c r="F13" i="5"/>
  <c r="E9" i="5"/>
  <c r="G10" i="5" s="1"/>
  <c r="H10" i="5" s="1"/>
  <c r="L8" i="5"/>
  <c r="M8" i="5" s="1"/>
  <c r="K8" i="5"/>
  <c r="O8" i="5" s="1"/>
  <c r="K9" i="5"/>
  <c r="O9" i="5" s="1"/>
  <c r="E23" i="3"/>
  <c r="E24" i="3"/>
  <c r="E25" i="3"/>
  <c r="E26" i="3"/>
  <c r="G22" i="3"/>
  <c r="H22" i="3"/>
  <c r="J21" i="3"/>
  <c r="K21" i="3" s="1"/>
  <c r="I21" i="3"/>
  <c r="M21" i="3" s="1"/>
  <c r="I10" i="5" l="1"/>
  <c r="J10" i="5"/>
  <c r="D10" i="5"/>
  <c r="J22" i="3"/>
  <c r="K22" i="3" s="1"/>
  <c r="I22" i="3"/>
  <c r="M22" i="3" s="1"/>
  <c r="L10" i="5" l="1"/>
  <c r="M10" i="5" s="1"/>
  <c r="K10" i="5"/>
  <c r="O10" i="5" s="1"/>
  <c r="F14" i="5"/>
  <c r="E10" i="5"/>
  <c r="G11" i="5" s="1"/>
  <c r="H11" i="5" s="1"/>
  <c r="I11" i="5" l="1"/>
  <c r="J11" i="5"/>
  <c r="D11" i="5"/>
  <c r="L11" i="5" l="1"/>
  <c r="M11" i="5" s="1"/>
  <c r="K11" i="5"/>
  <c r="O11" i="5" s="1"/>
  <c r="F15" i="5"/>
  <c r="E11" i="5"/>
  <c r="G12" i="5" s="1"/>
  <c r="H12" i="5" s="1"/>
  <c r="I12" i="5" l="1"/>
  <c r="J12" i="5"/>
  <c r="D12" i="5"/>
  <c r="G13" i="5" l="1"/>
  <c r="H13" i="5" s="1"/>
  <c r="E12" i="5"/>
  <c r="D13" i="5" s="1"/>
  <c r="F16" i="5"/>
  <c r="L12" i="5"/>
  <c r="M12" i="5" s="1"/>
  <c r="K12" i="5"/>
  <c r="O12" i="5" s="1"/>
  <c r="F17" i="5" l="1"/>
  <c r="E13" i="5"/>
  <c r="D14" i="5" s="1"/>
  <c r="I13" i="5"/>
  <c r="J13" i="5"/>
  <c r="G15" i="5" l="1"/>
  <c r="H15" i="5" s="1"/>
  <c r="F18" i="5"/>
  <c r="E14" i="5"/>
  <c r="D15" i="5" s="1"/>
  <c r="G14" i="5"/>
  <c r="H14" i="5" s="1"/>
  <c r="L13" i="5"/>
  <c r="M13" i="5" s="1"/>
  <c r="K13" i="5"/>
  <c r="O13" i="5" s="1"/>
  <c r="G16" i="5" l="1"/>
  <c r="H16" i="5" s="1"/>
  <c r="F19" i="5"/>
  <c r="E15" i="5"/>
  <c r="D16" i="5" s="1"/>
  <c r="I15" i="5"/>
  <c r="J15" i="5"/>
  <c r="I14" i="5"/>
  <c r="J14" i="5"/>
  <c r="I16" i="5" l="1"/>
  <c r="J16" i="5"/>
  <c r="L14" i="5"/>
  <c r="M14" i="5" s="1"/>
  <c r="K14" i="5"/>
  <c r="O14" i="5" s="1"/>
  <c r="L15" i="5"/>
  <c r="M15" i="5" s="1"/>
  <c r="K15" i="5"/>
  <c r="O15" i="5" s="1"/>
  <c r="F20" i="5"/>
  <c r="E16" i="5"/>
  <c r="G17" i="5" s="1"/>
  <c r="H17" i="5" s="1"/>
  <c r="D17" i="5"/>
  <c r="I17" i="5" l="1"/>
  <c r="J17" i="5"/>
  <c r="F21" i="5"/>
  <c r="E17" i="5"/>
  <c r="D18" i="5" s="1"/>
  <c r="L16" i="5"/>
  <c r="M16" i="5" s="1"/>
  <c r="K16" i="5"/>
  <c r="O16" i="5" s="1"/>
  <c r="L17" i="5" l="1"/>
  <c r="M17" i="5" s="1"/>
  <c r="K17" i="5"/>
  <c r="O17" i="5" s="1"/>
  <c r="F22" i="5"/>
  <c r="E18" i="5"/>
  <c r="D19" i="5" s="1"/>
  <c r="G18" i="5"/>
  <c r="H18" i="5" s="1"/>
  <c r="I18" i="5" l="1"/>
  <c r="J18" i="5"/>
  <c r="F23" i="5"/>
  <c r="E19" i="5"/>
  <c r="D20" i="5" s="1"/>
  <c r="G19" i="5"/>
  <c r="H19" i="5" s="1"/>
  <c r="G21" i="5" l="1"/>
  <c r="H21" i="5" s="1"/>
  <c r="F24" i="5"/>
  <c r="E20" i="5"/>
  <c r="D21" i="5"/>
  <c r="I19" i="5"/>
  <c r="J19" i="5"/>
  <c r="G20" i="5"/>
  <c r="H20" i="5" s="1"/>
  <c r="L18" i="5"/>
  <c r="M18" i="5" s="1"/>
  <c r="K18" i="5"/>
  <c r="O18" i="5" s="1"/>
  <c r="I20" i="5" l="1"/>
  <c r="J20" i="5"/>
  <c r="I21" i="5"/>
  <c r="J21" i="5"/>
  <c r="L19" i="5"/>
  <c r="M19" i="5" s="1"/>
  <c r="K19" i="5"/>
  <c r="O19" i="5" s="1"/>
  <c r="F25" i="5"/>
  <c r="E21" i="5"/>
  <c r="D22" i="5" s="1"/>
  <c r="E22" i="5" l="1"/>
  <c r="G23" i="5" s="1"/>
  <c r="F26" i="5"/>
  <c r="L20" i="5"/>
  <c r="M20" i="5" s="1"/>
  <c r="K20" i="5"/>
  <c r="O20" i="5" s="1"/>
  <c r="G22" i="5"/>
  <c r="H22" i="5" s="1"/>
  <c r="L21" i="5"/>
  <c r="M21" i="5" s="1"/>
  <c r="K21" i="5"/>
  <c r="O21" i="5" s="1"/>
  <c r="B30" i="5" l="1"/>
  <c r="G25" i="5"/>
  <c r="I22" i="5"/>
  <c r="J22" i="5"/>
  <c r="G24" i="5"/>
  <c r="G26" i="5"/>
  <c r="L22" i="5" l="1"/>
  <c r="M22" i="5" s="1"/>
  <c r="K22" i="5"/>
  <c r="O22" i="5" s="1"/>
</calcChain>
</file>

<file path=xl/sharedStrings.xml><?xml version="1.0" encoding="utf-8"?>
<sst xmlns="http://schemas.openxmlformats.org/spreadsheetml/2006/main" count="96" uniqueCount="28">
  <si>
    <t>Year</t>
  </si>
  <si>
    <t>Quarter t</t>
  </si>
  <si>
    <t>Demand</t>
  </si>
  <si>
    <t xml:space="preserve">Deseasonalized </t>
  </si>
  <si>
    <t>Level</t>
  </si>
  <si>
    <t>Trend</t>
  </si>
  <si>
    <t>Regressed Deseason. Demand</t>
  </si>
  <si>
    <t>Seassonal factors</t>
  </si>
  <si>
    <t>Avg Seasonal Factors</t>
  </si>
  <si>
    <t>Forecast</t>
  </si>
  <si>
    <t>Error</t>
  </si>
  <si>
    <t>Abs Error</t>
  </si>
  <si>
    <t>MSE</t>
  </si>
  <si>
    <t>MAD</t>
  </si>
  <si>
    <t>% Error</t>
  </si>
  <si>
    <t>MAPE</t>
  </si>
  <si>
    <t>TS</t>
  </si>
  <si>
    <t>Abs error</t>
  </si>
  <si>
    <t>Seasonal Factor</t>
  </si>
  <si>
    <t>period t</t>
  </si>
  <si>
    <t>Static</t>
  </si>
  <si>
    <t>MA</t>
  </si>
  <si>
    <t>SES</t>
  </si>
  <si>
    <t>Holts</t>
  </si>
  <si>
    <t>Winters</t>
  </si>
  <si>
    <t>Average</t>
  </si>
  <si>
    <t>annual demand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</si>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</sst>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4" fontId="0" fillId="0" borderId="0" xfId="0" applyNumberFormat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3" fontId="0" fillId="0" borderId="4" xfId="0" applyNumberFormat="1" applyBorder="1"/>
    <xf numFmtId="3" fontId="0" fillId="0" borderId="6" xfId="0" applyNumberFormat="1" applyBorder="1"/>
    <xf numFmtId="4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2" fontId="0" fillId="0" borderId="7" xfId="0" applyNumberFormat="1" applyBorder="1"/>
    <xf numFmtId="3" fontId="1" fillId="0" borderId="5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F-4292-82B9-CA55C6A2939F}"/>
            </c:ext>
          </c:extLst>
        </c:ser>
        <c:ser>
          <c:idx val="1"/>
          <c:order val="1"/>
          <c:tx>
            <c:v>Static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Static!$J$3:$J$26</c:f>
              <c:numCache>
                <c:formatCode>0</c:formatCode>
                <c:ptCount val="24"/>
                <c:pt idx="0">
                  <c:v>2281.8608121604407</c:v>
                </c:pt>
                <c:pt idx="1">
                  <c:v>1641.6724730431065</c:v>
                </c:pt>
                <c:pt idx="2">
                  <c:v>2055.8472546495486</c:v>
                </c:pt>
                <c:pt idx="3">
                  <c:v>5670.9468200869651</c:v>
                </c:pt>
                <c:pt idx="4">
                  <c:v>3018.9662867647057</c:v>
                </c:pt>
                <c:pt idx="5">
                  <c:v>2135.1480882352939</c:v>
                </c:pt>
                <c:pt idx="6">
                  <c:v>2633.9273161764704</c:v>
                </c:pt>
                <c:pt idx="7">
                  <c:v>7140.4676470588238</c:v>
                </c:pt>
                <c:pt idx="8">
                  <c:v>3753.9896691176477</c:v>
                </c:pt>
                <c:pt idx="9">
                  <c:v>2625.1636764705881</c:v>
                </c:pt>
                <c:pt idx="10">
                  <c:v>3205.6121691176468</c:v>
                </c:pt>
                <c:pt idx="11">
                  <c:v>8610.5144117647051</c:v>
                </c:pt>
                <c:pt idx="12">
                  <c:v>4489.0130514705888</c:v>
                </c:pt>
                <c:pt idx="13">
                  <c:v>3115.1792647058828</c:v>
                </c:pt>
                <c:pt idx="14">
                  <c:v>3777.2970220588236</c:v>
                </c:pt>
                <c:pt idx="15">
                  <c:v>10080.561176470588</c:v>
                </c:pt>
                <c:pt idx="16">
                  <c:v>5224.0364338235295</c:v>
                </c:pt>
                <c:pt idx="17">
                  <c:v>3605.1948529411761</c:v>
                </c:pt>
                <c:pt idx="18">
                  <c:v>4348.9818749999995</c:v>
                </c:pt>
                <c:pt idx="19">
                  <c:v>11550.607941176473</c:v>
                </c:pt>
                <c:pt idx="20">
                  <c:v>5959.059816176471</c:v>
                </c:pt>
                <c:pt idx="21">
                  <c:v>4095.2104411764703</c:v>
                </c:pt>
                <c:pt idx="22">
                  <c:v>4920.6667279411758</c:v>
                </c:pt>
                <c:pt idx="23">
                  <c:v>13020.654705882353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F-4292-82B9-CA55C6A2939F}"/>
            </c:ext>
          </c:extLst>
        </c:ser>
        <c:ser>
          <c:idx val="2"/>
          <c:order val="2"/>
          <c:tx>
            <c:v>Moving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MA!$E$7:$E$26</c:f>
              <c:numCache>
                <c:formatCode>#,##0</c:formatCode>
                <c:ptCount val="20"/>
                <c:pt idx="0">
                  <c:v>3075</c:v>
                </c:pt>
                <c:pt idx="1">
                  <c:v>3359.25</c:v>
                </c:pt>
                <c:pt idx="2">
                  <c:v>3450.5</c:v>
                </c:pt>
                <c:pt idx="3">
                  <c:v>3686.25</c:v>
                </c:pt>
                <c:pt idx="4">
                  <c:v>3638.25</c:v>
                </c:pt>
                <c:pt idx="5">
                  <c:v>3774.75</c:v>
                </c:pt>
                <c:pt idx="6">
                  <c:v>3915</c:v>
                </c:pt>
                <c:pt idx="7">
                  <c:v>3714</c:v>
                </c:pt>
                <c:pt idx="8">
                  <c:v>3983.25</c:v>
                </c:pt>
                <c:pt idx="9">
                  <c:v>4291.5</c:v>
                </c:pt>
                <c:pt idx="10">
                  <c:v>4655</c:v>
                </c:pt>
                <c:pt idx="11">
                  <c:v>5048.5</c:v>
                </c:pt>
                <c:pt idx="12">
                  <c:v>5899.5</c:v>
                </c:pt>
                <c:pt idx="13">
                  <c:v>5935</c:v>
                </c:pt>
                <c:pt idx="14">
                  <c:v>5780.75</c:v>
                </c:pt>
                <c:pt idx="15">
                  <c:v>5899.5</c:v>
                </c:pt>
                <c:pt idx="16">
                  <c:v>6138.5</c:v>
                </c:pt>
                <c:pt idx="17">
                  <c:v>6138.5</c:v>
                </c:pt>
                <c:pt idx="18">
                  <c:v>6138.5</c:v>
                </c:pt>
                <c:pt idx="19">
                  <c:v>6138.5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F-4292-82B9-CA55C6A2939F}"/>
            </c:ext>
          </c:extLst>
        </c:ser>
        <c:ser>
          <c:idx val="3"/>
          <c:order val="3"/>
          <c:tx>
            <c:v>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SES!$E$3:$E$26</c:f>
              <c:numCache>
                <c:formatCode>#,##0</c:formatCode>
                <c:ptCount val="24"/>
                <c:pt idx="0">
                  <c:v>4546.8999999999996</c:v>
                </c:pt>
                <c:pt idx="1">
                  <c:v>4395.5859999999993</c:v>
                </c:pt>
                <c:pt idx="2">
                  <c:v>4225.6308399999989</c:v>
                </c:pt>
                <c:pt idx="3">
                  <c:v>4102.2929895999987</c:v>
                </c:pt>
                <c:pt idx="4">
                  <c:v>4248.6754102239984</c:v>
                </c:pt>
                <c:pt idx="5">
                  <c:v>4183.474885610558</c:v>
                </c:pt>
                <c:pt idx="6">
                  <c:v>4048.1463924739242</c:v>
                </c:pt>
                <c:pt idx="7">
                  <c:v>3992.0376089254887</c:v>
                </c:pt>
                <c:pt idx="8">
                  <c:v>4133.5153523899589</c:v>
                </c:pt>
                <c:pt idx="9">
                  <c:v>4107.9844312465611</c:v>
                </c:pt>
                <c:pt idx="10">
                  <c:v>4010.8453653717675</c:v>
                </c:pt>
                <c:pt idx="11">
                  <c:v>3908.7346434494611</c:v>
                </c:pt>
                <c:pt idx="12">
                  <c:v>4119.830564842493</c:v>
                </c:pt>
                <c:pt idx="13">
                  <c:v>4169.1007309519428</c:v>
                </c:pt>
                <c:pt idx="14">
                  <c:v>4155.534687094826</c:v>
                </c:pt>
                <c:pt idx="15">
                  <c:v>4139.1826058691358</c:v>
                </c:pt>
                <c:pt idx="16">
                  <c:v>4540.6916495169871</c:v>
                </c:pt>
                <c:pt idx="17">
                  <c:v>4573.2301505459673</c:v>
                </c:pt>
                <c:pt idx="18">
                  <c:v>4498.3963415132093</c:v>
                </c:pt>
                <c:pt idx="19">
                  <c:v>4489.9725610224159</c:v>
                </c:pt>
                <c:pt idx="20">
                  <c:v>4927.7942073610711</c:v>
                </c:pt>
                <c:pt idx="21">
                  <c:v>4927.7942073610711</c:v>
                </c:pt>
                <c:pt idx="22">
                  <c:v>4927.7942073610711</c:v>
                </c:pt>
                <c:pt idx="23">
                  <c:v>4927.7942073610711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F-4292-82B9-CA55C6A2939F}"/>
            </c:ext>
          </c:extLst>
        </c:ser>
        <c:ser>
          <c:idx val="4"/>
          <c:order val="4"/>
          <c:tx>
            <c:v>Holts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Holts!$F$3:$F$26</c:f>
              <c:numCache>
                <c:formatCode>#,##0</c:formatCode>
                <c:ptCount val="24"/>
                <c:pt idx="0">
                  <c:v>2096.4571428571426</c:v>
                </c:pt>
                <c:pt idx="1">
                  <c:v>2349.8538219548868</c:v>
                </c:pt>
                <c:pt idx="2">
                  <c:v>2557.4940265477289</c:v>
                </c:pt>
                <c:pt idx="3">
                  <c:v>2787.7008403694285</c:v>
                </c:pt>
                <c:pt idx="4">
                  <c:v>3279.9307223364963</c:v>
                </c:pt>
                <c:pt idx="5">
                  <c:v>3539.4022607851284</c:v>
                </c:pt>
                <c:pt idx="6">
                  <c:v>3703.4644587880157</c:v>
                </c:pt>
                <c:pt idx="7">
                  <c:v>3926.6572528590937</c:v>
                </c:pt>
                <c:pt idx="8">
                  <c:v>4339.4025131756134</c:v>
                </c:pt>
                <c:pt idx="9">
                  <c:v>4566.5900088257104</c:v>
                </c:pt>
                <c:pt idx="10">
                  <c:v>4699.5269307050285</c:v>
                </c:pt>
                <c:pt idx="11">
                  <c:v>4805.0817403210494</c:v>
                </c:pt>
                <c:pt idx="12">
                  <c:v>5220.8221670949533</c:v>
                </c:pt>
                <c:pt idx="13">
                  <c:v>5461.4508084608815</c:v>
                </c:pt>
                <c:pt idx="14">
                  <c:v>5622.2953084343944</c:v>
                </c:pt>
                <c:pt idx="15">
                  <c:v>5763.6276752991325</c:v>
                </c:pt>
                <c:pt idx="16">
                  <c:v>6331.6026405209095</c:v>
                </c:pt>
                <c:pt idx="17">
                  <c:v>6516.1241383235047</c:v>
                </c:pt>
                <c:pt idx="18">
                  <c:v>6572.6698993599803</c:v>
                </c:pt>
                <c:pt idx="19">
                  <c:v>6679.7701030965709</c:v>
                </c:pt>
                <c:pt idx="20">
                  <c:v>7244.5703222378179</c:v>
                </c:pt>
                <c:pt idx="21">
                  <c:v>7502.9367475648596</c:v>
                </c:pt>
                <c:pt idx="22">
                  <c:v>7761.3031728919013</c:v>
                </c:pt>
                <c:pt idx="23">
                  <c:v>8019.6695982189431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F-4292-82B9-CA55C6A2939F}"/>
            </c:ext>
          </c:extLst>
        </c:ser>
        <c:ser>
          <c:idx val="5"/>
          <c:order val="5"/>
          <c:tx>
            <c:v>Winters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Winters!$G$3:$G$26</c:f>
              <c:numCache>
                <c:formatCode>0</c:formatCode>
                <c:ptCount val="24"/>
                <c:pt idx="0">
                  <c:v>2279.1620702256332</c:v>
                </c:pt>
                <c:pt idx="1">
                  <c:v>1627.3155272661188</c:v>
                </c:pt>
                <c:pt idx="2">
                  <c:v>2031.5430997755579</c:v>
                </c:pt>
                <c:pt idx="3">
                  <c:v>5623.0376445464035</c:v>
                </c:pt>
                <c:pt idx="4">
                  <c:v>2999.0486203011565</c:v>
                </c:pt>
                <c:pt idx="5">
                  <c:v>2133.0117497750753</c:v>
                </c:pt>
                <c:pt idx="6">
                  <c:v>2628.0273781836904</c:v>
                </c:pt>
                <c:pt idx="7">
                  <c:v>7261.698659808977</c:v>
                </c:pt>
                <c:pt idx="8">
                  <c:v>3736.9758404690374</c:v>
                </c:pt>
                <c:pt idx="9">
                  <c:v>2596.4657307011803</c:v>
                </c:pt>
                <c:pt idx="10">
                  <c:v>3227.8083450171339</c:v>
                </c:pt>
                <c:pt idx="11">
                  <c:v>8441.0214378194087</c:v>
                </c:pt>
                <c:pt idx="12">
                  <c:v>4336.8839787112811</c:v>
                </c:pt>
                <c:pt idx="13">
                  <c:v>3010.6385356636906</c:v>
                </c:pt>
                <c:pt idx="14">
                  <c:v>3742.8686825374434</c:v>
                </c:pt>
                <c:pt idx="15">
                  <c:v>10017.761361527349</c:v>
                </c:pt>
                <c:pt idx="16">
                  <c:v>5258.8385563180882</c:v>
                </c:pt>
                <c:pt idx="17">
                  <c:v>3628.3784610625953</c:v>
                </c:pt>
                <c:pt idx="18">
                  <c:v>4318.8554499204511</c:v>
                </c:pt>
                <c:pt idx="19">
                  <c:v>11511.926716029153</c:v>
                </c:pt>
                <c:pt idx="20">
                  <c:v>5956.3882998161735</c:v>
                </c:pt>
                <c:pt idx="21">
                  <c:v>4088.7572797841408</c:v>
                </c:pt>
                <c:pt idx="22">
                  <c:v>4898.0201040908787</c:v>
                </c:pt>
                <c:pt idx="23">
                  <c:v>13011.834497670685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F-4292-82B9-CA55C6A2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Static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39810719372664"/>
          <c:y val="0.20758621804717942"/>
          <c:w val="0.81523309983235026"/>
          <c:h val="0.52412308831005983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011-BCA0-96DEFC35E9C9}"/>
            </c:ext>
          </c:extLst>
        </c:ser>
        <c:ser>
          <c:idx val="1"/>
          <c:order val="1"/>
          <c:tx>
            <c:v>Static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Static!$J$3:$J$26</c:f>
              <c:numCache>
                <c:formatCode>0</c:formatCode>
                <c:ptCount val="24"/>
                <c:pt idx="0">
                  <c:v>2281.8608121604407</c:v>
                </c:pt>
                <c:pt idx="1">
                  <c:v>1641.6724730431065</c:v>
                </c:pt>
                <c:pt idx="2">
                  <c:v>2055.8472546495486</c:v>
                </c:pt>
                <c:pt idx="3">
                  <c:v>5670.9468200869651</c:v>
                </c:pt>
                <c:pt idx="4">
                  <c:v>3018.9662867647057</c:v>
                </c:pt>
                <c:pt idx="5">
                  <c:v>2135.1480882352939</c:v>
                </c:pt>
                <c:pt idx="6">
                  <c:v>2633.9273161764704</c:v>
                </c:pt>
                <c:pt idx="7">
                  <c:v>7140.4676470588238</c:v>
                </c:pt>
                <c:pt idx="8">
                  <c:v>3753.9896691176477</c:v>
                </c:pt>
                <c:pt idx="9">
                  <c:v>2625.1636764705881</c:v>
                </c:pt>
                <c:pt idx="10">
                  <c:v>3205.6121691176468</c:v>
                </c:pt>
                <c:pt idx="11">
                  <c:v>8610.5144117647051</c:v>
                </c:pt>
                <c:pt idx="12">
                  <c:v>4489.0130514705888</c:v>
                </c:pt>
                <c:pt idx="13">
                  <c:v>3115.1792647058828</c:v>
                </c:pt>
                <c:pt idx="14">
                  <c:v>3777.2970220588236</c:v>
                </c:pt>
                <c:pt idx="15">
                  <c:v>10080.561176470588</c:v>
                </c:pt>
                <c:pt idx="16">
                  <c:v>5224.0364338235295</c:v>
                </c:pt>
                <c:pt idx="17">
                  <c:v>3605.1948529411761</c:v>
                </c:pt>
                <c:pt idx="18">
                  <c:v>4348.9818749999995</c:v>
                </c:pt>
                <c:pt idx="19">
                  <c:v>11550.607941176473</c:v>
                </c:pt>
                <c:pt idx="20">
                  <c:v>5959.059816176471</c:v>
                </c:pt>
                <c:pt idx="21">
                  <c:v>4095.2104411764703</c:v>
                </c:pt>
                <c:pt idx="22">
                  <c:v>4920.6667279411758</c:v>
                </c:pt>
                <c:pt idx="23">
                  <c:v>13020.654705882353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5-4011-BCA0-96DEFC35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MA!$E$7:$E$26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3075</c:v>
                      </c:pt>
                      <c:pt idx="1">
                        <c:v>3359.25</c:v>
                      </c:pt>
                      <c:pt idx="2">
                        <c:v>3450.5</c:v>
                      </c:pt>
                      <c:pt idx="3">
                        <c:v>3686.25</c:v>
                      </c:pt>
                      <c:pt idx="4">
                        <c:v>3638.25</c:v>
                      </c:pt>
                      <c:pt idx="5">
                        <c:v>3774.75</c:v>
                      </c:pt>
                      <c:pt idx="6">
                        <c:v>3915</c:v>
                      </c:pt>
                      <c:pt idx="7">
                        <c:v>3714</c:v>
                      </c:pt>
                      <c:pt idx="8">
                        <c:v>3983.25</c:v>
                      </c:pt>
                      <c:pt idx="9">
                        <c:v>4291.5</c:v>
                      </c:pt>
                      <c:pt idx="10">
                        <c:v>4655</c:v>
                      </c:pt>
                      <c:pt idx="11">
                        <c:v>5048.5</c:v>
                      </c:pt>
                      <c:pt idx="12">
                        <c:v>5899.5</c:v>
                      </c:pt>
                      <c:pt idx="13">
                        <c:v>5935</c:v>
                      </c:pt>
                      <c:pt idx="14">
                        <c:v>5780.75</c:v>
                      </c:pt>
                      <c:pt idx="15">
                        <c:v>5899.5</c:v>
                      </c:pt>
                      <c:pt idx="16">
                        <c:v>6138.5</c:v>
                      </c:pt>
                      <c:pt idx="17">
                        <c:v>6138.5</c:v>
                      </c:pt>
                      <c:pt idx="18">
                        <c:v>6138.5</c:v>
                      </c:pt>
                      <c:pt idx="19">
                        <c:v>6138.5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D5-4011-BCA0-96DEFC35E9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SES!$E$3:$E$26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4546.8999999999996</c:v>
                      </c:pt>
                      <c:pt idx="1">
                        <c:v>4395.5859999999993</c:v>
                      </c:pt>
                      <c:pt idx="2">
                        <c:v>4225.6308399999989</c:v>
                      </c:pt>
                      <c:pt idx="3">
                        <c:v>4102.2929895999987</c:v>
                      </c:pt>
                      <c:pt idx="4">
                        <c:v>4248.6754102239984</c:v>
                      </c:pt>
                      <c:pt idx="5">
                        <c:v>4183.474885610558</c:v>
                      </c:pt>
                      <c:pt idx="6">
                        <c:v>4048.1463924739242</c:v>
                      </c:pt>
                      <c:pt idx="7">
                        <c:v>3992.0376089254887</c:v>
                      </c:pt>
                      <c:pt idx="8">
                        <c:v>4133.5153523899589</c:v>
                      </c:pt>
                      <c:pt idx="9">
                        <c:v>4107.9844312465611</c:v>
                      </c:pt>
                      <c:pt idx="10">
                        <c:v>4010.8453653717675</c:v>
                      </c:pt>
                      <c:pt idx="11">
                        <c:v>3908.7346434494611</c:v>
                      </c:pt>
                      <c:pt idx="12">
                        <c:v>4119.830564842493</c:v>
                      </c:pt>
                      <c:pt idx="13">
                        <c:v>4169.1007309519428</c:v>
                      </c:pt>
                      <c:pt idx="14">
                        <c:v>4155.534687094826</c:v>
                      </c:pt>
                      <c:pt idx="15">
                        <c:v>4139.1826058691358</c:v>
                      </c:pt>
                      <c:pt idx="16">
                        <c:v>4540.6916495169871</c:v>
                      </c:pt>
                      <c:pt idx="17">
                        <c:v>4573.2301505459673</c:v>
                      </c:pt>
                      <c:pt idx="18">
                        <c:v>4498.3963415132093</c:v>
                      </c:pt>
                      <c:pt idx="19">
                        <c:v>4489.9725610224159</c:v>
                      </c:pt>
                      <c:pt idx="20">
                        <c:v>4927.7942073610711</c:v>
                      </c:pt>
                      <c:pt idx="21">
                        <c:v>4927.7942073610711</c:v>
                      </c:pt>
                      <c:pt idx="22">
                        <c:v>4927.7942073610711</c:v>
                      </c:pt>
                      <c:pt idx="23">
                        <c:v>4927.7942073610711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D5-4011-BCA0-96DEFC35E9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Holts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Holts!$F$3:$F$26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2096.4571428571426</c:v>
                      </c:pt>
                      <c:pt idx="1">
                        <c:v>2349.8538219548868</c:v>
                      </c:pt>
                      <c:pt idx="2">
                        <c:v>2557.4940265477289</c:v>
                      </c:pt>
                      <c:pt idx="3">
                        <c:v>2787.7008403694285</c:v>
                      </c:pt>
                      <c:pt idx="4">
                        <c:v>3279.9307223364963</c:v>
                      </c:pt>
                      <c:pt idx="5">
                        <c:v>3539.4022607851284</c:v>
                      </c:pt>
                      <c:pt idx="6">
                        <c:v>3703.4644587880157</c:v>
                      </c:pt>
                      <c:pt idx="7">
                        <c:v>3926.6572528590937</c:v>
                      </c:pt>
                      <c:pt idx="8">
                        <c:v>4339.4025131756134</c:v>
                      </c:pt>
                      <c:pt idx="9">
                        <c:v>4566.5900088257104</c:v>
                      </c:pt>
                      <c:pt idx="10">
                        <c:v>4699.5269307050285</c:v>
                      </c:pt>
                      <c:pt idx="11">
                        <c:v>4805.0817403210494</c:v>
                      </c:pt>
                      <c:pt idx="12">
                        <c:v>5220.8221670949533</c:v>
                      </c:pt>
                      <c:pt idx="13">
                        <c:v>5461.4508084608815</c:v>
                      </c:pt>
                      <c:pt idx="14">
                        <c:v>5622.2953084343944</c:v>
                      </c:pt>
                      <c:pt idx="15">
                        <c:v>5763.6276752991325</c:v>
                      </c:pt>
                      <c:pt idx="16">
                        <c:v>6331.6026405209095</c:v>
                      </c:pt>
                      <c:pt idx="17">
                        <c:v>6516.1241383235047</c:v>
                      </c:pt>
                      <c:pt idx="18">
                        <c:v>6572.6698993599803</c:v>
                      </c:pt>
                      <c:pt idx="19">
                        <c:v>6679.7701030965709</c:v>
                      </c:pt>
                      <c:pt idx="20">
                        <c:v>7244.5703222378179</c:v>
                      </c:pt>
                      <c:pt idx="21">
                        <c:v>7502.9367475648596</c:v>
                      </c:pt>
                      <c:pt idx="22">
                        <c:v>7761.3031728919013</c:v>
                      </c:pt>
                      <c:pt idx="23">
                        <c:v>8019.6695982189431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D5-4011-BCA0-96DEFC35E9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Winters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Winters!$G$3:$G$26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2279.1620702256332</c:v>
                      </c:pt>
                      <c:pt idx="1">
                        <c:v>1627.3155272661188</c:v>
                      </c:pt>
                      <c:pt idx="2">
                        <c:v>2031.5430997755579</c:v>
                      </c:pt>
                      <c:pt idx="3">
                        <c:v>5623.0376445464035</c:v>
                      </c:pt>
                      <c:pt idx="4">
                        <c:v>2999.0486203011565</c:v>
                      </c:pt>
                      <c:pt idx="5">
                        <c:v>2133.0117497750753</c:v>
                      </c:pt>
                      <c:pt idx="6">
                        <c:v>2628.0273781836904</c:v>
                      </c:pt>
                      <c:pt idx="7">
                        <c:v>7261.698659808977</c:v>
                      </c:pt>
                      <c:pt idx="8">
                        <c:v>3736.9758404690374</c:v>
                      </c:pt>
                      <c:pt idx="9">
                        <c:v>2596.4657307011803</c:v>
                      </c:pt>
                      <c:pt idx="10">
                        <c:v>3227.8083450171339</c:v>
                      </c:pt>
                      <c:pt idx="11">
                        <c:v>8441.0214378194087</c:v>
                      </c:pt>
                      <c:pt idx="12">
                        <c:v>4336.8839787112811</c:v>
                      </c:pt>
                      <c:pt idx="13">
                        <c:v>3010.6385356636906</c:v>
                      </c:pt>
                      <c:pt idx="14">
                        <c:v>3742.8686825374434</c:v>
                      </c:pt>
                      <c:pt idx="15">
                        <c:v>10017.761361527349</c:v>
                      </c:pt>
                      <c:pt idx="16">
                        <c:v>5258.8385563180882</c:v>
                      </c:pt>
                      <c:pt idx="17">
                        <c:v>3628.3784610625953</c:v>
                      </c:pt>
                      <c:pt idx="18">
                        <c:v>4318.8554499204511</c:v>
                      </c:pt>
                      <c:pt idx="19">
                        <c:v>11511.926716029153</c:v>
                      </c:pt>
                      <c:pt idx="20">
                        <c:v>5956.3882998161735</c:v>
                      </c:pt>
                      <c:pt idx="21">
                        <c:v>4088.7572797841408</c:v>
                      </c:pt>
                      <c:pt idx="22">
                        <c:v>4898.0201040908787</c:v>
                      </c:pt>
                      <c:pt idx="23">
                        <c:v>13011.834497670685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D5-4011-BCA0-96DEFC35E9C9}"/>
                  </c:ext>
                </c:extLst>
              </c15:ser>
            </c15:filteredLineSeries>
          </c:ext>
        </c:extLst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MA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A-4CBC-AD94-69C682684442}"/>
            </c:ext>
          </c:extLst>
        </c:ser>
        <c:ser>
          <c:idx val="2"/>
          <c:order val="2"/>
          <c:tx>
            <c:v>Moving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MA!$E$7:$E$26</c:f>
              <c:numCache>
                <c:formatCode>#,##0</c:formatCode>
                <c:ptCount val="20"/>
                <c:pt idx="0">
                  <c:v>3075</c:v>
                </c:pt>
                <c:pt idx="1">
                  <c:v>3359.25</c:v>
                </c:pt>
                <c:pt idx="2">
                  <c:v>3450.5</c:v>
                </c:pt>
                <c:pt idx="3">
                  <c:v>3686.25</c:v>
                </c:pt>
                <c:pt idx="4">
                  <c:v>3638.25</c:v>
                </c:pt>
                <c:pt idx="5">
                  <c:v>3774.75</c:v>
                </c:pt>
                <c:pt idx="6">
                  <c:v>3915</c:v>
                </c:pt>
                <c:pt idx="7">
                  <c:v>3714</c:v>
                </c:pt>
                <c:pt idx="8">
                  <c:v>3983.25</c:v>
                </c:pt>
                <c:pt idx="9">
                  <c:v>4291.5</c:v>
                </c:pt>
                <c:pt idx="10">
                  <c:v>4655</c:v>
                </c:pt>
                <c:pt idx="11">
                  <c:v>5048.5</c:v>
                </c:pt>
                <c:pt idx="12">
                  <c:v>5899.5</c:v>
                </c:pt>
                <c:pt idx="13">
                  <c:v>5935</c:v>
                </c:pt>
                <c:pt idx="14">
                  <c:v>5780.75</c:v>
                </c:pt>
                <c:pt idx="15">
                  <c:v>5899.5</c:v>
                </c:pt>
                <c:pt idx="16">
                  <c:v>6138.5</c:v>
                </c:pt>
                <c:pt idx="17">
                  <c:v>6138.5</c:v>
                </c:pt>
                <c:pt idx="18">
                  <c:v>6138.5</c:v>
                </c:pt>
                <c:pt idx="19">
                  <c:v>6138.5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6CA-4CBC-AD94-69C68268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Static 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Static!$J$3:$J$26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2281.8608121604407</c:v>
                      </c:pt>
                      <c:pt idx="1">
                        <c:v>1641.6724730431065</c:v>
                      </c:pt>
                      <c:pt idx="2">
                        <c:v>2055.8472546495486</c:v>
                      </c:pt>
                      <c:pt idx="3">
                        <c:v>5670.9468200869651</c:v>
                      </c:pt>
                      <c:pt idx="4">
                        <c:v>3018.9662867647057</c:v>
                      </c:pt>
                      <c:pt idx="5">
                        <c:v>2135.1480882352939</c:v>
                      </c:pt>
                      <c:pt idx="6">
                        <c:v>2633.9273161764704</c:v>
                      </c:pt>
                      <c:pt idx="7">
                        <c:v>7140.4676470588238</c:v>
                      </c:pt>
                      <c:pt idx="8">
                        <c:v>3753.9896691176477</c:v>
                      </c:pt>
                      <c:pt idx="9">
                        <c:v>2625.1636764705881</c:v>
                      </c:pt>
                      <c:pt idx="10">
                        <c:v>3205.6121691176468</c:v>
                      </c:pt>
                      <c:pt idx="11">
                        <c:v>8610.5144117647051</c:v>
                      </c:pt>
                      <c:pt idx="12">
                        <c:v>4489.0130514705888</c:v>
                      </c:pt>
                      <c:pt idx="13">
                        <c:v>3115.1792647058828</c:v>
                      </c:pt>
                      <c:pt idx="14">
                        <c:v>3777.2970220588236</c:v>
                      </c:pt>
                      <c:pt idx="15">
                        <c:v>10080.561176470588</c:v>
                      </c:pt>
                      <c:pt idx="16">
                        <c:v>5224.0364338235295</c:v>
                      </c:pt>
                      <c:pt idx="17">
                        <c:v>3605.1948529411761</c:v>
                      </c:pt>
                      <c:pt idx="18">
                        <c:v>4348.9818749999995</c:v>
                      </c:pt>
                      <c:pt idx="19">
                        <c:v>11550.607941176473</c:v>
                      </c:pt>
                      <c:pt idx="20">
                        <c:v>5959.059816176471</c:v>
                      </c:pt>
                      <c:pt idx="21">
                        <c:v>4095.2104411764703</c:v>
                      </c:pt>
                      <c:pt idx="22">
                        <c:v>4920.6667279411758</c:v>
                      </c:pt>
                      <c:pt idx="23">
                        <c:v>13020.654705882353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CA-4CBC-AD94-69C6826844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SES!$E$3:$E$26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4546.8999999999996</c:v>
                      </c:pt>
                      <c:pt idx="1">
                        <c:v>4395.5859999999993</c:v>
                      </c:pt>
                      <c:pt idx="2">
                        <c:v>4225.6308399999989</c:v>
                      </c:pt>
                      <c:pt idx="3">
                        <c:v>4102.2929895999987</c:v>
                      </c:pt>
                      <c:pt idx="4">
                        <c:v>4248.6754102239984</c:v>
                      </c:pt>
                      <c:pt idx="5">
                        <c:v>4183.474885610558</c:v>
                      </c:pt>
                      <c:pt idx="6">
                        <c:v>4048.1463924739242</c:v>
                      </c:pt>
                      <c:pt idx="7">
                        <c:v>3992.0376089254887</c:v>
                      </c:pt>
                      <c:pt idx="8">
                        <c:v>4133.5153523899589</c:v>
                      </c:pt>
                      <c:pt idx="9">
                        <c:v>4107.9844312465611</c:v>
                      </c:pt>
                      <c:pt idx="10">
                        <c:v>4010.8453653717675</c:v>
                      </c:pt>
                      <c:pt idx="11">
                        <c:v>3908.7346434494611</c:v>
                      </c:pt>
                      <c:pt idx="12">
                        <c:v>4119.830564842493</c:v>
                      </c:pt>
                      <c:pt idx="13">
                        <c:v>4169.1007309519428</c:v>
                      </c:pt>
                      <c:pt idx="14">
                        <c:v>4155.534687094826</c:v>
                      </c:pt>
                      <c:pt idx="15">
                        <c:v>4139.1826058691358</c:v>
                      </c:pt>
                      <c:pt idx="16">
                        <c:v>4540.6916495169871</c:v>
                      </c:pt>
                      <c:pt idx="17">
                        <c:v>4573.2301505459673</c:v>
                      </c:pt>
                      <c:pt idx="18">
                        <c:v>4498.3963415132093</c:v>
                      </c:pt>
                      <c:pt idx="19">
                        <c:v>4489.9725610224159</c:v>
                      </c:pt>
                      <c:pt idx="20">
                        <c:v>4927.7942073610711</c:v>
                      </c:pt>
                      <c:pt idx="21">
                        <c:v>4927.7942073610711</c:v>
                      </c:pt>
                      <c:pt idx="22">
                        <c:v>4927.7942073610711</c:v>
                      </c:pt>
                      <c:pt idx="23">
                        <c:v>4927.7942073610711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CA-4CBC-AD94-69C6826844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Holts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Holts!$F$3:$F$26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2096.4571428571426</c:v>
                      </c:pt>
                      <c:pt idx="1">
                        <c:v>2349.8538219548868</c:v>
                      </c:pt>
                      <c:pt idx="2">
                        <c:v>2557.4940265477289</c:v>
                      </c:pt>
                      <c:pt idx="3">
                        <c:v>2787.7008403694285</c:v>
                      </c:pt>
                      <c:pt idx="4">
                        <c:v>3279.9307223364963</c:v>
                      </c:pt>
                      <c:pt idx="5">
                        <c:v>3539.4022607851284</c:v>
                      </c:pt>
                      <c:pt idx="6">
                        <c:v>3703.4644587880157</c:v>
                      </c:pt>
                      <c:pt idx="7">
                        <c:v>3926.6572528590937</c:v>
                      </c:pt>
                      <c:pt idx="8">
                        <c:v>4339.4025131756134</c:v>
                      </c:pt>
                      <c:pt idx="9">
                        <c:v>4566.5900088257104</c:v>
                      </c:pt>
                      <c:pt idx="10">
                        <c:v>4699.5269307050285</c:v>
                      </c:pt>
                      <c:pt idx="11">
                        <c:v>4805.0817403210494</c:v>
                      </c:pt>
                      <c:pt idx="12">
                        <c:v>5220.8221670949533</c:v>
                      </c:pt>
                      <c:pt idx="13">
                        <c:v>5461.4508084608815</c:v>
                      </c:pt>
                      <c:pt idx="14">
                        <c:v>5622.2953084343944</c:v>
                      </c:pt>
                      <c:pt idx="15">
                        <c:v>5763.6276752991325</c:v>
                      </c:pt>
                      <c:pt idx="16">
                        <c:v>6331.6026405209095</c:v>
                      </c:pt>
                      <c:pt idx="17">
                        <c:v>6516.1241383235047</c:v>
                      </c:pt>
                      <c:pt idx="18">
                        <c:v>6572.6698993599803</c:v>
                      </c:pt>
                      <c:pt idx="19">
                        <c:v>6679.7701030965709</c:v>
                      </c:pt>
                      <c:pt idx="20">
                        <c:v>7244.5703222378179</c:v>
                      </c:pt>
                      <c:pt idx="21">
                        <c:v>7502.9367475648596</c:v>
                      </c:pt>
                      <c:pt idx="22">
                        <c:v>7761.3031728919013</c:v>
                      </c:pt>
                      <c:pt idx="23">
                        <c:v>8019.6695982189431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CA-4CBC-AD94-69C6826844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Winters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Winters!$G$3:$G$26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2279.1620702256332</c:v>
                      </c:pt>
                      <c:pt idx="1">
                        <c:v>1627.3155272661188</c:v>
                      </c:pt>
                      <c:pt idx="2">
                        <c:v>2031.5430997755579</c:v>
                      </c:pt>
                      <c:pt idx="3">
                        <c:v>5623.0376445464035</c:v>
                      </c:pt>
                      <c:pt idx="4">
                        <c:v>2999.0486203011565</c:v>
                      </c:pt>
                      <c:pt idx="5">
                        <c:v>2133.0117497750753</c:v>
                      </c:pt>
                      <c:pt idx="6">
                        <c:v>2628.0273781836904</c:v>
                      </c:pt>
                      <c:pt idx="7">
                        <c:v>7261.698659808977</c:v>
                      </c:pt>
                      <c:pt idx="8">
                        <c:v>3736.9758404690374</c:v>
                      </c:pt>
                      <c:pt idx="9">
                        <c:v>2596.4657307011803</c:v>
                      </c:pt>
                      <c:pt idx="10">
                        <c:v>3227.8083450171339</c:v>
                      </c:pt>
                      <c:pt idx="11">
                        <c:v>8441.0214378194087</c:v>
                      </c:pt>
                      <c:pt idx="12">
                        <c:v>4336.8839787112811</c:v>
                      </c:pt>
                      <c:pt idx="13">
                        <c:v>3010.6385356636906</c:v>
                      </c:pt>
                      <c:pt idx="14">
                        <c:v>3742.8686825374434</c:v>
                      </c:pt>
                      <c:pt idx="15">
                        <c:v>10017.761361527349</c:v>
                      </c:pt>
                      <c:pt idx="16">
                        <c:v>5258.8385563180882</c:v>
                      </c:pt>
                      <c:pt idx="17">
                        <c:v>3628.3784610625953</c:v>
                      </c:pt>
                      <c:pt idx="18">
                        <c:v>4318.8554499204511</c:v>
                      </c:pt>
                      <c:pt idx="19">
                        <c:v>11511.926716029153</c:v>
                      </c:pt>
                      <c:pt idx="20">
                        <c:v>5956.3882998161735</c:v>
                      </c:pt>
                      <c:pt idx="21">
                        <c:v>4088.7572797841408</c:v>
                      </c:pt>
                      <c:pt idx="22">
                        <c:v>4898.0201040908787</c:v>
                      </c:pt>
                      <c:pt idx="23">
                        <c:v>13011.834497670685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CA-4CBC-AD94-69C682684442}"/>
                  </c:ext>
                </c:extLst>
              </c15:ser>
            </c15:filteredLineSeries>
          </c:ext>
        </c:extLst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SES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3-4DF6-A9B0-C02AB349D38B}"/>
            </c:ext>
          </c:extLst>
        </c:ser>
        <c:ser>
          <c:idx val="3"/>
          <c:order val="3"/>
          <c:tx>
            <c:v>SES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SES!$E$3:$E$26</c:f>
              <c:numCache>
                <c:formatCode>#,##0</c:formatCode>
                <c:ptCount val="24"/>
                <c:pt idx="0">
                  <c:v>4546.8999999999996</c:v>
                </c:pt>
                <c:pt idx="1">
                  <c:v>4395.5859999999993</c:v>
                </c:pt>
                <c:pt idx="2">
                  <c:v>4225.6308399999989</c:v>
                </c:pt>
                <c:pt idx="3">
                  <c:v>4102.2929895999987</c:v>
                </c:pt>
                <c:pt idx="4">
                  <c:v>4248.6754102239984</c:v>
                </c:pt>
                <c:pt idx="5">
                  <c:v>4183.474885610558</c:v>
                </c:pt>
                <c:pt idx="6">
                  <c:v>4048.1463924739242</c:v>
                </c:pt>
                <c:pt idx="7">
                  <c:v>3992.0376089254887</c:v>
                </c:pt>
                <c:pt idx="8">
                  <c:v>4133.5153523899589</c:v>
                </c:pt>
                <c:pt idx="9">
                  <c:v>4107.9844312465611</c:v>
                </c:pt>
                <c:pt idx="10">
                  <c:v>4010.8453653717675</c:v>
                </c:pt>
                <c:pt idx="11">
                  <c:v>3908.7346434494611</c:v>
                </c:pt>
                <c:pt idx="12">
                  <c:v>4119.830564842493</c:v>
                </c:pt>
                <c:pt idx="13">
                  <c:v>4169.1007309519428</c:v>
                </c:pt>
                <c:pt idx="14">
                  <c:v>4155.534687094826</c:v>
                </c:pt>
                <c:pt idx="15">
                  <c:v>4139.1826058691358</c:v>
                </c:pt>
                <c:pt idx="16">
                  <c:v>4540.6916495169871</c:v>
                </c:pt>
                <c:pt idx="17">
                  <c:v>4573.2301505459673</c:v>
                </c:pt>
                <c:pt idx="18">
                  <c:v>4498.3963415132093</c:v>
                </c:pt>
                <c:pt idx="19">
                  <c:v>4489.9725610224159</c:v>
                </c:pt>
                <c:pt idx="20">
                  <c:v>4927.7942073610711</c:v>
                </c:pt>
                <c:pt idx="21">
                  <c:v>4927.7942073610711</c:v>
                </c:pt>
                <c:pt idx="22">
                  <c:v>4927.7942073610711</c:v>
                </c:pt>
                <c:pt idx="23">
                  <c:v>4927.7942073610711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873-4DF6-A9B0-C02AB349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Static 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Static!$J$3:$J$26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2281.8608121604407</c:v>
                      </c:pt>
                      <c:pt idx="1">
                        <c:v>1641.6724730431065</c:v>
                      </c:pt>
                      <c:pt idx="2">
                        <c:v>2055.8472546495486</c:v>
                      </c:pt>
                      <c:pt idx="3">
                        <c:v>5670.9468200869651</c:v>
                      </c:pt>
                      <c:pt idx="4">
                        <c:v>3018.9662867647057</c:v>
                      </c:pt>
                      <c:pt idx="5">
                        <c:v>2135.1480882352939</c:v>
                      </c:pt>
                      <c:pt idx="6">
                        <c:v>2633.9273161764704</c:v>
                      </c:pt>
                      <c:pt idx="7">
                        <c:v>7140.4676470588238</c:v>
                      </c:pt>
                      <c:pt idx="8">
                        <c:v>3753.9896691176477</c:v>
                      </c:pt>
                      <c:pt idx="9">
                        <c:v>2625.1636764705881</c:v>
                      </c:pt>
                      <c:pt idx="10">
                        <c:v>3205.6121691176468</c:v>
                      </c:pt>
                      <c:pt idx="11">
                        <c:v>8610.5144117647051</c:v>
                      </c:pt>
                      <c:pt idx="12">
                        <c:v>4489.0130514705888</c:v>
                      </c:pt>
                      <c:pt idx="13">
                        <c:v>3115.1792647058828</c:v>
                      </c:pt>
                      <c:pt idx="14">
                        <c:v>3777.2970220588236</c:v>
                      </c:pt>
                      <c:pt idx="15">
                        <c:v>10080.561176470588</c:v>
                      </c:pt>
                      <c:pt idx="16">
                        <c:v>5224.0364338235295</c:v>
                      </c:pt>
                      <c:pt idx="17">
                        <c:v>3605.1948529411761</c:v>
                      </c:pt>
                      <c:pt idx="18">
                        <c:v>4348.9818749999995</c:v>
                      </c:pt>
                      <c:pt idx="19">
                        <c:v>11550.607941176473</c:v>
                      </c:pt>
                      <c:pt idx="20">
                        <c:v>5959.059816176471</c:v>
                      </c:pt>
                      <c:pt idx="21">
                        <c:v>4095.2104411764703</c:v>
                      </c:pt>
                      <c:pt idx="22">
                        <c:v>4920.6667279411758</c:v>
                      </c:pt>
                      <c:pt idx="23">
                        <c:v>13020.654705882353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73-4DF6-A9B0-C02AB349D3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MA!$E$7:$E$26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3075</c:v>
                      </c:pt>
                      <c:pt idx="1">
                        <c:v>3359.25</c:v>
                      </c:pt>
                      <c:pt idx="2">
                        <c:v>3450.5</c:v>
                      </c:pt>
                      <c:pt idx="3">
                        <c:v>3686.25</c:v>
                      </c:pt>
                      <c:pt idx="4">
                        <c:v>3638.25</c:v>
                      </c:pt>
                      <c:pt idx="5">
                        <c:v>3774.75</c:v>
                      </c:pt>
                      <c:pt idx="6">
                        <c:v>3915</c:v>
                      </c:pt>
                      <c:pt idx="7">
                        <c:v>3714</c:v>
                      </c:pt>
                      <c:pt idx="8">
                        <c:v>3983.25</c:v>
                      </c:pt>
                      <c:pt idx="9">
                        <c:v>4291.5</c:v>
                      </c:pt>
                      <c:pt idx="10">
                        <c:v>4655</c:v>
                      </c:pt>
                      <c:pt idx="11">
                        <c:v>5048.5</c:v>
                      </c:pt>
                      <c:pt idx="12">
                        <c:v>5899.5</c:v>
                      </c:pt>
                      <c:pt idx="13">
                        <c:v>5935</c:v>
                      </c:pt>
                      <c:pt idx="14">
                        <c:v>5780.75</c:v>
                      </c:pt>
                      <c:pt idx="15">
                        <c:v>5899.5</c:v>
                      </c:pt>
                      <c:pt idx="16">
                        <c:v>6138.5</c:v>
                      </c:pt>
                      <c:pt idx="17">
                        <c:v>6138.5</c:v>
                      </c:pt>
                      <c:pt idx="18">
                        <c:v>6138.5</c:v>
                      </c:pt>
                      <c:pt idx="19">
                        <c:v>6138.5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73-4DF6-A9B0-C02AB349D3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Holts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Holts!$F$3:$F$26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2096.4571428571426</c:v>
                      </c:pt>
                      <c:pt idx="1">
                        <c:v>2349.8538219548868</c:v>
                      </c:pt>
                      <c:pt idx="2">
                        <c:v>2557.4940265477289</c:v>
                      </c:pt>
                      <c:pt idx="3">
                        <c:v>2787.7008403694285</c:v>
                      </c:pt>
                      <c:pt idx="4">
                        <c:v>3279.9307223364963</c:v>
                      </c:pt>
                      <c:pt idx="5">
                        <c:v>3539.4022607851284</c:v>
                      </c:pt>
                      <c:pt idx="6">
                        <c:v>3703.4644587880157</c:v>
                      </c:pt>
                      <c:pt idx="7">
                        <c:v>3926.6572528590937</c:v>
                      </c:pt>
                      <c:pt idx="8">
                        <c:v>4339.4025131756134</c:v>
                      </c:pt>
                      <c:pt idx="9">
                        <c:v>4566.5900088257104</c:v>
                      </c:pt>
                      <c:pt idx="10">
                        <c:v>4699.5269307050285</c:v>
                      </c:pt>
                      <c:pt idx="11">
                        <c:v>4805.0817403210494</c:v>
                      </c:pt>
                      <c:pt idx="12">
                        <c:v>5220.8221670949533</c:v>
                      </c:pt>
                      <c:pt idx="13">
                        <c:v>5461.4508084608815</c:v>
                      </c:pt>
                      <c:pt idx="14">
                        <c:v>5622.2953084343944</c:v>
                      </c:pt>
                      <c:pt idx="15">
                        <c:v>5763.6276752991325</c:v>
                      </c:pt>
                      <c:pt idx="16">
                        <c:v>6331.6026405209095</c:v>
                      </c:pt>
                      <c:pt idx="17">
                        <c:v>6516.1241383235047</c:v>
                      </c:pt>
                      <c:pt idx="18">
                        <c:v>6572.6698993599803</c:v>
                      </c:pt>
                      <c:pt idx="19">
                        <c:v>6679.7701030965709</c:v>
                      </c:pt>
                      <c:pt idx="20">
                        <c:v>7244.5703222378179</c:v>
                      </c:pt>
                      <c:pt idx="21">
                        <c:v>7502.9367475648596</c:v>
                      </c:pt>
                      <c:pt idx="22">
                        <c:v>7761.3031728919013</c:v>
                      </c:pt>
                      <c:pt idx="23">
                        <c:v>8019.6695982189431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73-4DF6-A9B0-C02AB349D3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Winters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Winters!$G$3:$G$26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2279.1620702256332</c:v>
                      </c:pt>
                      <c:pt idx="1">
                        <c:v>1627.3155272661188</c:v>
                      </c:pt>
                      <c:pt idx="2">
                        <c:v>2031.5430997755579</c:v>
                      </c:pt>
                      <c:pt idx="3">
                        <c:v>5623.0376445464035</c:v>
                      </c:pt>
                      <c:pt idx="4">
                        <c:v>2999.0486203011565</c:v>
                      </c:pt>
                      <c:pt idx="5">
                        <c:v>2133.0117497750753</c:v>
                      </c:pt>
                      <c:pt idx="6">
                        <c:v>2628.0273781836904</c:v>
                      </c:pt>
                      <c:pt idx="7">
                        <c:v>7261.698659808977</c:v>
                      </c:pt>
                      <c:pt idx="8">
                        <c:v>3736.9758404690374</c:v>
                      </c:pt>
                      <c:pt idx="9">
                        <c:v>2596.4657307011803</c:v>
                      </c:pt>
                      <c:pt idx="10">
                        <c:v>3227.8083450171339</c:v>
                      </c:pt>
                      <c:pt idx="11">
                        <c:v>8441.0214378194087</c:v>
                      </c:pt>
                      <c:pt idx="12">
                        <c:v>4336.8839787112811</c:v>
                      </c:pt>
                      <c:pt idx="13">
                        <c:v>3010.6385356636906</c:v>
                      </c:pt>
                      <c:pt idx="14">
                        <c:v>3742.8686825374434</c:v>
                      </c:pt>
                      <c:pt idx="15">
                        <c:v>10017.761361527349</c:v>
                      </c:pt>
                      <c:pt idx="16">
                        <c:v>5258.8385563180882</c:v>
                      </c:pt>
                      <c:pt idx="17">
                        <c:v>3628.3784610625953</c:v>
                      </c:pt>
                      <c:pt idx="18">
                        <c:v>4318.8554499204511</c:v>
                      </c:pt>
                      <c:pt idx="19">
                        <c:v>11511.926716029153</c:v>
                      </c:pt>
                      <c:pt idx="20">
                        <c:v>5956.3882998161735</c:v>
                      </c:pt>
                      <c:pt idx="21">
                        <c:v>4088.7572797841408</c:v>
                      </c:pt>
                      <c:pt idx="22">
                        <c:v>4898.0201040908787</c:v>
                      </c:pt>
                      <c:pt idx="23">
                        <c:v>13011.834497670685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73-4DF6-A9B0-C02AB349D38B}"/>
                  </c:ext>
                </c:extLst>
              </c15:ser>
            </c15:filteredLineSeries>
          </c:ext>
        </c:extLst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Holts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4-4F18-A48E-73F7AF1EFFEC}"/>
            </c:ext>
          </c:extLst>
        </c:ser>
        <c:ser>
          <c:idx val="4"/>
          <c:order val="4"/>
          <c:tx>
            <c:v>Holts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Holts!$F$3:$F$26</c:f>
              <c:numCache>
                <c:formatCode>#,##0</c:formatCode>
                <c:ptCount val="24"/>
                <c:pt idx="0">
                  <c:v>2096.4571428571426</c:v>
                </c:pt>
                <c:pt idx="1">
                  <c:v>2349.8538219548868</c:v>
                </c:pt>
                <c:pt idx="2">
                  <c:v>2557.4940265477289</c:v>
                </c:pt>
                <c:pt idx="3">
                  <c:v>2787.7008403694285</c:v>
                </c:pt>
                <c:pt idx="4">
                  <c:v>3279.9307223364963</c:v>
                </c:pt>
                <c:pt idx="5">
                  <c:v>3539.4022607851284</c:v>
                </c:pt>
                <c:pt idx="6">
                  <c:v>3703.4644587880157</c:v>
                </c:pt>
                <c:pt idx="7">
                  <c:v>3926.6572528590937</c:v>
                </c:pt>
                <c:pt idx="8">
                  <c:v>4339.4025131756134</c:v>
                </c:pt>
                <c:pt idx="9">
                  <c:v>4566.5900088257104</c:v>
                </c:pt>
                <c:pt idx="10">
                  <c:v>4699.5269307050285</c:v>
                </c:pt>
                <c:pt idx="11">
                  <c:v>4805.0817403210494</c:v>
                </c:pt>
                <c:pt idx="12">
                  <c:v>5220.8221670949533</c:v>
                </c:pt>
                <c:pt idx="13">
                  <c:v>5461.4508084608815</c:v>
                </c:pt>
                <c:pt idx="14">
                  <c:v>5622.2953084343944</c:v>
                </c:pt>
                <c:pt idx="15">
                  <c:v>5763.6276752991325</c:v>
                </c:pt>
                <c:pt idx="16">
                  <c:v>6331.6026405209095</c:v>
                </c:pt>
                <c:pt idx="17">
                  <c:v>6516.1241383235047</c:v>
                </c:pt>
                <c:pt idx="18">
                  <c:v>6572.6698993599803</c:v>
                </c:pt>
                <c:pt idx="19">
                  <c:v>6679.7701030965709</c:v>
                </c:pt>
                <c:pt idx="20">
                  <c:v>7244.5703222378179</c:v>
                </c:pt>
                <c:pt idx="21">
                  <c:v>7502.9367475648596</c:v>
                </c:pt>
                <c:pt idx="22">
                  <c:v>7761.3031728919013</c:v>
                </c:pt>
                <c:pt idx="23">
                  <c:v>8019.6695982189431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AC84-4F18-A48E-73F7AF1E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Static 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Static!$J$3:$J$26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2281.8608121604407</c:v>
                      </c:pt>
                      <c:pt idx="1">
                        <c:v>1641.6724730431065</c:v>
                      </c:pt>
                      <c:pt idx="2">
                        <c:v>2055.8472546495486</c:v>
                      </c:pt>
                      <c:pt idx="3">
                        <c:v>5670.9468200869651</c:v>
                      </c:pt>
                      <c:pt idx="4">
                        <c:v>3018.9662867647057</c:v>
                      </c:pt>
                      <c:pt idx="5">
                        <c:v>2135.1480882352939</c:v>
                      </c:pt>
                      <c:pt idx="6">
                        <c:v>2633.9273161764704</c:v>
                      </c:pt>
                      <c:pt idx="7">
                        <c:v>7140.4676470588238</c:v>
                      </c:pt>
                      <c:pt idx="8">
                        <c:v>3753.9896691176477</c:v>
                      </c:pt>
                      <c:pt idx="9">
                        <c:v>2625.1636764705881</c:v>
                      </c:pt>
                      <c:pt idx="10">
                        <c:v>3205.6121691176468</c:v>
                      </c:pt>
                      <c:pt idx="11">
                        <c:v>8610.5144117647051</c:v>
                      </c:pt>
                      <c:pt idx="12">
                        <c:v>4489.0130514705888</c:v>
                      </c:pt>
                      <c:pt idx="13">
                        <c:v>3115.1792647058828</c:v>
                      </c:pt>
                      <c:pt idx="14">
                        <c:v>3777.2970220588236</c:v>
                      </c:pt>
                      <c:pt idx="15">
                        <c:v>10080.561176470588</c:v>
                      </c:pt>
                      <c:pt idx="16">
                        <c:v>5224.0364338235295</c:v>
                      </c:pt>
                      <c:pt idx="17">
                        <c:v>3605.1948529411761</c:v>
                      </c:pt>
                      <c:pt idx="18">
                        <c:v>4348.9818749999995</c:v>
                      </c:pt>
                      <c:pt idx="19">
                        <c:v>11550.607941176473</c:v>
                      </c:pt>
                      <c:pt idx="20">
                        <c:v>5959.059816176471</c:v>
                      </c:pt>
                      <c:pt idx="21">
                        <c:v>4095.2104411764703</c:v>
                      </c:pt>
                      <c:pt idx="22">
                        <c:v>4920.6667279411758</c:v>
                      </c:pt>
                      <c:pt idx="23">
                        <c:v>13020.654705882353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C84-4F18-A48E-73F7AF1EFF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MA!$E$7:$E$26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3075</c:v>
                      </c:pt>
                      <c:pt idx="1">
                        <c:v>3359.25</c:v>
                      </c:pt>
                      <c:pt idx="2">
                        <c:v>3450.5</c:v>
                      </c:pt>
                      <c:pt idx="3">
                        <c:v>3686.25</c:v>
                      </c:pt>
                      <c:pt idx="4">
                        <c:v>3638.25</c:v>
                      </c:pt>
                      <c:pt idx="5">
                        <c:v>3774.75</c:v>
                      </c:pt>
                      <c:pt idx="6">
                        <c:v>3915</c:v>
                      </c:pt>
                      <c:pt idx="7">
                        <c:v>3714</c:v>
                      </c:pt>
                      <c:pt idx="8">
                        <c:v>3983.25</c:v>
                      </c:pt>
                      <c:pt idx="9">
                        <c:v>4291.5</c:v>
                      </c:pt>
                      <c:pt idx="10">
                        <c:v>4655</c:v>
                      </c:pt>
                      <c:pt idx="11">
                        <c:v>5048.5</c:v>
                      </c:pt>
                      <c:pt idx="12">
                        <c:v>5899.5</c:v>
                      </c:pt>
                      <c:pt idx="13">
                        <c:v>5935</c:v>
                      </c:pt>
                      <c:pt idx="14">
                        <c:v>5780.75</c:v>
                      </c:pt>
                      <c:pt idx="15">
                        <c:v>5899.5</c:v>
                      </c:pt>
                      <c:pt idx="16">
                        <c:v>6138.5</c:v>
                      </c:pt>
                      <c:pt idx="17">
                        <c:v>6138.5</c:v>
                      </c:pt>
                      <c:pt idx="18">
                        <c:v>6138.5</c:v>
                      </c:pt>
                      <c:pt idx="19">
                        <c:v>6138.5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4-4F18-A48E-73F7AF1EFF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SES!$E$3:$E$26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4546.8999999999996</c:v>
                      </c:pt>
                      <c:pt idx="1">
                        <c:v>4395.5859999999993</c:v>
                      </c:pt>
                      <c:pt idx="2">
                        <c:v>4225.6308399999989</c:v>
                      </c:pt>
                      <c:pt idx="3">
                        <c:v>4102.2929895999987</c:v>
                      </c:pt>
                      <c:pt idx="4">
                        <c:v>4248.6754102239984</c:v>
                      </c:pt>
                      <c:pt idx="5">
                        <c:v>4183.474885610558</c:v>
                      </c:pt>
                      <c:pt idx="6">
                        <c:v>4048.1463924739242</c:v>
                      </c:pt>
                      <c:pt idx="7">
                        <c:v>3992.0376089254887</c:v>
                      </c:pt>
                      <c:pt idx="8">
                        <c:v>4133.5153523899589</c:v>
                      </c:pt>
                      <c:pt idx="9">
                        <c:v>4107.9844312465611</c:v>
                      </c:pt>
                      <c:pt idx="10">
                        <c:v>4010.8453653717675</c:v>
                      </c:pt>
                      <c:pt idx="11">
                        <c:v>3908.7346434494611</c:v>
                      </c:pt>
                      <c:pt idx="12">
                        <c:v>4119.830564842493</c:v>
                      </c:pt>
                      <c:pt idx="13">
                        <c:v>4169.1007309519428</c:v>
                      </c:pt>
                      <c:pt idx="14">
                        <c:v>4155.534687094826</c:v>
                      </c:pt>
                      <c:pt idx="15">
                        <c:v>4139.1826058691358</c:v>
                      </c:pt>
                      <c:pt idx="16">
                        <c:v>4540.6916495169871</c:v>
                      </c:pt>
                      <c:pt idx="17">
                        <c:v>4573.2301505459673</c:v>
                      </c:pt>
                      <c:pt idx="18">
                        <c:v>4498.3963415132093</c:v>
                      </c:pt>
                      <c:pt idx="19">
                        <c:v>4489.9725610224159</c:v>
                      </c:pt>
                      <c:pt idx="20">
                        <c:v>4927.7942073610711</c:v>
                      </c:pt>
                      <c:pt idx="21">
                        <c:v>4927.7942073610711</c:v>
                      </c:pt>
                      <c:pt idx="22">
                        <c:v>4927.7942073610711</c:v>
                      </c:pt>
                      <c:pt idx="23">
                        <c:v>4927.7942073610711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84-4F18-A48E-73F7AF1EFF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Winters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Winters!$G$3:$G$26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2279.1620702256332</c:v>
                      </c:pt>
                      <c:pt idx="1">
                        <c:v>1627.3155272661188</c:v>
                      </c:pt>
                      <c:pt idx="2">
                        <c:v>2031.5430997755579</c:v>
                      </c:pt>
                      <c:pt idx="3">
                        <c:v>5623.0376445464035</c:v>
                      </c:pt>
                      <c:pt idx="4">
                        <c:v>2999.0486203011565</c:v>
                      </c:pt>
                      <c:pt idx="5">
                        <c:v>2133.0117497750753</c:v>
                      </c:pt>
                      <c:pt idx="6">
                        <c:v>2628.0273781836904</c:v>
                      </c:pt>
                      <c:pt idx="7">
                        <c:v>7261.698659808977</c:v>
                      </c:pt>
                      <c:pt idx="8">
                        <c:v>3736.9758404690374</c:v>
                      </c:pt>
                      <c:pt idx="9">
                        <c:v>2596.4657307011803</c:v>
                      </c:pt>
                      <c:pt idx="10">
                        <c:v>3227.8083450171339</c:v>
                      </c:pt>
                      <c:pt idx="11">
                        <c:v>8441.0214378194087</c:v>
                      </c:pt>
                      <c:pt idx="12">
                        <c:v>4336.8839787112811</c:v>
                      </c:pt>
                      <c:pt idx="13">
                        <c:v>3010.6385356636906</c:v>
                      </c:pt>
                      <c:pt idx="14">
                        <c:v>3742.8686825374434</c:v>
                      </c:pt>
                      <c:pt idx="15">
                        <c:v>10017.761361527349</c:v>
                      </c:pt>
                      <c:pt idx="16">
                        <c:v>5258.8385563180882</c:v>
                      </c:pt>
                      <c:pt idx="17">
                        <c:v>3628.3784610625953</c:v>
                      </c:pt>
                      <c:pt idx="18">
                        <c:v>4318.8554499204511</c:v>
                      </c:pt>
                      <c:pt idx="19">
                        <c:v>11511.926716029153</c:v>
                      </c:pt>
                      <c:pt idx="20">
                        <c:v>5956.3882998161735</c:v>
                      </c:pt>
                      <c:pt idx="21">
                        <c:v>4088.7572797841408</c:v>
                      </c:pt>
                      <c:pt idx="22">
                        <c:v>4898.0201040908787</c:v>
                      </c:pt>
                      <c:pt idx="23">
                        <c:v>13011.834497670685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4-4F18-A48E-73F7AF1EFFEC}"/>
                  </c:ext>
                </c:extLst>
              </c15:ser>
            </c15:filteredLineSeries>
          </c:ext>
        </c:extLst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vs. Holts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Static!$C$3:$C$22</c:f>
              <c:numCache>
                <c:formatCode>General</c:formatCode>
                <c:ptCount val="20"/>
                <c:pt idx="0">
                  <c:v>2025</c:v>
                </c:pt>
                <c:pt idx="1">
                  <c:v>1563</c:v>
                </c:pt>
                <c:pt idx="2">
                  <c:v>2170</c:v>
                </c:pt>
                <c:pt idx="3">
                  <c:v>6542</c:v>
                </c:pt>
                <c:pt idx="4">
                  <c:v>3162</c:v>
                </c:pt>
                <c:pt idx="5">
                  <c:v>1928</c:v>
                </c:pt>
                <c:pt idx="6">
                  <c:v>3113</c:v>
                </c:pt>
                <c:pt idx="7">
                  <c:v>6350</c:v>
                </c:pt>
                <c:pt idx="8">
                  <c:v>3708</c:v>
                </c:pt>
                <c:pt idx="9">
                  <c:v>2489</c:v>
                </c:pt>
                <c:pt idx="10">
                  <c:v>2309</c:v>
                </c:pt>
                <c:pt idx="11">
                  <c:v>7427</c:v>
                </c:pt>
                <c:pt idx="12">
                  <c:v>4941</c:v>
                </c:pt>
                <c:pt idx="13">
                  <c:v>3943</c:v>
                </c:pt>
                <c:pt idx="14">
                  <c:v>3883</c:v>
                </c:pt>
                <c:pt idx="15">
                  <c:v>10831</c:v>
                </c:pt>
                <c:pt idx="16">
                  <c:v>5083</c:v>
                </c:pt>
                <c:pt idx="17">
                  <c:v>3326</c:v>
                </c:pt>
                <c:pt idx="18">
                  <c:v>4358</c:v>
                </c:pt>
                <c:pt idx="19">
                  <c:v>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2-451A-BF4C-A6C3505E52BF}"/>
            </c:ext>
          </c:extLst>
        </c:ser>
        <c:ser>
          <c:idx val="5"/>
          <c:order val="5"/>
          <c:tx>
            <c:v>Winters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Winters!$G$3:$G$26</c:f>
              <c:numCache>
                <c:formatCode>0</c:formatCode>
                <c:ptCount val="24"/>
                <c:pt idx="0">
                  <c:v>2279.1620702256332</c:v>
                </c:pt>
                <c:pt idx="1">
                  <c:v>1627.3155272661188</c:v>
                </c:pt>
                <c:pt idx="2">
                  <c:v>2031.5430997755579</c:v>
                </c:pt>
                <c:pt idx="3">
                  <c:v>5623.0376445464035</c:v>
                </c:pt>
                <c:pt idx="4">
                  <c:v>2999.0486203011565</c:v>
                </c:pt>
                <c:pt idx="5">
                  <c:v>2133.0117497750753</c:v>
                </c:pt>
                <c:pt idx="6">
                  <c:v>2628.0273781836904</c:v>
                </c:pt>
                <c:pt idx="7">
                  <c:v>7261.698659808977</c:v>
                </c:pt>
                <c:pt idx="8">
                  <c:v>3736.9758404690374</c:v>
                </c:pt>
                <c:pt idx="9">
                  <c:v>2596.4657307011803</c:v>
                </c:pt>
                <c:pt idx="10">
                  <c:v>3227.8083450171339</c:v>
                </c:pt>
                <c:pt idx="11">
                  <c:v>8441.0214378194087</c:v>
                </c:pt>
                <c:pt idx="12">
                  <c:v>4336.8839787112811</c:v>
                </c:pt>
                <c:pt idx="13">
                  <c:v>3010.6385356636906</c:v>
                </c:pt>
                <c:pt idx="14">
                  <c:v>3742.8686825374434</c:v>
                </c:pt>
                <c:pt idx="15">
                  <c:v>10017.761361527349</c:v>
                </c:pt>
                <c:pt idx="16">
                  <c:v>5258.8385563180882</c:v>
                </c:pt>
                <c:pt idx="17">
                  <c:v>3628.3784610625953</c:v>
                </c:pt>
                <c:pt idx="18">
                  <c:v>4318.8554499204511</c:v>
                </c:pt>
                <c:pt idx="19">
                  <c:v>11511.926716029153</c:v>
                </c:pt>
                <c:pt idx="20">
                  <c:v>5956.3882998161735</c:v>
                </c:pt>
                <c:pt idx="21">
                  <c:v>4088.7572797841408</c:v>
                </c:pt>
                <c:pt idx="22">
                  <c:v>4898.0201040908787</c:v>
                </c:pt>
                <c:pt idx="23">
                  <c:v>13011.834497670685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412-451A-BF4C-A6C3505E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94383"/>
        <c:axId val="77960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Static 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Static!$J$3:$J$26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2281.8608121604407</c:v>
                      </c:pt>
                      <c:pt idx="1">
                        <c:v>1641.6724730431065</c:v>
                      </c:pt>
                      <c:pt idx="2">
                        <c:v>2055.8472546495486</c:v>
                      </c:pt>
                      <c:pt idx="3">
                        <c:v>5670.9468200869651</c:v>
                      </c:pt>
                      <c:pt idx="4">
                        <c:v>3018.9662867647057</c:v>
                      </c:pt>
                      <c:pt idx="5">
                        <c:v>2135.1480882352939</c:v>
                      </c:pt>
                      <c:pt idx="6">
                        <c:v>2633.9273161764704</c:v>
                      </c:pt>
                      <c:pt idx="7">
                        <c:v>7140.4676470588238</c:v>
                      </c:pt>
                      <c:pt idx="8">
                        <c:v>3753.9896691176477</c:v>
                      </c:pt>
                      <c:pt idx="9">
                        <c:v>2625.1636764705881</c:v>
                      </c:pt>
                      <c:pt idx="10">
                        <c:v>3205.6121691176468</c:v>
                      </c:pt>
                      <c:pt idx="11">
                        <c:v>8610.5144117647051</c:v>
                      </c:pt>
                      <c:pt idx="12">
                        <c:v>4489.0130514705888</c:v>
                      </c:pt>
                      <c:pt idx="13">
                        <c:v>3115.1792647058828</c:v>
                      </c:pt>
                      <c:pt idx="14">
                        <c:v>3777.2970220588236</c:v>
                      </c:pt>
                      <c:pt idx="15">
                        <c:v>10080.561176470588</c:v>
                      </c:pt>
                      <c:pt idx="16">
                        <c:v>5224.0364338235295</c:v>
                      </c:pt>
                      <c:pt idx="17">
                        <c:v>3605.1948529411761</c:v>
                      </c:pt>
                      <c:pt idx="18">
                        <c:v>4348.9818749999995</c:v>
                      </c:pt>
                      <c:pt idx="19">
                        <c:v>11550.607941176473</c:v>
                      </c:pt>
                      <c:pt idx="20">
                        <c:v>5959.059816176471</c:v>
                      </c:pt>
                      <c:pt idx="21">
                        <c:v>4095.2104411764703</c:v>
                      </c:pt>
                      <c:pt idx="22">
                        <c:v>4920.6667279411758</c:v>
                      </c:pt>
                      <c:pt idx="23">
                        <c:v>13020.654705882353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12-451A-BF4C-A6C3505E5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MA!$E$7:$E$26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3075</c:v>
                      </c:pt>
                      <c:pt idx="1">
                        <c:v>3359.25</c:v>
                      </c:pt>
                      <c:pt idx="2">
                        <c:v>3450.5</c:v>
                      </c:pt>
                      <c:pt idx="3">
                        <c:v>3686.25</c:v>
                      </c:pt>
                      <c:pt idx="4">
                        <c:v>3638.25</c:v>
                      </c:pt>
                      <c:pt idx="5">
                        <c:v>3774.75</c:v>
                      </c:pt>
                      <c:pt idx="6">
                        <c:v>3915</c:v>
                      </c:pt>
                      <c:pt idx="7">
                        <c:v>3714</c:v>
                      </c:pt>
                      <c:pt idx="8">
                        <c:v>3983.25</c:v>
                      </c:pt>
                      <c:pt idx="9">
                        <c:v>4291.5</c:v>
                      </c:pt>
                      <c:pt idx="10">
                        <c:v>4655</c:v>
                      </c:pt>
                      <c:pt idx="11">
                        <c:v>5048.5</c:v>
                      </c:pt>
                      <c:pt idx="12">
                        <c:v>5899.5</c:v>
                      </c:pt>
                      <c:pt idx="13">
                        <c:v>5935</c:v>
                      </c:pt>
                      <c:pt idx="14">
                        <c:v>5780.75</c:v>
                      </c:pt>
                      <c:pt idx="15">
                        <c:v>5899.5</c:v>
                      </c:pt>
                      <c:pt idx="16">
                        <c:v>6138.5</c:v>
                      </c:pt>
                      <c:pt idx="17">
                        <c:v>6138.5</c:v>
                      </c:pt>
                      <c:pt idx="18">
                        <c:v>6138.5</c:v>
                      </c:pt>
                      <c:pt idx="19">
                        <c:v>6138.5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12-451A-BF4C-A6C3505E52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SES!$E$3:$E$26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4546.8999999999996</c:v>
                      </c:pt>
                      <c:pt idx="1">
                        <c:v>4395.5859999999993</c:v>
                      </c:pt>
                      <c:pt idx="2">
                        <c:v>4225.6308399999989</c:v>
                      </c:pt>
                      <c:pt idx="3">
                        <c:v>4102.2929895999987</c:v>
                      </c:pt>
                      <c:pt idx="4">
                        <c:v>4248.6754102239984</c:v>
                      </c:pt>
                      <c:pt idx="5">
                        <c:v>4183.474885610558</c:v>
                      </c:pt>
                      <c:pt idx="6">
                        <c:v>4048.1463924739242</c:v>
                      </c:pt>
                      <c:pt idx="7">
                        <c:v>3992.0376089254887</c:v>
                      </c:pt>
                      <c:pt idx="8">
                        <c:v>4133.5153523899589</c:v>
                      </c:pt>
                      <c:pt idx="9">
                        <c:v>4107.9844312465611</c:v>
                      </c:pt>
                      <c:pt idx="10">
                        <c:v>4010.8453653717675</c:v>
                      </c:pt>
                      <c:pt idx="11">
                        <c:v>3908.7346434494611</c:v>
                      </c:pt>
                      <c:pt idx="12">
                        <c:v>4119.830564842493</c:v>
                      </c:pt>
                      <c:pt idx="13">
                        <c:v>4169.1007309519428</c:v>
                      </c:pt>
                      <c:pt idx="14">
                        <c:v>4155.534687094826</c:v>
                      </c:pt>
                      <c:pt idx="15">
                        <c:v>4139.1826058691358</c:v>
                      </c:pt>
                      <c:pt idx="16">
                        <c:v>4540.6916495169871</c:v>
                      </c:pt>
                      <c:pt idx="17">
                        <c:v>4573.2301505459673</c:v>
                      </c:pt>
                      <c:pt idx="18">
                        <c:v>4498.3963415132093</c:v>
                      </c:pt>
                      <c:pt idx="19">
                        <c:v>4489.9725610224159</c:v>
                      </c:pt>
                      <c:pt idx="20">
                        <c:v>4927.7942073610711</c:v>
                      </c:pt>
                      <c:pt idx="21">
                        <c:v>4927.7942073610711</c:v>
                      </c:pt>
                      <c:pt idx="22">
                        <c:v>4927.7942073610711</c:v>
                      </c:pt>
                      <c:pt idx="23">
                        <c:v>4927.7942073610711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12-451A-BF4C-A6C3505E5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Holts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Holts!$F$3:$F$26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2096.4571428571426</c:v>
                      </c:pt>
                      <c:pt idx="1">
                        <c:v>2349.8538219548868</c:v>
                      </c:pt>
                      <c:pt idx="2">
                        <c:v>2557.4940265477289</c:v>
                      </c:pt>
                      <c:pt idx="3">
                        <c:v>2787.7008403694285</c:v>
                      </c:pt>
                      <c:pt idx="4">
                        <c:v>3279.9307223364963</c:v>
                      </c:pt>
                      <c:pt idx="5">
                        <c:v>3539.4022607851284</c:v>
                      </c:pt>
                      <c:pt idx="6">
                        <c:v>3703.4644587880157</c:v>
                      </c:pt>
                      <c:pt idx="7">
                        <c:v>3926.6572528590937</c:v>
                      </c:pt>
                      <c:pt idx="8">
                        <c:v>4339.4025131756134</c:v>
                      </c:pt>
                      <c:pt idx="9">
                        <c:v>4566.5900088257104</c:v>
                      </c:pt>
                      <c:pt idx="10">
                        <c:v>4699.5269307050285</c:v>
                      </c:pt>
                      <c:pt idx="11">
                        <c:v>4805.0817403210494</c:v>
                      </c:pt>
                      <c:pt idx="12">
                        <c:v>5220.8221670949533</c:v>
                      </c:pt>
                      <c:pt idx="13">
                        <c:v>5461.4508084608815</c:v>
                      </c:pt>
                      <c:pt idx="14">
                        <c:v>5622.2953084343944</c:v>
                      </c:pt>
                      <c:pt idx="15">
                        <c:v>5763.6276752991325</c:v>
                      </c:pt>
                      <c:pt idx="16">
                        <c:v>6331.6026405209095</c:v>
                      </c:pt>
                      <c:pt idx="17">
                        <c:v>6516.1241383235047</c:v>
                      </c:pt>
                      <c:pt idx="18">
                        <c:v>6572.6698993599803</c:v>
                      </c:pt>
                      <c:pt idx="19">
                        <c:v>6679.7701030965709</c:v>
                      </c:pt>
                      <c:pt idx="20">
                        <c:v>7244.5703222378179</c:v>
                      </c:pt>
                      <c:pt idx="21">
                        <c:v>7502.9367475648596</c:v>
                      </c:pt>
                      <c:pt idx="22">
                        <c:v>7761.3031728919013</c:v>
                      </c:pt>
                      <c:pt idx="23">
                        <c:v>8019.6695982189431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12-451A-BF4C-A6C3505E52BF}"/>
                  </c:ext>
                </c:extLst>
              </c15:ser>
            </c15:filteredLineSeries>
          </c:ext>
        </c:extLst>
      </c:lineChart>
      <c:catAx>
        <c:axId val="31969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263"/>
        <c:crosses val="autoZero"/>
        <c:auto val="1"/>
        <c:lblAlgn val="ctr"/>
        <c:lblOffset val="100"/>
        <c:noMultiLvlLbl val="0"/>
      </c:catAx>
      <c:valAx>
        <c:axId val="7796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31802398637841E-2"/>
          <c:y val="0.1453226982252557"/>
          <c:w val="0.88438547543761759"/>
          <c:h val="0.6524781072926632"/>
        </c:manualLayout>
      </c:layout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'Error Analysis'!$A$3:$A$22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'Error Analysis'!$B$3:$B$22</c:f>
              <c:numCache>
                <c:formatCode>#,##0</c:formatCode>
                <c:ptCount val="20"/>
                <c:pt idx="0">
                  <c:v>256.86081216044067</c:v>
                </c:pt>
                <c:pt idx="1">
                  <c:v>167.76664260177358</c:v>
                </c:pt>
                <c:pt idx="2">
                  <c:v>149.89534351799952</c:v>
                </c:pt>
                <c:pt idx="3">
                  <c:v>330.18480261675836</c:v>
                </c:pt>
                <c:pt idx="4">
                  <c:v>293.3050158655642</c:v>
                </c:pt>
                <c:pt idx="5">
                  <c:v>278.19709075041806</c:v>
                </c:pt>
                <c:pt idx="6">
                  <c:v>308.06046937379335</c:v>
                </c:pt>
                <c:pt idx="7">
                  <c:v>368.44415235667964</c:v>
                </c:pt>
                <c:pt idx="8">
                  <c:v>332.23562988571365</c:v>
                </c:pt>
                <c:pt idx="9">
                  <c:v>312.07631262776908</c:v>
                </c:pt>
                <c:pt idx="10">
                  <c:v>364.31221721818645</c:v>
                </c:pt>
                <c:pt idx="11">
                  <c:v>432.64561964890436</c:v>
                </c:pt>
                <c:pt idx="12">
                  <c:v>434.4482051300073</c:v>
                </c:pt>
                <c:pt idx="13">
                  <c:v>463.01422980373178</c:v>
                </c:pt>
                <c:pt idx="14">
                  <c:v>439.97439665956529</c:v>
                </c:pt>
                <c:pt idx="15">
                  <c:v>459.31998689729744</c:v>
                </c:pt>
                <c:pt idx="16">
                  <c:v>440.3172869666052</c:v>
                </c:pt>
                <c:pt idx="17">
                  <c:v>430.94479555565096</c:v>
                </c:pt>
                <c:pt idx="18">
                  <c:v>409.44794991613401</c:v>
                </c:pt>
                <c:pt idx="19">
                  <c:v>400.7415887859953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20-8879-59869536C31D}"/>
            </c:ext>
          </c:extLst>
        </c:ser>
        <c:ser>
          <c:idx val="1"/>
          <c:order val="1"/>
          <c:tx>
            <c:v>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Analysis'!$E$7:$E$22</c:f>
              <c:numCache>
                <c:formatCode>#,##0</c:formatCode>
                <c:ptCount val="16"/>
                <c:pt idx="0">
                  <c:v>87</c:v>
                </c:pt>
                <c:pt idx="1">
                  <c:v>759.125</c:v>
                </c:pt>
                <c:pt idx="2">
                  <c:v>618.58333333333337</c:v>
                </c:pt>
                <c:pt idx="3">
                  <c:v>1129.875</c:v>
                </c:pt>
                <c:pt idx="4">
                  <c:v>917.85</c:v>
                </c:pt>
                <c:pt idx="5">
                  <c:v>979.16666666666663</c:v>
                </c:pt>
                <c:pt idx="6">
                  <c:v>1068.7142857142858</c:v>
                </c:pt>
                <c:pt idx="7">
                  <c:v>1399.25</c:v>
                </c:pt>
                <c:pt idx="8">
                  <c:v>1350.1944444444443</c:v>
                </c:pt>
                <c:pt idx="9">
                  <c:v>1250.0250000000001</c:v>
                </c:pt>
                <c:pt idx="10">
                  <c:v>1206.5681818181818</c:v>
                </c:pt>
                <c:pt idx="11">
                  <c:v>1587.8958333333333</c:v>
                </c:pt>
                <c:pt idx="12">
                  <c:v>1528.5576923076924</c:v>
                </c:pt>
                <c:pt idx="13">
                  <c:v>1605.7321428571429</c:v>
                </c:pt>
                <c:pt idx="14">
                  <c:v>1593.5333333333333</c:v>
                </c:pt>
                <c:pt idx="15">
                  <c:v>1861.90625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420-8879-59869536C31D}"/>
            </c:ext>
          </c:extLst>
        </c:ser>
        <c:ser>
          <c:idx val="2"/>
          <c:order val="2"/>
          <c:tx>
            <c:v>Simple Exponential Smoothing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Analysis'!$H$3:$H$22</c:f>
              <c:numCache>
                <c:formatCode>#,##0</c:formatCode>
                <c:ptCount val="20"/>
                <c:pt idx="0">
                  <c:v>2521.8999999999996</c:v>
                </c:pt>
                <c:pt idx="1">
                  <c:v>2677.2429999999995</c:v>
                </c:pt>
                <c:pt idx="2">
                  <c:v>2470.0389466666661</c:v>
                </c:pt>
                <c:pt idx="3">
                  <c:v>2462.4559626</c:v>
                </c:pt>
                <c:pt idx="4">
                  <c:v>2187.2998521247996</c:v>
                </c:pt>
                <c:pt idx="5">
                  <c:v>2198.6623577057594</c:v>
                </c:pt>
                <c:pt idx="6">
                  <c:v>2018.1600769583542</c:v>
                </c:pt>
                <c:pt idx="7">
                  <c:v>2060.6353662228739</c:v>
                </c:pt>
                <c:pt idx="8">
                  <c:v>1878.9553646858831</c:v>
                </c:pt>
                <c:pt idx="9">
                  <c:v>1852.9582713419509</c:v>
                </c:pt>
                <c:pt idx="10">
                  <c:v>1839.2207344355704</c:v>
                </c:pt>
                <c:pt idx="11">
                  <c:v>1979.1411196118179</c:v>
                </c:pt>
                <c:pt idx="12">
                  <c:v>1890.0663746537939</c:v>
                </c:pt>
                <c:pt idx="13">
                  <c:v>1771.2116858179475</c:v>
                </c:pt>
                <c:pt idx="14">
                  <c:v>1671.2998859030729</c:v>
                </c:pt>
                <c:pt idx="15">
                  <c:v>1985.0822301673097</c:v>
                </c:pt>
                <c:pt idx="16">
                  <c:v>1900.2131784211747</c:v>
                </c:pt>
                <c:pt idx="17">
                  <c:v>1863.9363435392188</c:v>
                </c:pt>
                <c:pt idx="18">
                  <c:v>1773.2237118536393</c:v>
                </c:pt>
                <c:pt idx="19">
                  <c:v>2049.4138982098402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5-4420-8879-59869536C31D}"/>
            </c:ext>
          </c:extLst>
        </c:ser>
        <c:ser>
          <c:idx val="3"/>
          <c:order val="3"/>
          <c:tx>
            <c:v>Holts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Analysis'!$K$3:$K$22</c:f>
              <c:numCache>
                <c:formatCode>#,##0</c:formatCode>
                <c:ptCount val="20"/>
                <c:pt idx="0">
                  <c:v>71.457142857142571</c:v>
                </c:pt>
                <c:pt idx="1">
                  <c:v>429.1554824060147</c:v>
                </c:pt>
                <c:pt idx="2">
                  <c:v>415.26833045325276</c:v>
                </c:pt>
                <c:pt idx="3">
                  <c:v>1250.0260377475824</c:v>
                </c:pt>
                <c:pt idx="4">
                  <c:v>1023.6069746653651</c:v>
                </c:pt>
                <c:pt idx="5">
                  <c:v>1121.5728556853257</c:v>
                </c:pt>
                <c:pt idx="6">
                  <c:v>1045.7002275571385</c:v>
                </c:pt>
                <c:pt idx="7">
                  <c:v>1217.9055425051095</c:v>
                </c:pt>
                <c:pt idx="8">
                  <c:v>1152.7385392462766</c:v>
                </c:pt>
                <c:pt idx="9">
                  <c:v>1245.2236862042198</c:v>
                </c:pt>
                <c:pt idx="10">
                  <c:v>1349.3421629770207</c:v>
                </c:pt>
                <c:pt idx="11">
                  <c:v>1455.3901710355149</c:v>
                </c:pt>
                <c:pt idx="12">
                  <c:v>1364.9618630400871</c:v>
                </c:pt>
                <c:pt idx="13">
                  <c:v>1375.9253591415725</c:v>
                </c:pt>
                <c:pt idx="14">
                  <c:v>1400.1500224277604</c:v>
                </c:pt>
                <c:pt idx="15">
                  <c:v>1629.3514163198297</c:v>
                </c:pt>
                <c:pt idx="16">
                  <c:v>1606.9544295081284</c:v>
                </c:pt>
                <c:pt idx="17">
                  <c:v>1694.9083022200939</c:v>
                </c:pt>
                <c:pt idx="18">
                  <c:v>1722.264175753772</c:v>
                </c:pt>
                <c:pt idx="19">
                  <c:v>1891.512461811255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5-4420-8879-59869536C31D}"/>
            </c:ext>
          </c:extLst>
        </c:ser>
        <c:ser>
          <c:idx val="4"/>
          <c:order val="4"/>
          <c:tx>
            <c:v>Winters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Analysis'!$N$3:$N$22</c:f>
              <c:numCache>
                <c:formatCode>#,##0</c:formatCode>
                <c:ptCount val="20"/>
                <c:pt idx="0">
                  <c:v>254.16207022563322</c:v>
                </c:pt>
                <c:pt idx="1">
                  <c:v>159.23879874587601</c:v>
                </c:pt>
                <c:pt idx="2">
                  <c:v>152.31149923873136</c:v>
                </c:pt>
                <c:pt idx="3">
                  <c:v>343.97421329244764</c:v>
                </c:pt>
                <c:pt idx="4">
                  <c:v>307.76964657372685</c:v>
                </c:pt>
                <c:pt idx="5">
                  <c:v>290.64333044061823</c:v>
                </c:pt>
                <c:pt idx="6">
                  <c:v>318.40465778000271</c:v>
                </c:pt>
                <c:pt idx="7">
                  <c:v>392.5664080336245</c:v>
                </c:pt>
                <c:pt idx="8">
                  <c:v>352.1674560820037</c:v>
                </c:pt>
                <c:pt idx="9">
                  <c:v>327.69728354392134</c:v>
                </c:pt>
                <c:pt idx="10">
                  <c:v>381.43465276875889</c:v>
                </c:pt>
                <c:pt idx="11">
                  <c:v>434.15021818964641</c:v>
                </c:pt>
                <c:pt idx="12">
                  <c:v>447.22451073572887</c:v>
                </c:pt>
                <c:pt idx="13">
                  <c:v>481.87715027862748</c:v>
                </c:pt>
                <c:pt idx="14">
                  <c:v>459.09409475755609</c:v>
                </c:pt>
                <c:pt idx="15">
                  <c:v>481.22812873974948</c:v>
                </c:pt>
                <c:pt idx="16">
                  <c:v>463.26403624435761</c:v>
                </c:pt>
                <c:pt idx="17">
                  <c:v>454.32594873425973</c:v>
                </c:pt>
                <c:pt idx="18">
                  <c:v>432.47429617348547</c:v>
                </c:pt>
                <c:pt idx="19">
                  <c:v>424.60424556335357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5-4420-8879-59869536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24735"/>
        <c:axId val="1368409663"/>
      </c:lineChart>
      <c:catAx>
        <c:axId val="11990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09663"/>
        <c:crosses val="autoZero"/>
        <c:auto val="1"/>
        <c:lblAlgn val="ctr"/>
        <c:lblOffset val="100"/>
        <c:noMultiLvlLbl val="0"/>
      </c:catAx>
      <c:valAx>
        <c:axId val="13684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Signal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5738189490319E-2"/>
          <c:y val="0.11252354817244424"/>
          <c:w val="0.90027421110713435"/>
          <c:h val="0.78989898989898988"/>
        </c:manualLayout>
      </c:layout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Analysis'!$C$3:$C$22</c:f>
              <c:numCache>
                <c:formatCode>#,##0.00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1.4769007139071821</c:v>
                </c:pt>
                <c:pt idx="3">
                  <c:v>-1.9676030965422917</c:v>
                </c:pt>
                <c:pt idx="4">
                  <c:v>-2.7120521842194596</c:v>
                </c:pt>
                <c:pt idx="5">
                  <c:v>-2.1308671566154707</c:v>
                </c:pt>
                <c:pt idx="6">
                  <c:v>-3.5059408532861358</c:v>
                </c:pt>
                <c:pt idx="7">
                  <c:v>-0.78414014654659048</c:v>
                </c:pt>
                <c:pt idx="8">
                  <c:v>-0.74147496338654573</c:v>
                </c:pt>
                <c:pt idx="9">
                  <c:v>-0.37074888262010303</c:v>
                </c:pt>
                <c:pt idx="10">
                  <c:v>2.1162324031029667</c:v>
                </c:pt>
                <c:pt idx="11">
                  <c:v>4.5193624447115468</c:v>
                </c:pt>
                <c:pt idx="12">
                  <c:v>3.4508213331399089</c:v>
                </c:pt>
                <c:pt idx="13">
                  <c:v>1.4358750575044712</c:v>
                </c:pt>
                <c:pt idx="14">
                  <c:v>1.2441947880598039</c:v>
                </c:pt>
                <c:pt idx="15">
                  <c:v>-0.43997647614859492</c:v>
                </c:pt>
                <c:pt idx="16">
                  <c:v>-0.14947380703032506</c:v>
                </c:pt>
                <c:pt idx="17">
                  <c:v>0.47754733902730534</c:v>
                </c:pt>
                <c:pt idx="18">
                  <c:v>0.44765595240611566</c:v>
                </c:pt>
                <c:pt idx="19">
                  <c:v>-0.12983158421499752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C-437C-91B4-E4A7D55A133C}"/>
            </c:ext>
          </c:extLst>
        </c:ser>
        <c:ser>
          <c:idx val="1"/>
          <c:order val="1"/>
          <c:tx>
            <c:v>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Analysis'!$F$3:$F$22</c:f>
              <c:numCache>
                <c:formatCode>0.00</c:formatCode>
                <c:ptCount val="20"/>
                <c:pt idx="4">
                  <c:v>-1</c:v>
                </c:pt>
                <c:pt idx="5">
                  <c:v>1.770788737032768</c:v>
                </c:pt>
                <c:pt idx="6">
                  <c:v>2.7187121110063317</c:v>
                </c:pt>
                <c:pt idx="7">
                  <c:v>-0.86912269056311542</c:v>
                </c:pt>
                <c:pt idx="8">
                  <c:v>-1.1458844037696791</c:v>
                </c:pt>
                <c:pt idx="9">
                  <c:v>0.23897872340425533</c:v>
                </c:pt>
                <c:pt idx="10">
                  <c:v>1.7216949605667691</c:v>
                </c:pt>
                <c:pt idx="11">
                  <c:v>-1.3385742361979631</c:v>
                </c:pt>
                <c:pt idx="12">
                  <c:v>-2.0965498796469646</c:v>
                </c:pt>
                <c:pt idx="13">
                  <c:v>-1.9857602847943039</c:v>
                </c:pt>
                <c:pt idx="14">
                  <c:v>-1.4174499425493041</c:v>
                </c:pt>
                <c:pt idx="15">
                  <c:v>-4.7186659494351808</c:v>
                </c:pt>
                <c:pt idx="16">
                  <c:v>-4.3676794363716427</c:v>
                </c:pt>
                <c:pt idx="17">
                  <c:v>-2.5329567064423215</c:v>
                </c:pt>
                <c:pt idx="18">
                  <c:v>-1.6595197255574614</c:v>
                </c:pt>
                <c:pt idx="19">
                  <c:v>-4.5824004296671754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C-437C-91B4-E4A7D55A133C}"/>
            </c:ext>
          </c:extLst>
        </c:ser>
        <c:ser>
          <c:idx val="2"/>
          <c:order val="2"/>
          <c:tx>
            <c:v>Simple Exponential Smoothing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Analysis'!$I$3:$I$22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2.0184766367768696</c:v>
                </c:pt>
                <c:pt idx="4">
                  <c:v>2.7692066242952404</c:v>
                </c:pt>
                <c:pt idx="5">
                  <c:v>3.7807351803250357</c:v>
                </c:pt>
                <c:pt idx="6">
                  <c:v>4.5822462863530857</c:v>
                </c:pt>
                <c:pt idx="7">
                  <c:v>3.3435047460448106</c:v>
                </c:pt>
                <c:pt idx="8">
                  <c:v>3.8932587844878705</c:v>
                </c:pt>
                <c:pt idx="9">
                  <c:v>4.8216109605102551</c:v>
                </c:pt>
                <c:pt idx="10">
                  <c:v>5.7829324543289866</c:v>
                </c:pt>
                <c:pt idx="11">
                  <c:v>3.5964206133455412</c:v>
                </c:pt>
                <c:pt idx="12">
                  <c:v>3.3314462225103472</c:v>
                </c:pt>
                <c:pt idx="13">
                  <c:v>3.6826514116374156</c:v>
                </c:pt>
                <c:pt idx="14">
                  <c:v>4.0658710979981905</c:v>
                </c:pt>
                <c:pt idx="15">
                  <c:v>5.2125048765053909E-2</c:v>
                </c:pt>
                <c:pt idx="16">
                  <c:v>-0.23094032154724572</c:v>
                </c:pt>
                <c:pt idx="17">
                  <c:v>0.43370274468606501</c:v>
                </c:pt>
                <c:pt idx="18">
                  <c:v>0.5350653971542364</c:v>
                </c:pt>
                <c:pt idx="19">
                  <c:v>-3.0975864830898696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C-437C-91B4-E4A7D55A133C}"/>
            </c:ext>
          </c:extLst>
        </c:ser>
        <c:ser>
          <c:idx val="3"/>
          <c:order val="3"/>
          <c:tx>
            <c:v>Holts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Analysis'!$L$3:$L$22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-2.0067535335430771</c:v>
                </c:pt>
                <c:pt idx="4">
                  <c:v>-2.3354309858193703</c:v>
                </c:pt>
                <c:pt idx="5">
                  <c:v>-0.69470403210952347</c:v>
                </c:pt>
                <c:pt idx="6">
                  <c:v>-0.18045011504108341</c:v>
                </c:pt>
                <c:pt idx="7">
                  <c:v>-2.1446979115715132</c:v>
                </c:pt>
                <c:pt idx="8">
                  <c:v>-1.7182013899019237</c:v>
                </c:pt>
                <c:pt idx="9">
                  <c:v>7.7859945625338947E-2</c:v>
                </c:pt>
                <c:pt idx="10">
                  <c:v>1.8434760637110803</c:v>
                </c:pt>
                <c:pt idx="11">
                  <c:v>-9.2372673081215148E-2</c:v>
                </c:pt>
                <c:pt idx="12">
                  <c:v>0.10651131768361076</c:v>
                </c:pt>
                <c:pt idx="13">
                  <c:v>1.2092477866090128</c:v>
                </c:pt>
                <c:pt idx="14">
                  <c:v>2.4305466907144471</c:v>
                </c:pt>
                <c:pt idx="15">
                  <c:v>-1.0214139838195821</c:v>
                </c:pt>
                <c:pt idx="16">
                  <c:v>-0.25865057093848576</c:v>
                </c:pt>
                <c:pt idx="17">
                  <c:v>1.6369525442909862</c:v>
                </c:pt>
                <c:pt idx="18">
                  <c:v>2.8968577685450079</c:v>
                </c:pt>
                <c:pt idx="19">
                  <c:v>-6.2423876272686425E-2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C-437C-91B4-E4A7D55A133C}"/>
            </c:ext>
          </c:extLst>
        </c:ser>
        <c:ser>
          <c:idx val="4"/>
          <c:order val="4"/>
          <c:tx>
            <c:v>Winters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 Analysis'!$O$3:$O$22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1.1819245307614465</c:v>
                </c:pt>
                <c:pt idx="3">
                  <c:v>-2.1482472511915791</c:v>
                </c:pt>
                <c:pt idx="4">
                  <c:v>-2.9304158091141708</c:v>
                </c:pt>
                <c:pt idx="5">
                  <c:v>-2.3977198687256154</c:v>
                </c:pt>
                <c:pt idx="6">
                  <c:v>-3.7117984333726359</c:v>
                </c:pt>
                <c:pt idx="7">
                  <c:v>-0.68817719649167675</c:v>
                </c:pt>
                <c:pt idx="8">
                  <c:v>-0.68484297876800493</c:v>
                </c:pt>
                <c:pt idx="9">
                  <c:v>-0.40804024220496171</c:v>
                </c:pt>
                <c:pt idx="10">
                  <c:v>2.0582678064803943</c:v>
                </c:pt>
                <c:pt idx="11">
                  <c:v>4.1439944712949082</c:v>
                </c:pt>
                <c:pt idx="12">
                  <c:v>2.6720362008664504</c:v>
                </c:pt>
                <c:pt idx="13">
                  <c:v>0.54503231396733298</c:v>
                </c:pt>
                <c:pt idx="14">
                  <c:v>0.26684573424209068</c:v>
                </c:pt>
                <c:pt idx="15">
                  <c:v>-1.4353511285380689</c:v>
                </c:pt>
                <c:pt idx="16">
                  <c:v>-1.111445614313096</c:v>
                </c:pt>
                <c:pt idx="17">
                  <c:v>-0.46775739066244931</c:v>
                </c:pt>
                <c:pt idx="18">
                  <c:v>-0.58190480358346186</c:v>
                </c:pt>
                <c:pt idx="19">
                  <c:v>-1.2405249355001642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C-437C-91B4-E4A7D55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22943"/>
        <c:axId val="1373644639"/>
      </c:lineChart>
      <c:catAx>
        <c:axId val="120182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44639"/>
        <c:crosses val="autoZero"/>
        <c:auto val="1"/>
        <c:lblAlgn val="ctr"/>
        <c:lblOffset val="100"/>
        <c:noMultiLvlLbl val="0"/>
      </c:catAx>
      <c:valAx>
        <c:axId val="13736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360045</xdr:colOff>
      <xdr:row>32</xdr:row>
      <xdr:rowOff>7619</xdr:rowOff>
    </xdr:from>
    <xdr:to>
      <xdr:col>19</xdr:col>
      <xdr:colOff>285750</xdr:colOff>
      <xdr:row>47</xdr:row>
      <xdr:rowOff>78104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E163E-55B5-C891-90BF-535F54D73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</xdr:colOff>
      <xdr:row>22</xdr:row>
      <xdr:rowOff>83820</xdr:rowOff>
    </xdr:from>
    <xdr:to>
      <xdr:col>27</xdr:col>
      <xdr:colOff>533400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188C5-AD12-4082-BF7B-5EAC3C8D1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163830</xdr:colOff>
      <xdr:row>17</xdr:row>
      <xdr:rowOff>40005</xdr:rowOff>
    </xdr:from>
    <xdr:to>
      <xdr:col>23</xdr:col>
      <xdr:colOff>17145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8CE82-0E22-4849-884A-EBF490630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20</xdr:row>
      <xdr:rowOff>114300</xdr:rowOff>
    </xdr:from>
    <xdr:to>
      <xdr:col>20</xdr:col>
      <xdr:colOff>554355</xdr:colOff>
      <xdr:row>35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F7B91-5679-4388-90DB-F1F063FC4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123825</xdr:rowOff>
    </xdr:from>
    <xdr:to>
      <xdr:col>22</xdr:col>
      <xdr:colOff>501015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5F8C-F240-4EA7-B35E-C25D8494A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10</xdr:col>
      <xdr:colOff>112395</xdr:colOff>
      <xdr:row>44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38BDF-E5BA-4AF6-99FC-6550D9C8A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85724</xdr:colOff>
      <xdr:row>0</xdr:row>
      <xdr:rowOff>95249</xdr:rowOff>
    </xdr:from>
    <xdr:to>
      <xdr:col>24</xdr:col>
      <xdr:colOff>588644</xdr:colOff>
      <xdr:row>19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42A3A-82E8-B7D3-412C-D8C421F3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129539</xdr:colOff>
      <xdr:row>20</xdr:row>
      <xdr:rowOff>17144</xdr:rowOff>
    </xdr:from>
    <xdr:to>
      <xdr:col>25</xdr:col>
      <xdr:colOff>9524</xdr:colOff>
      <xdr:row>37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2EC20-FF50-33E2-EDF3-1D664DF5E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1492-9E2C-407C-8D37-EB855B1E1EDA}">
  <dimension ref="A1:R33"/>
  <sheetViews>
    <sheetView tabSelected="1" workbookViewId="0">
      <selection activeCell="J24" sqref="J24"/>
    </sheetView>
  </sheetViews>
  <sheetFormatPr defaultRowHeight="15" x14ac:dyDescent="0.25"/>
  <cols>
    <col min="4" max="4" width="14" style="9" customWidth="1"/>
    <col min="7" max="7" width="14.140625" style="6" customWidth="1"/>
    <col min="8" max="8" width="13" style="3" customWidth="1"/>
    <col min="9" max="9" width="11" style="3" customWidth="1"/>
    <col min="10" max="10" width="11.28515625" style="9" customWidth="1"/>
    <col min="12" max="17" width="8.85546875" style="6"/>
    <col min="18" max="18" width="8.85546875" style="3"/>
  </cols>
  <sheetData>
    <row r="1" spans="1:18" ht="28.9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27</v>
      </c>
      <c r="R1" s="3" t="s">
        <v>16</v>
      </c>
    </row>
    <row r="2" spans="1:18" x14ac:dyDescent="0.25">
      <c r="B2">
        <v>0</v>
      </c>
      <c r="D2" s="8"/>
      <c r="E2">
        <f>INTERCEPT(D5:D20,B5:B20)</f>
        <v>2333.5411764705882</v>
      </c>
      <c r="F2">
        <f>SLOPE(D5:D20,B5:B20)</f>
        <v>204.1731617647059</v>
      </c>
    </row>
    <row r="3" spans="1:18" x14ac:dyDescent="0.25">
      <c r="A3">
        <v>2002</v>
      </c>
      <c r="B3">
        <v>1</v>
      </c>
      <c r="C3">
        <v>2025</v>
      </c>
      <c r="D3" s="8"/>
      <c r="G3" s="6">
        <f>E$2+F$2*B3</f>
        <v>2537.7143382352942</v>
      </c>
      <c r="H3" s="3">
        <f>C3/G3</f>
        <v>0.79796215416750504</v>
      </c>
      <c r="I3" s="3">
        <f>(H3+H7+H11+H15+H19)/5</f>
        <v>0.89917954033676928</v>
      </c>
      <c r="J3" s="9">
        <f>($E$2+B3*$F$2)*I3</f>
        <v>2281.8608121604407</v>
      </c>
      <c r="K3" s="9">
        <f>J3-C3</f>
        <v>256.86081216044067</v>
      </c>
      <c r="L3" s="6">
        <f>ABS(K3)</f>
        <v>256.86081216044067</v>
      </c>
      <c r="M3" s="6">
        <f>SUMSQ($K$3:K3)/B3</f>
        <v>65977.476823721183</v>
      </c>
      <c r="N3" s="6">
        <f>SUM($L$3:L3)/B3</f>
        <v>256.86081216044067</v>
      </c>
      <c r="O3" s="6">
        <f>(L3/C3)*100</f>
        <v>12.684484551132874</v>
      </c>
      <c r="P3" s="6">
        <f>AVERAGE($O$3:O3)</f>
        <v>12.684484551132874</v>
      </c>
      <c r="Q3" s="6">
        <f>AVERAGE($K$3:K3)</f>
        <v>256.86081216044067</v>
      </c>
      <c r="R3" s="3">
        <f>SUM($K$3:K3)/N3</f>
        <v>1</v>
      </c>
    </row>
    <row r="4" spans="1:18" x14ac:dyDescent="0.25">
      <c r="B4">
        <v>2</v>
      </c>
      <c r="C4">
        <v>1563</v>
      </c>
      <c r="G4" s="6">
        <f t="shared" ref="G4:G26" si="0">E$2+F$2*B4</f>
        <v>2741.8874999999998</v>
      </c>
      <c r="H4" s="3">
        <f>C4/G4</f>
        <v>0.57004526990987048</v>
      </c>
      <c r="I4" s="3">
        <f>(H4+H8+H12+H16+H20)/5</f>
        <v>0.59873808573222154</v>
      </c>
      <c r="J4" s="9">
        <f>($E$2+B4*$F$2)*I4</f>
        <v>1641.6724730431065</v>
      </c>
      <c r="K4" s="9">
        <f t="shared" ref="K4:K22" si="1">J4-C4</f>
        <v>78.672473043106493</v>
      </c>
      <c r="L4" s="6">
        <f t="shared" ref="L4:L22" si="2">ABS(K4)</f>
        <v>78.672473043106493</v>
      </c>
      <c r="M4" s="6">
        <f>SUMSQ($K$3:K4)/B4</f>
        <v>36083.417419219753</v>
      </c>
      <c r="N4" s="6">
        <f>SUM($L$3:L4)/B4</f>
        <v>167.76664260177358</v>
      </c>
      <c r="O4" s="6">
        <f t="shared" ref="O4:O22" si="3">(L4/C4)*100</f>
        <v>5.0334275779338764</v>
      </c>
      <c r="P4" s="6">
        <f>AVERAGE($O$3:O4)</f>
        <v>8.8589560645333751</v>
      </c>
      <c r="Q4" s="6">
        <f>AVERAGE($K$3:K4)</f>
        <v>167.76664260177358</v>
      </c>
      <c r="R4" s="3">
        <f>SUM($K$3:K4)/N4</f>
        <v>2</v>
      </c>
    </row>
    <row r="5" spans="1:18" x14ac:dyDescent="0.25">
      <c r="B5">
        <v>3</v>
      </c>
      <c r="C5">
        <v>2170</v>
      </c>
      <c r="D5" s="9">
        <f>(C3+2*SUM(C4:C6)+C7)/8</f>
        <v>3217.125</v>
      </c>
      <c r="G5" s="6">
        <f t="shared" si="0"/>
        <v>2946.0606617647059</v>
      </c>
      <c r="H5" s="3">
        <f t="shared" ref="H5:H22" si="4">C5/G5</f>
        <v>0.73657682211477571</v>
      </c>
      <c r="I5" s="3">
        <f t="shared" ref="I5" si="5">(H5+H9+H13+H17+H21)/5</f>
        <v>0.69782923390928597</v>
      </c>
      <c r="J5" s="9">
        <f t="shared" ref="J5:J21" si="6">($E$2+B5*$F$2)*I5</f>
        <v>2055.8472546495486</v>
      </c>
      <c r="K5" s="9">
        <f t="shared" si="1"/>
        <v>-114.15274535045137</v>
      </c>
      <c r="L5" s="6">
        <f t="shared" si="2"/>
        <v>114.15274535045137</v>
      </c>
      <c r="M5" s="6">
        <f>SUMSQ($K$3:K5)/B5</f>
        <v>28399.228036494835</v>
      </c>
      <c r="N5" s="6">
        <f>SUM($L$3:L5)/B5</f>
        <v>149.89534351799952</v>
      </c>
      <c r="O5" s="6">
        <f t="shared" si="3"/>
        <v>5.2604951774401556</v>
      </c>
      <c r="P5" s="6">
        <f>AVERAGE($O$3:O5)</f>
        <v>7.6594691021689689</v>
      </c>
      <c r="Q5" s="6">
        <f>AVERAGE($K$3:K5)</f>
        <v>73.793513284365261</v>
      </c>
      <c r="R5" s="3">
        <f>SUM($K$3:K5)/N5</f>
        <v>1.4769007139071821</v>
      </c>
    </row>
    <row r="6" spans="1:18" x14ac:dyDescent="0.25">
      <c r="B6">
        <v>4</v>
      </c>
      <c r="C6">
        <v>6542</v>
      </c>
      <c r="D6" s="9">
        <f t="shared" ref="D6:D19" si="7">(C4+2*SUM(C5:C7)+C8)/8</f>
        <v>3404.875</v>
      </c>
      <c r="G6" s="6">
        <f t="shared" si="0"/>
        <v>3150.2338235294119</v>
      </c>
      <c r="H6" s="3">
        <f t="shared" si="4"/>
        <v>2.0766712461586652</v>
      </c>
      <c r="I6" s="3">
        <f>(H6+H10+H14+H18+H22)/5</f>
        <v>1.8001669519672145</v>
      </c>
      <c r="J6" s="9">
        <f t="shared" si="6"/>
        <v>5670.9468200869651</v>
      </c>
      <c r="K6" s="9">
        <f t="shared" si="1"/>
        <v>-871.05317991303491</v>
      </c>
      <c r="L6" s="6">
        <f t="shared" si="2"/>
        <v>871.05317991303491</v>
      </c>
      <c r="M6" s="6">
        <f>SUMSQ($K$3:K6)/B6</f>
        <v>210982.83158652362</v>
      </c>
      <c r="N6" s="6">
        <f>SUM($L$3:L6)/B6</f>
        <v>330.18480261675836</v>
      </c>
      <c r="O6" s="6">
        <f t="shared" si="3"/>
        <v>13.314784162534925</v>
      </c>
      <c r="P6" s="6">
        <f>AVERAGE($O$3:O6)</f>
        <v>9.0732978672604574</v>
      </c>
      <c r="Q6" s="6">
        <f>AVERAGE($K$3:K6)</f>
        <v>-162.41816001498478</v>
      </c>
      <c r="R6" s="3">
        <f>SUM($K$3:K6)/N6</f>
        <v>-1.9676030965422917</v>
      </c>
    </row>
    <row r="7" spans="1:18" x14ac:dyDescent="0.25">
      <c r="A7">
        <v>2003</v>
      </c>
      <c r="B7">
        <v>5</v>
      </c>
      <c r="C7">
        <v>3162</v>
      </c>
      <c r="D7" s="9">
        <f t="shared" si="7"/>
        <v>3568.375</v>
      </c>
      <c r="G7" s="6">
        <f t="shared" si="0"/>
        <v>3354.4069852941175</v>
      </c>
      <c r="H7" s="3">
        <f t="shared" si="4"/>
        <v>0.94264053642338597</v>
      </c>
      <c r="I7" s="3">
        <v>0.9</v>
      </c>
      <c r="J7" s="9">
        <f t="shared" si="6"/>
        <v>3018.9662867647057</v>
      </c>
      <c r="K7" s="9">
        <f t="shared" si="1"/>
        <v>-143.03371323529427</v>
      </c>
      <c r="L7" s="6">
        <f t="shared" si="2"/>
        <v>143.03371323529427</v>
      </c>
      <c r="M7" s="6">
        <f>SUMSQ($K$3:K7)/B7</f>
        <v>172877.99389359419</v>
      </c>
      <c r="N7" s="6">
        <f>SUM($L$3:L7)/B7</f>
        <v>292.75458474046553</v>
      </c>
      <c r="O7" s="6">
        <f t="shared" si="3"/>
        <v>4.5235203426721782</v>
      </c>
      <c r="P7" s="6">
        <f>AVERAGE($O$3:O7)</f>
        <v>8.1633423623428012</v>
      </c>
      <c r="Q7" s="6">
        <f>AVERAGE($K$3:K7)</f>
        <v>-158.54127065904669</v>
      </c>
      <c r="R7" s="3">
        <f>SUM($K$3:K7)/N7</f>
        <v>-2.7077504319803838</v>
      </c>
    </row>
    <row r="8" spans="1:18" x14ac:dyDescent="0.25">
      <c r="B8">
        <v>6</v>
      </c>
      <c r="C8">
        <v>1928</v>
      </c>
      <c r="D8" s="9">
        <f t="shared" si="7"/>
        <v>3662.25</v>
      </c>
      <c r="G8" s="6">
        <f t="shared" si="0"/>
        <v>3558.5801470588235</v>
      </c>
      <c r="H8" s="3">
        <f t="shared" si="4"/>
        <v>0.54178911822275444</v>
      </c>
      <c r="I8" s="3">
        <v>0.6</v>
      </c>
      <c r="J8" s="9">
        <f t="shared" si="6"/>
        <v>2135.1480882352939</v>
      </c>
      <c r="K8" s="9">
        <f t="shared" si="1"/>
        <v>207.14808823529393</v>
      </c>
      <c r="L8" s="6">
        <f t="shared" si="2"/>
        <v>207.14808823529393</v>
      </c>
      <c r="M8" s="6">
        <f>SUMSQ($K$3:K8)/B8</f>
        <v>151216.71665458466</v>
      </c>
      <c r="N8" s="6">
        <f>SUM($L$3:L8)/B8</f>
        <v>278.48683532293694</v>
      </c>
      <c r="O8" s="6">
        <f t="shared" si="3"/>
        <v>10.744195447888689</v>
      </c>
      <c r="P8" s="6">
        <f>AVERAGE($O$3:O8)</f>
        <v>8.5934845432671167</v>
      </c>
      <c r="Q8" s="6">
        <f>AVERAGE($K$3:K8)</f>
        <v>-97.593044176656576</v>
      </c>
      <c r="R8" s="3">
        <f>SUM($K$3:K8)/N8</f>
        <v>-2.1026425338236132</v>
      </c>
    </row>
    <row r="9" spans="1:18" x14ac:dyDescent="0.25">
      <c r="B9">
        <v>7</v>
      </c>
      <c r="C9">
        <v>3113</v>
      </c>
      <c r="D9" s="9">
        <f t="shared" si="7"/>
        <v>3706.5</v>
      </c>
      <c r="G9" s="6">
        <f t="shared" si="0"/>
        <v>3762.7533088235296</v>
      </c>
      <c r="H9" s="3">
        <f t="shared" si="4"/>
        <v>0.82731971630989465</v>
      </c>
      <c r="I9" s="3">
        <v>0.7</v>
      </c>
      <c r="J9" s="9">
        <f t="shared" si="6"/>
        <v>2633.9273161764704</v>
      </c>
      <c r="K9" s="9">
        <f t="shared" si="1"/>
        <v>-479.07268382352959</v>
      </c>
      <c r="L9" s="6">
        <f t="shared" si="2"/>
        <v>479.07268382352959</v>
      </c>
      <c r="M9" s="6">
        <f>SUMSQ($K$3:K9)/B9</f>
        <v>162401.56233048392</v>
      </c>
      <c r="N9" s="6">
        <f>SUM($L$3:L9)/B9</f>
        <v>307.14195653730729</v>
      </c>
      <c r="O9" s="6">
        <f t="shared" si="3"/>
        <v>15.389421259991312</v>
      </c>
      <c r="P9" s="6">
        <f>AVERAGE($O$3:O9)</f>
        <v>9.5643326456562878</v>
      </c>
      <c r="Q9" s="6">
        <f>AVERAGE($K$3:K9)</f>
        <v>-152.09013555478128</v>
      </c>
      <c r="R9" s="3">
        <f>SUM($K$3:K9)/N9</f>
        <v>-3.4662504624442367</v>
      </c>
    </row>
    <row r="10" spans="1:18" x14ac:dyDescent="0.25">
      <c r="B10">
        <v>8</v>
      </c>
      <c r="C10">
        <v>6350</v>
      </c>
      <c r="D10" s="9">
        <f t="shared" si="7"/>
        <v>3844.875</v>
      </c>
      <c r="G10" s="6">
        <f t="shared" si="0"/>
        <v>3966.9264705882351</v>
      </c>
      <c r="H10" s="3">
        <f t="shared" si="4"/>
        <v>1.6007354931028988</v>
      </c>
      <c r="I10" s="3">
        <v>1.8</v>
      </c>
      <c r="J10" s="9">
        <f t="shared" si="6"/>
        <v>7140.4676470588238</v>
      </c>
      <c r="K10" s="9">
        <f t="shared" si="1"/>
        <v>790.46764705882379</v>
      </c>
      <c r="L10" s="6">
        <f t="shared" si="2"/>
        <v>790.46764705882379</v>
      </c>
      <c r="M10" s="6">
        <f>SUMSQ($K$3:K10)/B10</f>
        <v>220206.25467001257</v>
      </c>
      <c r="N10" s="6">
        <f>SUM($L$3:L10)/B10</f>
        <v>367.55766785249688</v>
      </c>
      <c r="O10" s="6">
        <f t="shared" si="3"/>
        <v>12.448309402501161</v>
      </c>
      <c r="P10" s="6">
        <f>AVERAGE($O$3:O10)</f>
        <v>9.924829740261897</v>
      </c>
      <c r="Q10" s="6">
        <f>AVERAGE($K$3:K10)</f>
        <v>-34.270412728080657</v>
      </c>
      <c r="R10" s="3">
        <f>SUM($K$3:K10)/N10</f>
        <v>-0.74590554300357748</v>
      </c>
    </row>
    <row r="11" spans="1:18" x14ac:dyDescent="0.25">
      <c r="A11">
        <v>2004</v>
      </c>
      <c r="B11">
        <v>9</v>
      </c>
      <c r="C11">
        <v>3708</v>
      </c>
      <c r="D11" s="9">
        <f t="shared" si="7"/>
        <v>3814.5</v>
      </c>
      <c r="G11" s="6">
        <f t="shared" si="0"/>
        <v>4171.0996323529416</v>
      </c>
      <c r="H11" s="3">
        <f t="shared" si="4"/>
        <v>0.88897420987958886</v>
      </c>
      <c r="I11" s="3">
        <v>0.9</v>
      </c>
      <c r="J11" s="9">
        <f t="shared" si="6"/>
        <v>3753.9896691176477</v>
      </c>
      <c r="K11" s="9">
        <f t="shared" si="1"/>
        <v>45.989669117647736</v>
      </c>
      <c r="L11" s="6">
        <f t="shared" si="2"/>
        <v>45.989669117647736</v>
      </c>
      <c r="M11" s="6">
        <f>SUMSQ($K$3:K11)/B11</f>
        <v>195973.89855840569</v>
      </c>
      <c r="N11" s="6">
        <f>SUM($L$3:L11)/B11</f>
        <v>331.8278902152914</v>
      </c>
      <c r="O11" s="6">
        <f t="shared" si="3"/>
        <v>1.240282338663639</v>
      </c>
      <c r="P11" s="6">
        <f>AVERAGE($O$3:O11)</f>
        <v>8.9598800289732008</v>
      </c>
      <c r="Q11" s="6">
        <f>AVERAGE($K$3:K11)</f>
        <v>-25.352625856333059</v>
      </c>
      <c r="R11" s="3">
        <f>SUM($K$3:K11)/N11</f>
        <v>-0.68762644562202857</v>
      </c>
    </row>
    <row r="12" spans="1:18" x14ac:dyDescent="0.25">
      <c r="B12">
        <v>10</v>
      </c>
      <c r="C12">
        <v>2489</v>
      </c>
      <c r="D12" s="9">
        <f t="shared" si="7"/>
        <v>3848.625</v>
      </c>
      <c r="G12" s="6">
        <f t="shared" si="0"/>
        <v>4375.2727941176472</v>
      </c>
      <c r="H12" s="3">
        <f t="shared" si="4"/>
        <v>0.56887881444703192</v>
      </c>
      <c r="I12" s="3">
        <v>0.6</v>
      </c>
      <c r="J12" s="9">
        <f t="shared" si="6"/>
        <v>2625.1636764705881</v>
      </c>
      <c r="K12" s="9">
        <f t="shared" si="1"/>
        <v>136.16367647058814</v>
      </c>
      <c r="L12" s="6">
        <f t="shared" si="2"/>
        <v>136.16367647058814</v>
      </c>
      <c r="M12" s="6">
        <f>SUMSQ($K$3:K12)/B12</f>
        <v>178230.56338156381</v>
      </c>
      <c r="N12" s="6">
        <f>SUM($L$3:L12)/B12</f>
        <v>312.26146884082107</v>
      </c>
      <c r="O12" s="6">
        <f t="shared" si="3"/>
        <v>5.4706177770425128</v>
      </c>
      <c r="P12" s="6">
        <f>AVERAGE($O$3:O12)</f>
        <v>8.6109538037801308</v>
      </c>
      <c r="Q12" s="6">
        <f>AVERAGE($K$3:K12)</f>
        <v>-9.2009956236409387</v>
      </c>
      <c r="R12" s="3">
        <f>SUM($K$3:K12)/N12</f>
        <v>-0.29465677138447244</v>
      </c>
    </row>
    <row r="13" spans="1:18" x14ac:dyDescent="0.25">
      <c r="B13">
        <v>11</v>
      </c>
      <c r="C13">
        <v>2309</v>
      </c>
      <c r="D13" s="9">
        <f t="shared" si="7"/>
        <v>4137.375</v>
      </c>
      <c r="G13" s="6">
        <f t="shared" si="0"/>
        <v>4579.4459558823528</v>
      </c>
      <c r="H13" s="3">
        <f t="shared" si="4"/>
        <v>0.50420946600189964</v>
      </c>
      <c r="I13" s="3">
        <v>0.7</v>
      </c>
      <c r="J13" s="9">
        <f t="shared" si="6"/>
        <v>3205.6121691176468</v>
      </c>
      <c r="K13" s="9">
        <f t="shared" si="1"/>
        <v>896.61216911764677</v>
      </c>
      <c r="L13" s="6">
        <f t="shared" si="2"/>
        <v>896.61216911764677</v>
      </c>
      <c r="M13" s="6">
        <f>SUMSQ($K$3:K13)/B13</f>
        <v>235110.81960231726</v>
      </c>
      <c r="N13" s="6">
        <f>SUM($L$3:L13)/B13</f>
        <v>365.38425977507796</v>
      </c>
      <c r="O13" s="6">
        <f t="shared" si="3"/>
        <v>38.831189654293929</v>
      </c>
      <c r="P13" s="6">
        <f>AVERAGE($O$3:O13)</f>
        <v>11.358247972008657</v>
      </c>
      <c r="Q13" s="6">
        <f>AVERAGE($K$3:K13)</f>
        <v>73.145655716476128</v>
      </c>
      <c r="R13" s="3">
        <f>SUM($K$3:K13)/N13</f>
        <v>2.2020713573609649</v>
      </c>
    </row>
    <row r="14" spans="1:18" x14ac:dyDescent="0.25">
      <c r="B14">
        <v>12</v>
      </c>
      <c r="C14">
        <v>7427</v>
      </c>
      <c r="D14" s="9">
        <f t="shared" si="7"/>
        <v>4473.25</v>
      </c>
      <c r="G14" s="6">
        <f t="shared" si="0"/>
        <v>4783.6191176470584</v>
      </c>
      <c r="H14" s="3">
        <f t="shared" si="4"/>
        <v>1.5525901660107826</v>
      </c>
      <c r="I14" s="3">
        <v>1.8</v>
      </c>
      <c r="J14" s="9">
        <f t="shared" si="6"/>
        <v>8610.5144117647051</v>
      </c>
      <c r="K14" s="9">
        <f t="shared" si="1"/>
        <v>1183.5144117647051</v>
      </c>
      <c r="L14" s="6">
        <f t="shared" si="2"/>
        <v>1183.5144117647051</v>
      </c>
      <c r="M14" s="6">
        <f>SUMSQ($K$3:K14)/B14</f>
        <v>332243.78154002049</v>
      </c>
      <c r="N14" s="6">
        <f>SUM($L$3:L14)/B14</f>
        <v>433.56177244088025</v>
      </c>
      <c r="O14" s="6">
        <f t="shared" si="3"/>
        <v>15.935295701692542</v>
      </c>
      <c r="P14" s="6">
        <f>AVERAGE($O$3:O14)</f>
        <v>11.739668616148982</v>
      </c>
      <c r="Q14" s="6">
        <f>AVERAGE($K$3:K14)</f>
        <v>165.67638538716187</v>
      </c>
      <c r="R14" s="3">
        <f>SUM($K$3:K14)/N14</f>
        <v>4.5855440931823361</v>
      </c>
    </row>
    <row r="15" spans="1:18" x14ac:dyDescent="0.25">
      <c r="A15">
        <v>2005</v>
      </c>
      <c r="B15">
        <v>13</v>
      </c>
      <c r="C15">
        <v>4941</v>
      </c>
      <c r="D15" s="9">
        <f t="shared" si="7"/>
        <v>4851.75</v>
      </c>
      <c r="G15" s="6">
        <f t="shared" si="0"/>
        <v>4987.7922794117649</v>
      </c>
      <c r="H15" s="3">
        <f t="shared" si="4"/>
        <v>0.99061863911115333</v>
      </c>
      <c r="I15" s="3">
        <v>0.9</v>
      </c>
      <c r="J15" s="9">
        <f t="shared" si="6"/>
        <v>4489.0130514705888</v>
      </c>
      <c r="K15" s="9">
        <f t="shared" si="1"/>
        <v>-451.98694852941117</v>
      </c>
      <c r="L15" s="6">
        <f t="shared" si="2"/>
        <v>451.98694852941117</v>
      </c>
      <c r="M15" s="6">
        <f>SUMSQ($K$3:K15)/B15</f>
        <v>322401.35231701343</v>
      </c>
      <c r="N15" s="6">
        <f>SUM($L$3:L15)/B15</f>
        <v>434.97909367845955</v>
      </c>
      <c r="O15" s="6">
        <f t="shared" si="3"/>
        <v>9.1476816136290449</v>
      </c>
      <c r="P15" s="6">
        <f>AVERAGE($O$3:O15)</f>
        <v>11.540285000570524</v>
      </c>
      <c r="Q15" s="6">
        <f>AVERAGE($K$3:K15)</f>
        <v>118.16382123973318</v>
      </c>
      <c r="R15" s="3">
        <f>SUM($K$3:K15)/N15</f>
        <v>3.5315023145734266</v>
      </c>
    </row>
    <row r="16" spans="1:18" x14ac:dyDescent="0.25">
      <c r="B16">
        <v>14</v>
      </c>
      <c r="C16">
        <v>3943</v>
      </c>
      <c r="D16" s="9">
        <f t="shared" si="7"/>
        <v>5474</v>
      </c>
      <c r="G16" s="6">
        <f t="shared" si="0"/>
        <v>5191.9654411764714</v>
      </c>
      <c r="H16" s="3">
        <f t="shared" si="4"/>
        <v>0.75944265127976995</v>
      </c>
      <c r="I16" s="3">
        <v>0.6</v>
      </c>
      <c r="J16" s="9">
        <f t="shared" si="6"/>
        <v>3115.1792647058828</v>
      </c>
      <c r="K16" s="9">
        <f t="shared" si="1"/>
        <v>-827.82073529411718</v>
      </c>
      <c r="L16" s="6">
        <f t="shared" si="2"/>
        <v>827.82073529411718</v>
      </c>
      <c r="M16" s="6">
        <f>SUMSQ($K$3:K16)/B16</f>
        <v>348321.76785029052</v>
      </c>
      <c r="N16" s="6">
        <f>SUM($L$3:L16)/B16</f>
        <v>463.03921093672079</v>
      </c>
      <c r="O16" s="6">
        <f t="shared" si="3"/>
        <v>20.994692754098836</v>
      </c>
      <c r="P16" s="6">
        <f>AVERAGE($O$3:O16)</f>
        <v>12.215599840108259</v>
      </c>
      <c r="Q16" s="6">
        <f>AVERAGE($K$3:K16)</f>
        <v>50.593495773029581</v>
      </c>
      <c r="R16" s="3">
        <f>SUM($K$3:K16)/N16</f>
        <v>1.5296953780426428</v>
      </c>
    </row>
    <row r="17" spans="1:18" x14ac:dyDescent="0.25">
      <c r="B17">
        <v>15</v>
      </c>
      <c r="C17">
        <v>3883</v>
      </c>
      <c r="D17" s="9">
        <f t="shared" si="7"/>
        <v>5917.25</v>
      </c>
      <c r="G17" s="6">
        <f t="shared" si="0"/>
        <v>5396.1386029411769</v>
      </c>
      <c r="H17" s="3">
        <f t="shared" si="4"/>
        <v>0.71958863285749597</v>
      </c>
      <c r="I17" s="3">
        <v>0.7</v>
      </c>
      <c r="J17" s="9">
        <f t="shared" si="6"/>
        <v>3777.2970220588236</v>
      </c>
      <c r="K17" s="9">
        <f t="shared" si="1"/>
        <v>-105.70297794117641</v>
      </c>
      <c r="L17" s="6">
        <f t="shared" si="2"/>
        <v>105.70297794117641</v>
      </c>
      <c r="M17" s="6">
        <f>SUMSQ($K$3:K17)/B17</f>
        <v>325845.19129664666</v>
      </c>
      <c r="N17" s="6">
        <f>SUM($L$3:L17)/B17</f>
        <v>439.21679540368444</v>
      </c>
      <c r="O17" s="6">
        <f t="shared" si="3"/>
        <v>2.7221987623274893</v>
      </c>
      <c r="P17" s="6">
        <f>AVERAGE($O$3:O17)</f>
        <v>11.582706434922875</v>
      </c>
      <c r="Q17" s="6">
        <f>AVERAGE($K$3:K17)</f>
        <v>40.173730858749181</v>
      </c>
      <c r="R17" s="3">
        <f>SUM($K$3:K17)/N17</f>
        <v>1.3720011829861427</v>
      </c>
    </row>
    <row r="18" spans="1:18" x14ac:dyDescent="0.25">
      <c r="B18">
        <v>16</v>
      </c>
      <c r="C18">
        <v>10831</v>
      </c>
      <c r="D18" s="9">
        <f t="shared" si="7"/>
        <v>5857.875</v>
      </c>
      <c r="G18" s="6">
        <f t="shared" si="0"/>
        <v>5600.3117647058825</v>
      </c>
      <c r="H18" s="3">
        <f t="shared" si="4"/>
        <v>1.9339994727184304</v>
      </c>
      <c r="I18" s="3">
        <v>1.8</v>
      </c>
      <c r="J18" s="9">
        <f t="shared" si="6"/>
        <v>10080.561176470588</v>
      </c>
      <c r="K18" s="9">
        <f t="shared" si="1"/>
        <v>-750.43882352941182</v>
      </c>
      <c r="L18" s="6">
        <f t="shared" si="2"/>
        <v>750.43882352941182</v>
      </c>
      <c r="M18" s="6">
        <f>SUMSQ($K$3:K18)/B18</f>
        <v>340677.26858186926</v>
      </c>
      <c r="N18" s="6">
        <f>SUM($L$3:L18)/B18</f>
        <v>458.66817216154243</v>
      </c>
      <c r="O18" s="6">
        <f t="shared" si="3"/>
        <v>6.9286199199465592</v>
      </c>
      <c r="P18" s="6">
        <f>AVERAGE($O$3:O18)</f>
        <v>11.291826027736855</v>
      </c>
      <c r="Q18" s="6">
        <f>AVERAGE($K$3:K18)</f>
        <v>-9.2395537905108824</v>
      </c>
      <c r="R18" s="3">
        <f>SUM($K$3:K18)/N18</f>
        <v>-0.32230895802403214</v>
      </c>
    </row>
    <row r="19" spans="1:18" x14ac:dyDescent="0.25">
      <c r="A19">
        <v>2006</v>
      </c>
      <c r="B19">
        <v>17</v>
      </c>
      <c r="C19">
        <v>5083</v>
      </c>
      <c r="D19" s="9">
        <f t="shared" si="7"/>
        <v>5840.125</v>
      </c>
      <c r="G19" s="6">
        <f t="shared" si="0"/>
        <v>5804.4849264705881</v>
      </c>
      <c r="H19" s="3">
        <f t="shared" si="4"/>
        <v>0.87570216210221319</v>
      </c>
      <c r="I19" s="3">
        <v>0.9</v>
      </c>
      <c r="J19" s="9">
        <f t="shared" si="6"/>
        <v>5224.0364338235295</v>
      </c>
      <c r="K19" s="9">
        <f t="shared" si="1"/>
        <v>141.03643382352948</v>
      </c>
      <c r="L19" s="6">
        <f t="shared" si="2"/>
        <v>141.03643382352948</v>
      </c>
      <c r="M19" s="6">
        <f>SUMSQ($K$3:K19)/B19</f>
        <v>321807.50429268042</v>
      </c>
      <c r="N19" s="6">
        <f>SUM($L$3:L19)/B19</f>
        <v>439.98395225930636</v>
      </c>
      <c r="O19" s="6">
        <f t="shared" si="3"/>
        <v>2.774669168277188</v>
      </c>
      <c r="P19" s="6">
        <f>AVERAGE($O$3:O19)</f>
        <v>10.790816800709816</v>
      </c>
      <c r="Q19" s="6">
        <f>AVERAGE($K$3:K19)</f>
        <v>-0.39978981321439067</v>
      </c>
      <c r="R19" s="3">
        <f>SUM($K$3:K19)/N19</f>
        <v>-1.5446987986141683E-2</v>
      </c>
    </row>
    <row r="20" spans="1:18" x14ac:dyDescent="0.25">
      <c r="B20">
        <v>18</v>
      </c>
      <c r="C20">
        <v>3326</v>
      </c>
      <c r="D20" s="9">
        <f>(C18+2*SUM(C19:C21)+C22)/8</f>
        <v>6019</v>
      </c>
      <c r="G20" s="6">
        <f t="shared" si="0"/>
        <v>6008.6580882352937</v>
      </c>
      <c r="H20" s="3">
        <f t="shared" si="4"/>
        <v>0.55353457480168022</v>
      </c>
      <c r="I20" s="3">
        <v>0.6</v>
      </c>
      <c r="J20" s="9">
        <f t="shared" si="6"/>
        <v>3605.1948529411761</v>
      </c>
      <c r="K20" s="9">
        <f t="shared" si="1"/>
        <v>279.19485294117612</v>
      </c>
      <c r="L20" s="6">
        <f t="shared" si="2"/>
        <v>279.19485294117612</v>
      </c>
      <c r="M20" s="6">
        <f>SUMSQ($K$3:K20)/B20</f>
        <v>308259.85216024506</v>
      </c>
      <c r="N20" s="6">
        <f>SUM($L$3:L20)/B20</f>
        <v>431.0512245194102</v>
      </c>
      <c r="O20" s="6">
        <f t="shared" si="3"/>
        <v>8.3943130770046928</v>
      </c>
      <c r="P20" s="6">
        <f>AVERAGE($O$3:O20)</f>
        <v>10.657677704948419</v>
      </c>
      <c r="Q20" s="6">
        <f>AVERAGE($K$3:K20)</f>
        <v>15.13324589536286</v>
      </c>
      <c r="R20" s="3">
        <f>SUM($K$3:K20)/N20</f>
        <v>0.63193980348909884</v>
      </c>
    </row>
    <row r="21" spans="1:18" x14ac:dyDescent="0.25">
      <c r="B21">
        <v>19</v>
      </c>
      <c r="C21">
        <v>4358</v>
      </c>
      <c r="G21" s="6">
        <f t="shared" si="0"/>
        <v>6212.8312500000002</v>
      </c>
      <c r="H21" s="3">
        <f t="shared" si="4"/>
        <v>0.70145153226236423</v>
      </c>
      <c r="I21" s="3">
        <v>0.7</v>
      </c>
      <c r="J21" s="9">
        <f t="shared" si="6"/>
        <v>4348.9818749999995</v>
      </c>
      <c r="K21" s="9">
        <f t="shared" si="1"/>
        <v>-9.0181250000005093</v>
      </c>
      <c r="L21" s="6">
        <f t="shared" si="2"/>
        <v>9.0181250000005093</v>
      </c>
      <c r="M21" s="6">
        <f>SUMSQ($K$3:K21)/B21</f>
        <v>292039.92976120667</v>
      </c>
      <c r="N21" s="6">
        <f>SUM($L$3:L21)/B21</f>
        <v>408.83895612365183</v>
      </c>
      <c r="O21" s="6">
        <f t="shared" si="3"/>
        <v>0.20693265259294422</v>
      </c>
      <c r="P21" s="6">
        <f>AVERAGE($O$3:O21)</f>
        <v>10.107638491666552</v>
      </c>
      <c r="Q21" s="6">
        <f>AVERAGE($K$3:K21)</f>
        <v>13.862121111396368</v>
      </c>
      <c r="R21" s="3">
        <f>SUM($K$3:K21)/N21</f>
        <v>0.64421527638592391</v>
      </c>
    </row>
    <row r="22" spans="1:18" x14ac:dyDescent="0.25">
      <c r="B22">
        <v>20</v>
      </c>
      <c r="C22">
        <v>11787</v>
      </c>
      <c r="G22" s="6">
        <f t="shared" si="0"/>
        <v>6417.0044117647067</v>
      </c>
      <c r="H22" s="3">
        <f t="shared" si="4"/>
        <v>1.8368383818452945</v>
      </c>
      <c r="I22" s="3">
        <v>1.8</v>
      </c>
      <c r="J22" s="9">
        <f>($E$2+B22*$F$2)*I22</f>
        <v>11550.607941176473</v>
      </c>
      <c r="K22" s="9">
        <f t="shared" si="1"/>
        <v>-236.3920588235269</v>
      </c>
      <c r="L22" s="6">
        <f t="shared" si="2"/>
        <v>236.3920588235269</v>
      </c>
      <c r="M22" s="6">
        <f>SUMSQ($K$3:K22)/B22</f>
        <v>280231.99354688765</v>
      </c>
      <c r="N22" s="6">
        <f>SUM($L$3:L22)/B22</f>
        <v>400.21661125864557</v>
      </c>
      <c r="O22" s="6">
        <f t="shared" si="3"/>
        <v>2.0055320168280892</v>
      </c>
      <c r="P22" s="6">
        <f>AVERAGE($O$3:O22)</f>
        <v>9.7025331679246296</v>
      </c>
      <c r="Q22" s="6">
        <f>AVERAGE($K$3:K22)</f>
        <v>1.3494121146502038</v>
      </c>
      <c r="R22" s="3">
        <f>SUM($K$3:K22)/N22</f>
        <v>6.7434088275667672E-2</v>
      </c>
    </row>
    <row r="23" spans="1:18" x14ac:dyDescent="0.25">
      <c r="A23">
        <v>2007</v>
      </c>
      <c r="B23">
        <v>21</v>
      </c>
      <c r="G23" s="6">
        <f>E$2+F$2*B23</f>
        <v>6621.1775735294123</v>
      </c>
      <c r="I23" s="3">
        <v>0.9</v>
      </c>
      <c r="J23" s="9">
        <f>($E$2+B23*$F$2)*I23</f>
        <v>5959.059816176471</v>
      </c>
      <c r="K23" s="9"/>
    </row>
    <row r="24" spans="1:18" x14ac:dyDescent="0.25">
      <c r="B24">
        <v>22</v>
      </c>
      <c r="G24" s="6">
        <f t="shared" si="0"/>
        <v>6825.3507352941178</v>
      </c>
      <c r="I24" s="3">
        <v>0.6</v>
      </c>
      <c r="J24" s="9">
        <f>($E$2+B24*$F$2)*I24</f>
        <v>4095.2104411764703</v>
      </c>
      <c r="K24" s="9"/>
    </row>
    <row r="25" spans="1:18" x14ac:dyDescent="0.25">
      <c r="B25">
        <v>23</v>
      </c>
      <c r="G25" s="6">
        <f t="shared" si="0"/>
        <v>7029.5238970588234</v>
      </c>
      <c r="I25" s="3">
        <v>0.7</v>
      </c>
      <c r="J25" s="9">
        <f>($E$2+B25*$F$2)*I25</f>
        <v>4920.6667279411758</v>
      </c>
      <c r="K25" s="9"/>
    </row>
    <row r="26" spans="1:18" x14ac:dyDescent="0.25">
      <c r="B26">
        <v>24</v>
      </c>
      <c r="G26" s="6">
        <f t="shared" si="0"/>
        <v>7233.697058823529</v>
      </c>
      <c r="I26" s="3">
        <v>1.8</v>
      </c>
      <c r="J26" s="9">
        <f t="shared" ref="J26" si="8">($E$2+B26*$F$2)*I26</f>
        <v>13020.654705882353</v>
      </c>
      <c r="K26" s="9"/>
    </row>
    <row r="33" spans="10:10" x14ac:dyDescent="0.25">
      <c r="J33" s="9">
        <f>SUM(J23:J26)</f>
        <v>27995.591691176473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5B9E-D8F9-4593-9F25-D94AE97689E5}">
  <dimension ref="A1:M26"/>
  <sheetViews>
    <sheetView workbookViewId="0">
      <selection activeCell="I39" sqref="I39"/>
    </sheetView>
  </sheetViews>
  <sheetFormatPr defaultRowHeight="15" x14ac:dyDescent="0.25"/>
  <cols>
    <col min="5" max="7" width="9" style="6" bestFit="1" customWidth="1"/>
    <col min="8" max="8" width="9.140625" style="6" bestFit="1" customWidth="1"/>
    <col min="9" max="10" width="9" style="6" bestFit="1" customWidth="1"/>
    <col min="11" max="12" width="8.85546875" style="6"/>
    <col min="13" max="13" width="8.8554687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27</v>
      </c>
      <c r="M1" s="2" t="s">
        <v>16</v>
      </c>
    </row>
    <row r="2" spans="1:13" x14ac:dyDescent="0.25">
      <c r="B2">
        <v>0</v>
      </c>
    </row>
    <row r="3" spans="1:13" x14ac:dyDescent="0.25">
      <c r="A3">
        <v>2002</v>
      </c>
      <c r="B3">
        <v>1</v>
      </c>
      <c r="C3">
        <v>2025</v>
      </c>
    </row>
    <row r="4" spans="1:13" x14ac:dyDescent="0.25">
      <c r="B4">
        <v>2</v>
      </c>
      <c r="C4">
        <v>1563</v>
      </c>
    </row>
    <row r="5" spans="1:13" x14ac:dyDescent="0.25">
      <c r="B5">
        <v>3</v>
      </c>
      <c r="C5">
        <v>2170</v>
      </c>
    </row>
    <row r="6" spans="1:13" x14ac:dyDescent="0.25">
      <c r="B6">
        <v>4</v>
      </c>
      <c r="C6">
        <v>6542</v>
      </c>
      <c r="D6">
        <f>AVERAGE(C3:C6)</f>
        <v>3075</v>
      </c>
    </row>
    <row r="7" spans="1:13" x14ac:dyDescent="0.25">
      <c r="A7">
        <v>2003</v>
      </c>
      <c r="B7">
        <v>5</v>
      </c>
      <c r="C7">
        <v>3162</v>
      </c>
      <c r="D7">
        <f t="shared" ref="D7:D21" si="0">AVERAGE(C4:C7)</f>
        <v>3359.25</v>
      </c>
      <c r="E7" s="6">
        <f>D6</f>
        <v>3075</v>
      </c>
      <c r="F7" s="6">
        <f>E7-C7</f>
        <v>-87</v>
      </c>
      <c r="G7" s="6">
        <f>ABS(F7)</f>
        <v>87</v>
      </c>
      <c r="H7" s="6">
        <f>SUMSQ($F$7:F7)/(B7-4)</f>
        <v>7569</v>
      </c>
      <c r="I7" s="6">
        <f>SUM($G$7:G7)/(B7-4)</f>
        <v>87</v>
      </c>
      <c r="J7" s="6">
        <f>100*(G7/C7)</f>
        <v>2.7514231499051234</v>
      </c>
      <c r="K7" s="6">
        <f>AVERAGE($J$7:J7)</f>
        <v>2.7514231499051234</v>
      </c>
      <c r="L7" s="6">
        <f>AVERAGE($F$7:F7)</f>
        <v>-87</v>
      </c>
      <c r="M7" s="3">
        <f>SUM($F$7:F7)/I7</f>
        <v>-1</v>
      </c>
    </row>
    <row r="8" spans="1:13" x14ac:dyDescent="0.25">
      <c r="B8">
        <v>6</v>
      </c>
      <c r="C8">
        <v>1928</v>
      </c>
      <c r="D8">
        <f t="shared" si="0"/>
        <v>3450.5</v>
      </c>
      <c r="E8" s="6">
        <f t="shared" ref="E8:E26" si="1">D7</f>
        <v>3359.25</v>
      </c>
      <c r="F8" s="6">
        <f t="shared" ref="F8:F22" si="2">E8-C8</f>
        <v>1431.25</v>
      </c>
      <c r="G8" s="6">
        <f t="shared" ref="G8:G22" si="3">ABS(F8)</f>
        <v>1431.25</v>
      </c>
      <c r="H8" s="6">
        <f>SUMSQ($F$7:F8)/(B8-4)</f>
        <v>1028022.78125</v>
      </c>
      <c r="I8" s="6">
        <f>SUM($G$7:G8)/(B8-4)</f>
        <v>759.125</v>
      </c>
      <c r="J8" s="6">
        <f t="shared" ref="J8:J21" si="4">100*(G8/C8)</f>
        <v>74.234958506224075</v>
      </c>
      <c r="K8" s="6">
        <f>AVERAGE($J$7:J8)</f>
        <v>38.493190828064598</v>
      </c>
      <c r="L8" s="6">
        <f>AVERAGE($F$7:F8)</f>
        <v>672.125</v>
      </c>
      <c r="M8" s="3">
        <f>SUM($F$7:F8)/I8</f>
        <v>1.770788737032768</v>
      </c>
    </row>
    <row r="9" spans="1:13" x14ac:dyDescent="0.25">
      <c r="B9">
        <v>7</v>
      </c>
      <c r="C9">
        <v>3113</v>
      </c>
      <c r="D9">
        <f t="shared" si="0"/>
        <v>3686.25</v>
      </c>
      <c r="E9" s="6">
        <f t="shared" si="1"/>
        <v>3450.5</v>
      </c>
      <c r="F9" s="6">
        <f t="shared" si="2"/>
        <v>337.5</v>
      </c>
      <c r="G9" s="6">
        <f t="shared" si="3"/>
        <v>337.5</v>
      </c>
      <c r="H9" s="6">
        <f>SUMSQ($F$7:F9)/(B9-4)</f>
        <v>723317.27083333337</v>
      </c>
      <c r="I9" s="6">
        <f>SUM($G$7:G9)/(B9-4)</f>
        <v>618.58333333333337</v>
      </c>
      <c r="J9" s="6">
        <f t="shared" si="4"/>
        <v>10.84163186636685</v>
      </c>
      <c r="K9" s="6">
        <f>AVERAGE($J$7:J9)</f>
        <v>29.276004507498683</v>
      </c>
      <c r="L9" s="6">
        <f>AVERAGE($F$7:F9)</f>
        <v>560.58333333333337</v>
      </c>
      <c r="M9" s="3">
        <f>SUM($F$7:F9)/I9</f>
        <v>2.7187121110063317</v>
      </c>
    </row>
    <row r="10" spans="1:13" x14ac:dyDescent="0.25">
      <c r="B10">
        <v>8</v>
      </c>
      <c r="C10">
        <v>6350</v>
      </c>
      <c r="D10">
        <f t="shared" si="0"/>
        <v>3638.25</v>
      </c>
      <c r="E10" s="6">
        <f t="shared" si="1"/>
        <v>3686.25</v>
      </c>
      <c r="F10" s="6">
        <f t="shared" si="2"/>
        <v>-2663.75</v>
      </c>
      <c r="G10" s="6">
        <f t="shared" si="3"/>
        <v>2663.75</v>
      </c>
      <c r="H10" s="6">
        <f>SUMSQ($F$7:F10)/(B10-4)</f>
        <v>2316378.96875</v>
      </c>
      <c r="I10" s="6">
        <f>SUM($G$7:G10)/(B10-4)</f>
        <v>1129.875</v>
      </c>
      <c r="J10" s="6">
        <f t="shared" si="4"/>
        <v>41.948818897637793</v>
      </c>
      <c r="K10" s="6">
        <f>AVERAGE($J$7:J10)</f>
        <v>32.444208105033461</v>
      </c>
      <c r="L10" s="6">
        <f>AVERAGE($F$7:F10)</f>
        <v>-245.5</v>
      </c>
      <c r="M10" s="3">
        <f>SUM($F$7:F10)/I10</f>
        <v>-0.86912269056311542</v>
      </c>
    </row>
    <row r="11" spans="1:13" x14ac:dyDescent="0.25">
      <c r="A11">
        <v>2004</v>
      </c>
      <c r="B11">
        <v>9</v>
      </c>
      <c r="C11">
        <v>3708</v>
      </c>
      <c r="D11">
        <f t="shared" si="0"/>
        <v>3774.75</v>
      </c>
      <c r="E11" s="6">
        <f t="shared" si="1"/>
        <v>3638.25</v>
      </c>
      <c r="F11" s="6">
        <f t="shared" si="2"/>
        <v>-69.75</v>
      </c>
      <c r="G11" s="6">
        <f t="shared" si="3"/>
        <v>69.75</v>
      </c>
      <c r="H11" s="6">
        <f>SUMSQ($F$7:F11)/(B11-4)</f>
        <v>1854076.1875</v>
      </c>
      <c r="I11" s="6">
        <f>SUM($G$7:G11)/(B11-4)</f>
        <v>917.85</v>
      </c>
      <c r="J11" s="6">
        <f t="shared" si="4"/>
        <v>1.8810679611650485</v>
      </c>
      <c r="K11" s="6">
        <f>AVERAGE($J$7:J11)</f>
        <v>26.33158007625978</v>
      </c>
      <c r="L11" s="6">
        <f>AVERAGE($F$7:F11)</f>
        <v>-210.35</v>
      </c>
      <c r="M11" s="3">
        <f>SUM($F$7:F11)/I11</f>
        <v>-1.1458844037696791</v>
      </c>
    </row>
    <row r="12" spans="1:13" x14ac:dyDescent="0.25">
      <c r="B12">
        <v>10</v>
      </c>
      <c r="C12">
        <v>2489</v>
      </c>
      <c r="D12">
        <f t="shared" si="0"/>
        <v>3915</v>
      </c>
      <c r="E12" s="6">
        <f t="shared" si="1"/>
        <v>3774.75</v>
      </c>
      <c r="F12" s="6">
        <f t="shared" si="2"/>
        <v>1285.75</v>
      </c>
      <c r="G12" s="6">
        <f t="shared" si="3"/>
        <v>1285.75</v>
      </c>
      <c r="H12" s="6">
        <f>SUMSQ($F$7:F12)/(B12-4)</f>
        <v>1820589</v>
      </c>
      <c r="I12" s="6">
        <f>SUM($G$7:G12)/(B12-4)</f>
        <v>979.16666666666663</v>
      </c>
      <c r="J12" s="6">
        <f t="shared" si="4"/>
        <v>51.657292085174767</v>
      </c>
      <c r="K12" s="6">
        <f>AVERAGE($J$7:J12)</f>
        <v>30.55253207774561</v>
      </c>
      <c r="L12" s="6">
        <f>AVERAGE($F$7:F12)</f>
        <v>39</v>
      </c>
      <c r="M12" s="3">
        <f>SUM($F$7:F12)/I12</f>
        <v>0.23897872340425533</v>
      </c>
    </row>
    <row r="13" spans="1:13" x14ac:dyDescent="0.25">
      <c r="B13">
        <v>11</v>
      </c>
      <c r="C13">
        <v>2309</v>
      </c>
      <c r="D13">
        <f t="shared" si="0"/>
        <v>3714</v>
      </c>
      <c r="E13" s="6">
        <f t="shared" si="1"/>
        <v>3915</v>
      </c>
      <c r="F13" s="6">
        <f t="shared" si="2"/>
        <v>1606</v>
      </c>
      <c r="G13" s="6">
        <f t="shared" si="3"/>
        <v>1606</v>
      </c>
      <c r="H13" s="6">
        <f>SUMSQ($F$7:F13)/(B13-4)</f>
        <v>1928967.142857143</v>
      </c>
      <c r="I13" s="6">
        <f>SUM($G$7:G13)/(B13-4)</f>
        <v>1068.7142857142858</v>
      </c>
      <c r="J13" s="6">
        <f t="shared" si="4"/>
        <v>69.553919445647466</v>
      </c>
      <c r="K13" s="6">
        <f>AVERAGE($J$7:J13)</f>
        <v>36.124158844588734</v>
      </c>
      <c r="L13" s="6">
        <f>AVERAGE($F$7:F13)</f>
        <v>262.85714285714283</v>
      </c>
      <c r="M13" s="3">
        <f>SUM($F$7:F13)/I13</f>
        <v>1.7216949605667691</v>
      </c>
    </row>
    <row r="14" spans="1:13" x14ac:dyDescent="0.25">
      <c r="B14">
        <v>12</v>
      </c>
      <c r="C14">
        <v>7427</v>
      </c>
      <c r="D14">
        <f t="shared" si="0"/>
        <v>3983.25</v>
      </c>
      <c r="E14" s="6">
        <f t="shared" si="1"/>
        <v>3714</v>
      </c>
      <c r="F14" s="6">
        <f t="shared" si="2"/>
        <v>-3713</v>
      </c>
      <c r="G14" s="6">
        <f t="shared" si="3"/>
        <v>3713</v>
      </c>
      <c r="H14" s="6">
        <f>SUMSQ($F$7:F14)/(B14-4)</f>
        <v>3411142.375</v>
      </c>
      <c r="I14" s="6">
        <f>SUM($G$7:G14)/(B14-4)</f>
        <v>1399.25</v>
      </c>
      <c r="J14" s="6">
        <f t="shared" si="4"/>
        <v>49.99326780665141</v>
      </c>
      <c r="K14" s="6">
        <f>AVERAGE($J$7:J14)</f>
        <v>37.85779746484657</v>
      </c>
      <c r="L14" s="6">
        <f>AVERAGE($F$7:F14)</f>
        <v>-234.125</v>
      </c>
      <c r="M14" s="3">
        <f>SUM($F$7:F14)/I14</f>
        <v>-1.3385742361979631</v>
      </c>
    </row>
    <row r="15" spans="1:13" x14ac:dyDescent="0.25">
      <c r="A15">
        <v>2005</v>
      </c>
      <c r="B15">
        <v>13</v>
      </c>
      <c r="C15">
        <v>4941</v>
      </c>
      <c r="D15">
        <f t="shared" si="0"/>
        <v>4291.5</v>
      </c>
      <c r="E15" s="6">
        <f t="shared" si="1"/>
        <v>3983.25</v>
      </c>
      <c r="F15" s="6">
        <f t="shared" si="2"/>
        <v>-957.75</v>
      </c>
      <c r="G15" s="6">
        <f t="shared" si="3"/>
        <v>957.75</v>
      </c>
      <c r="H15" s="6">
        <f>SUMSQ($F$7:F15)/(B15-4)</f>
        <v>3134047.1180555555</v>
      </c>
      <c r="I15" s="6">
        <f>SUM($G$7:G15)/(B15-4)</f>
        <v>1350.1944444444443</v>
      </c>
      <c r="J15" s="6">
        <f t="shared" si="4"/>
        <v>19.383727990285369</v>
      </c>
      <c r="K15" s="6">
        <f>AVERAGE($J$7:J15)</f>
        <v>35.805123078784213</v>
      </c>
      <c r="L15" s="6">
        <f>AVERAGE($F$7:F15)</f>
        <v>-314.52777777777777</v>
      </c>
      <c r="M15" s="3">
        <f>SUM($F$7:F15)/I15</f>
        <v>-2.0965498796469646</v>
      </c>
    </row>
    <row r="16" spans="1:13" x14ac:dyDescent="0.25">
      <c r="B16">
        <v>14</v>
      </c>
      <c r="C16">
        <v>3943</v>
      </c>
      <c r="D16">
        <f t="shared" si="0"/>
        <v>4655</v>
      </c>
      <c r="E16" s="6">
        <f t="shared" si="1"/>
        <v>4291.5</v>
      </c>
      <c r="F16" s="6">
        <f t="shared" si="2"/>
        <v>348.5</v>
      </c>
      <c r="G16" s="6">
        <f t="shared" si="3"/>
        <v>348.5</v>
      </c>
      <c r="H16" s="6">
        <f>SUMSQ($F$7:F16)/(B16-4)</f>
        <v>2832787.6312500001</v>
      </c>
      <c r="I16" s="6">
        <f>SUM($G$7:G16)/(B16-4)</f>
        <v>1250.0250000000001</v>
      </c>
      <c r="J16" s="6">
        <f t="shared" si="4"/>
        <v>8.8384478823231039</v>
      </c>
      <c r="K16" s="6">
        <f>AVERAGE($J$7:J16)</f>
        <v>33.108455559138108</v>
      </c>
      <c r="L16" s="6">
        <f>AVERAGE($F$7:F16)</f>
        <v>-248.22499999999999</v>
      </c>
      <c r="M16" s="3">
        <f>SUM($F$7:F16)/I16</f>
        <v>-1.9857602847943039</v>
      </c>
    </row>
    <row r="17" spans="1:13" x14ac:dyDescent="0.25">
      <c r="B17">
        <v>15</v>
      </c>
      <c r="C17">
        <v>3883</v>
      </c>
      <c r="D17">
        <f t="shared" si="0"/>
        <v>5048.5</v>
      </c>
      <c r="E17" s="6">
        <f t="shared" si="1"/>
        <v>4655</v>
      </c>
      <c r="F17" s="6">
        <f t="shared" si="2"/>
        <v>772</v>
      </c>
      <c r="G17" s="6">
        <f t="shared" si="3"/>
        <v>772</v>
      </c>
      <c r="H17" s="6">
        <f>SUMSQ($F$7:F17)/(B17-4)</f>
        <v>2629441.8465909092</v>
      </c>
      <c r="I17" s="6">
        <f>SUM($G$7:G17)/(B17-4)</f>
        <v>1206.5681818181818</v>
      </c>
      <c r="J17" s="6">
        <f t="shared" si="4"/>
        <v>19.8815348956992</v>
      </c>
      <c r="K17" s="6">
        <f>AVERAGE($J$7:J17)</f>
        <v>31.906008226098205</v>
      </c>
      <c r="L17" s="6">
        <f>AVERAGE($F$7:F17)</f>
        <v>-155.47727272727272</v>
      </c>
      <c r="M17" s="3">
        <f>SUM($F$7:F17)/I17</f>
        <v>-1.4174499425493041</v>
      </c>
    </row>
    <row r="18" spans="1:13" x14ac:dyDescent="0.25">
      <c r="B18">
        <v>16</v>
      </c>
      <c r="C18">
        <v>10831</v>
      </c>
      <c r="D18">
        <f t="shared" si="0"/>
        <v>5899.5</v>
      </c>
      <c r="E18" s="6">
        <f t="shared" si="1"/>
        <v>5048.5</v>
      </c>
      <c r="F18" s="6">
        <f t="shared" si="2"/>
        <v>-5782.5</v>
      </c>
      <c r="G18" s="6">
        <f t="shared" si="3"/>
        <v>5782.5</v>
      </c>
      <c r="H18" s="6">
        <f>SUMSQ($F$7:F18)/(B18-4)</f>
        <v>5196763.880208333</v>
      </c>
      <c r="I18" s="6">
        <f>SUM($G$7:G18)/(B18-4)</f>
        <v>1587.8958333333333</v>
      </c>
      <c r="J18" s="6">
        <f t="shared" si="4"/>
        <v>53.388422121687753</v>
      </c>
      <c r="K18" s="6">
        <f>AVERAGE($J$7:J18)</f>
        <v>33.696209384063998</v>
      </c>
      <c r="L18" s="6">
        <f>AVERAGE($F$7:F18)</f>
        <v>-624.39583333333337</v>
      </c>
      <c r="M18" s="3">
        <f>SUM($F$7:F18)/I18</f>
        <v>-4.7186659494351808</v>
      </c>
    </row>
    <row r="19" spans="1:13" x14ac:dyDescent="0.25">
      <c r="A19">
        <v>2006</v>
      </c>
      <c r="B19">
        <v>17</v>
      </c>
      <c r="C19">
        <v>5083</v>
      </c>
      <c r="D19">
        <f t="shared" si="0"/>
        <v>5935</v>
      </c>
      <c r="E19" s="6">
        <f t="shared" si="1"/>
        <v>5899.5</v>
      </c>
      <c r="F19" s="6">
        <f t="shared" si="2"/>
        <v>816.5</v>
      </c>
      <c r="G19" s="6">
        <f t="shared" si="3"/>
        <v>816.5</v>
      </c>
      <c r="H19" s="6">
        <f>SUMSQ($F$7:F19)/(B19-4)</f>
        <v>4848295.293269231</v>
      </c>
      <c r="I19" s="6">
        <f>SUM($G$7:G19)/(B19-4)</f>
        <v>1528.5576923076924</v>
      </c>
      <c r="J19" s="6">
        <f t="shared" si="4"/>
        <v>16.063348416289593</v>
      </c>
      <c r="K19" s="6">
        <f>AVERAGE($J$7:J19)</f>
        <v>32.339835463465974</v>
      </c>
      <c r="L19" s="6">
        <f>AVERAGE($F$7:F19)</f>
        <v>-513.55769230769226</v>
      </c>
      <c r="M19" s="3">
        <f>SUM($F$7:F19)/I19</f>
        <v>-4.3676794363716427</v>
      </c>
    </row>
    <row r="20" spans="1:13" x14ac:dyDescent="0.25">
      <c r="B20">
        <v>18</v>
      </c>
      <c r="C20">
        <v>3326</v>
      </c>
      <c r="D20">
        <f t="shared" si="0"/>
        <v>5780.75</v>
      </c>
      <c r="E20" s="6">
        <f t="shared" si="1"/>
        <v>5935</v>
      </c>
      <c r="F20" s="6">
        <f t="shared" si="2"/>
        <v>2609</v>
      </c>
      <c r="G20" s="6">
        <f t="shared" si="3"/>
        <v>2609</v>
      </c>
      <c r="H20" s="6">
        <f>SUMSQ($F$7:F20)/(B20-4)</f>
        <v>4988194.2723214282</v>
      </c>
      <c r="I20" s="6">
        <f>SUM($G$7:G20)/(B20-4)</f>
        <v>1605.7321428571429</v>
      </c>
      <c r="J20" s="6">
        <f t="shared" si="4"/>
        <v>78.442573662056532</v>
      </c>
      <c r="K20" s="6">
        <f>AVERAGE($J$7:J20)</f>
        <v>35.632888191936722</v>
      </c>
      <c r="L20" s="6">
        <f>AVERAGE($F$7:F20)</f>
        <v>-290.51785714285717</v>
      </c>
      <c r="M20" s="3">
        <f>SUM($F$7:F20)/I20</f>
        <v>-2.5329567064423215</v>
      </c>
    </row>
    <row r="21" spans="1:13" x14ac:dyDescent="0.25">
      <c r="B21">
        <v>19</v>
      </c>
      <c r="C21">
        <v>4358</v>
      </c>
      <c r="D21">
        <f t="shared" si="0"/>
        <v>5899.5</v>
      </c>
      <c r="E21" s="6">
        <f t="shared" si="1"/>
        <v>5780.75</v>
      </c>
      <c r="F21" s="6">
        <f t="shared" si="2"/>
        <v>1422.75</v>
      </c>
      <c r="G21" s="6">
        <f t="shared" si="3"/>
        <v>1422.75</v>
      </c>
      <c r="H21" s="6">
        <f>SUMSQ($F$7:F21)/(B21-4)</f>
        <v>4790595.8250000002</v>
      </c>
      <c r="I21" s="6">
        <f>SUM($G$7:G21)/(B21-4)</f>
        <v>1593.5333333333333</v>
      </c>
      <c r="J21" s="6">
        <f t="shared" si="4"/>
        <v>32.646856356126662</v>
      </c>
      <c r="K21" s="6">
        <f>AVERAGE($J$7:J21)</f>
        <v>35.433819402882719</v>
      </c>
      <c r="L21" s="6">
        <f>AVERAGE($F$7:F21)</f>
        <v>-176.3</v>
      </c>
      <c r="M21" s="3">
        <f>SUM($F$7:F21)/I21</f>
        <v>-1.6595197255574614</v>
      </c>
    </row>
    <row r="22" spans="1:13" x14ac:dyDescent="0.25">
      <c r="B22">
        <v>20</v>
      </c>
      <c r="C22">
        <v>11787</v>
      </c>
      <c r="D22">
        <f>AVERAGE(C19:C22)</f>
        <v>6138.5</v>
      </c>
      <c r="E22" s="6">
        <f>D21</f>
        <v>5899.5</v>
      </c>
      <c r="F22" s="6">
        <f t="shared" si="2"/>
        <v>-5887.5</v>
      </c>
      <c r="G22" s="6">
        <f t="shared" si="3"/>
        <v>5887.5</v>
      </c>
      <c r="H22" s="6">
        <f>SUMSQ($F$7:F22)/(B22-4)</f>
        <v>6657599.6015625</v>
      </c>
      <c r="I22" s="6">
        <f>SUM($G$7:G22)/(B22-4)</f>
        <v>1861.90625</v>
      </c>
      <c r="J22" s="6">
        <f>100*(G22/C22)</f>
        <v>49.949096462204125</v>
      </c>
      <c r="K22" s="6">
        <f>AVERAGE($J$7:J22)</f>
        <v>36.341024219090308</v>
      </c>
      <c r="L22" s="6">
        <f>AVERAGE($F$7:F22)</f>
        <v>-533.25</v>
      </c>
      <c r="M22" s="3">
        <f>SUM($F$7:F22)/I22</f>
        <v>-4.5824004296671754</v>
      </c>
    </row>
    <row r="23" spans="1:13" x14ac:dyDescent="0.25">
      <c r="A23">
        <v>2007</v>
      </c>
      <c r="B23">
        <v>21</v>
      </c>
      <c r="D23">
        <v>6138.5</v>
      </c>
      <c r="E23" s="6">
        <f t="shared" si="1"/>
        <v>6138.5</v>
      </c>
    </row>
    <row r="24" spans="1:13" x14ac:dyDescent="0.25">
      <c r="B24">
        <v>22</v>
      </c>
      <c r="D24">
        <v>6138.5</v>
      </c>
      <c r="E24" s="6">
        <f t="shared" si="1"/>
        <v>6138.5</v>
      </c>
    </row>
    <row r="25" spans="1:13" x14ac:dyDescent="0.25">
      <c r="B25">
        <v>23</v>
      </c>
      <c r="D25">
        <v>6138.5</v>
      </c>
      <c r="E25" s="6">
        <f t="shared" si="1"/>
        <v>6138.5</v>
      </c>
    </row>
    <row r="26" spans="1:13" x14ac:dyDescent="0.25">
      <c r="B26">
        <v>24</v>
      </c>
      <c r="D26">
        <v>6138.5</v>
      </c>
      <c r="E26" s="6">
        <f t="shared" si="1"/>
        <v>6138.5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345D-CB4F-492C-8544-24CE0DF3A8B3}">
  <dimension ref="A1:M26"/>
  <sheetViews>
    <sheetView workbookViewId="0">
      <selection activeCell="J30" sqref="J30"/>
    </sheetView>
  </sheetViews>
  <sheetFormatPr defaultRowHeight="15" x14ac:dyDescent="0.25"/>
  <cols>
    <col min="4" max="5" width="8.85546875" style="6"/>
    <col min="7" max="7" width="9" style="6" bestFit="1" customWidth="1"/>
    <col min="8" max="9" width="9.140625" style="6" bestFit="1" customWidth="1"/>
    <col min="10" max="11" width="9" style="6" bestFit="1" customWidth="1"/>
    <col min="12" max="12" width="9" style="6" customWidth="1"/>
    <col min="13" max="13" width="8.8554687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0" t="s">
        <v>4</v>
      </c>
      <c r="E1" s="10" t="s">
        <v>9</v>
      </c>
      <c r="F1" s="1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27</v>
      </c>
      <c r="M1" s="2" t="s">
        <v>16</v>
      </c>
    </row>
    <row r="2" spans="1:13" x14ac:dyDescent="0.25">
      <c r="A2" s="1"/>
      <c r="B2" s="1"/>
      <c r="C2" s="1"/>
      <c r="D2" s="6">
        <f>AVERAGE(C3:C22)</f>
        <v>4546.8999999999996</v>
      </c>
      <c r="E2" s="10"/>
    </row>
    <row r="3" spans="1:13" x14ac:dyDescent="0.25">
      <c r="A3">
        <v>2002</v>
      </c>
      <c r="B3">
        <v>1</v>
      </c>
      <c r="C3">
        <v>2025</v>
      </c>
      <c r="D3" s="6">
        <f>0.06*C3+(1-0.06)*D2</f>
        <v>4395.5859999999993</v>
      </c>
      <c r="E3" s="6">
        <f>D2</f>
        <v>4546.8999999999996</v>
      </c>
      <c r="F3" s="6">
        <f>E3-C3</f>
        <v>2521.8999999999996</v>
      </c>
      <c r="G3" s="6">
        <f>ABS(F3)</f>
        <v>2521.8999999999996</v>
      </c>
      <c r="H3" s="6">
        <f>SUMSQ($F$3:F3)/B3</f>
        <v>6359979.6099999985</v>
      </c>
      <c r="I3" s="6">
        <f>SUM($G$3:G3)/B3</f>
        <v>2521.8999999999996</v>
      </c>
      <c r="J3" s="6">
        <f>100*(G3/C3)</f>
        <v>124.53827160493825</v>
      </c>
      <c r="K3" s="6">
        <f>AVERAGE($J$3:J3)</f>
        <v>124.53827160493825</v>
      </c>
      <c r="L3" s="6">
        <f>AVERAGE($F$3:F3)</f>
        <v>2521.8999999999996</v>
      </c>
      <c r="M3" s="3">
        <f>SUM($F$3:F3)/I3</f>
        <v>1</v>
      </c>
    </row>
    <row r="4" spans="1:13" x14ac:dyDescent="0.25">
      <c r="B4">
        <v>2</v>
      </c>
      <c r="C4">
        <v>1563</v>
      </c>
      <c r="D4" s="6">
        <f>0.06*C4+(1-0.06)*D3</f>
        <v>4225.6308399999989</v>
      </c>
      <c r="E4" s="6">
        <f>D3</f>
        <v>4395.5859999999993</v>
      </c>
      <c r="F4" s="6">
        <f t="shared" ref="F4:F22" si="0">E4-C4</f>
        <v>2832.5859999999993</v>
      </c>
      <c r="G4" s="6">
        <f t="shared" ref="G4:G22" si="1">ABS(F4)</f>
        <v>2832.5859999999993</v>
      </c>
      <c r="H4" s="6">
        <f>SUMSQ($F$3:F4)/B4</f>
        <v>7191761.5286979973</v>
      </c>
      <c r="I4" s="6">
        <f>SUM($G$3:G4)/B4</f>
        <v>2677.2429999999995</v>
      </c>
      <c r="J4" s="6">
        <f t="shared" ref="J4:J22" si="2">100*(G4/C4)</f>
        <v>181.22751119641711</v>
      </c>
      <c r="K4" s="6">
        <f>AVERAGE($J$3:J4)</f>
        <v>152.88289140067769</v>
      </c>
      <c r="L4" s="6">
        <f>AVERAGE($F$3:F4)</f>
        <v>2677.2429999999995</v>
      </c>
      <c r="M4" s="3">
        <f>SUM($F$3:F4)/I4</f>
        <v>2</v>
      </c>
    </row>
    <row r="5" spans="1:13" x14ac:dyDescent="0.25">
      <c r="B5">
        <v>3</v>
      </c>
      <c r="C5">
        <v>2170</v>
      </c>
      <c r="D5" s="6">
        <f t="shared" ref="D5:D22" si="3">0.06*C5+(1-0.06)*D4</f>
        <v>4102.2929895999987</v>
      </c>
      <c r="E5" s="6">
        <f t="shared" ref="E5:E22" si="4">D4</f>
        <v>4225.6308399999989</v>
      </c>
      <c r="F5" s="6">
        <f t="shared" si="0"/>
        <v>2055.6308399999989</v>
      </c>
      <c r="G5" s="6">
        <f t="shared" si="1"/>
        <v>2055.6308399999989</v>
      </c>
      <c r="H5" s="6">
        <f>SUMSQ($F$3:F5)/B5</f>
        <v>6203047.0692516984</v>
      </c>
      <c r="I5" s="6">
        <f>SUM($G$3:G5)/B5</f>
        <v>2470.0389466666661</v>
      </c>
      <c r="J5" s="6">
        <f t="shared" si="2"/>
        <v>94.729531797234969</v>
      </c>
      <c r="K5" s="6">
        <f>AVERAGE($J$3:J5)</f>
        <v>133.49843819953011</v>
      </c>
      <c r="L5" s="6">
        <f>AVERAGE($F$3:F5)</f>
        <v>2470.0389466666661</v>
      </c>
      <c r="M5" s="3">
        <f>SUM($F$3:F5)/I5</f>
        <v>3</v>
      </c>
    </row>
    <row r="6" spans="1:13" x14ac:dyDescent="0.25">
      <c r="B6">
        <v>4</v>
      </c>
      <c r="C6">
        <v>6542</v>
      </c>
      <c r="D6" s="6">
        <f t="shared" si="3"/>
        <v>4248.6754102239984</v>
      </c>
      <c r="E6" s="6">
        <f t="shared" si="4"/>
        <v>4102.2929895999987</v>
      </c>
      <c r="F6" s="6">
        <f t="shared" si="0"/>
        <v>-2439.7070104000013</v>
      </c>
      <c r="G6" s="6">
        <f t="shared" si="1"/>
        <v>2439.7070104000013</v>
      </c>
      <c r="H6" s="6">
        <f>SUMSQ($F$3:F6)/B6</f>
        <v>6140327.8760875016</v>
      </c>
      <c r="I6" s="6">
        <f>SUM($G$3:G6)/B6</f>
        <v>2462.4559626</v>
      </c>
      <c r="J6" s="6">
        <f t="shared" si="2"/>
        <v>37.29298395597678</v>
      </c>
      <c r="K6" s="6">
        <f>AVERAGE($J$3:J6)</f>
        <v>109.44707463864179</v>
      </c>
      <c r="L6" s="6">
        <f>AVERAGE($F$3:F6)</f>
        <v>1242.6024573999991</v>
      </c>
      <c r="M6" s="3">
        <f>SUM($F$3:F6)/I6</f>
        <v>2.0184766367768696</v>
      </c>
    </row>
    <row r="7" spans="1:13" x14ac:dyDescent="0.25">
      <c r="A7">
        <v>2003</v>
      </c>
      <c r="B7">
        <v>5</v>
      </c>
      <c r="C7">
        <v>3162</v>
      </c>
      <c r="D7" s="6">
        <f t="shared" si="3"/>
        <v>4183.474885610558</v>
      </c>
      <c r="E7" s="6">
        <f t="shared" si="4"/>
        <v>4248.6754102239984</v>
      </c>
      <c r="F7" s="6">
        <f t="shared" si="0"/>
        <v>1086.6754102239984</v>
      </c>
      <c r="G7" s="6">
        <f t="shared" si="1"/>
        <v>1086.6754102239984</v>
      </c>
      <c r="H7" s="6">
        <f>SUMSQ($F$3:F7)/B7</f>
        <v>5148434.9903071001</v>
      </c>
      <c r="I7" s="6">
        <f>SUM($G$3:G7)/B7</f>
        <v>2187.2998521247996</v>
      </c>
      <c r="J7" s="6">
        <f t="shared" si="2"/>
        <v>34.366711265781099</v>
      </c>
      <c r="K7" s="6">
        <f>AVERAGE($J$3:J7)</f>
        <v>94.431001964069651</v>
      </c>
      <c r="L7" s="6">
        <f>AVERAGE($F$3:F7)</f>
        <v>1211.4170479647989</v>
      </c>
      <c r="M7" s="3">
        <f>SUM($F$3:F7)/I7</f>
        <v>2.7692066242952404</v>
      </c>
    </row>
    <row r="8" spans="1:13" x14ac:dyDescent="0.25">
      <c r="B8">
        <v>6</v>
      </c>
      <c r="C8">
        <v>1928</v>
      </c>
      <c r="D8" s="6">
        <f t="shared" si="3"/>
        <v>4048.1463924739242</v>
      </c>
      <c r="E8" s="6">
        <f t="shared" si="4"/>
        <v>4183.474885610558</v>
      </c>
      <c r="F8" s="6">
        <f t="shared" si="0"/>
        <v>2255.474885610558</v>
      </c>
      <c r="G8" s="6">
        <f t="shared" si="1"/>
        <v>2255.474885610558</v>
      </c>
      <c r="H8" s="6">
        <f>SUMSQ($F$3:F8)/B8</f>
        <v>5138223.6518592434</v>
      </c>
      <c r="I8" s="6">
        <f>SUM($G$3:G8)/B8</f>
        <v>2198.6623577057594</v>
      </c>
      <c r="J8" s="6">
        <f t="shared" si="2"/>
        <v>116.9852119092613</v>
      </c>
      <c r="K8" s="6">
        <f>AVERAGE($J$3:J8)</f>
        <v>98.190036954934911</v>
      </c>
      <c r="L8" s="6">
        <f>AVERAGE($F$3:F8)</f>
        <v>1385.4266875724254</v>
      </c>
      <c r="M8" s="3">
        <f>SUM($F$3:F8)/I8</f>
        <v>3.7807351803250357</v>
      </c>
    </row>
    <row r="9" spans="1:13" x14ac:dyDescent="0.25">
      <c r="B9">
        <v>7</v>
      </c>
      <c r="C9">
        <v>3113</v>
      </c>
      <c r="D9" s="6">
        <f t="shared" si="3"/>
        <v>3992.0376089254887</v>
      </c>
      <c r="E9" s="6">
        <f t="shared" si="4"/>
        <v>4048.1463924739242</v>
      </c>
      <c r="F9" s="6">
        <f t="shared" si="0"/>
        <v>935.14639247392415</v>
      </c>
      <c r="G9" s="6">
        <f t="shared" si="1"/>
        <v>935.14639247392415</v>
      </c>
      <c r="H9" s="6">
        <f>SUMSQ($F$3:F9)/B9</f>
        <v>4529120.0980732078</v>
      </c>
      <c r="I9" s="6">
        <f>SUM($G$3:G9)/B9</f>
        <v>2018.1600769583542</v>
      </c>
      <c r="J9" s="6">
        <f t="shared" si="2"/>
        <v>30.040038306261618</v>
      </c>
      <c r="K9" s="6">
        <f>AVERAGE($J$3:J9)</f>
        <v>88.454322862267304</v>
      </c>
      <c r="L9" s="6">
        <f>AVERAGE($F$3:F9)</f>
        <v>1321.1009311297823</v>
      </c>
      <c r="M9" s="3">
        <f>SUM($F$3:F9)/I9</f>
        <v>4.5822462863530857</v>
      </c>
    </row>
    <row r="10" spans="1:13" x14ac:dyDescent="0.25">
      <c r="B10">
        <v>8</v>
      </c>
      <c r="C10">
        <v>6350</v>
      </c>
      <c r="D10" s="6">
        <f t="shared" si="3"/>
        <v>4133.5153523899589</v>
      </c>
      <c r="E10" s="6">
        <f t="shared" si="4"/>
        <v>3992.0376089254887</v>
      </c>
      <c r="F10" s="6">
        <f t="shared" si="0"/>
        <v>-2357.9623910745113</v>
      </c>
      <c r="G10" s="6">
        <f t="shared" si="1"/>
        <v>2357.9623910745113</v>
      </c>
      <c r="H10" s="6">
        <f>SUMSQ($F$3:F10)/B10</f>
        <v>4657978.4155292856</v>
      </c>
      <c r="I10" s="6">
        <f>SUM($G$3:G10)/B10</f>
        <v>2060.6353662228739</v>
      </c>
      <c r="J10" s="6">
        <f t="shared" si="2"/>
        <v>37.133266001173403</v>
      </c>
      <c r="K10" s="6">
        <f>AVERAGE($J$3:J10)</f>
        <v>82.039190754630567</v>
      </c>
      <c r="L10" s="6">
        <f>AVERAGE($F$3:F10)</f>
        <v>861.21801585424566</v>
      </c>
      <c r="M10" s="3">
        <f>SUM($F$3:F10)/I10</f>
        <v>3.3435047460448106</v>
      </c>
    </row>
    <row r="11" spans="1:13" x14ac:dyDescent="0.25">
      <c r="A11">
        <v>2004</v>
      </c>
      <c r="B11">
        <v>9</v>
      </c>
      <c r="C11">
        <v>3708</v>
      </c>
      <c r="D11" s="6">
        <f t="shared" si="3"/>
        <v>4107.9844312465611</v>
      </c>
      <c r="E11" s="6">
        <f t="shared" si="4"/>
        <v>4133.5153523899589</v>
      </c>
      <c r="F11" s="6">
        <f t="shared" si="0"/>
        <v>425.51535238995893</v>
      </c>
      <c r="G11" s="6">
        <f t="shared" si="1"/>
        <v>425.51535238995893</v>
      </c>
      <c r="H11" s="6">
        <f>SUMSQ($F$3:F11)/B11</f>
        <v>4160543.4043726483</v>
      </c>
      <c r="I11" s="6">
        <f>SUM($G$3:G11)/B11</f>
        <v>1878.9553646858831</v>
      </c>
      <c r="J11" s="6">
        <f t="shared" si="2"/>
        <v>11.475602815263187</v>
      </c>
      <c r="K11" s="6">
        <f>AVERAGE($J$3:J11)</f>
        <v>74.198792094700863</v>
      </c>
      <c r="L11" s="6">
        <f>AVERAGE($F$3:F11)</f>
        <v>812.80660880265827</v>
      </c>
      <c r="M11" s="3">
        <f>SUM($F$3:F11)/I11</f>
        <v>3.8932587844878705</v>
      </c>
    </row>
    <row r="12" spans="1:13" x14ac:dyDescent="0.25">
      <c r="B12">
        <v>10</v>
      </c>
      <c r="C12">
        <v>2489</v>
      </c>
      <c r="D12" s="6">
        <f t="shared" si="3"/>
        <v>4010.8453653717675</v>
      </c>
      <c r="E12" s="6">
        <f t="shared" si="4"/>
        <v>4107.9844312465611</v>
      </c>
      <c r="F12" s="6">
        <f t="shared" si="0"/>
        <v>1618.9844312465611</v>
      </c>
      <c r="G12" s="6">
        <f t="shared" si="1"/>
        <v>1618.9844312465611</v>
      </c>
      <c r="H12" s="6">
        <f>SUMSQ($F$3:F12)/B12</f>
        <v>4006600.1227972582</v>
      </c>
      <c r="I12" s="6">
        <f>SUM($G$3:G12)/B12</f>
        <v>1852.9582713419509</v>
      </c>
      <c r="J12" s="6">
        <f t="shared" si="2"/>
        <v>65.045577792147895</v>
      </c>
      <c r="K12" s="6">
        <f>AVERAGE($J$3:J12)</f>
        <v>73.283470664445559</v>
      </c>
      <c r="L12" s="6">
        <f>AVERAGE($F$3:F12)</f>
        <v>893.42439104704863</v>
      </c>
      <c r="M12" s="3">
        <f>SUM($F$3:F12)/I12</f>
        <v>4.8216109605102551</v>
      </c>
    </row>
    <row r="13" spans="1:13" x14ac:dyDescent="0.25">
      <c r="B13">
        <v>11</v>
      </c>
      <c r="C13">
        <v>2309</v>
      </c>
      <c r="D13" s="6">
        <f t="shared" si="3"/>
        <v>3908.7346434494611</v>
      </c>
      <c r="E13" s="6">
        <f t="shared" si="4"/>
        <v>4010.8453653717675</v>
      </c>
      <c r="F13" s="6">
        <f t="shared" si="0"/>
        <v>1701.8453653717675</v>
      </c>
      <c r="G13" s="6">
        <f t="shared" si="1"/>
        <v>1701.8453653717675</v>
      </c>
      <c r="H13" s="6">
        <f>SUMSQ($F$3:F13)/B13</f>
        <v>3905661.7159645408</v>
      </c>
      <c r="I13" s="6">
        <f>SUM($G$3:G13)/B13</f>
        <v>1839.2207344355704</v>
      </c>
      <c r="J13" s="6">
        <f t="shared" si="2"/>
        <v>73.704866408478452</v>
      </c>
      <c r="K13" s="6">
        <f>AVERAGE($J$3:J13)</f>
        <v>73.32177936844856</v>
      </c>
      <c r="L13" s="6">
        <f>AVERAGE($F$3:F13)</f>
        <v>966.91720689475039</v>
      </c>
      <c r="M13" s="3">
        <f>SUM($F$3:F13)/I13</f>
        <v>5.7829324543289866</v>
      </c>
    </row>
    <row r="14" spans="1:13" x14ac:dyDescent="0.25">
      <c r="B14">
        <v>12</v>
      </c>
      <c r="C14">
        <v>7427</v>
      </c>
      <c r="D14" s="6">
        <f t="shared" si="3"/>
        <v>4119.830564842493</v>
      </c>
      <c r="E14" s="6">
        <f t="shared" si="4"/>
        <v>3908.7346434494611</v>
      </c>
      <c r="F14" s="6">
        <f t="shared" si="0"/>
        <v>-3518.2653565505389</v>
      </c>
      <c r="G14" s="6">
        <f t="shared" si="1"/>
        <v>3518.2653565505389</v>
      </c>
      <c r="H14" s="6">
        <f>SUMSQ($F$3:F14)/B14</f>
        <v>4611705.8328928035</v>
      </c>
      <c r="I14" s="6">
        <f>SUM($G$3:G14)/B14</f>
        <v>1979.1411196118179</v>
      </c>
      <c r="J14" s="6">
        <f t="shared" si="2"/>
        <v>47.371285263909236</v>
      </c>
      <c r="K14" s="6">
        <f>AVERAGE($J$3:J14)</f>
        <v>71.15923819307028</v>
      </c>
      <c r="L14" s="6">
        <f>AVERAGE($F$3:F14)</f>
        <v>593.15199327430958</v>
      </c>
      <c r="M14" s="3">
        <f>SUM($F$3:F14)/I14</f>
        <v>3.5964206133455412</v>
      </c>
    </row>
    <row r="15" spans="1:13" x14ac:dyDescent="0.25">
      <c r="A15">
        <v>2005</v>
      </c>
      <c r="B15">
        <v>13</v>
      </c>
      <c r="C15">
        <v>4941</v>
      </c>
      <c r="D15" s="6">
        <f t="shared" si="3"/>
        <v>4169.1007309519428</v>
      </c>
      <c r="E15" s="6">
        <f t="shared" si="4"/>
        <v>4119.830564842493</v>
      </c>
      <c r="F15" s="6">
        <f t="shared" si="0"/>
        <v>-821.169435157507</v>
      </c>
      <c r="G15" s="6">
        <f t="shared" si="1"/>
        <v>821.169435157507</v>
      </c>
      <c r="H15" s="6">
        <f>SUMSQ($F$3:F15)/B15</f>
        <v>4308829.9412269648</v>
      </c>
      <c r="I15" s="6">
        <f>SUM($G$3:G15)/B15</f>
        <v>1890.0663746537939</v>
      </c>
      <c r="J15" s="6">
        <f t="shared" si="2"/>
        <v>16.619498788858671</v>
      </c>
      <c r="K15" s="6">
        <f>AVERAGE($J$3:J15)</f>
        <v>66.963873623515539</v>
      </c>
      <c r="L15" s="6">
        <f>AVERAGE($F$3:F15)</f>
        <v>484.35803724109297</v>
      </c>
      <c r="M15" s="3">
        <f>SUM($F$3:F15)/I15</f>
        <v>3.3314462225103472</v>
      </c>
    </row>
    <row r="16" spans="1:13" x14ac:dyDescent="0.25">
      <c r="B16">
        <v>14</v>
      </c>
      <c r="C16">
        <v>3943</v>
      </c>
      <c r="D16" s="6">
        <f t="shared" si="3"/>
        <v>4155.534687094826</v>
      </c>
      <c r="E16" s="6">
        <f t="shared" si="4"/>
        <v>4169.1007309519428</v>
      </c>
      <c r="F16" s="6">
        <f t="shared" si="0"/>
        <v>226.10073095194275</v>
      </c>
      <c r="G16" s="6">
        <f t="shared" si="1"/>
        <v>226.10073095194275</v>
      </c>
      <c r="H16" s="6">
        <f>SUMSQ($F$3:F16)/B16</f>
        <v>4004707.9126062533</v>
      </c>
      <c r="I16" s="6">
        <f>SUM($G$3:G16)/B16</f>
        <v>1771.2116858179475</v>
      </c>
      <c r="J16" s="6">
        <f t="shared" si="2"/>
        <v>5.7342310664961387</v>
      </c>
      <c r="K16" s="6">
        <f>AVERAGE($J$3:J16)</f>
        <v>62.590327726585585</v>
      </c>
      <c r="L16" s="6">
        <f>AVERAGE($F$3:F16)</f>
        <v>465.91108679186794</v>
      </c>
      <c r="M16" s="3">
        <f>SUM($F$3:F16)/I16</f>
        <v>3.6826514116374156</v>
      </c>
    </row>
    <row r="17" spans="1:13" x14ac:dyDescent="0.25">
      <c r="B17">
        <v>15</v>
      </c>
      <c r="C17">
        <v>3883</v>
      </c>
      <c r="D17" s="6">
        <f t="shared" si="3"/>
        <v>4139.1826058691358</v>
      </c>
      <c r="E17" s="6">
        <f t="shared" si="4"/>
        <v>4155.534687094826</v>
      </c>
      <c r="F17" s="6">
        <f t="shared" si="0"/>
        <v>272.53468709482604</v>
      </c>
      <c r="G17" s="6">
        <f t="shared" si="1"/>
        <v>272.53468709482604</v>
      </c>
      <c r="H17" s="6">
        <f>SUMSQ($F$3:F17)/B17</f>
        <v>3742679.0621438278</v>
      </c>
      <c r="I17" s="6">
        <f>SUM($G$3:G17)/B17</f>
        <v>1671.2998859030729</v>
      </c>
      <c r="J17" s="6">
        <f t="shared" si="2"/>
        <v>7.0186630722334806</v>
      </c>
      <c r="K17" s="6">
        <f>AVERAGE($J$3:J17)</f>
        <v>58.885550082962112</v>
      </c>
      <c r="L17" s="6">
        <f>AVERAGE($F$3:F17)</f>
        <v>453.01932681206512</v>
      </c>
      <c r="M17" s="3">
        <f>SUM($F$3:F17)/I17</f>
        <v>4.0658710979981905</v>
      </c>
    </row>
    <row r="18" spans="1:13" x14ac:dyDescent="0.25">
      <c r="B18">
        <v>16</v>
      </c>
      <c r="C18">
        <v>10831</v>
      </c>
      <c r="D18" s="6">
        <f t="shared" si="3"/>
        <v>4540.6916495169871</v>
      </c>
      <c r="E18" s="6">
        <f t="shared" si="4"/>
        <v>4139.1826058691358</v>
      </c>
      <c r="F18" s="6">
        <f t="shared" si="0"/>
        <v>-6691.8173941308642</v>
      </c>
      <c r="G18" s="6">
        <f t="shared" si="1"/>
        <v>6691.8173941308642</v>
      </c>
      <c r="H18" s="6">
        <f>SUMSQ($F$3:F18)/B18</f>
        <v>6307537.8730343636</v>
      </c>
      <c r="I18" s="6">
        <f>SUM($G$3:G18)/B18</f>
        <v>1985.0822301673097</v>
      </c>
      <c r="J18" s="6">
        <f t="shared" si="2"/>
        <v>61.783929407541905</v>
      </c>
      <c r="K18" s="6">
        <f>AVERAGE($J$3:J18)</f>
        <v>59.066698790748347</v>
      </c>
      <c r="L18" s="6">
        <f>AVERAGE($F$3:F18)</f>
        <v>6.467031753132062</v>
      </c>
      <c r="M18" s="3">
        <f>SUM($F$3:F18)/I18</f>
        <v>5.2125048765053909E-2</v>
      </c>
    </row>
    <row r="19" spans="1:13" x14ac:dyDescent="0.25">
      <c r="A19">
        <v>2006</v>
      </c>
      <c r="B19">
        <v>17</v>
      </c>
      <c r="C19">
        <v>5083</v>
      </c>
      <c r="D19" s="6">
        <f t="shared" si="3"/>
        <v>4573.2301505459673</v>
      </c>
      <c r="E19" s="6">
        <f t="shared" si="4"/>
        <v>4540.6916495169871</v>
      </c>
      <c r="F19" s="6">
        <f t="shared" si="0"/>
        <v>-542.30835048301287</v>
      </c>
      <c r="G19" s="6">
        <f t="shared" si="1"/>
        <v>542.30835048301287</v>
      </c>
      <c r="H19" s="6">
        <f>SUMSQ($F$3:F19)/B19</f>
        <v>5953806.136209025</v>
      </c>
      <c r="I19" s="6">
        <f>SUM($G$3:G19)/B19</f>
        <v>1900.2131784211747</v>
      </c>
      <c r="J19" s="6">
        <f t="shared" si="2"/>
        <v>10.669060603639837</v>
      </c>
      <c r="K19" s="6">
        <f>AVERAGE($J$3:J19)</f>
        <v>56.219778897389027</v>
      </c>
      <c r="L19" s="6">
        <f>AVERAGE($F$3:F19)</f>
        <v>-25.813873084288229</v>
      </c>
      <c r="M19" s="3">
        <f>SUM($F$3:F19)/I19</f>
        <v>-0.23094032154724572</v>
      </c>
    </row>
    <row r="20" spans="1:13" x14ac:dyDescent="0.25">
      <c r="B20">
        <v>18</v>
      </c>
      <c r="C20">
        <v>3326</v>
      </c>
      <c r="D20" s="6">
        <f t="shared" si="3"/>
        <v>4498.3963415132093</v>
      </c>
      <c r="E20" s="6">
        <f t="shared" si="4"/>
        <v>4573.2301505459673</v>
      </c>
      <c r="F20" s="6">
        <f t="shared" si="0"/>
        <v>1247.2301505459673</v>
      </c>
      <c r="G20" s="6">
        <f t="shared" si="1"/>
        <v>1247.2301505459673</v>
      </c>
      <c r="H20" s="6">
        <f>SUMSQ($F$3:F20)/B20</f>
        <v>5709460.4091102416</v>
      </c>
      <c r="I20" s="6">
        <f>SUM($G$3:G20)/B20</f>
        <v>1863.9363435392188</v>
      </c>
      <c r="J20" s="6">
        <f t="shared" si="2"/>
        <v>37.49940320342656</v>
      </c>
      <c r="K20" s="6">
        <f>AVERAGE($J$3:J20)</f>
        <v>55.179758025502224</v>
      </c>
      <c r="L20" s="6">
        <f>AVERAGE($F$3:F20)</f>
        <v>44.910794895170412</v>
      </c>
      <c r="M20" s="3">
        <f>SUM($F$3:F20)/I20</f>
        <v>0.43370274468606501</v>
      </c>
    </row>
    <row r="21" spans="1:13" x14ac:dyDescent="0.25">
      <c r="B21">
        <v>19</v>
      </c>
      <c r="C21">
        <v>4358</v>
      </c>
      <c r="D21" s="6">
        <f t="shared" si="3"/>
        <v>4489.9725610224159</v>
      </c>
      <c r="E21" s="6">
        <f t="shared" si="4"/>
        <v>4498.3963415132093</v>
      </c>
      <c r="F21" s="6">
        <f t="shared" si="0"/>
        <v>140.39634151320934</v>
      </c>
      <c r="G21" s="6">
        <f t="shared" si="1"/>
        <v>140.39634151320934</v>
      </c>
      <c r="H21" s="6">
        <f>SUMSQ($F$3:F21)/B21</f>
        <v>5409999.9208786655</v>
      </c>
      <c r="I21" s="6">
        <f>SUM($G$3:G21)/B21</f>
        <v>1773.2237118536393</v>
      </c>
      <c r="J21" s="6">
        <f t="shared" si="2"/>
        <v>3.2215773637725866</v>
      </c>
      <c r="K21" s="6">
        <f>AVERAGE($J$3:J21)</f>
        <v>52.445116938042766</v>
      </c>
      <c r="L21" s="6">
        <f>AVERAGE($F$3:F21)</f>
        <v>49.936349980330355</v>
      </c>
      <c r="M21" s="3">
        <f>SUM($F$3:F21)/I21</f>
        <v>0.5350653971542364</v>
      </c>
    </row>
    <row r="22" spans="1:13" x14ac:dyDescent="0.25">
      <c r="B22">
        <v>20</v>
      </c>
      <c r="C22">
        <v>11787</v>
      </c>
      <c r="D22" s="6">
        <f t="shared" si="3"/>
        <v>4927.7942073610711</v>
      </c>
      <c r="E22" s="6">
        <f t="shared" si="4"/>
        <v>4489.9725610224159</v>
      </c>
      <c r="F22" s="6">
        <f t="shared" si="0"/>
        <v>-7297.0274389775841</v>
      </c>
      <c r="G22" s="6">
        <f t="shared" si="1"/>
        <v>7297.0274389775841</v>
      </c>
      <c r="H22" s="6">
        <f>SUMSQ($F$3:F22)/B22</f>
        <v>7801830.3970943196</v>
      </c>
      <c r="I22" s="6">
        <f>SUM($G$3:G22)/B22</f>
        <v>2049.4138982098366</v>
      </c>
      <c r="J22" s="6">
        <f t="shared" si="2"/>
        <v>61.907418672924273</v>
      </c>
      <c r="K22" s="6">
        <f>AVERAGE($J$3:J22)</f>
        <v>52.918232024786846</v>
      </c>
      <c r="L22" s="6">
        <f>AVERAGE($F$3:F22)</f>
        <v>-317.41183946756536</v>
      </c>
      <c r="M22" s="3">
        <f>SUM($F$3:F22)/I22</f>
        <v>-3.0975864830898696</v>
      </c>
    </row>
    <row r="23" spans="1:13" x14ac:dyDescent="0.25">
      <c r="A23">
        <v>2007</v>
      </c>
      <c r="B23">
        <v>21</v>
      </c>
      <c r="E23" s="6">
        <f>D$22</f>
        <v>4927.7942073610711</v>
      </c>
    </row>
    <row r="24" spans="1:13" x14ac:dyDescent="0.25">
      <c r="B24">
        <v>22</v>
      </c>
      <c r="E24" s="6">
        <f t="shared" ref="E24:E26" si="5">D$22</f>
        <v>4927.7942073610711</v>
      </c>
    </row>
    <row r="25" spans="1:13" x14ac:dyDescent="0.25">
      <c r="B25">
        <v>23</v>
      </c>
      <c r="E25" s="6">
        <f t="shared" si="5"/>
        <v>4927.7942073610711</v>
      </c>
    </row>
    <row r="26" spans="1:13" x14ac:dyDescent="0.25">
      <c r="B26">
        <v>24</v>
      </c>
      <c r="E26" s="6">
        <f t="shared" si="5"/>
        <v>4927.7942073610711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83A2-DD7C-4B97-91CB-5CFC9849B1C8}">
  <dimension ref="A1:N26"/>
  <sheetViews>
    <sheetView workbookViewId="0">
      <selection activeCell="J24" sqref="J24"/>
    </sheetView>
  </sheetViews>
  <sheetFormatPr defaultRowHeight="15" x14ac:dyDescent="0.25"/>
  <cols>
    <col min="3" max="8" width="8.85546875" style="6"/>
    <col min="9" max="9" width="9.140625" style="6" bestFit="1" customWidth="1"/>
    <col min="10" max="12" width="9" style="6" bestFit="1" customWidth="1"/>
    <col min="13" max="13" width="9" style="6" customWidth="1"/>
    <col min="14" max="14" width="8.85546875" style="3"/>
  </cols>
  <sheetData>
    <row r="1" spans="1:14" x14ac:dyDescent="0.25">
      <c r="A1" s="1" t="s">
        <v>0</v>
      </c>
      <c r="B1" s="1" t="s">
        <v>1</v>
      </c>
      <c r="C1" s="10" t="s">
        <v>2</v>
      </c>
      <c r="D1" s="10" t="s">
        <v>4</v>
      </c>
      <c r="E1" s="10" t="s">
        <v>5</v>
      </c>
      <c r="F1" s="10" t="s">
        <v>9</v>
      </c>
      <c r="G1" s="10" t="s">
        <v>10</v>
      </c>
      <c r="H1" s="10" t="s">
        <v>17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27</v>
      </c>
      <c r="N1" s="2" t="s">
        <v>16</v>
      </c>
    </row>
    <row r="2" spans="1:14" x14ac:dyDescent="0.25">
      <c r="B2">
        <v>0</v>
      </c>
      <c r="D2" s="6">
        <f>INTERCEPT(C3:C22,B3:B22)</f>
        <v>1838.515789473684</v>
      </c>
      <c r="E2" s="6">
        <f>SLOPE(C3:C22,B3:B22)</f>
        <v>257.94135338345865</v>
      </c>
    </row>
    <row r="3" spans="1:14" x14ac:dyDescent="0.25">
      <c r="A3">
        <v>2002</v>
      </c>
      <c r="B3">
        <v>1</v>
      </c>
      <c r="C3" s="6">
        <v>2025</v>
      </c>
      <c r="D3" s="6">
        <f>0.06*C3+(1-0.06)*(D2+E2)</f>
        <v>2092.1697142857138</v>
      </c>
      <c r="E3" s="6">
        <f>0.06*(D3-D2)+(1-0.06)*E2</f>
        <v>257.68410766917293</v>
      </c>
      <c r="F3" s="6">
        <f>D2+E2</f>
        <v>2096.4571428571426</v>
      </c>
      <c r="G3" s="6">
        <f>F3-C3</f>
        <v>71.457142857142571</v>
      </c>
      <c r="H3" s="6">
        <f>ABS(G3)</f>
        <v>71.457142857142571</v>
      </c>
      <c r="I3" s="6">
        <f>SUMSQ($G$3:G3)/B3</f>
        <v>5106.1232653060815</v>
      </c>
      <c r="J3" s="6">
        <f>SUM($H$3:H3)/B3</f>
        <v>71.457142857142571</v>
      </c>
      <c r="K3" s="6">
        <f>100*(H3/C3)</f>
        <v>3.5287477954144477</v>
      </c>
      <c r="L3" s="6">
        <f>AVERAGE($K$3:K3)</f>
        <v>3.5287477954144477</v>
      </c>
      <c r="M3" s="6">
        <f>AVERAGE($G$3:G3)</f>
        <v>71.457142857142571</v>
      </c>
      <c r="N3" s="3">
        <f>SUM($G$3:G3)/J3</f>
        <v>1</v>
      </c>
    </row>
    <row r="4" spans="1:14" x14ac:dyDescent="0.25">
      <c r="B4">
        <v>2</v>
      </c>
      <c r="C4" s="6">
        <v>1563</v>
      </c>
      <c r="D4" s="6">
        <f t="shared" ref="D4:D22" si="0">0.06*C4+(1-0.06)*(D3+E3)</f>
        <v>2302.6425926375937</v>
      </c>
      <c r="E4" s="6">
        <f t="shared" ref="E4:E22" si="1">0.06*(D4-D3)+(1-0.06)*E3</f>
        <v>254.85143391013534</v>
      </c>
      <c r="F4" s="6">
        <f>D3+E3</f>
        <v>2349.8538219548868</v>
      </c>
      <c r="G4" s="6">
        <f t="shared" ref="G4:G22" si="2">F4-C4</f>
        <v>786.85382195488683</v>
      </c>
      <c r="H4" s="6">
        <f t="shared" ref="H4:H22" si="3">ABS(G4)</f>
        <v>786.85382195488683</v>
      </c>
      <c r="I4" s="6">
        <f>SUMSQ($G$3:G4)/B4</f>
        <v>312122.53019515943</v>
      </c>
      <c r="J4" s="6">
        <f>SUM($H$3:H4)/B4</f>
        <v>429.1554824060147</v>
      </c>
      <c r="K4" s="6">
        <f t="shared" ref="K4:K22" si="4">100*(H4/C4)</f>
        <v>50.342534993914697</v>
      </c>
      <c r="L4" s="6">
        <f>AVERAGE($K$3:K4)</f>
        <v>26.935641394664572</v>
      </c>
      <c r="M4" s="6">
        <f>AVERAGE($G$3:G4)</f>
        <v>429.1554824060147</v>
      </c>
      <c r="N4" s="3">
        <f>SUM($G$3:G4)/J4</f>
        <v>2</v>
      </c>
    </row>
    <row r="5" spans="1:14" x14ac:dyDescent="0.25">
      <c r="B5">
        <v>3</v>
      </c>
      <c r="C5" s="6">
        <v>2170</v>
      </c>
      <c r="D5" s="6">
        <f t="shared" si="0"/>
        <v>2534.2443849548649</v>
      </c>
      <c r="E5" s="6">
        <f t="shared" si="1"/>
        <v>253.45645541456349</v>
      </c>
      <c r="F5" s="6">
        <f t="shared" ref="F5:F22" si="5">D4+E4</f>
        <v>2557.4940265477289</v>
      </c>
      <c r="G5" s="6">
        <f t="shared" si="2"/>
        <v>387.49402654772894</v>
      </c>
      <c r="H5" s="6">
        <f t="shared" si="3"/>
        <v>387.49402654772894</v>
      </c>
      <c r="I5" s="6">
        <f>SUMSQ($G$3:G5)/B5</f>
        <v>258132.22700016364</v>
      </c>
      <c r="J5" s="6">
        <f>SUM($H$3:H5)/B5</f>
        <v>415.26833045325276</v>
      </c>
      <c r="K5" s="6">
        <f t="shared" si="4"/>
        <v>17.85686758284465</v>
      </c>
      <c r="L5" s="6">
        <f>AVERAGE($K$3:K5)</f>
        <v>23.909383457391261</v>
      </c>
      <c r="M5" s="6">
        <f>AVERAGE($G$3:G5)</f>
        <v>415.26833045325276</v>
      </c>
      <c r="N5" s="3">
        <f>SUM($G$3:G5)/J5</f>
        <v>3</v>
      </c>
    </row>
    <row r="6" spans="1:14" x14ac:dyDescent="0.25">
      <c r="B6">
        <v>4</v>
      </c>
      <c r="C6" s="6">
        <v>6542</v>
      </c>
      <c r="D6" s="6">
        <f t="shared" si="0"/>
        <v>3012.9587899472626</v>
      </c>
      <c r="E6" s="6">
        <f t="shared" si="1"/>
        <v>266.97193238923353</v>
      </c>
      <c r="F6" s="6">
        <f t="shared" si="5"/>
        <v>2787.7008403694285</v>
      </c>
      <c r="G6" s="6">
        <f t="shared" si="2"/>
        <v>-3754.2991596305715</v>
      </c>
      <c r="H6" s="6">
        <f t="shared" si="3"/>
        <v>3754.2991596305715</v>
      </c>
      <c r="I6" s="6">
        <f>SUMSQ($G$3:G6)/B6</f>
        <v>3717289.7152508269</v>
      </c>
      <c r="J6" s="6">
        <f>SUM($H$3:H6)/B6</f>
        <v>1250.0260377475824</v>
      </c>
      <c r="K6" s="6">
        <f t="shared" si="4"/>
        <v>57.387636191234662</v>
      </c>
      <c r="L6" s="6">
        <f>AVERAGE($K$3:K6)</f>
        <v>32.278946640852112</v>
      </c>
      <c r="M6" s="6">
        <f>AVERAGE($G$3:G6)</f>
        <v>-627.12354206770328</v>
      </c>
      <c r="N6" s="3">
        <f>SUM($G$3:G6)/J6</f>
        <v>-2.0067535335430771</v>
      </c>
    </row>
    <row r="7" spans="1:14" x14ac:dyDescent="0.25">
      <c r="A7">
        <v>2003</v>
      </c>
      <c r="B7">
        <v>5</v>
      </c>
      <c r="C7" s="6">
        <v>3162</v>
      </c>
      <c r="D7" s="6">
        <f t="shared" si="0"/>
        <v>3272.8548789963061</v>
      </c>
      <c r="E7" s="6">
        <f t="shared" si="1"/>
        <v>266.54738178882212</v>
      </c>
      <c r="F7" s="6">
        <f t="shared" si="5"/>
        <v>3279.9307223364963</v>
      </c>
      <c r="G7" s="6">
        <f t="shared" si="2"/>
        <v>117.93072233649627</v>
      </c>
      <c r="H7" s="6">
        <f t="shared" si="3"/>
        <v>117.93072233649627</v>
      </c>
      <c r="I7" s="6">
        <f>SUMSQ($G$3:G7)/B7</f>
        <v>2976613.3032548232</v>
      </c>
      <c r="J7" s="6">
        <f>SUM($H$3:H7)/B7</f>
        <v>1023.6069746653651</v>
      </c>
      <c r="K7" s="6">
        <f t="shared" si="4"/>
        <v>3.7296243623180354</v>
      </c>
      <c r="L7" s="6">
        <f>AVERAGE($K$3:K7)</f>
        <v>26.569082185145298</v>
      </c>
      <c r="M7" s="6">
        <f>AVERAGE($G$3:G7)</f>
        <v>-478.11268918686335</v>
      </c>
      <c r="N7" s="3">
        <f>SUM($G$3:G7)/J7</f>
        <v>-2.3354309858193703</v>
      </c>
    </row>
    <row r="8" spans="1:14" x14ac:dyDescent="0.25">
      <c r="B8">
        <v>6</v>
      </c>
      <c r="C8" s="6">
        <v>1928</v>
      </c>
      <c r="D8" s="6">
        <f t="shared" si="0"/>
        <v>3442.7181251380202</v>
      </c>
      <c r="E8" s="6">
        <f t="shared" si="1"/>
        <v>260.74633364999562</v>
      </c>
      <c r="F8" s="6">
        <f t="shared" si="5"/>
        <v>3539.4022607851284</v>
      </c>
      <c r="G8" s="6">
        <f t="shared" si="2"/>
        <v>1611.4022607851284</v>
      </c>
      <c r="H8" s="6">
        <f t="shared" si="3"/>
        <v>1611.4022607851284</v>
      </c>
      <c r="I8" s="6">
        <f>SUMSQ($G$3:G8)/B8</f>
        <v>2913280.6270562564</v>
      </c>
      <c r="J8" s="6">
        <f>SUM($H$3:H8)/B8</f>
        <v>1121.5728556853257</v>
      </c>
      <c r="K8" s="6">
        <f t="shared" si="4"/>
        <v>83.578955434913311</v>
      </c>
      <c r="L8" s="6">
        <f>AVERAGE($K$3:K8)</f>
        <v>36.070727726773299</v>
      </c>
      <c r="M8" s="6">
        <f>AVERAGE($G$3:G8)</f>
        <v>-129.86019752486473</v>
      </c>
      <c r="N8" s="3">
        <f>SUM($G$3:G8)/J8</f>
        <v>-0.69470403210952347</v>
      </c>
    </row>
    <row r="9" spans="1:14" x14ac:dyDescent="0.25">
      <c r="B9">
        <v>7</v>
      </c>
      <c r="C9" s="6">
        <v>3113</v>
      </c>
      <c r="D9" s="6">
        <f t="shared" si="0"/>
        <v>3668.0365912607349</v>
      </c>
      <c r="E9" s="6">
        <f t="shared" si="1"/>
        <v>258.62066159835877</v>
      </c>
      <c r="F9" s="6">
        <f t="shared" si="5"/>
        <v>3703.4644587880157</v>
      </c>
      <c r="G9" s="6">
        <f t="shared" si="2"/>
        <v>590.46445878801569</v>
      </c>
      <c r="H9" s="6">
        <f t="shared" si="3"/>
        <v>590.46445878801569</v>
      </c>
      <c r="I9" s="6">
        <f>SUMSQ($G$3:G9)/B9</f>
        <v>2546904.5770613374</v>
      </c>
      <c r="J9" s="6">
        <f>SUM($H$3:H9)/B9</f>
        <v>1045.7002275571385</v>
      </c>
      <c r="K9" s="6">
        <f t="shared" si="4"/>
        <v>18.967698644009499</v>
      </c>
      <c r="L9" s="6">
        <f>AVERAGE($K$3:K9)</f>
        <v>33.627437857807038</v>
      </c>
      <c r="M9" s="6">
        <f>AVERAGE($G$3:G9)</f>
        <v>-26.956675194453251</v>
      </c>
      <c r="N9" s="3">
        <f>SUM($G$3:G9)/J9</f>
        <v>-0.18045011504108341</v>
      </c>
    </row>
    <row r="10" spans="1:14" x14ac:dyDescent="0.25">
      <c r="B10">
        <v>8</v>
      </c>
      <c r="C10" s="6">
        <v>6350</v>
      </c>
      <c r="D10" s="6">
        <f t="shared" si="0"/>
        <v>4072.0578176875479</v>
      </c>
      <c r="E10" s="6">
        <f t="shared" si="1"/>
        <v>267.34469548806601</v>
      </c>
      <c r="F10" s="6">
        <f t="shared" si="5"/>
        <v>3926.6572528590937</v>
      </c>
      <c r="G10" s="6">
        <f t="shared" si="2"/>
        <v>-2423.3427471409063</v>
      </c>
      <c r="H10" s="6">
        <f t="shared" si="3"/>
        <v>2423.3427471409063</v>
      </c>
      <c r="I10" s="6">
        <f>SUMSQ($G$3:G10)/B10</f>
        <v>2962615.2636937248</v>
      </c>
      <c r="J10" s="6">
        <f>SUM($H$3:H10)/B10</f>
        <v>1217.9055425051095</v>
      </c>
      <c r="K10" s="6">
        <f t="shared" si="4"/>
        <v>38.16287790773081</v>
      </c>
      <c r="L10" s="6">
        <f>AVERAGE($K$3:K10)</f>
        <v>34.194367864047514</v>
      </c>
      <c r="M10" s="6">
        <f>AVERAGE($G$3:G10)</f>
        <v>-326.50493418775989</v>
      </c>
      <c r="N10" s="3">
        <f>SUM($G$3:G10)/J10</f>
        <v>-2.1446979115715132</v>
      </c>
    </row>
    <row r="11" spans="1:14" x14ac:dyDescent="0.25">
      <c r="A11">
        <v>2004</v>
      </c>
      <c r="B11">
        <v>9</v>
      </c>
      <c r="C11" s="6">
        <v>3708</v>
      </c>
      <c r="D11" s="6">
        <f t="shared" si="0"/>
        <v>4301.5183623850762</v>
      </c>
      <c r="E11" s="6">
        <f t="shared" si="1"/>
        <v>265.07164644063374</v>
      </c>
      <c r="F11" s="6">
        <f t="shared" si="5"/>
        <v>4339.4025131756134</v>
      </c>
      <c r="G11" s="6">
        <f t="shared" si="2"/>
        <v>631.40251317561342</v>
      </c>
      <c r="H11" s="6">
        <f t="shared" si="3"/>
        <v>631.40251317561342</v>
      </c>
      <c r="I11" s="6">
        <f>SUMSQ($G$3:G11)/B11</f>
        <v>2677732.3603549199</v>
      </c>
      <c r="J11" s="6">
        <f>SUM($H$3:H11)/B11</f>
        <v>1152.7385392462766</v>
      </c>
      <c r="K11" s="6">
        <f t="shared" si="4"/>
        <v>17.028115242060771</v>
      </c>
      <c r="L11" s="6">
        <f>AVERAGE($K$3:K11)</f>
        <v>32.287006461604541</v>
      </c>
      <c r="M11" s="6">
        <f>AVERAGE($G$3:G11)</f>
        <v>-220.07077336960731</v>
      </c>
      <c r="N11" s="3">
        <f>SUM($G$3:G11)/J11</f>
        <v>-1.7182013899019237</v>
      </c>
    </row>
    <row r="12" spans="1:14" x14ac:dyDescent="0.25">
      <c r="B12">
        <v>10</v>
      </c>
      <c r="C12" s="6">
        <v>2489</v>
      </c>
      <c r="D12" s="6">
        <f t="shared" si="0"/>
        <v>4441.9346082961674</v>
      </c>
      <c r="E12" s="6">
        <f t="shared" si="1"/>
        <v>257.59232240886121</v>
      </c>
      <c r="F12" s="6">
        <f t="shared" si="5"/>
        <v>4566.5900088257104</v>
      </c>
      <c r="G12" s="6">
        <f t="shared" si="2"/>
        <v>2077.5900088257104</v>
      </c>
      <c r="H12" s="6">
        <f t="shared" si="3"/>
        <v>2077.5900088257104</v>
      </c>
      <c r="I12" s="6">
        <f>SUMSQ($G$3:G12)/B12</f>
        <v>2841597.1487966692</v>
      </c>
      <c r="J12" s="6">
        <f>SUM($H$3:H12)/B12</f>
        <v>1245.2236862042198</v>
      </c>
      <c r="K12" s="6">
        <f t="shared" si="4"/>
        <v>83.47087219066735</v>
      </c>
      <c r="L12" s="6">
        <f>AVERAGE($K$3:K12)</f>
        <v>37.405393034510823</v>
      </c>
      <c r="M12" s="6">
        <f>AVERAGE($G$3:G12)</f>
        <v>9.6953048499244687</v>
      </c>
      <c r="N12" s="3">
        <f>SUM($G$3:G12)/J12</f>
        <v>7.7859945625338947E-2</v>
      </c>
    </row>
    <row r="13" spans="1:14" x14ac:dyDescent="0.25">
      <c r="B13">
        <v>11</v>
      </c>
      <c r="C13" s="6">
        <v>2309</v>
      </c>
      <c r="D13" s="6">
        <f t="shared" si="0"/>
        <v>4556.0953148627268</v>
      </c>
      <c r="E13" s="6">
        <f t="shared" si="1"/>
        <v>248.98642545832308</v>
      </c>
      <c r="F13" s="6">
        <f t="shared" si="5"/>
        <v>4699.5269307050285</v>
      </c>
      <c r="G13" s="6">
        <f t="shared" si="2"/>
        <v>2390.5269307050285</v>
      </c>
      <c r="H13" s="6">
        <f t="shared" si="3"/>
        <v>2390.5269307050285</v>
      </c>
      <c r="I13" s="6">
        <f>SUMSQ($G$3:G13)/B13</f>
        <v>3102780.9540356998</v>
      </c>
      <c r="J13" s="6">
        <f>SUM($H$3:H13)/B13</f>
        <v>1349.3421629770207</v>
      </c>
      <c r="K13" s="6">
        <f t="shared" si="4"/>
        <v>103.53083285859803</v>
      </c>
      <c r="L13" s="6">
        <f>AVERAGE($K$3:K13)</f>
        <v>43.41679665488239</v>
      </c>
      <c r="M13" s="6">
        <f>AVERAGE($G$3:G13)</f>
        <v>226.13454356402482</v>
      </c>
      <c r="N13" s="3">
        <f>SUM($G$3:G13)/J13</f>
        <v>1.8434760637110803</v>
      </c>
    </row>
    <row r="14" spans="1:14" x14ac:dyDescent="0.25">
      <c r="B14">
        <v>12</v>
      </c>
      <c r="C14" s="6">
        <v>7427</v>
      </c>
      <c r="D14" s="6">
        <f t="shared" si="0"/>
        <v>4962.3968359017863</v>
      </c>
      <c r="E14" s="6">
        <f t="shared" si="1"/>
        <v>258.42533119316727</v>
      </c>
      <c r="F14" s="6">
        <f t="shared" si="5"/>
        <v>4805.0817403210494</v>
      </c>
      <c r="G14" s="6">
        <f t="shared" si="2"/>
        <v>-2621.9182596789506</v>
      </c>
      <c r="H14" s="6">
        <f t="shared" si="3"/>
        <v>2621.9182596789506</v>
      </c>
      <c r="I14" s="6">
        <f>SUMSQ($G$3:G14)/B14</f>
        <v>3417087.1545692165</v>
      </c>
      <c r="J14" s="6">
        <f>SUM($H$3:H14)/B14</f>
        <v>1455.3901710355149</v>
      </c>
      <c r="K14" s="6">
        <f t="shared" si="4"/>
        <v>35.30252133673018</v>
      </c>
      <c r="L14" s="6">
        <f>AVERAGE($K$3:K14)</f>
        <v>42.74060704503637</v>
      </c>
      <c r="M14" s="6">
        <f>AVERAGE($G$3:G14)</f>
        <v>-11.203190039556452</v>
      </c>
      <c r="N14" s="3">
        <f>SUM($G$3:G14)/J14</f>
        <v>-9.2372673081215148E-2</v>
      </c>
    </row>
    <row r="15" spans="1:14" x14ac:dyDescent="0.25">
      <c r="A15">
        <v>2005</v>
      </c>
      <c r="B15">
        <v>13</v>
      </c>
      <c r="C15" s="6">
        <v>4941</v>
      </c>
      <c r="D15" s="6">
        <f t="shared" si="0"/>
        <v>5204.0328370692559</v>
      </c>
      <c r="E15" s="6">
        <f t="shared" si="1"/>
        <v>257.41797139162537</v>
      </c>
      <c r="F15" s="6">
        <f t="shared" si="5"/>
        <v>5220.8221670949533</v>
      </c>
      <c r="G15" s="6">
        <f t="shared" si="2"/>
        <v>279.82216709495333</v>
      </c>
      <c r="H15" s="6">
        <f t="shared" si="3"/>
        <v>279.82216709495333</v>
      </c>
      <c r="I15" s="6">
        <f>SUMSQ($G$3:G15)/B15</f>
        <v>3160257.407694486</v>
      </c>
      <c r="J15" s="6">
        <f>SUM($H$3:H15)/B15</f>
        <v>1364.9618630400871</v>
      </c>
      <c r="K15" s="6">
        <f t="shared" si="4"/>
        <v>5.6632699270381162</v>
      </c>
      <c r="L15" s="6">
        <f>AVERAGE($K$3:K15)</f>
        <v>39.88850418980573</v>
      </c>
      <c r="M15" s="6">
        <f>AVERAGE($G$3:G15)</f>
        <v>11.183375893867378</v>
      </c>
      <c r="N15" s="3">
        <f>SUM($G$3:G15)/J15</f>
        <v>0.10651131768361076</v>
      </c>
    </row>
    <row r="16" spans="1:14" x14ac:dyDescent="0.25">
      <c r="B16">
        <v>14</v>
      </c>
      <c r="C16" s="6">
        <v>3943</v>
      </c>
      <c r="D16" s="6">
        <f t="shared" si="0"/>
        <v>5370.3437599532281</v>
      </c>
      <c r="E16" s="6">
        <f t="shared" si="1"/>
        <v>251.95154848116616</v>
      </c>
      <c r="F16" s="6">
        <f t="shared" si="5"/>
        <v>5461.4508084608815</v>
      </c>
      <c r="G16" s="6">
        <f t="shared" si="2"/>
        <v>1518.4508084608815</v>
      </c>
      <c r="H16" s="6">
        <f t="shared" si="3"/>
        <v>1518.4508084608815</v>
      </c>
      <c r="I16" s="6">
        <f>SUMSQ($G$3:G16)/B16</f>
        <v>3099217.0826959871</v>
      </c>
      <c r="J16" s="6">
        <f>SUM($H$3:H16)/B16</f>
        <v>1375.9253591415725</v>
      </c>
      <c r="K16" s="6">
        <f t="shared" si="4"/>
        <v>38.510038256679721</v>
      </c>
      <c r="L16" s="6">
        <f>AVERAGE($K$3:K16)</f>
        <v>39.790042337439594</v>
      </c>
      <c r="M16" s="6">
        <f>AVERAGE($G$3:G16)</f>
        <v>118.84533536293982</v>
      </c>
      <c r="N16" s="3">
        <f>SUM($G$3:G16)/J16</f>
        <v>1.2092477866090128</v>
      </c>
    </row>
    <row r="17" spans="1:14" x14ac:dyDescent="0.25">
      <c r="B17">
        <v>15</v>
      </c>
      <c r="C17" s="6">
        <v>3883</v>
      </c>
      <c r="D17" s="6">
        <f t="shared" si="0"/>
        <v>5517.9375899283305</v>
      </c>
      <c r="E17" s="6">
        <f t="shared" si="1"/>
        <v>245.69008537080231</v>
      </c>
      <c r="F17" s="6">
        <f t="shared" si="5"/>
        <v>5622.2953084343944</v>
      </c>
      <c r="G17" s="6">
        <f t="shared" si="2"/>
        <v>1739.2953084343944</v>
      </c>
      <c r="H17" s="6">
        <f t="shared" si="3"/>
        <v>1739.2953084343944</v>
      </c>
      <c r="I17" s="6">
        <f>SUMSQ($G$3:G17)/B17</f>
        <v>3094279.1551790475</v>
      </c>
      <c r="J17" s="6">
        <f>SUM($H$3:H17)/B17</f>
        <v>1400.1500224277604</v>
      </c>
      <c r="K17" s="6">
        <f t="shared" si="4"/>
        <v>44.792565244254298</v>
      </c>
      <c r="L17" s="6">
        <f>AVERAGE($K$3:K17)</f>
        <v>40.123543864560574</v>
      </c>
      <c r="M17" s="6">
        <f>AVERAGE($G$3:G17)</f>
        <v>226.87533356770345</v>
      </c>
      <c r="N17" s="3">
        <f>SUM($G$3:G17)/J17</f>
        <v>2.4305466907144471</v>
      </c>
    </row>
    <row r="18" spans="1:14" x14ac:dyDescent="0.25">
      <c r="B18">
        <v>16</v>
      </c>
      <c r="C18" s="6">
        <v>10831</v>
      </c>
      <c r="D18" s="6">
        <f t="shared" si="0"/>
        <v>6067.6700147811844</v>
      </c>
      <c r="E18" s="6">
        <f t="shared" si="1"/>
        <v>263.93262573972538</v>
      </c>
      <c r="F18" s="6">
        <f t="shared" si="5"/>
        <v>5763.6276752991325</v>
      </c>
      <c r="G18" s="6">
        <f t="shared" si="2"/>
        <v>-5067.3723247008675</v>
      </c>
      <c r="H18" s="6">
        <f t="shared" si="3"/>
        <v>5067.3723247008675</v>
      </c>
      <c r="I18" s="6">
        <f>SUMSQ($G$3:G18)/B18</f>
        <v>4505778.1003018748</v>
      </c>
      <c r="J18" s="6">
        <f>SUM($H$3:H18)/B18</f>
        <v>1629.3514163198297</v>
      </c>
      <c r="K18" s="6">
        <f t="shared" si="4"/>
        <v>46.785821481865639</v>
      </c>
      <c r="L18" s="6">
        <f>AVERAGE($K$3:K18)</f>
        <v>40.539936215642143</v>
      </c>
      <c r="M18" s="6">
        <f>AVERAGE($G$3:G18)</f>
        <v>-104.01514507408223</v>
      </c>
      <c r="N18" s="3">
        <f>SUM($G$3:G18)/J18</f>
        <v>-1.0214139838195821</v>
      </c>
    </row>
    <row r="19" spans="1:14" x14ac:dyDescent="0.25">
      <c r="A19">
        <v>2006</v>
      </c>
      <c r="B19">
        <v>17</v>
      </c>
      <c r="C19" s="6">
        <v>5083</v>
      </c>
      <c r="D19" s="6">
        <f t="shared" si="0"/>
        <v>6256.6864820896544</v>
      </c>
      <c r="E19" s="6">
        <f t="shared" si="1"/>
        <v>259.43765623385002</v>
      </c>
      <c r="F19" s="6">
        <f t="shared" si="5"/>
        <v>6331.6026405209095</v>
      </c>
      <c r="G19" s="6">
        <f t="shared" si="2"/>
        <v>1248.6026405209095</v>
      </c>
      <c r="H19" s="6">
        <f t="shared" si="3"/>
        <v>1248.6026405209095</v>
      </c>
      <c r="I19" s="6">
        <f>SUMSQ($G$3:G19)/B19</f>
        <v>4332438.7152203396</v>
      </c>
      <c r="J19" s="6">
        <f>SUM($H$3:H19)/B19</f>
        <v>1606.9544295081284</v>
      </c>
      <c r="K19" s="6">
        <f t="shared" si="4"/>
        <v>24.564285668324011</v>
      </c>
      <c r="L19" s="6">
        <f>AVERAGE($K$3:K19)</f>
        <v>39.600192065799902</v>
      </c>
      <c r="M19" s="6">
        <f>AVERAGE($G$3:G19)</f>
        <v>-24.449392980259184</v>
      </c>
      <c r="N19" s="3">
        <f>SUM($G$3:G19)/J19</f>
        <v>-0.25865057093848576</v>
      </c>
    </row>
    <row r="20" spans="1:14" x14ac:dyDescent="0.25">
      <c r="B20">
        <v>18</v>
      </c>
      <c r="C20" s="6">
        <v>3326</v>
      </c>
      <c r="D20" s="6">
        <f t="shared" si="0"/>
        <v>6324.7166900240945</v>
      </c>
      <c r="E20" s="6">
        <f t="shared" si="1"/>
        <v>247.95320933588542</v>
      </c>
      <c r="F20" s="6">
        <f t="shared" si="5"/>
        <v>6516.1241383235047</v>
      </c>
      <c r="G20" s="6">
        <f t="shared" si="2"/>
        <v>3190.1241383235047</v>
      </c>
      <c r="H20" s="6">
        <f t="shared" si="3"/>
        <v>3190.1241383235047</v>
      </c>
      <c r="I20" s="6">
        <f>SUMSQ($G$3:G20)/B20</f>
        <v>4657130.5653700037</v>
      </c>
      <c r="J20" s="6">
        <f>SUM($H$3:H20)/B20</f>
        <v>1694.9083022200939</v>
      </c>
      <c r="K20" s="6">
        <f t="shared" si="4"/>
        <v>95.914736570159491</v>
      </c>
      <c r="L20" s="6">
        <f>AVERAGE($K$3:K20)</f>
        <v>42.728777871597657</v>
      </c>
      <c r="M20" s="6">
        <f>AVERAGE($G$3:G20)</f>
        <v>154.13802542550548</v>
      </c>
      <c r="N20" s="3">
        <f>SUM($G$3:G20)/J20</f>
        <v>1.6369525442909862</v>
      </c>
    </row>
    <row r="21" spans="1:14" x14ac:dyDescent="0.25">
      <c r="B21">
        <v>19</v>
      </c>
      <c r="C21" s="6">
        <v>4358</v>
      </c>
      <c r="D21" s="6">
        <f t="shared" si="0"/>
        <v>6439.7897053983816</v>
      </c>
      <c r="E21" s="6">
        <f t="shared" si="1"/>
        <v>239.98039769818951</v>
      </c>
      <c r="F21" s="6">
        <f t="shared" si="5"/>
        <v>6572.6698993599803</v>
      </c>
      <c r="G21" s="6">
        <f t="shared" si="2"/>
        <v>2214.6698993599803</v>
      </c>
      <c r="H21" s="6">
        <f t="shared" si="3"/>
        <v>2214.6698993599803</v>
      </c>
      <c r="I21" s="6">
        <f>SUMSQ($G$3:G21)/B21</f>
        <v>4670163.8389363792</v>
      </c>
      <c r="J21" s="6">
        <f>SUM($H$3:H21)/B21</f>
        <v>1722.264175753772</v>
      </c>
      <c r="K21" s="6">
        <f t="shared" si="4"/>
        <v>50.818492413033042</v>
      </c>
      <c r="L21" s="6">
        <f>AVERAGE($K$3:K21)</f>
        <v>43.154552321146888</v>
      </c>
      <c r="M21" s="6">
        <f>AVERAGE($G$3:G21)</f>
        <v>262.58707142205679</v>
      </c>
      <c r="N21" s="3">
        <f>SUM($G$3:G21)/J21</f>
        <v>2.8968577685450079</v>
      </c>
    </row>
    <row r="22" spans="1:14" x14ac:dyDescent="0.25">
      <c r="B22">
        <v>20</v>
      </c>
      <c r="C22" s="6">
        <v>11787</v>
      </c>
      <c r="D22" s="6">
        <f t="shared" si="0"/>
        <v>6986.2038969107762</v>
      </c>
      <c r="E22" s="6">
        <f t="shared" si="1"/>
        <v>258.36642532704184</v>
      </c>
      <c r="F22" s="6">
        <f t="shared" si="5"/>
        <v>6679.7701030965709</v>
      </c>
      <c r="G22" s="6">
        <f t="shared" si="2"/>
        <v>-5107.2298969034291</v>
      </c>
      <c r="H22" s="6">
        <f t="shared" si="3"/>
        <v>5107.2298969034291</v>
      </c>
      <c r="I22" s="6">
        <f>SUMSQ($G$3:G22)/B22</f>
        <v>5740845.5079807704</v>
      </c>
      <c r="J22" s="6">
        <f>SUM($H$3:H22)/B22</f>
        <v>1891.512461811255</v>
      </c>
      <c r="K22" s="6">
        <f t="shared" si="4"/>
        <v>43.329345014875962</v>
      </c>
      <c r="L22" s="6">
        <f>AVERAGE($K$3:K22)</f>
        <v>43.163291955833337</v>
      </c>
      <c r="M22" s="6">
        <f>AVERAGE($G$3:G22)</f>
        <v>-5.9037769942175142</v>
      </c>
      <c r="N22" s="3">
        <f>SUM($G$3:G22)/J22</f>
        <v>-6.2423876272686425E-2</v>
      </c>
    </row>
    <row r="23" spans="1:14" x14ac:dyDescent="0.25">
      <c r="A23">
        <v>2007</v>
      </c>
      <c r="B23">
        <v>21</v>
      </c>
      <c r="F23" s="6">
        <f>D$22+E$22</f>
        <v>7244.5703222378179</v>
      </c>
    </row>
    <row r="24" spans="1:14" x14ac:dyDescent="0.25">
      <c r="B24">
        <v>22</v>
      </c>
      <c r="F24" s="6">
        <f>D$22+E$22*2</f>
        <v>7502.9367475648596</v>
      </c>
    </row>
    <row r="25" spans="1:14" x14ac:dyDescent="0.25">
      <c r="B25">
        <v>23</v>
      </c>
      <c r="F25" s="6">
        <f>D$22+E$22*3</f>
        <v>7761.3031728919013</v>
      </c>
    </row>
    <row r="26" spans="1:14" x14ac:dyDescent="0.25">
      <c r="B26">
        <v>24</v>
      </c>
      <c r="F26" s="6">
        <f>D$22+E$22*4</f>
        <v>8019.6695982189431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8A97-9D7D-439A-A86F-1AE6EE310B44}">
  <dimension ref="A1:O30"/>
  <sheetViews>
    <sheetView workbookViewId="0">
      <selection activeCell="F3" sqref="F3"/>
    </sheetView>
  </sheetViews>
  <sheetFormatPr defaultRowHeight="15" x14ac:dyDescent="0.25"/>
  <cols>
    <col min="4" max="5" width="8.85546875" style="6"/>
    <col min="6" max="6" width="14.7109375" style="3" customWidth="1"/>
    <col min="7" max="7" width="8.85546875" style="9"/>
    <col min="9" max="11" width="8.85546875" style="6"/>
    <col min="12" max="12" width="8.85546875" style="3"/>
    <col min="13" max="14" width="8.85546875" style="12"/>
    <col min="15" max="15" width="8.85546875" style="3"/>
  </cols>
  <sheetData>
    <row r="1" spans="1:15" x14ac:dyDescent="0.25">
      <c r="A1" s="1" t="s">
        <v>0</v>
      </c>
      <c r="B1" s="1" t="s">
        <v>1</v>
      </c>
      <c r="C1" s="1" t="s">
        <v>2</v>
      </c>
      <c r="D1" s="10" t="s">
        <v>4</v>
      </c>
      <c r="E1" s="10" t="s">
        <v>5</v>
      </c>
      <c r="F1" s="2" t="s">
        <v>18</v>
      </c>
      <c r="G1" s="11" t="s">
        <v>9</v>
      </c>
      <c r="H1" s="1" t="s">
        <v>10</v>
      </c>
      <c r="I1" s="10" t="s">
        <v>11</v>
      </c>
      <c r="J1" s="6" t="s">
        <v>12</v>
      </c>
      <c r="K1" s="6" t="s">
        <v>13</v>
      </c>
      <c r="L1" s="3" t="s">
        <v>14</v>
      </c>
      <c r="M1" s="12" t="s">
        <v>15</v>
      </c>
      <c r="N1" s="12" t="s">
        <v>27</v>
      </c>
      <c r="O1" s="3" t="s">
        <v>16</v>
      </c>
    </row>
    <row r="2" spans="1:15" x14ac:dyDescent="0.25">
      <c r="B2">
        <v>0</v>
      </c>
      <c r="D2" s="6">
        <v>2333.54</v>
      </c>
      <c r="E2" s="6">
        <v>201.173</v>
      </c>
    </row>
    <row r="3" spans="1:15" x14ac:dyDescent="0.25">
      <c r="A3">
        <v>2002</v>
      </c>
      <c r="B3">
        <v>1</v>
      </c>
      <c r="C3">
        <v>2025</v>
      </c>
      <c r="D3" s="6">
        <f>0.06*(C3/F3)+(1-0.06)*(D2+E2)</f>
        <v>2517.7534012441974</v>
      </c>
      <c r="E3" s="6">
        <f>0.06*(D3-D2)+(1-0.06)*E2</f>
        <v>200.15542407465185</v>
      </c>
      <c r="F3" s="3">
        <v>0.89917954033676928</v>
      </c>
      <c r="G3" s="9">
        <f>(D2+E2)*F3</f>
        <v>2279.1620702256332</v>
      </c>
      <c r="H3" s="9">
        <f>G3-C3</f>
        <v>254.16207022563322</v>
      </c>
      <c r="I3" s="6">
        <f>ABS(H3)</f>
        <v>254.16207022563322</v>
      </c>
      <c r="J3" s="6">
        <f>SUMSQ($H$3:H3)/B3</f>
        <v>64598.357941379712</v>
      </c>
      <c r="K3" s="6">
        <f>SUM($I$3:I3)/B3</f>
        <v>254.16207022563322</v>
      </c>
      <c r="L3" s="3">
        <f>(I3/C3)*100</f>
        <v>12.551213344475714</v>
      </c>
      <c r="M3" s="12">
        <f>AVERAGE($L$3,L3)</f>
        <v>12.551213344475714</v>
      </c>
      <c r="N3" s="12">
        <f>AVERAGE($H$3:H3)</f>
        <v>254.16207022563322</v>
      </c>
      <c r="O3" s="3">
        <f>SUM($H$3:H3)/K3</f>
        <v>1</v>
      </c>
    </row>
    <row r="4" spans="1:15" x14ac:dyDescent="0.25">
      <c r="B4">
        <v>2</v>
      </c>
      <c r="C4">
        <v>1563</v>
      </c>
      <c r="D4" s="6">
        <f t="shared" ref="D4:D22" si="0">0.06*(C4/F4)+(1-0.06)*(D3+E3)</f>
        <v>2711.4637173026322</v>
      </c>
      <c r="E4" s="6">
        <f t="shared" ref="E4:E22" si="1">0.06*(D4-D3)+(1-0.06)*E3</f>
        <v>199.76871759367882</v>
      </c>
      <c r="F4" s="3">
        <v>0.59873808573222154</v>
      </c>
      <c r="G4" s="9">
        <f t="shared" ref="G4:G22" si="2">(D3+E3)*F4</f>
        <v>1627.3155272661188</v>
      </c>
      <c r="H4" s="9">
        <f t="shared" ref="H4:H22" si="3">G4-C4</f>
        <v>64.315527266118806</v>
      </c>
      <c r="I4" s="6">
        <f t="shared" ref="I4:I22" si="4">ABS(H4)</f>
        <v>64.315527266118806</v>
      </c>
      <c r="J4" s="6">
        <f>SUMSQ($H$3:H4)/B4</f>
        <v>34367.422494449289</v>
      </c>
      <c r="K4" s="6">
        <f>SUM($I$3:I4)/B4</f>
        <v>159.23879874587601</v>
      </c>
      <c r="L4" s="3">
        <f t="shared" ref="L4:L22" si="5">(I4/C4)*100</f>
        <v>4.1148769843965969</v>
      </c>
      <c r="M4" s="12">
        <f t="shared" ref="M4:M22" si="6">AVERAGE($L$3,L4)</f>
        <v>8.3330451644361556</v>
      </c>
      <c r="N4" s="12">
        <f>AVERAGE($H$3:H4)</f>
        <v>159.23879874587601</v>
      </c>
      <c r="O4" s="3">
        <f>SUM($H$3:H4)/K4</f>
        <v>2</v>
      </c>
    </row>
    <row r="5" spans="1:15" x14ac:dyDescent="0.25">
      <c r="B5">
        <v>3</v>
      </c>
      <c r="C5">
        <v>2170</v>
      </c>
      <c r="D5" s="6">
        <f t="shared" si="0"/>
        <v>2923.1370866503339</v>
      </c>
      <c r="E5" s="6">
        <f t="shared" si="1"/>
        <v>200.48299669892018</v>
      </c>
      <c r="F5" s="3">
        <v>0.69782923390928597</v>
      </c>
      <c r="G5" s="9">
        <f>(D4+E4)*F5</f>
        <v>2031.5430997755579</v>
      </c>
      <c r="H5" s="9">
        <f t="shared" si="3"/>
        <v>-138.45690022444205</v>
      </c>
      <c r="I5" s="6">
        <f t="shared" si="4"/>
        <v>138.45690022444205</v>
      </c>
      <c r="J5" s="6">
        <f>SUMSQ($H$3:H5)/B5</f>
        <v>29301.71940288656</v>
      </c>
      <c r="K5" s="6">
        <f>SUM($I$3:I5)/B5</f>
        <v>152.31149923873136</v>
      </c>
      <c r="L5" s="3">
        <f t="shared" si="5"/>
        <v>6.3805023144904176</v>
      </c>
      <c r="M5" s="12">
        <f t="shared" si="6"/>
        <v>9.4658578294830669</v>
      </c>
      <c r="N5" s="12">
        <f>AVERAGE($H$3:H5)</f>
        <v>60.006899089103321</v>
      </c>
      <c r="O5" s="3">
        <f>SUM($H$3:H5)/K5</f>
        <v>1.1819245307614465</v>
      </c>
    </row>
    <row r="6" spans="1:15" x14ac:dyDescent="0.25">
      <c r="B6">
        <v>4</v>
      </c>
      <c r="C6">
        <v>6542</v>
      </c>
      <c r="D6" s="6">
        <f t="shared" si="0"/>
        <v>3154.2493209691097</v>
      </c>
      <c r="E6" s="6">
        <f t="shared" si="1"/>
        <v>202.32075095611151</v>
      </c>
      <c r="F6" s="3">
        <v>1.8001669519672145</v>
      </c>
      <c r="G6" s="9">
        <f>(D5+E5)*F6</f>
        <v>5623.0376445464035</v>
      </c>
      <c r="H6" s="9">
        <f t="shared" si="3"/>
        <v>-918.9623554535965</v>
      </c>
      <c r="I6" s="6">
        <f t="shared" si="4"/>
        <v>918.9623554535965</v>
      </c>
      <c r="J6" s="6">
        <f>SUMSQ($H$3:H6)/B6</f>
        <v>233099.24223737046</v>
      </c>
      <c r="K6" s="6">
        <f>SUM($I$3:I6)/B6</f>
        <v>343.97421329244764</v>
      </c>
      <c r="L6" s="3">
        <f t="shared" si="5"/>
        <v>14.047116408645621</v>
      </c>
      <c r="M6" s="12">
        <f t="shared" si="6"/>
        <v>13.299164876560667</v>
      </c>
      <c r="N6" s="12">
        <f>AVERAGE($H$3:H6)</f>
        <v>-184.73541454657163</v>
      </c>
      <c r="O6" s="3">
        <f>SUM($H$3:H6)/K6</f>
        <v>-2.1482472511915791</v>
      </c>
    </row>
    <row r="7" spans="1:15" x14ac:dyDescent="0.25">
      <c r="A7">
        <v>2003</v>
      </c>
      <c r="B7">
        <v>5</v>
      </c>
      <c r="C7">
        <v>3162</v>
      </c>
      <c r="D7" s="6">
        <f t="shared" si="0"/>
        <v>3367.5126966077341</v>
      </c>
      <c r="E7" s="6">
        <f t="shared" si="1"/>
        <v>202.97730843706228</v>
      </c>
      <c r="F7" s="3">
        <f>0.06*(C3/D3)+(1-0.06)*F3</f>
        <v>0.89348607537962055</v>
      </c>
      <c r="G7" s="9">
        <f t="shared" si="2"/>
        <v>2999.0486203011565</v>
      </c>
      <c r="H7" s="9">
        <f t="shared" si="3"/>
        <v>-162.95137969884354</v>
      </c>
      <c r="I7" s="6">
        <f t="shared" si="4"/>
        <v>162.95137969884354</v>
      </c>
      <c r="J7" s="6">
        <f>SUMSQ($H$3:H7)/B7</f>
        <v>191790.02421904769</v>
      </c>
      <c r="K7" s="6">
        <f>SUM($I$3:I7)/B7</f>
        <v>307.76964657372685</v>
      </c>
      <c r="L7" s="3">
        <f t="shared" si="5"/>
        <v>5.1534275679583663</v>
      </c>
      <c r="M7" s="12">
        <f t="shared" si="6"/>
        <v>8.8523204562170399</v>
      </c>
      <c r="N7" s="12">
        <f>AVERAGE($H$3:H7)</f>
        <v>-180.378607577026</v>
      </c>
      <c r="O7" s="3">
        <f>SUM($H$3:H7)/K7</f>
        <v>-2.9304158091141708</v>
      </c>
    </row>
    <row r="8" spans="1:15" x14ac:dyDescent="0.25">
      <c r="B8">
        <v>6</v>
      </c>
      <c r="C8">
        <v>1928</v>
      </c>
      <c r="D8" s="6">
        <f t="shared" si="0"/>
        <v>3549.8996148540477</v>
      </c>
      <c r="E8" s="6">
        <f t="shared" si="1"/>
        <v>201.74188502561736</v>
      </c>
      <c r="F8" s="3">
        <f t="shared" ref="F8:F21" si="7">0.06*(C4/D4)+(1-0.06)*F4</f>
        <v>0.59740028588829897</v>
      </c>
      <c r="G8" s="9">
        <f t="shared" si="2"/>
        <v>2133.0117497750753</v>
      </c>
      <c r="H8" s="9">
        <f t="shared" si="3"/>
        <v>205.01174977507526</v>
      </c>
      <c r="I8" s="6">
        <f t="shared" si="4"/>
        <v>205.01174977507526</v>
      </c>
      <c r="J8" s="6">
        <f>SUMSQ($H$3:H8)/B8</f>
        <v>166829.98977351276</v>
      </c>
      <c r="K8" s="6">
        <f>SUM($I$3:I8)/B8</f>
        <v>290.64333044061823</v>
      </c>
      <c r="L8" s="3">
        <f t="shared" si="5"/>
        <v>10.633389511155356</v>
      </c>
      <c r="M8" s="12">
        <f t="shared" si="6"/>
        <v>11.592301427815535</v>
      </c>
      <c r="N8" s="12">
        <f>AVERAGE($H$3:H8)</f>
        <v>-116.1468813516758</v>
      </c>
      <c r="O8" s="3">
        <f>SUM($H$3:H8)/K8</f>
        <v>-2.3977198687256154</v>
      </c>
    </row>
    <row r="9" spans="1:15" x14ac:dyDescent="0.25">
      <c r="B9">
        <v>7</v>
      </c>
      <c r="C9">
        <v>3113</v>
      </c>
      <c r="D9" s="6">
        <f t="shared" si="0"/>
        <v>3793.1808711072731</v>
      </c>
      <c r="E9" s="6">
        <f t="shared" si="1"/>
        <v>204.23424729927382</v>
      </c>
      <c r="F9" s="3">
        <f t="shared" si="7"/>
        <v>0.70050066837889102</v>
      </c>
      <c r="G9" s="9">
        <f t="shared" si="2"/>
        <v>2628.0273781836904</v>
      </c>
      <c r="H9" s="9">
        <f t="shared" si="3"/>
        <v>-484.97262181630958</v>
      </c>
      <c r="I9" s="6">
        <f t="shared" si="4"/>
        <v>484.97262181630958</v>
      </c>
      <c r="J9" s="6">
        <f>SUMSQ($H$3:H9)/B9</f>
        <v>176596.91179320883</v>
      </c>
      <c r="K9" s="6">
        <f>SUM($I$3:I9)/B9</f>
        <v>318.40465778000271</v>
      </c>
      <c r="L9" s="3">
        <f t="shared" si="5"/>
        <v>15.578947054812387</v>
      </c>
      <c r="M9" s="12">
        <f t="shared" si="6"/>
        <v>14.065080199644051</v>
      </c>
      <c r="N9" s="12">
        <f>AVERAGE($H$3:H9)</f>
        <v>-168.83627284662347</v>
      </c>
      <c r="O9" s="3">
        <f>SUM($H$3:H9)/K9</f>
        <v>-3.7117984333726359</v>
      </c>
    </row>
    <row r="10" spans="1:15" x14ac:dyDescent="0.25">
      <c r="B10">
        <v>8</v>
      </c>
      <c r="C10">
        <v>6350</v>
      </c>
      <c r="D10" s="6">
        <f t="shared" si="0"/>
        <v>3967.3028415670619</v>
      </c>
      <c r="E10" s="6">
        <f t="shared" si="1"/>
        <v>202.4275106889047</v>
      </c>
      <c r="F10" s="3">
        <f t="shared" si="7"/>
        <v>1.8165985880154578</v>
      </c>
      <c r="G10" s="9">
        <f t="shared" si="2"/>
        <v>7261.698659808977</v>
      </c>
      <c r="H10" s="9">
        <f t="shared" si="3"/>
        <v>911.69865980897703</v>
      </c>
      <c r="I10" s="6">
        <f t="shared" si="4"/>
        <v>911.69865980897703</v>
      </c>
      <c r="J10" s="6">
        <f>SUMSQ($H$3:H10)/B10</f>
        <v>258421.60360624333</v>
      </c>
      <c r="K10" s="6">
        <f>SUM($I$3:I10)/B10</f>
        <v>392.5664080336245</v>
      </c>
      <c r="L10" s="3">
        <f t="shared" si="5"/>
        <v>14.357459209590189</v>
      </c>
      <c r="M10" s="12">
        <f t="shared" si="6"/>
        <v>13.454336277032951</v>
      </c>
      <c r="N10" s="12">
        <f>AVERAGE($H$3:H10)</f>
        <v>-33.769406264673421</v>
      </c>
      <c r="O10" s="3">
        <f>SUM($H$3:H10)/K10</f>
        <v>-0.68817719649167675</v>
      </c>
    </row>
    <row r="11" spans="1:15" x14ac:dyDescent="0.25">
      <c r="A11">
        <v>2004</v>
      </c>
      <c r="B11">
        <v>9</v>
      </c>
      <c r="C11">
        <v>3708</v>
      </c>
      <c r="D11" s="6">
        <f t="shared" si="0"/>
        <v>4167.7904717754327</v>
      </c>
      <c r="E11" s="6">
        <f t="shared" si="1"/>
        <v>202.31111786007264</v>
      </c>
      <c r="F11" s="3">
        <f t="shared" si="7"/>
        <v>0.89621522850925017</v>
      </c>
      <c r="G11" s="9">
        <f t="shared" si="2"/>
        <v>3736.9758404690374</v>
      </c>
      <c r="H11" s="9">
        <f t="shared" si="3"/>
        <v>28.975840469037394</v>
      </c>
      <c r="I11" s="6">
        <f t="shared" si="4"/>
        <v>28.975840469037394</v>
      </c>
      <c r="J11" s="6">
        <f>SUMSQ($H$3:H11)/B11</f>
        <v>229801.38090898155</v>
      </c>
      <c r="K11" s="6">
        <f>SUM($I$3:I11)/B11</f>
        <v>352.1674560820037</v>
      </c>
      <c r="L11" s="3">
        <f t="shared" si="5"/>
        <v>0.78144122084782619</v>
      </c>
      <c r="M11" s="12">
        <f t="shared" si="6"/>
        <v>6.6663272826617703</v>
      </c>
      <c r="N11" s="12">
        <f>AVERAGE($H$3:H11)</f>
        <v>-26.797712183149997</v>
      </c>
      <c r="O11" s="3">
        <f>SUM($H$3:H11)/K11</f>
        <v>-0.68484297876800493</v>
      </c>
    </row>
    <row r="12" spans="1:15" x14ac:dyDescent="0.25">
      <c r="B12">
        <v>10</v>
      </c>
      <c r="C12">
        <v>2489</v>
      </c>
      <c r="D12" s="6">
        <f t="shared" si="0"/>
        <v>4359.2490798946956</v>
      </c>
      <c r="E12" s="6">
        <f t="shared" si="1"/>
        <v>201.65996727562404</v>
      </c>
      <c r="F12" s="3">
        <f t="shared" si="7"/>
        <v>0.59414310570243334</v>
      </c>
      <c r="G12" s="9">
        <f t="shared" si="2"/>
        <v>2596.4657307011803</v>
      </c>
      <c r="H12" s="9">
        <f t="shared" si="3"/>
        <v>107.46573070118029</v>
      </c>
      <c r="I12" s="6">
        <f t="shared" si="4"/>
        <v>107.46573070118029</v>
      </c>
      <c r="J12" s="6">
        <f>SUMSQ($H$3:H12)/B12</f>
        <v>207976.13114559726</v>
      </c>
      <c r="K12" s="6">
        <f>SUM($I$3:I12)/B12</f>
        <v>327.69728354392134</v>
      </c>
      <c r="L12" s="3">
        <f t="shared" si="5"/>
        <v>4.3176267859051949</v>
      </c>
      <c r="M12" s="12">
        <f t="shared" si="6"/>
        <v>8.4344200651904551</v>
      </c>
      <c r="N12" s="12">
        <f>AVERAGE($H$3:H12)</f>
        <v>-13.371367894716968</v>
      </c>
      <c r="O12" s="3">
        <f>SUM($H$3:H12)/K12</f>
        <v>-0.40804024220496171</v>
      </c>
    </row>
    <row r="13" spans="1:15" x14ac:dyDescent="0.25">
      <c r="B13">
        <v>11</v>
      </c>
      <c r="C13">
        <v>2309</v>
      </c>
      <c r="D13" s="6">
        <f t="shared" si="0"/>
        <v>4483.0122048771873</v>
      </c>
      <c r="E13" s="6">
        <f t="shared" si="1"/>
        <v>196.98615673803607</v>
      </c>
      <c r="F13" s="3">
        <f t="shared" si="7"/>
        <v>0.70771162319488301</v>
      </c>
      <c r="G13" s="9">
        <f t="shared" si="2"/>
        <v>3227.8083450171339</v>
      </c>
      <c r="H13" s="9">
        <f t="shared" si="3"/>
        <v>918.80834501713389</v>
      </c>
      <c r="I13" s="6">
        <f t="shared" si="4"/>
        <v>918.80834501713389</v>
      </c>
      <c r="J13" s="6">
        <f>SUMSQ($H$3:H13)/B13</f>
        <v>265815.46239355428</v>
      </c>
      <c r="K13" s="6">
        <f>SUM($I$3:I13)/B13</f>
        <v>381.43465276875889</v>
      </c>
      <c r="L13" s="3">
        <f t="shared" si="5"/>
        <v>39.792479212522039</v>
      </c>
      <c r="M13" s="12">
        <f t="shared" si="6"/>
        <v>26.171846278498876</v>
      </c>
      <c r="N13" s="12">
        <f>AVERAGE($H$3:H13)</f>
        <v>71.372242369996741</v>
      </c>
      <c r="O13" s="3">
        <f>SUM($H$3:H13)/K13</f>
        <v>2.0582678064803943</v>
      </c>
    </row>
    <row r="14" spans="1:15" x14ac:dyDescent="0.25">
      <c r="B14">
        <v>12</v>
      </c>
      <c r="C14">
        <v>7427</v>
      </c>
      <c r="D14" s="6">
        <f t="shared" si="0"/>
        <v>4646.2658184442616</v>
      </c>
      <c r="E14" s="6">
        <f t="shared" si="1"/>
        <v>194.96220414777835</v>
      </c>
      <c r="F14" s="3">
        <f t="shared" si="7"/>
        <v>1.8036376907846035</v>
      </c>
      <c r="G14" s="9">
        <f t="shared" si="2"/>
        <v>8441.0214378194087</v>
      </c>
      <c r="H14" s="9">
        <f t="shared" si="3"/>
        <v>1014.0214378194087</v>
      </c>
      <c r="I14" s="6">
        <f t="shared" si="4"/>
        <v>1014.0214378194087</v>
      </c>
      <c r="J14" s="6">
        <f>SUMSQ($H$3:H14)/B14</f>
        <v>329350.7968905365</v>
      </c>
      <c r="K14" s="6">
        <f>SUM($I$3:I14)/B14</f>
        <v>434.15021818964641</v>
      </c>
      <c r="L14" s="3">
        <f t="shared" si="5"/>
        <v>13.653176758037008</v>
      </c>
      <c r="M14" s="12">
        <f t="shared" si="6"/>
        <v>13.102195051256361</v>
      </c>
      <c r="N14" s="12">
        <f>AVERAGE($H$3:H14)</f>
        <v>149.92634199078108</v>
      </c>
      <c r="O14" s="3">
        <f>SUM($H$3:H14)/K14</f>
        <v>4.1439944712949082</v>
      </c>
    </row>
    <row r="15" spans="1:15" x14ac:dyDescent="0.25">
      <c r="A15">
        <v>2005</v>
      </c>
      <c r="B15">
        <v>13</v>
      </c>
      <c r="C15">
        <v>4941</v>
      </c>
      <c r="D15" s="6">
        <f t="shared" si="0"/>
        <v>4881.6902082375345</v>
      </c>
      <c r="E15" s="6">
        <f t="shared" si="1"/>
        <v>197.38993528650801</v>
      </c>
      <c r="F15" s="3">
        <f t="shared" si="7"/>
        <v>0.89582311729024311</v>
      </c>
      <c r="G15" s="9">
        <f t="shared" si="2"/>
        <v>4336.8839787112811</v>
      </c>
      <c r="H15" s="9">
        <f t="shared" si="3"/>
        <v>-604.11602128871891</v>
      </c>
      <c r="I15" s="6">
        <f t="shared" si="4"/>
        <v>604.11602128871891</v>
      </c>
      <c r="J15" s="6">
        <f>SUMSQ($H$3:H15)/B15</f>
        <v>332089.6715280115</v>
      </c>
      <c r="K15" s="6">
        <f>SUM($I$3:I15)/B15</f>
        <v>447.22451073572887</v>
      </c>
      <c r="L15" s="3">
        <f t="shared" si="5"/>
        <v>12.226594237780185</v>
      </c>
      <c r="M15" s="12">
        <f t="shared" si="6"/>
        <v>12.38890379112795</v>
      </c>
      <c r="N15" s="12">
        <f>AVERAGE($H$3:H15)</f>
        <v>91.923083276973387</v>
      </c>
      <c r="O15" s="3">
        <f>SUM($H$3:H15)/K15</f>
        <v>2.6720362008664504</v>
      </c>
    </row>
    <row r="16" spans="1:15" x14ac:dyDescent="0.25">
      <c r="B16">
        <v>14</v>
      </c>
      <c r="C16">
        <v>3943</v>
      </c>
      <c r="D16" s="6">
        <f t="shared" si="0"/>
        <v>5173.4562410329445</v>
      </c>
      <c r="E16" s="6">
        <f t="shared" si="1"/>
        <v>203.05250113704213</v>
      </c>
      <c r="F16" s="3">
        <f t="shared" si="7"/>
        <v>0.59275271320582168</v>
      </c>
      <c r="G16" s="9">
        <f t="shared" si="2"/>
        <v>3010.6385356636906</v>
      </c>
      <c r="H16" s="9">
        <f t="shared" si="3"/>
        <v>-932.36146433630938</v>
      </c>
      <c r="I16" s="6">
        <f t="shared" si="4"/>
        <v>932.36146433630938</v>
      </c>
      <c r="J16" s="6">
        <f>SUMSQ($H$3:H16)/B16</f>
        <v>370461.68786024972</v>
      </c>
      <c r="K16" s="6">
        <f>SUM($I$3:I16)/B16</f>
        <v>481.87715027862748</v>
      </c>
      <c r="L16" s="3">
        <f t="shared" si="5"/>
        <v>23.645991994326891</v>
      </c>
      <c r="M16" s="12">
        <f t="shared" si="6"/>
        <v>18.098602669401302</v>
      </c>
      <c r="N16" s="12">
        <f>AVERAGE($H$3:H16)</f>
        <v>18.759901304596042</v>
      </c>
      <c r="O16" s="3">
        <f>SUM($H$3:H16)/K16</f>
        <v>0.54503231396733298</v>
      </c>
    </row>
    <row r="17" spans="1:15" x14ac:dyDescent="0.25">
      <c r="B17">
        <v>15</v>
      </c>
      <c r="C17">
        <v>3883</v>
      </c>
      <c r="D17" s="6">
        <f t="shared" si="0"/>
        <v>5388.5863860943537</v>
      </c>
      <c r="E17" s="6">
        <f t="shared" si="1"/>
        <v>203.77715977250412</v>
      </c>
      <c r="F17" s="3">
        <f t="shared" si="7"/>
        <v>0.69615225456265184</v>
      </c>
      <c r="G17" s="9">
        <f t="shared" si="2"/>
        <v>3742.8686825374434</v>
      </c>
      <c r="H17" s="9">
        <f t="shared" si="3"/>
        <v>-140.13131746255658</v>
      </c>
      <c r="I17" s="6">
        <f t="shared" si="4"/>
        <v>140.13131746255658</v>
      </c>
      <c r="J17" s="6">
        <f>SUMSQ($H$3:H17)/B17</f>
        <v>347073.3610784859</v>
      </c>
      <c r="K17" s="6">
        <f>SUM($I$3:I17)/B17</f>
        <v>459.09409475755609</v>
      </c>
      <c r="L17" s="3">
        <f t="shared" si="5"/>
        <v>3.6088415519587067</v>
      </c>
      <c r="M17" s="12">
        <f t="shared" si="6"/>
        <v>8.0800274482172103</v>
      </c>
      <c r="N17" s="12">
        <f>AVERAGE($H$3:H17)</f>
        <v>8.1671533867858663</v>
      </c>
      <c r="O17" s="3">
        <f>SUM($H$3:H17)/K17</f>
        <v>0.26684573424209068</v>
      </c>
    </row>
    <row r="18" spans="1:15" x14ac:dyDescent="0.25">
      <c r="B18">
        <v>16</v>
      </c>
      <c r="C18">
        <v>10831</v>
      </c>
      <c r="D18" s="6">
        <f t="shared" si="0"/>
        <v>5619.60272207653</v>
      </c>
      <c r="E18" s="6">
        <f t="shared" si="1"/>
        <v>205.41151034508442</v>
      </c>
      <c r="F18" s="3">
        <f t="shared" si="7"/>
        <v>1.7913287073282578</v>
      </c>
      <c r="G18" s="9">
        <f t="shared" si="2"/>
        <v>10017.761361527349</v>
      </c>
      <c r="H18" s="9">
        <f t="shared" si="3"/>
        <v>-813.23863847265056</v>
      </c>
      <c r="I18" s="6">
        <f t="shared" si="4"/>
        <v>813.23863847265056</v>
      </c>
      <c r="J18" s="6">
        <f>SUMSQ($H$3:H18)/B18</f>
        <v>366716.09370513371</v>
      </c>
      <c r="K18" s="6">
        <f>SUM($I$3:I18)/B18</f>
        <v>481.22812873974948</v>
      </c>
      <c r="L18" s="3">
        <f t="shared" si="5"/>
        <v>7.5084354027573683</v>
      </c>
      <c r="M18" s="12">
        <f t="shared" si="6"/>
        <v>10.029824373616542</v>
      </c>
      <c r="N18" s="12">
        <f>AVERAGE($H$3:H18)</f>
        <v>-43.17070860442891</v>
      </c>
      <c r="O18" s="3">
        <f>SUM($H$3:H18)/K18</f>
        <v>-1.4353511285380689</v>
      </c>
    </row>
    <row r="19" spans="1:15" x14ac:dyDescent="0.25">
      <c r="A19">
        <v>2006</v>
      </c>
      <c r="B19">
        <v>17</v>
      </c>
      <c r="C19">
        <v>5083</v>
      </c>
      <c r="D19" s="6">
        <f t="shared" si="0"/>
        <v>5813.3280540132946</v>
      </c>
      <c r="E19" s="6">
        <f t="shared" si="1"/>
        <v>204.71033964058523</v>
      </c>
      <c r="F19" s="3">
        <f t="shared" si="7"/>
        <v>0.90280269652351541</v>
      </c>
      <c r="G19" s="9">
        <f t="shared" si="2"/>
        <v>5258.8385563180882</v>
      </c>
      <c r="H19" s="9">
        <f t="shared" si="3"/>
        <v>175.83855631808819</v>
      </c>
      <c r="I19" s="6">
        <f t="shared" si="4"/>
        <v>175.83855631808819</v>
      </c>
      <c r="J19" s="6">
        <f>SUMSQ($H$3:H19)/B19</f>
        <v>346963.33512765699</v>
      </c>
      <c r="K19" s="6">
        <f>SUM($I$3:I19)/B19</f>
        <v>463.26403624435761</v>
      </c>
      <c r="L19" s="3">
        <f t="shared" si="5"/>
        <v>3.4593459830432458</v>
      </c>
      <c r="M19" s="12">
        <f t="shared" si="6"/>
        <v>8.005279663759481</v>
      </c>
      <c r="N19" s="12">
        <f>AVERAGE($H$3:H19)</f>
        <v>-30.287810667810255</v>
      </c>
      <c r="O19" s="3">
        <f>SUM($H$3:H19)/K19</f>
        <v>-1.111445614313096</v>
      </c>
    </row>
    <row r="20" spans="1:15" x14ac:dyDescent="0.25">
      <c r="B20">
        <v>18</v>
      </c>
      <c r="C20">
        <v>3326</v>
      </c>
      <c r="D20" s="6">
        <f t="shared" si="0"/>
        <v>5987.9468493298773</v>
      </c>
      <c r="E20" s="6">
        <f t="shared" si="1"/>
        <v>202.90484698114506</v>
      </c>
      <c r="F20" s="3">
        <f t="shared" si="7"/>
        <v>0.60291713407624314</v>
      </c>
      <c r="G20" s="9">
        <f t="shared" si="2"/>
        <v>3628.3784610625953</v>
      </c>
      <c r="H20" s="9">
        <f t="shared" si="3"/>
        <v>302.37846106259531</v>
      </c>
      <c r="I20" s="6">
        <f t="shared" si="4"/>
        <v>302.37846106259531</v>
      </c>
      <c r="J20" s="6">
        <f>SUMSQ($H$3:H20)/B20</f>
        <v>332767.19060470845</v>
      </c>
      <c r="K20" s="6">
        <f>SUM($I$3:I20)/B20</f>
        <v>454.32594873425973</v>
      </c>
      <c r="L20" s="3">
        <f t="shared" si="5"/>
        <v>9.0913548124652834</v>
      </c>
      <c r="M20" s="12">
        <f t="shared" si="6"/>
        <v>10.821284078470498</v>
      </c>
      <c r="N20" s="12">
        <f>AVERAGE($H$3:H20)</f>
        <v>-11.806351127232169</v>
      </c>
      <c r="O20" s="3">
        <f>SUM($H$3:H20)/K20</f>
        <v>-0.46775739066244931</v>
      </c>
    </row>
    <row r="21" spans="1:15" x14ac:dyDescent="0.25">
      <c r="B21">
        <v>19</v>
      </c>
      <c r="C21">
        <v>4358</v>
      </c>
      <c r="D21" s="6">
        <f t="shared" si="0"/>
        <v>6194.2183952951118</v>
      </c>
      <c r="E21" s="6">
        <f t="shared" si="1"/>
        <v>203.1068489201904</v>
      </c>
      <c r="F21" s="3">
        <f t="shared" si="7"/>
        <v>0.69761894837409066</v>
      </c>
      <c r="G21" s="9">
        <f t="shared" si="2"/>
        <v>4318.8554499204511</v>
      </c>
      <c r="H21" s="9">
        <f t="shared" si="3"/>
        <v>-39.144550079548935</v>
      </c>
      <c r="I21" s="6">
        <f t="shared" si="4"/>
        <v>39.144550079548935</v>
      </c>
      <c r="J21" s="6">
        <f>SUMSQ($H$3:H21)/B21</f>
        <v>315333.77508872014</v>
      </c>
      <c r="K21" s="6">
        <f>SUM($I$3:I21)/B21</f>
        <v>432.47429617348547</v>
      </c>
      <c r="L21" s="3">
        <f t="shared" si="5"/>
        <v>0.8982228104531651</v>
      </c>
      <c r="M21" s="12">
        <f t="shared" si="6"/>
        <v>6.7247180774644395</v>
      </c>
      <c r="N21" s="12">
        <f>AVERAGE($H$3:H21)</f>
        <v>-13.245203703669894</v>
      </c>
      <c r="O21" s="3">
        <f>SUM($H$3:H21)/K21</f>
        <v>-0.58190480358346186</v>
      </c>
    </row>
    <row r="22" spans="1:15" x14ac:dyDescent="0.25">
      <c r="B22">
        <v>20</v>
      </c>
      <c r="C22">
        <v>11787</v>
      </c>
      <c r="D22" s="6">
        <f t="shared" si="0"/>
        <v>6406.4969492146347</v>
      </c>
      <c r="E22" s="6">
        <f t="shared" si="1"/>
        <v>203.65715122015035</v>
      </c>
      <c r="F22" s="3">
        <f>0.06*(C18/D18)+(1-0.06)*F18</f>
        <v>1.7994906115549874</v>
      </c>
      <c r="G22" s="9">
        <f t="shared" si="2"/>
        <v>11511.926716029153</v>
      </c>
      <c r="H22" s="9">
        <f t="shared" si="3"/>
        <v>-275.07328397084711</v>
      </c>
      <c r="I22" s="6">
        <f t="shared" si="4"/>
        <v>275.07328397084711</v>
      </c>
      <c r="J22" s="6">
        <f>SUMSQ($H$3:H22)/B22</f>
        <v>303350.35191200941</v>
      </c>
      <c r="K22" s="6">
        <f>SUM($I$3:I22)/B22</f>
        <v>424.60424556335357</v>
      </c>
      <c r="L22" s="3">
        <f t="shared" si="5"/>
        <v>2.3337005512076616</v>
      </c>
      <c r="M22" s="12">
        <f t="shared" si="6"/>
        <v>7.4424569478416878</v>
      </c>
      <c r="N22" s="12">
        <f>AVERAGE($H$3:H22)</f>
        <v>-26.336607717028755</v>
      </c>
      <c r="O22" s="3">
        <f>SUM($H$3:H22)/K22</f>
        <v>-1.2405249355001642</v>
      </c>
    </row>
    <row r="23" spans="1:15" x14ac:dyDescent="0.25">
      <c r="A23">
        <v>2007</v>
      </c>
      <c r="B23">
        <v>21</v>
      </c>
      <c r="F23" s="3">
        <f t="shared" ref="F23:F26" si="8">0.06*(C19/D19)+(1-0.06)*F19</f>
        <v>0.9010967383384284</v>
      </c>
      <c r="G23" s="9">
        <f>(D$22+E$22)*F23</f>
        <v>5956.3882998161735</v>
      </c>
    </row>
    <row r="24" spans="1:15" x14ac:dyDescent="0.25">
      <c r="B24">
        <v>22</v>
      </c>
      <c r="F24" s="3">
        <f t="shared" si="8"/>
        <v>0.60006905515486142</v>
      </c>
      <c r="G24" s="9">
        <f>(D$22+E$22*2)*F24</f>
        <v>4088.7572797841408</v>
      </c>
    </row>
    <row r="25" spans="1:15" x14ac:dyDescent="0.25">
      <c r="B25">
        <v>23</v>
      </c>
      <c r="F25" s="3">
        <f t="shared" si="8"/>
        <v>0.69797536987614217</v>
      </c>
      <c r="G25" s="9">
        <f>(D$22+E$22*3)*F25</f>
        <v>4898.0201040908787</v>
      </c>
    </row>
    <row r="26" spans="1:15" x14ac:dyDescent="0.25">
      <c r="B26">
        <v>24</v>
      </c>
      <c r="F26" s="3">
        <f t="shared" si="8"/>
        <v>1.801912236561436</v>
      </c>
      <c r="G26" s="9">
        <f>(D$22+E$22*4)*F26</f>
        <v>13011.834497670685</v>
      </c>
    </row>
    <row r="29" spans="1:15" x14ac:dyDescent="0.25">
      <c r="A29" t="s">
        <v>26</v>
      </c>
    </row>
    <row r="30" spans="1:15" x14ac:dyDescent="0.25">
      <c r="A30">
        <v>2007</v>
      </c>
      <c r="B30" s="9">
        <f>SUM(G23:G26)</f>
        <v>27955.00018136188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62EE-8B8B-4AE1-A27A-CFE5F49EB49C}">
  <dimension ref="A1:P24"/>
  <sheetViews>
    <sheetView zoomScale="91" zoomScaleNormal="91" workbookViewId="0">
      <selection activeCell="K32" sqref="K32"/>
    </sheetView>
  </sheetViews>
  <sheetFormatPr defaultRowHeight="15" x14ac:dyDescent="0.25"/>
  <cols>
    <col min="1" max="1" width="9.5703125" customWidth="1"/>
  </cols>
  <sheetData>
    <row r="1" spans="1:16" ht="20.45" customHeight="1" x14ac:dyDescent="0.3">
      <c r="A1" s="15" t="s">
        <v>19</v>
      </c>
      <c r="B1" s="23" t="s">
        <v>20</v>
      </c>
      <c r="C1" s="24"/>
      <c r="D1" s="25"/>
      <c r="E1" s="23" t="s">
        <v>21</v>
      </c>
      <c r="F1" s="24"/>
      <c r="G1" s="25"/>
      <c r="H1" s="23" t="s">
        <v>22</v>
      </c>
      <c r="I1" s="24"/>
      <c r="J1" s="25"/>
      <c r="K1" s="23" t="s">
        <v>23</v>
      </c>
      <c r="L1" s="24"/>
      <c r="M1" s="25"/>
      <c r="N1" s="23" t="s">
        <v>24</v>
      </c>
      <c r="O1" s="24"/>
      <c r="P1" s="25"/>
    </row>
    <row r="2" spans="1:16" x14ac:dyDescent="0.25">
      <c r="B2" s="13" t="s">
        <v>13</v>
      </c>
      <c r="C2" s="1" t="s">
        <v>16</v>
      </c>
      <c r="D2" s="14" t="s">
        <v>15</v>
      </c>
      <c r="E2" s="13" t="s">
        <v>13</v>
      </c>
      <c r="F2" s="1" t="s">
        <v>16</v>
      </c>
      <c r="G2" s="14" t="s">
        <v>15</v>
      </c>
      <c r="H2" s="13" t="s">
        <v>13</v>
      </c>
      <c r="I2" s="1" t="s">
        <v>16</v>
      </c>
      <c r="J2" s="14" t="s">
        <v>15</v>
      </c>
      <c r="K2" s="13" t="s">
        <v>13</v>
      </c>
      <c r="L2" s="1" t="s">
        <v>16</v>
      </c>
      <c r="M2" s="14" t="s">
        <v>15</v>
      </c>
      <c r="N2" s="13" t="s">
        <v>13</v>
      </c>
      <c r="O2" s="1" t="s">
        <v>16</v>
      </c>
      <c r="P2" s="14" t="s">
        <v>15</v>
      </c>
    </row>
    <row r="3" spans="1:16" x14ac:dyDescent="0.25">
      <c r="A3">
        <v>1</v>
      </c>
      <c r="B3" s="16">
        <v>256.86081216044067</v>
      </c>
      <c r="C3" s="12">
        <v>1</v>
      </c>
      <c r="D3" s="19">
        <v>12.684484551132874</v>
      </c>
      <c r="E3" s="16"/>
      <c r="F3" s="3"/>
      <c r="G3" s="22"/>
      <c r="H3" s="16">
        <v>2521.8999999999996</v>
      </c>
      <c r="I3" s="3">
        <v>1</v>
      </c>
      <c r="J3" s="19">
        <v>124.53827160493825</v>
      </c>
      <c r="K3" s="16">
        <v>71.457142857142571</v>
      </c>
      <c r="L3" s="3">
        <v>1</v>
      </c>
      <c r="M3" s="19">
        <v>3.5287477954144477</v>
      </c>
      <c r="N3" s="16">
        <v>254.16207022563322</v>
      </c>
      <c r="O3" s="3">
        <v>1</v>
      </c>
      <c r="P3" s="19">
        <v>12.551213344475714</v>
      </c>
    </row>
    <row r="4" spans="1:16" x14ac:dyDescent="0.25">
      <c r="A4">
        <v>2</v>
      </c>
      <c r="B4" s="16">
        <v>167.76664260177358</v>
      </c>
      <c r="C4" s="12">
        <v>2</v>
      </c>
      <c r="D4" s="19">
        <v>8.8589560645333751</v>
      </c>
      <c r="E4" s="16"/>
      <c r="F4" s="3"/>
      <c r="G4" s="22"/>
      <c r="H4" s="16">
        <v>2677.2429999999995</v>
      </c>
      <c r="I4" s="3">
        <v>2</v>
      </c>
      <c r="J4" s="19">
        <v>152.88289140067769</v>
      </c>
      <c r="K4" s="16">
        <v>429.1554824060147</v>
      </c>
      <c r="L4" s="3">
        <v>2</v>
      </c>
      <c r="M4" s="19">
        <v>26.935641394664572</v>
      </c>
      <c r="N4" s="16">
        <v>159.23879874587601</v>
      </c>
      <c r="O4" s="3">
        <v>2</v>
      </c>
      <c r="P4" s="19">
        <v>8.3330451644361556</v>
      </c>
    </row>
    <row r="5" spans="1:16" x14ac:dyDescent="0.25">
      <c r="A5">
        <v>3</v>
      </c>
      <c r="B5" s="16">
        <v>149.89534351799952</v>
      </c>
      <c r="C5" s="12">
        <v>1.4769007139071821</v>
      </c>
      <c r="D5" s="19">
        <v>7.6594691021689689</v>
      </c>
      <c r="E5" s="16"/>
      <c r="F5" s="3"/>
      <c r="G5" s="19"/>
      <c r="H5" s="16">
        <v>2470.0389466666661</v>
      </c>
      <c r="I5" s="3">
        <v>3</v>
      </c>
      <c r="J5" s="19">
        <v>133.49843819953011</v>
      </c>
      <c r="K5" s="16">
        <v>415.26833045325276</v>
      </c>
      <c r="L5" s="3">
        <v>3</v>
      </c>
      <c r="M5" s="19">
        <v>23.909383457391261</v>
      </c>
      <c r="N5" s="16">
        <v>152.31149923873136</v>
      </c>
      <c r="O5" s="3">
        <v>1.1819245307614465</v>
      </c>
      <c r="P5" s="19">
        <v>9.4658578294830669</v>
      </c>
    </row>
    <row r="6" spans="1:16" x14ac:dyDescent="0.25">
      <c r="A6">
        <v>4</v>
      </c>
      <c r="B6" s="16">
        <v>330.18480261675836</v>
      </c>
      <c r="C6" s="12">
        <v>-1.9676030965422917</v>
      </c>
      <c r="D6" s="19">
        <v>9.0732978672604574</v>
      </c>
      <c r="E6" s="16"/>
      <c r="F6" s="3"/>
      <c r="G6" s="19"/>
      <c r="H6" s="16">
        <v>2462.4559626</v>
      </c>
      <c r="I6" s="3">
        <v>2.0184766367768696</v>
      </c>
      <c r="J6" s="19">
        <v>109.44707463864179</v>
      </c>
      <c r="K6" s="16">
        <v>1250.0260377475824</v>
      </c>
      <c r="L6" s="3">
        <v>-2.0067535335430771</v>
      </c>
      <c r="M6" s="19">
        <v>32.278946640852112</v>
      </c>
      <c r="N6" s="16">
        <v>343.97421329244764</v>
      </c>
      <c r="O6" s="3">
        <v>-2.1482472511915791</v>
      </c>
      <c r="P6" s="19">
        <v>13.299164876560667</v>
      </c>
    </row>
    <row r="7" spans="1:16" x14ac:dyDescent="0.25">
      <c r="A7">
        <v>5</v>
      </c>
      <c r="B7" s="16">
        <v>293.3050158655642</v>
      </c>
      <c r="C7" s="12">
        <v>-2.7120521842194596</v>
      </c>
      <c r="D7" s="19">
        <v>8.1807500513086033</v>
      </c>
      <c r="E7" s="16">
        <v>87</v>
      </c>
      <c r="F7" s="3">
        <v>-1</v>
      </c>
      <c r="G7" s="19">
        <v>2.7514231499051234</v>
      </c>
      <c r="H7" s="16">
        <v>2187.2998521247996</v>
      </c>
      <c r="I7" s="3">
        <v>2.7692066242952404</v>
      </c>
      <c r="J7" s="19">
        <v>94.431001964069651</v>
      </c>
      <c r="K7" s="16">
        <v>1023.6069746653651</v>
      </c>
      <c r="L7" s="3">
        <v>-2.3354309858193703</v>
      </c>
      <c r="M7" s="19">
        <v>26.569082185145298</v>
      </c>
      <c r="N7" s="16">
        <v>307.76964657372685</v>
      </c>
      <c r="O7" s="3">
        <v>-2.9304158091141708</v>
      </c>
      <c r="P7" s="19">
        <v>8.8523204562170399</v>
      </c>
    </row>
    <row r="8" spans="1:16" x14ac:dyDescent="0.25">
      <c r="A8">
        <v>6</v>
      </c>
      <c r="B8" s="16">
        <v>278.19709075041806</v>
      </c>
      <c r="C8" s="12">
        <v>-2.1308671566154707</v>
      </c>
      <c r="D8" s="19">
        <v>8.5691715950971368</v>
      </c>
      <c r="E8" s="16">
        <v>759.125</v>
      </c>
      <c r="F8" s="3">
        <v>1.770788737032768</v>
      </c>
      <c r="G8" s="19">
        <v>38.493190828064598</v>
      </c>
      <c r="H8" s="16">
        <v>2198.6623577057594</v>
      </c>
      <c r="I8" s="3">
        <v>3.7807351803250357</v>
      </c>
      <c r="J8" s="19">
        <v>98.190036954934911</v>
      </c>
      <c r="K8" s="16">
        <v>1121.5728556853257</v>
      </c>
      <c r="L8" s="3">
        <v>-0.69470403210952347</v>
      </c>
      <c r="M8" s="19">
        <v>36.070727726773299</v>
      </c>
      <c r="N8" s="16">
        <v>290.64333044061823</v>
      </c>
      <c r="O8" s="3">
        <v>-2.3977198687256154</v>
      </c>
      <c r="P8" s="19">
        <v>11.592301427815535</v>
      </c>
    </row>
    <row r="9" spans="1:16" x14ac:dyDescent="0.25">
      <c r="A9">
        <v>7</v>
      </c>
      <c r="B9" s="16">
        <v>308.06046937379335</v>
      </c>
      <c r="C9" s="12">
        <v>-3.5059408532861358</v>
      </c>
      <c r="D9" s="19">
        <v>9.5809766033972199</v>
      </c>
      <c r="E9" s="16">
        <v>618.58333333333337</v>
      </c>
      <c r="F9" s="3">
        <v>2.7187121110063317</v>
      </c>
      <c r="G9" s="19">
        <v>29.276004507498683</v>
      </c>
      <c r="H9" s="16">
        <v>2018.1600769583542</v>
      </c>
      <c r="I9" s="3">
        <v>4.5822462863530857</v>
      </c>
      <c r="J9" s="19">
        <v>88.454322862267304</v>
      </c>
      <c r="K9" s="16">
        <v>1045.7002275571385</v>
      </c>
      <c r="L9" s="3">
        <v>-0.18045011504108341</v>
      </c>
      <c r="M9" s="19">
        <v>33.627437857807038</v>
      </c>
      <c r="N9" s="16">
        <v>318.40465778000271</v>
      </c>
      <c r="O9" s="3">
        <v>-3.7117984333726359</v>
      </c>
      <c r="P9" s="19">
        <v>14.065080199644051</v>
      </c>
    </row>
    <row r="10" spans="1:16" x14ac:dyDescent="0.25">
      <c r="A10">
        <v>8</v>
      </c>
      <c r="B10" s="16">
        <v>368.44415235667964</v>
      </c>
      <c r="C10" s="12">
        <v>-0.78414014654659048</v>
      </c>
      <c r="D10" s="19">
        <v>9.940696916234149</v>
      </c>
      <c r="E10" s="16">
        <v>1129.875</v>
      </c>
      <c r="F10" s="3">
        <v>-0.86912269056311542</v>
      </c>
      <c r="G10" s="19">
        <v>32.444208105033461</v>
      </c>
      <c r="H10" s="16">
        <v>2060.6353662228739</v>
      </c>
      <c r="I10" s="3">
        <v>3.3435047460448106</v>
      </c>
      <c r="J10" s="19">
        <v>82.039190754630567</v>
      </c>
      <c r="K10" s="16">
        <v>1217.9055425051095</v>
      </c>
      <c r="L10" s="3">
        <v>-2.1446979115715132</v>
      </c>
      <c r="M10" s="19">
        <v>34.194367864047514</v>
      </c>
      <c r="N10" s="16">
        <v>392.5664080336245</v>
      </c>
      <c r="O10" s="3">
        <v>-0.68817719649167675</v>
      </c>
      <c r="P10" s="19">
        <v>13.454336277032951</v>
      </c>
    </row>
    <row r="11" spans="1:16" x14ac:dyDescent="0.25">
      <c r="A11">
        <v>9</v>
      </c>
      <c r="B11" s="16">
        <v>332.23562988571365</v>
      </c>
      <c r="C11" s="12">
        <v>-0.74147496338654573</v>
      </c>
      <c r="D11" s="19">
        <v>8.9637294239173073</v>
      </c>
      <c r="E11" s="16">
        <v>917.85</v>
      </c>
      <c r="F11" s="3">
        <v>-1.1458844037696791</v>
      </c>
      <c r="G11" s="19">
        <v>26.33158007625978</v>
      </c>
      <c r="H11" s="16">
        <v>1878.9553646858831</v>
      </c>
      <c r="I11" s="3">
        <v>3.8932587844878705</v>
      </c>
      <c r="J11" s="19">
        <v>74.198792094700863</v>
      </c>
      <c r="K11" s="16">
        <v>1152.7385392462766</v>
      </c>
      <c r="L11" s="3">
        <v>-1.7182013899019237</v>
      </c>
      <c r="M11" s="19">
        <v>32.287006461604541</v>
      </c>
      <c r="N11" s="16">
        <v>352.1674560820037</v>
      </c>
      <c r="O11" s="3">
        <v>-0.68484297876800493</v>
      </c>
      <c r="P11" s="19">
        <v>6.6663272826617703</v>
      </c>
    </row>
    <row r="12" spans="1:16" x14ac:dyDescent="0.25">
      <c r="A12">
        <v>10</v>
      </c>
      <c r="B12" s="16">
        <v>312.07631262776908</v>
      </c>
      <c r="C12" s="12">
        <v>-0.37074888262010303</v>
      </c>
      <c r="D12" s="19">
        <v>8.5922357796624507</v>
      </c>
      <c r="E12" s="16">
        <v>979.16666666666663</v>
      </c>
      <c r="F12" s="3">
        <v>0.23897872340425533</v>
      </c>
      <c r="G12" s="19">
        <v>30.55253207774561</v>
      </c>
      <c r="H12" s="16">
        <v>1852.9582713419509</v>
      </c>
      <c r="I12" s="3">
        <v>4.8216109605102551</v>
      </c>
      <c r="J12" s="19">
        <v>73.283470664445559</v>
      </c>
      <c r="K12" s="16">
        <v>1245.2236862042198</v>
      </c>
      <c r="L12" s="3">
        <v>7.7859945625338947E-2</v>
      </c>
      <c r="M12" s="19">
        <v>37.405393034510823</v>
      </c>
      <c r="N12" s="16">
        <v>327.69728354392134</v>
      </c>
      <c r="O12" s="3">
        <v>-0.40804024220496171</v>
      </c>
      <c r="P12" s="19">
        <v>8.4344200651904551</v>
      </c>
    </row>
    <row r="13" spans="1:16" x14ac:dyDescent="0.25">
      <c r="A13">
        <v>11</v>
      </c>
      <c r="B13" s="16">
        <v>364.31221721818645</v>
      </c>
      <c r="C13" s="12">
        <v>2.1162324031029667</v>
      </c>
      <c r="D13" s="19">
        <v>11.302092620364659</v>
      </c>
      <c r="E13" s="16">
        <v>1068.7142857142858</v>
      </c>
      <c r="F13" s="3">
        <v>1.7216949605667691</v>
      </c>
      <c r="G13" s="19">
        <v>36.124158844588734</v>
      </c>
      <c r="H13" s="16">
        <v>1839.2207344355704</v>
      </c>
      <c r="I13" s="3">
        <v>5.7829324543289866</v>
      </c>
      <c r="J13" s="19">
        <v>73.32177936844856</v>
      </c>
      <c r="K13" s="16">
        <v>1349.3421629770207</v>
      </c>
      <c r="L13" s="3">
        <v>1.8434760637110803</v>
      </c>
      <c r="M13" s="19">
        <v>43.41679665488239</v>
      </c>
      <c r="N13" s="16">
        <v>381.43465276875889</v>
      </c>
      <c r="O13" s="3">
        <v>2.0582678064803943</v>
      </c>
      <c r="P13" s="19">
        <v>26.171846278498876</v>
      </c>
    </row>
    <row r="14" spans="1:16" x14ac:dyDescent="0.25">
      <c r="A14">
        <v>12</v>
      </c>
      <c r="B14" s="16">
        <v>432.64561964890436</v>
      </c>
      <c r="C14" s="12">
        <v>4.5193624447115468</v>
      </c>
      <c r="D14" s="19">
        <v>11.689088970923789</v>
      </c>
      <c r="E14" s="16">
        <v>1399.25</v>
      </c>
      <c r="F14" s="3">
        <v>-1.3385742361979631</v>
      </c>
      <c r="G14" s="19">
        <v>37.85779746484657</v>
      </c>
      <c r="H14" s="16">
        <v>1979.1411196118179</v>
      </c>
      <c r="I14" s="3">
        <v>3.5964206133455412</v>
      </c>
      <c r="J14" s="19">
        <v>71.15923819307028</v>
      </c>
      <c r="K14" s="16">
        <v>1455.3901710355149</v>
      </c>
      <c r="L14" s="3">
        <v>-9.2372673081215148E-2</v>
      </c>
      <c r="M14" s="19">
        <v>42.74060704503637</v>
      </c>
      <c r="N14" s="16">
        <v>434.15021818964641</v>
      </c>
      <c r="O14" s="3">
        <v>4.1439944712949082</v>
      </c>
      <c r="P14" s="19">
        <v>13.102195051256361</v>
      </c>
    </row>
    <row r="15" spans="1:16" x14ac:dyDescent="0.25">
      <c r="A15">
        <v>13</v>
      </c>
      <c r="B15" s="16">
        <v>434.4482051300073</v>
      </c>
      <c r="C15" s="12">
        <v>3.4508213331399089</v>
      </c>
      <c r="D15" s="19">
        <v>11.499967094084621</v>
      </c>
      <c r="E15" s="16">
        <v>1350.1944444444443</v>
      </c>
      <c r="F15" s="3">
        <v>-2.0965498796469646</v>
      </c>
      <c r="G15" s="19">
        <v>35.805123078784213</v>
      </c>
      <c r="H15" s="16">
        <v>1890.0663746537939</v>
      </c>
      <c r="I15" s="3">
        <v>3.3314462225103472</v>
      </c>
      <c r="J15" s="19">
        <v>66.963873623515539</v>
      </c>
      <c r="K15" s="16">
        <v>1364.9618630400871</v>
      </c>
      <c r="L15" s="3">
        <v>0.10651131768361076</v>
      </c>
      <c r="M15" s="19">
        <v>39.88850418980573</v>
      </c>
      <c r="N15" s="16">
        <v>447.22451073572887</v>
      </c>
      <c r="O15" s="3">
        <v>2.6720362008664504</v>
      </c>
      <c r="P15" s="19">
        <v>12.38890379112795</v>
      </c>
    </row>
    <row r="16" spans="1:16" x14ac:dyDescent="0.25">
      <c r="A16">
        <v>14</v>
      </c>
      <c r="B16" s="16">
        <v>463.01422980373178</v>
      </c>
      <c r="C16" s="12">
        <v>1.4358750575044712</v>
      </c>
      <c r="D16" s="19">
        <v>12.190030584614663</v>
      </c>
      <c r="E16" s="16">
        <v>1250.0250000000001</v>
      </c>
      <c r="F16" s="3">
        <v>-1.9857602847943039</v>
      </c>
      <c r="G16" s="19">
        <v>33.108455559138108</v>
      </c>
      <c r="H16" s="16">
        <v>1771.2116858179475</v>
      </c>
      <c r="I16" s="3">
        <v>3.6826514116374156</v>
      </c>
      <c r="J16" s="19">
        <v>62.590327726585585</v>
      </c>
      <c r="K16" s="16">
        <v>1375.9253591415725</v>
      </c>
      <c r="L16" s="3">
        <v>1.2092477866090128</v>
      </c>
      <c r="M16" s="19">
        <v>39.790042337439594</v>
      </c>
      <c r="N16" s="16">
        <v>481.87715027862748</v>
      </c>
      <c r="O16" s="3">
        <v>0.54503231396733298</v>
      </c>
      <c r="P16" s="19">
        <v>18.098602669401302</v>
      </c>
    </row>
    <row r="17" spans="1:16" x14ac:dyDescent="0.25">
      <c r="A17">
        <v>15</v>
      </c>
      <c r="B17" s="16">
        <v>439.97439665956529</v>
      </c>
      <c r="C17" s="12">
        <v>1.2441947880598039</v>
      </c>
      <c r="D17" s="19">
        <v>11.578952972872276</v>
      </c>
      <c r="E17" s="16">
        <v>1206.5681818181818</v>
      </c>
      <c r="F17" s="3">
        <v>-1.4174499425493041</v>
      </c>
      <c r="G17" s="19">
        <v>31.906008226098205</v>
      </c>
      <c r="H17" s="16">
        <v>1671.2998859030729</v>
      </c>
      <c r="I17" s="3">
        <v>4.0658710979981905</v>
      </c>
      <c r="J17" s="19">
        <v>58.885550082962112</v>
      </c>
      <c r="K17" s="16">
        <v>1400.1500224277604</v>
      </c>
      <c r="L17" s="3">
        <v>2.4305466907144471</v>
      </c>
      <c r="M17" s="19">
        <v>40.123543864560574</v>
      </c>
      <c r="N17" s="16">
        <v>459.09409475755609</v>
      </c>
      <c r="O17" s="3">
        <v>0.26684573424209068</v>
      </c>
      <c r="P17" s="19">
        <v>8.0800274482172103</v>
      </c>
    </row>
    <row r="18" spans="1:16" x14ac:dyDescent="0.25">
      <c r="A18">
        <v>16</v>
      </c>
      <c r="B18" s="16">
        <v>459.31998689729744</v>
      </c>
      <c r="C18" s="12">
        <v>-0.43997647614859492</v>
      </c>
      <c r="D18" s="19">
        <v>11.287767627550677</v>
      </c>
      <c r="E18" s="16">
        <v>1587.8958333333333</v>
      </c>
      <c r="F18" s="3">
        <v>-4.7186659494351808</v>
      </c>
      <c r="G18" s="19">
        <v>33.696209384063998</v>
      </c>
      <c r="H18" s="16">
        <v>1985.0822301673097</v>
      </c>
      <c r="I18" s="3">
        <v>5.2125048765053909E-2</v>
      </c>
      <c r="J18" s="19">
        <v>59.066698790748347</v>
      </c>
      <c r="K18" s="16">
        <v>1629.3514163198297</v>
      </c>
      <c r="L18" s="3">
        <v>-1.0214139838195821</v>
      </c>
      <c r="M18" s="19">
        <v>40.539936215642143</v>
      </c>
      <c r="N18" s="16">
        <v>481.22812873974948</v>
      </c>
      <c r="O18" s="3">
        <v>-1.4353511285380689</v>
      </c>
      <c r="P18" s="19">
        <v>10.029824373616542</v>
      </c>
    </row>
    <row r="19" spans="1:16" x14ac:dyDescent="0.25">
      <c r="A19">
        <v>17</v>
      </c>
      <c r="B19" s="16">
        <v>440.3172869666052</v>
      </c>
      <c r="C19" s="12">
        <v>-0.14947380703032506</v>
      </c>
      <c r="D19" s="19">
        <v>10.781485857367631</v>
      </c>
      <c r="E19" s="16">
        <v>1528.5576923076924</v>
      </c>
      <c r="F19" s="3">
        <v>-4.3676794363716427</v>
      </c>
      <c r="G19" s="19">
        <v>32.339835463465974</v>
      </c>
      <c r="H19" s="16">
        <v>1900.2131784211747</v>
      </c>
      <c r="I19" s="3">
        <v>-0.23094032154724572</v>
      </c>
      <c r="J19" s="19">
        <v>56.219778897389027</v>
      </c>
      <c r="K19" s="16">
        <v>1606.9544295081284</v>
      </c>
      <c r="L19" s="3">
        <v>-0.25865057093848576</v>
      </c>
      <c r="M19" s="19">
        <v>39.600192065799902</v>
      </c>
      <c r="N19" s="16">
        <v>463.26403624435761</v>
      </c>
      <c r="O19" s="3">
        <v>-1.111445614313096</v>
      </c>
      <c r="P19" s="19">
        <v>8.005279663759481</v>
      </c>
    </row>
    <row r="20" spans="1:16" x14ac:dyDescent="0.25">
      <c r="A20">
        <v>18</v>
      </c>
      <c r="B20" s="16">
        <v>430.94479555565096</v>
      </c>
      <c r="C20" s="12">
        <v>0.47754733902730534</v>
      </c>
      <c r="D20" s="19">
        <v>10.636199931586551</v>
      </c>
      <c r="E20" s="16">
        <v>1605.7321428571429</v>
      </c>
      <c r="F20" s="3">
        <v>-2.5329567064423215</v>
      </c>
      <c r="G20" s="19">
        <v>35.632888191936722</v>
      </c>
      <c r="H20" s="16">
        <v>1863.9363435392188</v>
      </c>
      <c r="I20" s="3">
        <v>0.43370274468606501</v>
      </c>
      <c r="J20" s="19">
        <v>55.179758025502224</v>
      </c>
      <c r="K20" s="16">
        <v>1694.9083022200939</v>
      </c>
      <c r="L20" s="3">
        <v>1.6369525442909862</v>
      </c>
      <c r="M20" s="19">
        <v>42.728777871597657</v>
      </c>
      <c r="N20" s="16">
        <v>454.32594873425973</v>
      </c>
      <c r="O20" s="3">
        <v>-0.46775739066244931</v>
      </c>
      <c r="P20" s="19">
        <v>10.821284078470498</v>
      </c>
    </row>
    <row r="21" spans="1:16" x14ac:dyDescent="0.25">
      <c r="A21">
        <v>19</v>
      </c>
      <c r="B21" s="16">
        <v>409.44794991613401</v>
      </c>
      <c r="C21" s="12">
        <v>0.44765595240611566</v>
      </c>
      <c r="D21" s="19">
        <v>10.103578902367797</v>
      </c>
      <c r="E21" s="16">
        <v>1593.5333333333333</v>
      </c>
      <c r="F21" s="3">
        <v>-1.6595197255574614</v>
      </c>
      <c r="G21" s="19">
        <v>35.433819402882719</v>
      </c>
      <c r="H21" s="16">
        <v>1773.2237118536393</v>
      </c>
      <c r="I21" s="3">
        <v>0.5350653971542364</v>
      </c>
      <c r="J21" s="19">
        <v>52.445116938042766</v>
      </c>
      <c r="K21" s="16">
        <v>1722.264175753772</v>
      </c>
      <c r="L21" s="3">
        <v>2.8968577685450079</v>
      </c>
      <c r="M21" s="19">
        <v>43.154552321146888</v>
      </c>
      <c r="N21" s="16">
        <v>432.47429617348547</v>
      </c>
      <c r="O21" s="3">
        <v>-0.58190480358346186</v>
      </c>
      <c r="P21" s="19">
        <v>6.7247180774644395</v>
      </c>
    </row>
    <row r="22" spans="1:16" ht="15.75" thickBot="1" x14ac:dyDescent="0.3">
      <c r="A22">
        <v>20</v>
      </c>
      <c r="B22" s="17">
        <v>400.7415887859953</v>
      </c>
      <c r="C22" s="18">
        <v>-0.12983158421499752</v>
      </c>
      <c r="D22" s="20">
        <v>9.6982221033906466</v>
      </c>
      <c r="E22" s="17">
        <v>1861.90625</v>
      </c>
      <c r="F22" s="21">
        <v>-4.5824004296671754</v>
      </c>
      <c r="G22" s="20">
        <v>36.341024219090308</v>
      </c>
      <c r="H22" s="17">
        <v>2049.4138982098402</v>
      </c>
      <c r="I22" s="21">
        <v>-3.0975864830898696</v>
      </c>
      <c r="J22" s="20">
        <v>52.918232024786846</v>
      </c>
      <c r="K22" s="17">
        <v>1891.512461811255</v>
      </c>
      <c r="L22" s="21">
        <v>-6.2423876272686425E-2</v>
      </c>
      <c r="M22" s="20">
        <v>43.163291955833337</v>
      </c>
      <c r="N22" s="17">
        <v>424.60424556335357</v>
      </c>
      <c r="O22" s="21">
        <v>-1.2405249355001642</v>
      </c>
      <c r="P22" s="20">
        <v>7.4424569478416878</v>
      </c>
    </row>
    <row r="23" spans="1:16" ht="22.15" customHeight="1" x14ac:dyDescent="0.25">
      <c r="A23" s="1" t="s">
        <v>25</v>
      </c>
      <c r="B23">
        <f>AVERAGE(B3:B22)</f>
        <v>353.60962741694937</v>
      </c>
      <c r="C23">
        <f t="shared" ref="C23:P23" si="0">AVERAGE(C3:C22)</f>
        <v>0.26182404406243931</v>
      </c>
      <c r="D23">
        <f t="shared" si="0"/>
        <v>10.143557730991793</v>
      </c>
      <c r="E23">
        <f>AVERAGE(E7:E22)</f>
        <v>1183.998572738026</v>
      </c>
      <c r="F23" s="3">
        <f>AVERAGE(F7:F22)</f>
        <v>-1.3290243220615616</v>
      </c>
      <c r="G23" s="3">
        <f>AVERAGE(G7:G22)</f>
        <v>31.755891161212674</v>
      </c>
      <c r="H23" s="6">
        <f t="shared" si="0"/>
        <v>2052.5559180459832</v>
      </c>
      <c r="I23" s="3">
        <f t="shared" si="0"/>
        <v>2.4680363702290946</v>
      </c>
      <c r="J23" s="3">
        <f t="shared" si="0"/>
        <v>81.985692240494387</v>
      </c>
      <c r="K23" s="6">
        <f t="shared" si="0"/>
        <v>1223.1707591781228</v>
      </c>
      <c r="L23" s="3">
        <f t="shared" si="0"/>
        <v>0.2843176522540512</v>
      </c>
      <c r="M23" s="3">
        <f t="shared" si="0"/>
        <v>35.097648946997779</v>
      </c>
      <c r="N23" s="6">
        <f t="shared" si="0"/>
        <v>367.93063230710544</v>
      </c>
      <c r="O23" s="3">
        <f t="shared" si="0"/>
        <v>-0.19690622974266303</v>
      </c>
      <c r="P23" s="3">
        <f t="shared" si="0"/>
        <v>11.378960265158589</v>
      </c>
    </row>
    <row r="24" spans="1:16" x14ac:dyDescent="0.25">
      <c r="O24" s="3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</vt:lpstr>
      <vt:lpstr>MA</vt:lpstr>
      <vt:lpstr>SES</vt:lpstr>
      <vt:lpstr>Holts</vt:lpstr>
      <vt:lpstr>Winters</vt:lpstr>
      <vt:lpstr>Error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 Colenbrander</dc:creator>
  <cp:lastModifiedBy>Amadeus Colenbrander</cp:lastModifiedBy>
  <dcterms:created xsi:type="dcterms:W3CDTF">2024-02-09T22:11:41Z</dcterms:created>
  <dcterms:modified xsi:type="dcterms:W3CDTF">2024-08-23T02:57:49Z</dcterms:modified>
</cp:coreProperties>
</file>